
<file path=[Content_Types].xml><?xml version="1.0" encoding="utf-8"?>
<Types xmlns="http://schemas.openxmlformats.org/package/2006/content-types">
  <Override PartName="/xl/worksheets/sheet24.xml" ContentType="application/vnd.openxmlformats-officedocument.spreadsheetml.worksheet+xml"/>
  <Override PartName="/xl/worksheets/sheet35.xml" ContentType="application/vnd.openxmlformats-officedocument.spreadsheetml.worksheet+xml"/>
  <Override PartName="/xl/worksheets/sheet53.xml" ContentType="application/vnd.openxmlformats-officedocument.spreadsheetml.worksheet+xml"/>
  <Override PartName="/xl/worksheets/sheet71.xml" ContentType="application/vnd.openxmlformats-officedocument.spreadsheetml.worksheet+xml"/>
  <Override PartName="/xl/worksheets/sheet82.xml" ContentType="application/vnd.openxmlformats-officedocument.spreadsheetml.worksheet+xml"/>
  <Override PartName="/xl/worksheets/sheet13.xml" ContentType="application/vnd.openxmlformats-officedocument.spreadsheetml.worksheet+xml"/>
  <Override PartName="/xl/worksheets/sheet42.xml" ContentType="application/vnd.openxmlformats-officedocument.spreadsheetml.worksheet+xml"/>
  <Override PartName="/xl/worksheets/sheet60.xml" ContentType="application/vnd.openxmlformats-officedocument.spreadsheetml.worksheet+xml"/>
  <Override PartName="/xl/styles.xml" ContentType="application/vnd.openxmlformats-officedocument.spreadsheetml.styles+xml"/>
  <Override PartName="/xl/comments8.xml" ContentType="application/vnd.openxmlformats-officedocument.spreadsheetml.comments+xml"/>
  <Override PartName="/xl/worksheets/sheet7.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worksheets/sheet139.xml" ContentType="application/vnd.openxmlformats-officedocument.spreadsheetml.worksheet+xml"/>
  <Default Extension="xml" ContentType="application/xml"/>
  <Override PartName="/xl/worksheets/sheet128.xml" ContentType="application/vnd.openxmlformats-officedocument.spreadsheetml.worksheet+xml"/>
  <Override PartName="/xl/comments4.xml" ContentType="application/vnd.openxmlformats-officedocument.spreadsheetml.comments+xml"/>
  <Override PartName="/xl/worksheets/sheet3.xml" ContentType="application/vnd.openxmlformats-officedocument.spreadsheetml.worksheet+xml"/>
  <Override PartName="/xl/worksheets/sheet98.xml" ContentType="application/vnd.openxmlformats-officedocument.spreadsheetml.worksheet+xml"/>
  <Override PartName="/xl/worksheets/sheet117.xml" ContentType="application/vnd.openxmlformats-officedocument.spreadsheetml.worksheet+xml"/>
  <Override PartName="/xl/worksheets/sheet135.xml" ContentType="application/vnd.openxmlformats-officedocument.spreadsheetml.worksheet+xml"/>
  <Override PartName="/xl/worksheets/sheet146.xml" ContentType="application/vnd.openxmlformats-officedocument.spreadsheetml.worksheet+xml"/>
  <Override PartName="/xl/worksheets/sheet69.xml" ContentType="application/vnd.openxmlformats-officedocument.spreadsheetml.worksheet+xml"/>
  <Override PartName="/xl/worksheets/sheet87.xml" ContentType="application/vnd.openxmlformats-officedocument.spreadsheetml.worksheet+xml"/>
  <Override PartName="/xl/worksheets/sheet106.xml" ContentType="application/vnd.openxmlformats-officedocument.spreadsheetml.worksheet+xml"/>
  <Override PartName="/xl/worksheets/sheet124.xml" ContentType="application/vnd.openxmlformats-officedocument.spreadsheetml.worksheet+xml"/>
  <Override PartName="/xl/externalLinks/externalLink1.xml" ContentType="application/vnd.openxmlformats-officedocument.spreadsheetml.externalLink+xml"/>
  <Override PartName="/xl/comments14.xml" ContentType="application/vnd.openxmlformats-officedocument.spreadsheetml.comments+xml"/>
  <Override PartName="/xl/worksheets/sheet29.xml" ContentType="application/vnd.openxmlformats-officedocument.spreadsheetml.worksheet+xml"/>
  <Override PartName="/xl/worksheets/sheet47.xml" ContentType="application/vnd.openxmlformats-officedocument.spreadsheetml.worksheet+xml"/>
  <Override PartName="/xl/worksheets/sheet58.xml" ContentType="application/vnd.openxmlformats-officedocument.spreadsheetml.worksheet+xml"/>
  <Override PartName="/xl/worksheets/sheet76.xml" ContentType="application/vnd.openxmlformats-officedocument.spreadsheetml.worksheet+xml"/>
  <Override PartName="/xl/worksheets/sheet94.xml" ContentType="application/vnd.openxmlformats-officedocument.spreadsheetml.worksheet+xml"/>
  <Override PartName="/xl/worksheets/sheet113.xml" ContentType="application/vnd.openxmlformats-officedocument.spreadsheetml.worksheet+xml"/>
  <Override PartName="/xl/worksheets/sheet131.xml" ContentType="application/vnd.openxmlformats-officedocument.spreadsheetml.worksheet+xml"/>
  <Override PartName="/xl/worksheets/sheet142.xml" ContentType="application/vnd.openxmlformats-officedocument.spreadsheetml.worksheet+xml"/>
  <Override PartName="/xl/sharedStrings.xml" ContentType="application/vnd.openxmlformats-officedocument.spreadsheetml.sharedStrings+xml"/>
  <Override PartName="/xl/worksheets/sheet18.xml" ContentType="application/vnd.openxmlformats-officedocument.spreadsheetml.worksheet+xml"/>
  <Override PartName="/xl/worksheets/sheet36.xml" ContentType="application/vnd.openxmlformats-officedocument.spreadsheetml.worksheet+xml"/>
  <Override PartName="/xl/worksheets/sheet54.xml" ContentType="application/vnd.openxmlformats-officedocument.spreadsheetml.worksheet+xml"/>
  <Override PartName="/xl/worksheets/sheet65.xml" ContentType="application/vnd.openxmlformats-officedocument.spreadsheetml.worksheet+xml"/>
  <Override PartName="/xl/worksheets/sheet83.xml" ContentType="application/vnd.openxmlformats-officedocument.spreadsheetml.worksheet+xml"/>
  <Override PartName="/xl/worksheets/sheet102.xml" ContentType="application/vnd.openxmlformats-officedocument.spreadsheetml.worksheet+xml"/>
  <Override PartName="/xl/worksheets/sheet120.xml" ContentType="application/vnd.openxmlformats-officedocument.spreadsheetml.worksheet+xml"/>
  <Override PartName="/xl/comments10.xml" ContentType="application/vnd.openxmlformats-officedocument.spreadsheetml.comments+xml"/>
  <Override PartName="/xl/worksheets/sheet25.xml" ContentType="application/vnd.openxmlformats-officedocument.spreadsheetml.worksheet+xml"/>
  <Override PartName="/xl/worksheets/sheet43.xml" ContentType="application/vnd.openxmlformats-officedocument.spreadsheetml.worksheet+xml"/>
  <Override PartName="/xl/worksheets/sheet72.xml" ContentType="application/vnd.openxmlformats-officedocument.spreadsheetml.worksheet+xml"/>
  <Override PartName="/xl/worksheets/sheet90.xml" ContentType="application/vnd.openxmlformats-officedocument.spreadsheetml.worksheet+xml"/>
  <Default Extension="bin" ContentType="application/vnd.openxmlformats-officedocument.spreadsheetml.printerSettings"/>
  <Override PartName="/xl/worksheets/sheet14.xml" ContentType="application/vnd.openxmlformats-officedocument.spreadsheetml.worksheet+xml"/>
  <Override PartName="/xl/worksheets/sheet32.xml" ContentType="application/vnd.openxmlformats-officedocument.spreadsheetml.worksheet+xml"/>
  <Override PartName="/xl/worksheets/sheet50.xml" ContentType="application/vnd.openxmlformats-officedocument.spreadsheetml.worksheet+xml"/>
  <Override PartName="/xl/worksheets/sheet61.xml" ContentType="application/vnd.openxmlformats-officedocument.spreadsheetml.worksheet+xml"/>
  <Override PartName="/xl/comments9.xml" ContentType="application/vnd.openxmlformats-officedocument.spreadsheetml.comments+xml"/>
  <Override PartName="/xl/worksheets/sheet8.xml" ContentType="application/vnd.openxmlformats-officedocument.spreadsheetml.worksheet+xml"/>
  <Override PartName="/xl/worksheets/sheet21.xml" ContentType="application/vnd.openxmlformats-officedocument.spreadsheetml.worksheet+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worksheets/sheet129.xml" ContentType="application/vnd.openxmlformats-officedocument.spreadsheetml.worksheet+xml"/>
  <Override PartName="/xl/worksheets/sheet147.xml" ContentType="application/vnd.openxmlformats-officedocument.spreadsheetml.worksheet+xml"/>
  <Override PartName="/xl/comments5.xml" ContentType="application/vnd.openxmlformats-officedocument.spreadsheetml.comments+xml"/>
  <Override PartName="/docProps/app.xml" ContentType="application/vnd.openxmlformats-officedocument.extended-properties+xml"/>
  <Override PartName="/xl/worksheets/sheet99.xml" ContentType="application/vnd.openxmlformats-officedocument.spreadsheetml.worksheet+xml"/>
  <Override PartName="/xl/worksheets/sheet107.xml" ContentType="application/vnd.openxmlformats-officedocument.spreadsheetml.worksheet+xml"/>
  <Override PartName="/xl/worksheets/sheet118.xml" ContentType="application/vnd.openxmlformats-officedocument.spreadsheetml.worksheet+xml"/>
  <Override PartName="/xl/worksheets/sheet136.xml" ContentType="application/vnd.openxmlformats-officedocument.spreadsheetml.worksheet+xml"/>
  <Override PartName="/xl/externalLinks/externalLink2.xml" ContentType="application/vnd.openxmlformats-officedocument.spreadsheetml.externalLink+xml"/>
  <Override PartName="/xl/worksheets/sheet59.xml" ContentType="application/vnd.openxmlformats-officedocument.spreadsheetml.worksheet+xml"/>
  <Override PartName="/xl/worksheets/sheet77.xml" ContentType="application/vnd.openxmlformats-officedocument.spreadsheetml.worksheet+xml"/>
  <Override PartName="/xl/worksheets/sheet88.xml" ContentType="application/vnd.openxmlformats-officedocument.spreadsheetml.worksheet+xml"/>
  <Override PartName="/xl/worksheets/sheet114.xml" ContentType="application/vnd.openxmlformats-officedocument.spreadsheetml.worksheet+xml"/>
  <Override PartName="/xl/worksheets/sheet125.xml" ContentType="application/vnd.openxmlformats-officedocument.spreadsheetml.worksheet+xml"/>
  <Override PartName="/xl/worksheets/sheet143.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omments15.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39.xml" ContentType="application/vnd.openxmlformats-officedocument.spreadsheetml.worksheet+xml"/>
  <Override PartName="/xl/worksheets/sheet48.xml" ContentType="application/vnd.openxmlformats-officedocument.spreadsheetml.worksheet+xml"/>
  <Override PartName="/xl/worksheets/sheet57.xml" ContentType="application/vnd.openxmlformats-officedocument.spreadsheetml.worksheet+xml"/>
  <Override PartName="/xl/worksheets/sheet66.xml" ContentType="application/vnd.openxmlformats-officedocument.spreadsheetml.worksheet+xml"/>
  <Override PartName="/xl/worksheets/sheet75.xml" ContentType="application/vnd.openxmlformats-officedocument.spreadsheetml.worksheet+xml"/>
  <Override PartName="/xl/worksheets/sheet86.xml" ContentType="application/vnd.openxmlformats-officedocument.spreadsheetml.worksheet+xml"/>
  <Override PartName="/xl/worksheets/sheet95.xml" ContentType="application/vnd.openxmlformats-officedocument.spreadsheetml.worksheet+xml"/>
  <Override PartName="/xl/worksheets/sheet103.xml" ContentType="application/vnd.openxmlformats-officedocument.spreadsheetml.worksheet+xml"/>
  <Override PartName="/xl/worksheets/sheet112.xml" ContentType="application/vnd.openxmlformats-officedocument.spreadsheetml.worksheet+xml"/>
  <Override PartName="/xl/worksheets/sheet123.xml" ContentType="application/vnd.openxmlformats-officedocument.spreadsheetml.worksheet+xml"/>
  <Override PartName="/xl/worksheets/sheet132.xml" ContentType="application/vnd.openxmlformats-officedocument.spreadsheetml.worksheet+xml"/>
  <Override PartName="/xl/worksheets/sheet141.xml" ContentType="application/vnd.openxmlformats-officedocument.spreadsheetml.worksheet+xml"/>
  <Override PartName="/xl/comments13.xml" ContentType="application/vnd.openxmlformats-officedocument.spreadsheetml.comments+xml"/>
  <Override PartName="/xl/worksheets/sheet17.xml" ContentType="application/vnd.openxmlformats-officedocument.spreadsheetml.worksheet+xml"/>
  <Override PartName="/xl/worksheets/sheet26.xml" ContentType="application/vnd.openxmlformats-officedocument.spreadsheetml.worksheet+xml"/>
  <Override PartName="/xl/worksheets/sheet37.xml" ContentType="application/vnd.openxmlformats-officedocument.spreadsheetml.worksheet+xml"/>
  <Override PartName="/xl/worksheets/sheet46.xml" ContentType="application/vnd.openxmlformats-officedocument.spreadsheetml.worksheet+xml"/>
  <Override PartName="/xl/worksheets/sheet55.xml" ContentType="application/vnd.openxmlformats-officedocument.spreadsheetml.worksheet+xml"/>
  <Override PartName="/xl/worksheets/sheet64.xml" ContentType="application/vnd.openxmlformats-officedocument.spreadsheetml.worksheet+xml"/>
  <Override PartName="/xl/worksheets/sheet73.xml" ContentType="application/vnd.openxmlformats-officedocument.spreadsheetml.worksheet+xml"/>
  <Override PartName="/xl/worksheets/sheet84.xml" ContentType="application/vnd.openxmlformats-officedocument.spreadsheetml.worksheet+xml"/>
  <Override PartName="/xl/worksheets/sheet93.xml" ContentType="application/vnd.openxmlformats-officedocument.spreadsheetml.worksheet+xml"/>
  <Override PartName="/xl/worksheets/sheet101.xml" ContentType="application/vnd.openxmlformats-officedocument.spreadsheetml.worksheet+xml"/>
  <Override PartName="/xl/worksheets/sheet110.xml" ContentType="application/vnd.openxmlformats-officedocument.spreadsheetml.worksheet+xml"/>
  <Override PartName="/xl/worksheets/sheet121.xml" ContentType="application/vnd.openxmlformats-officedocument.spreadsheetml.worksheet+xml"/>
  <Override PartName="/xl/worksheets/sheet130.xml" ContentType="application/vnd.openxmlformats-officedocument.spreadsheetml.worksheet+xml"/>
  <Override PartName="/xl/comments11.xml" ContentType="application/vnd.openxmlformats-officedocument.spreadsheetml.comments+xml"/>
  <Override PartName="/docProps/core.xml" ContentType="application/vnd.openxmlformats-package.core-properties+xml"/>
  <Override PartName="/xl/worksheets/sheet15.xml" ContentType="application/vnd.openxmlformats-officedocument.spreadsheetml.worksheet+xml"/>
  <Override PartName="/xl/worksheets/sheet44.xml" ContentType="application/vnd.openxmlformats-officedocument.spreadsheetml.worksheet+xml"/>
  <Override PartName="/xl/worksheets/sheet62.xml" ContentType="application/vnd.openxmlformats-officedocument.spreadsheetml.worksheet+xml"/>
  <Override PartName="/xl/worksheets/sheet91.xml" ContentType="application/vnd.openxmlformats-officedocument.spreadsheetml.worksheet+xml"/>
  <Override PartName="/xl/worksheets/sheet9.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51.xml" ContentType="application/vnd.openxmlformats-officedocument.spreadsheetml.worksheet+xml"/>
  <Override PartName="/xl/worksheets/sheet80.xml" ContentType="application/vnd.openxmlformats-officedocument.spreadsheetml.worksheet+xml"/>
  <Override PartName="/xl/theme/theme1.xml" ContentType="application/vnd.openxmlformats-officedocument.theme+xml"/>
  <Override PartName="/xl/worksheets/sheet11.xml" ContentType="application/vnd.openxmlformats-officedocument.spreadsheetml.worksheet+xml"/>
  <Override PartName="/xl/worksheets/sheet40.xml" ContentType="application/vnd.openxmlformats-officedocument.spreadsheetml.worksheet+xml"/>
  <Override PartName="/xl/comments6.xml" ContentType="application/vnd.openxmlformats-officedocument.spreadsheetml.comments+xml"/>
  <Default Extension="rels" ContentType="application/vnd.openxmlformats-package.relationships+xml"/>
  <Override PartName="/xl/worksheets/sheet5.xml" ContentType="application/vnd.openxmlformats-officedocument.spreadsheetml.worksheet+xml"/>
  <Override PartName="/xl/worksheets/sheet119.xml" ContentType="application/vnd.openxmlformats-officedocument.spreadsheetml.worksheet+xml"/>
  <Override PartName="/xl/worksheets/sheet137.xml" ContentType="application/vnd.openxmlformats-officedocument.spreadsheetml.worksheet+xml"/>
  <Override PartName="/xl/worksheets/sheet148.xml" ContentType="application/vnd.openxmlformats-officedocument.spreadsheetml.worksheet+xml"/>
  <Override PartName="/xl/worksheets/sheet89.xml" ContentType="application/vnd.openxmlformats-officedocument.spreadsheetml.worksheet+xml"/>
  <Override PartName="/xl/worksheets/sheet108.xml" ContentType="application/vnd.openxmlformats-officedocument.spreadsheetml.worksheet+xml"/>
  <Override PartName="/xl/worksheets/sheet126.xml" ContentType="application/vnd.openxmlformats-officedocument.spreadsheetml.worksheet+xml"/>
  <Override PartName="/xl/comments2.xml" ContentType="application/vnd.openxmlformats-officedocument.spreadsheetml.comments+xml"/>
  <Override PartName="/xl/worksheets/sheet1.xml" ContentType="application/vnd.openxmlformats-officedocument.spreadsheetml.worksheet+xml"/>
  <Override PartName="/xl/worksheets/sheet49.xml" ContentType="application/vnd.openxmlformats-officedocument.spreadsheetml.worksheet+xml"/>
  <Override PartName="/xl/worksheets/sheet78.xml" ContentType="application/vnd.openxmlformats-officedocument.spreadsheetml.worksheet+xml"/>
  <Override PartName="/xl/worksheets/sheet96.xml" ContentType="application/vnd.openxmlformats-officedocument.spreadsheetml.worksheet+xml"/>
  <Override PartName="/xl/worksheets/sheet115.xml" ContentType="application/vnd.openxmlformats-officedocument.spreadsheetml.worksheet+xml"/>
  <Override PartName="/xl/worksheets/sheet133.xml" ContentType="application/vnd.openxmlformats-officedocument.spreadsheetml.worksheet+xml"/>
  <Override PartName="/xl/worksheets/sheet144.xml" ContentType="application/vnd.openxmlformats-officedocument.spreadsheetml.worksheet+xml"/>
  <Override PartName="/xl/worksheets/sheet38.xml" ContentType="application/vnd.openxmlformats-officedocument.spreadsheetml.worksheet+xml"/>
  <Override PartName="/xl/worksheets/sheet67.xml" ContentType="application/vnd.openxmlformats-officedocument.spreadsheetml.worksheet+xml"/>
  <Override PartName="/xl/worksheets/sheet85.xml" ContentType="application/vnd.openxmlformats-officedocument.spreadsheetml.worksheet+xml"/>
  <Override PartName="/xl/worksheets/sheet104.xml" ContentType="application/vnd.openxmlformats-officedocument.spreadsheetml.worksheet+xml"/>
  <Override PartName="/xl/worksheets/sheet122.xml" ContentType="application/vnd.openxmlformats-officedocument.spreadsheetml.worksheet+xml"/>
  <Override PartName="/xl/comments12.xml" ContentType="application/vnd.openxmlformats-officedocument.spreadsheetml.comments+xml"/>
  <Override PartName="/xl/worksheets/sheet27.xml" ContentType="application/vnd.openxmlformats-officedocument.spreadsheetml.worksheet+xml"/>
  <Override PartName="/xl/worksheets/sheet45.xml" ContentType="application/vnd.openxmlformats-officedocument.spreadsheetml.worksheet+xml"/>
  <Override PartName="/xl/worksheets/sheet56.xml" ContentType="application/vnd.openxmlformats-officedocument.spreadsheetml.worksheet+xml"/>
  <Override PartName="/xl/worksheets/sheet74.xml" ContentType="application/vnd.openxmlformats-officedocument.spreadsheetml.worksheet+xml"/>
  <Override PartName="/xl/worksheets/sheet92.xml" ContentType="application/vnd.openxmlformats-officedocument.spreadsheetml.worksheet+xml"/>
  <Override PartName="/xl/worksheets/sheet111.xml" ContentType="application/vnd.openxmlformats-officedocument.spreadsheetml.worksheet+xml"/>
  <Override PartName="/xl/worksheets/sheet140.xml" ContentType="application/vnd.openxmlformats-officedocument.spreadsheetml.worksheet+xml"/>
  <Override PartName="/xl/worksheets/sheet16.xml" ContentType="application/vnd.openxmlformats-officedocument.spreadsheetml.worksheet+xml"/>
  <Override PartName="/xl/worksheets/sheet34.xml" ContentType="application/vnd.openxmlformats-officedocument.spreadsheetml.worksheet+xml"/>
  <Override PartName="/xl/worksheets/sheet52.xml" ContentType="application/vnd.openxmlformats-officedocument.spreadsheetml.worksheet+xml"/>
  <Override PartName="/xl/worksheets/sheet63.xml" ContentType="application/vnd.openxmlformats-officedocument.spreadsheetml.worksheet+xml"/>
  <Override PartName="/xl/worksheets/sheet81.xml" ContentType="application/vnd.openxmlformats-officedocument.spreadsheetml.worksheet+xml"/>
  <Override PartName="/xl/worksheets/sheet100.xml" ContentType="application/vnd.openxmlformats-officedocument.spreadsheetml.worksheet+xml"/>
  <Override PartName="/xl/worksheets/sheet23.xml" ContentType="application/vnd.openxmlformats-officedocument.spreadsheetml.worksheet+xml"/>
  <Override PartName="/xl/worksheets/sheet41.xml" ContentType="application/vnd.openxmlformats-officedocument.spreadsheetml.worksheet+xml"/>
  <Override PartName="/xl/worksheets/sheet70.xml" ContentType="application/vnd.openxmlformats-officedocument.spreadsheetml.worksheet+xml"/>
  <Override PartName="/xl/worksheets/sheet6.xml" ContentType="application/vnd.openxmlformats-officedocument.spreadsheetml.worksheet+xml"/>
  <Override PartName="/xl/worksheets/sheet12.xml" ContentType="application/vnd.openxmlformats-officedocument.spreadsheetml.worksheet+xml"/>
  <Override PartName="/xl/worksheets/sheet30.xml" ContentType="application/vnd.openxmlformats-officedocument.spreadsheetml.worksheet+xml"/>
  <Override PartName="/xl/worksheets/sheet149.xml" ContentType="application/vnd.openxmlformats-officedocument.spreadsheetml.worksheet+xml"/>
  <Override PartName="/xl/comments7.xml" ContentType="application/vnd.openxmlformats-officedocument.spreadsheetml.comments+xml"/>
  <Override PartName="/xl/worksheets/sheet109.xml" ContentType="application/vnd.openxmlformats-officedocument.spreadsheetml.worksheet+xml"/>
  <Override PartName="/xl/worksheets/sheet138.xml" ContentType="application/vnd.openxmlformats-officedocument.spreadsheetml.worksheet+xml"/>
  <Override PartName="/xl/worksheets/sheet2.xml" ContentType="application/vnd.openxmlformats-officedocument.spreadsheetml.worksheet+xml"/>
  <Override PartName="/xl/worksheets/sheet116.xml" ContentType="application/vnd.openxmlformats-officedocument.spreadsheetml.worksheet+xml"/>
  <Override PartName="/xl/worksheets/sheet127.xml" ContentType="application/vnd.openxmlformats-officedocument.spreadsheetml.worksheet+xml"/>
  <Override PartName="/xl/worksheets/sheet145.xml" ContentType="application/vnd.openxmlformats-officedocument.spreadsheetml.worksheet+xml"/>
  <Override PartName="/xl/comments3.xml" ContentType="application/vnd.openxmlformats-officedocument.spreadsheetml.comments+xml"/>
  <Override PartName="/xl/worksheets/sheet68.xml" ContentType="application/vnd.openxmlformats-officedocument.spreadsheetml.worksheet+xml"/>
  <Override PartName="/xl/worksheets/sheet79.xml" ContentType="application/vnd.openxmlformats-officedocument.spreadsheetml.worksheet+xml"/>
  <Override PartName="/xl/worksheets/sheet97.xml" ContentType="application/vnd.openxmlformats-officedocument.spreadsheetml.worksheet+xml"/>
  <Override PartName="/xl/worksheets/sheet105.xml" ContentType="application/vnd.openxmlformats-officedocument.spreadsheetml.worksheet+xml"/>
  <Override PartName="/xl/worksheets/sheet134.xml" ContentType="application/vnd.openxmlformats-officedocument.spreadsheetml.worksheet+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codeName="ThisWorkbook" defaultThemeVersion="124226"/>
  <bookViews>
    <workbookView xWindow="-15" yWindow="-15" windowWidth="24585" windowHeight="11130" tabRatio="825" firstSheet="48" activeTab="83"/>
  </bookViews>
  <sheets>
    <sheet name="Footnotes (YTD)" sheetId="157" state="hidden" r:id="rId1"/>
    <sheet name="Form 3Q (Total)" sheetId="155" state="hidden" r:id="rId2"/>
    <sheet name="RWROWS2" sheetId="5" state="hidden" r:id="rId3"/>
    <sheet name="RWRACCTS2" sheetId="6" state="hidden" r:id="rId4"/>
    <sheet name="RWRCALCS2" sheetId="7" state="hidden" r:id="rId5"/>
    <sheet name="RWCOLUMNS2" sheetId="8" state="hidden" r:id="rId6"/>
    <sheet name="RWCACCTS2" sheetId="9" state="hidden" r:id="rId7"/>
    <sheet name="RWCCALCS2" sheetId="10" state="hidden" r:id="rId8"/>
    <sheet name="RWCEXCEPTIONS2" sheetId="11" state="hidden" r:id="rId9"/>
    <sheet name="RWCEXCEPTIONSDETAIL2" sheetId="12" state="hidden" r:id="rId10"/>
    <sheet name="RWROWORDERS2" sheetId="13" state="hidden" r:id="rId11"/>
    <sheet name="RWCONTENTS2" sheetId="14" state="hidden" r:id="rId12"/>
    <sheet name="RWDISPLAYROWS2" sheetId="15" state="hidden" r:id="rId13"/>
    <sheet name="RWDISPLAYCOLS2" sheetId="16" state="hidden" r:id="rId14"/>
    <sheet name="RWCONTROLVALUES2" sheetId="17" state="hidden" r:id="rId15"/>
    <sheet name="RWREPORT2" sheetId="18" state="hidden" r:id="rId16"/>
    <sheet name="CRITERIA2" sheetId="19" state="hidden" r:id="rId17"/>
    <sheet name="RWROWS3" sheetId="20" state="hidden" r:id="rId18"/>
    <sheet name="RWRACCTS3" sheetId="21" state="hidden" r:id="rId19"/>
    <sheet name="RWRCALCS3" sheetId="22" state="hidden" r:id="rId20"/>
    <sheet name="RWCOLUMNS3" sheetId="23" state="hidden" r:id="rId21"/>
    <sheet name="RWCACCTS3" sheetId="24" state="hidden" r:id="rId22"/>
    <sheet name="RWCCALCS3" sheetId="25" state="hidden" r:id="rId23"/>
    <sheet name="RWCEXCEPTIONS3" sheetId="26" state="hidden" r:id="rId24"/>
    <sheet name="RWCEXCEPTIONSDETAIL3" sheetId="27" state="hidden" r:id="rId25"/>
    <sheet name="RWROWORDERS3" sheetId="28" state="hidden" r:id="rId26"/>
    <sheet name="RWCONTENTS3" sheetId="29" state="hidden" r:id="rId27"/>
    <sheet name="RWDISPLAYROWS3" sheetId="30" state="hidden" r:id="rId28"/>
    <sheet name="RWDISPLAYCOLS3" sheetId="31" state="hidden" r:id="rId29"/>
    <sheet name="RWCONTROLVALUES3" sheetId="32" state="hidden" r:id="rId30"/>
    <sheet name="RWREPORT3" sheetId="33" state="hidden" r:id="rId31"/>
    <sheet name="CRITERIA3" sheetId="34" state="hidden" r:id="rId32"/>
    <sheet name="RWROWS1" sheetId="35" state="hidden" r:id="rId33"/>
    <sheet name="RWRACCTS1" sheetId="36" state="hidden" r:id="rId34"/>
    <sheet name="RWRCALCS1" sheetId="37" state="hidden" r:id="rId35"/>
    <sheet name="RWCOLUMNS1" sheetId="38" state="hidden" r:id="rId36"/>
    <sheet name="RWCACCTS1" sheetId="39" state="hidden" r:id="rId37"/>
    <sheet name="RWCCALCS1" sheetId="40" state="hidden" r:id="rId38"/>
    <sheet name="RWCEXCEPTIONS1" sheetId="41" state="hidden" r:id="rId39"/>
    <sheet name="RWCEXCEPTIONSDETAIL1" sheetId="42" state="hidden" r:id="rId40"/>
    <sheet name="RWROWORDERS1" sheetId="43" state="hidden" r:id="rId41"/>
    <sheet name="RWCONTENTS1" sheetId="44" state="hidden" r:id="rId42"/>
    <sheet name="RWDISPLAYROWS1" sheetId="45" state="hidden" r:id="rId43"/>
    <sheet name="RWDISPLAYCOLS1" sheetId="46" state="hidden" r:id="rId44"/>
    <sheet name="RWCONTROLVALUES1" sheetId="47" state="hidden" r:id="rId45"/>
    <sheet name="RWREPORT1" sheetId="48" state="hidden" r:id="rId46"/>
    <sheet name="CRITERIA1" sheetId="49" state="hidden" r:id="rId47"/>
    <sheet name="Form 3Q (PA)" sheetId="156" state="hidden" r:id="rId48"/>
    <sheet name="TABLE OF CONTENTS" sheetId="164" r:id="rId49"/>
    <sheet name="Summary - Cost - PG 1 (Tot)" sheetId="121" state="hidden" r:id="rId50"/>
    <sheet name="Summary - Reserve - PG 2 (Tot)" sheetId="122" state="hidden" r:id="rId51"/>
    <sheet name="RWIP BY ACCOUNT - PG 2A (Tot)" sheetId="123" state="hidden" r:id="rId52"/>
    <sheet name="Cash Flow Summary - PG 2B (Tot)" sheetId="154" state="hidden" r:id="rId53"/>
    <sheet name="Transfer Detail PG 3 (Tot)" sheetId="125" state="hidden" r:id="rId54"/>
    <sheet name="Land &amp; Vehicle Retire P3A (Tot)" sheetId="126" state="hidden" r:id="rId55"/>
    <sheet name="Recon Depr Exp to IS P4 (Tot)" sheetId="127" state="hidden" r:id="rId56"/>
    <sheet name="Total Comm PIS_NBV-P5 (Tot)" sheetId="128" state="hidden" r:id="rId57"/>
    <sheet name="Tot Com PIS_COST SPLITS P6(Tot)" sheetId="129" state="hidden" r:id="rId58"/>
    <sheet name="KY_Total Comm PIS_NBV-P7 (Tot)" sheetId="130" state="hidden" r:id="rId59"/>
    <sheet name="KY_Cost Plant Acct-Com-P8(Tot)" sheetId="131" state="hidden" r:id="rId60"/>
    <sheet name="IN_Total PIS_Comm_NBV-P9 (Tot)" sheetId="132" state="hidden" r:id="rId61"/>
    <sheet name="IN_Cost Plant Acct-Com-P10(Tot)" sheetId="133" state="hidden" r:id="rId62"/>
    <sheet name="Total Elec PIS_NBV-P11 (Tot)" sheetId="134" state="hidden" r:id="rId63"/>
    <sheet name="Tot Elec PIS COST SPLIT-P12(Tot" sheetId="135" state="hidden" r:id="rId64"/>
    <sheet name="KY_Total Elec PIS_NBV-P13 (Tot)" sheetId="136" state="hidden" r:id="rId65"/>
    <sheet name="KY_Cost Plant Acct-Elec-P14(Tot" sheetId="137" state="hidden" r:id="rId66"/>
    <sheet name="IN_Total PIS_Elec_NBV-P15 (Tot)" sheetId="138" state="hidden" r:id="rId67"/>
    <sheet name="IN_Cost Plant Acct-Elec-P16(Tot" sheetId="139" state="hidden" r:id="rId68"/>
    <sheet name="Total Gas PIS_NBV-P17 (Tot)" sheetId="140" state="hidden" r:id="rId69"/>
    <sheet name="Tot Gas PIS COST SPLIT-P18(Tot)" sheetId="141" state="hidden" r:id="rId70"/>
    <sheet name="KY_Total Gas PIS_NBV-P19 (Tot)" sheetId="142" state="hidden" r:id="rId71"/>
    <sheet name="KY_Cost Plant Acct-Gas-P20(Tot)" sheetId="143" state="hidden" r:id="rId72"/>
    <sheet name="IN_Total PIS_Gas_NBV-P21 (Tot)" sheetId="144" state="hidden" r:id="rId73"/>
    <sheet name="IN_Cost Plant Acct-Gas-P22(Tot)" sheetId="145" state="hidden" r:id="rId74"/>
    <sheet name="Gas Stored NonRecov-KY P23(Tot)" sheetId="146" state="hidden" r:id="rId75"/>
    <sheet name="Gas Stored NonRecov-IN P24(Tot)" sheetId="147" state="hidden" r:id="rId76"/>
    <sheet name="Capital Leased Prop P25 (Tot)" sheetId="148" state="hidden" r:id="rId77"/>
    <sheet name="Plant Held Future Use P26 (Tot)" sheetId="149" state="hidden" r:id="rId78"/>
    <sheet name="Non Utility Property P27 (Tot)" sheetId="150" state="hidden" r:id="rId79"/>
    <sheet name="Plant Purch &amp; Sold P28 (Tot)" sheetId="151" state="hidden" r:id="rId80"/>
    <sheet name="KY_Res by Plant Acct-P29 (Tot)" sheetId="152" state="hidden" r:id="rId81"/>
    <sheet name="IN_Res by Plant Acct-P30 (Tot)" sheetId="153" state="hidden" r:id="rId82"/>
    <sheet name="Summary - Cost - PG 1 (Fin)" sheetId="51" r:id="rId83"/>
    <sheet name="Summary - Reserve - PG 2 (Fin)" sheetId="52" r:id="rId84"/>
    <sheet name="RWIP BY ACCOUNT - PG 2A (Fin)" sheetId="84" r:id="rId85"/>
    <sheet name="Cash Flow Summary - PG 2B (Fin)" sheetId="86" state="hidden" r:id="rId86"/>
    <sheet name="Transfer Detail PG 3 (Fin)" sheetId="53" r:id="rId87"/>
    <sheet name="Land &amp; Vehicle Retire P3A(Fin)" sheetId="82" r:id="rId88"/>
    <sheet name="CWIP Spend by Project P3B (FIN)" sheetId="162" r:id="rId89"/>
    <sheet name="Recon Depr Exp to IS P4 (Fin)" sheetId="55" r:id="rId90"/>
    <sheet name="Total Comm PIS_NBV-P5 (Fin)" sheetId="56" r:id="rId91"/>
    <sheet name="Tot Com PIS_COST SPLIT-P6(Fin)" sheetId="57" r:id="rId92"/>
    <sheet name="KY_Total Comm PIS_NBV-P7 (Fin)" sheetId="58" r:id="rId93"/>
    <sheet name="KY_Cost Plant Acct-Comm-P8(Fin)" sheetId="59" r:id="rId94"/>
    <sheet name="IN_Total PIS_Comm_NBV-P9 (Fin)" sheetId="60" r:id="rId95"/>
    <sheet name="IN_Cost Plant Acct-Com-P10(Fin)" sheetId="61" r:id="rId96"/>
    <sheet name="Total Elec PIS_NBV-P11 (Fin)" sheetId="62" r:id="rId97"/>
    <sheet name="Tot Elec PIS Cost Split-P12(Fin" sheetId="63" r:id="rId98"/>
    <sheet name="KY_Total Elec PIS_NBV-P13 (Fin)" sheetId="64" r:id="rId99"/>
    <sheet name="KY_Cost Plant Acct-Elec-P14(Fin" sheetId="65" r:id="rId100"/>
    <sheet name="IN_Total PIS_Elec_NBV-P15 (Fin)" sheetId="66" r:id="rId101"/>
    <sheet name="IN_Cost Plant Acct-Elec-P16(Fin" sheetId="67" r:id="rId102"/>
    <sheet name="Total Gas PIS_NBV-P17 (Fin)" sheetId="68" r:id="rId103"/>
    <sheet name="Tot Gas PIS COST SPLIT-P18(Fin)" sheetId="69" r:id="rId104"/>
    <sheet name="KY_Total Gas PIS_NBV-P19(Fin)" sheetId="70" r:id="rId105"/>
    <sheet name="KY_Cost Plant Acct-Gas-P20(Fin)" sheetId="71" r:id="rId106"/>
    <sheet name="IN_Total PIS_Gas_NBV-P21(Fin)" sheetId="72" r:id="rId107"/>
    <sheet name="IN_Cost Plant Acct-Gas-P22(Fin)" sheetId="73" r:id="rId108"/>
    <sheet name="Gas Stored NonRecov-KY P23(Fin)" sheetId="74" r:id="rId109"/>
    <sheet name="Gas Stored NonRecov-IN P24(Fin)" sheetId="75" r:id="rId110"/>
    <sheet name="Capital Leased Prop P25 (Fin)" sheetId="76" r:id="rId111"/>
    <sheet name="Plant Held Future Use P26 (Fin)" sheetId="77" r:id="rId112"/>
    <sheet name="Non Utility Property P27 (Fin)" sheetId="78" r:id="rId113"/>
    <sheet name="Plant Purch &amp; Sold P28 (Fin)" sheetId="81" r:id="rId114"/>
    <sheet name="KY_Res by Plant Acct-P29 (Fin)" sheetId="79" r:id="rId115"/>
    <sheet name="IN_Res by Plant Acct-P30 (Fin)" sheetId="80" r:id="rId116"/>
    <sheet name="Summary - Cost - PG 1 (PA)" sheetId="88" r:id="rId117"/>
    <sheet name="Summary - Reserve - PG 2 (PA)" sheetId="89" r:id="rId118"/>
    <sheet name="RWIP BY ACCOUNT - PG 2A (PA)" sheetId="90" state="hidden" r:id="rId119"/>
    <sheet name="Cash Flow Summary - P2B (P)" sheetId="91" state="hidden" r:id="rId120"/>
    <sheet name="Transfer Detail PG 3 (PA)" sheetId="92" r:id="rId121"/>
    <sheet name="Land &amp; Vehicle Retire P4 (PA)" sheetId="93" state="hidden" r:id="rId122"/>
    <sheet name="Recon Depr Exp to IS P4 (PA)" sheetId="94" r:id="rId123"/>
    <sheet name="Total Comm PIS_NBV-P5 (PA)" sheetId="95" r:id="rId124"/>
    <sheet name="Tot Com PIS_COST SPLITS-P6 (PA)" sheetId="96" r:id="rId125"/>
    <sheet name="KY_Total Comm PIS_NBV-P7 (PA)" sheetId="97" r:id="rId126"/>
    <sheet name="KY_Cost-Plant Acct-Comm-P8(PA)" sheetId="98" r:id="rId127"/>
    <sheet name="IN_Total PIS_Comm_NBV-P9 (PA)" sheetId="99" r:id="rId128"/>
    <sheet name="IN_Cost-Plant Acct-Com-P10 (PA)" sheetId="100" r:id="rId129"/>
    <sheet name="Total Elec PIS_NBV-P11 (PA)" sheetId="101" r:id="rId130"/>
    <sheet name="Tot Elec PIS COST SPLIT-P12(PA)" sheetId="102" r:id="rId131"/>
    <sheet name="KY_Total Elec PIS_NBV-P13 (PA)" sheetId="103" r:id="rId132"/>
    <sheet name="KY_Cost-Plant Acct-Elec-P14(PA)" sheetId="104" r:id="rId133"/>
    <sheet name="IN_Total PIS_Elec_NBV-P15 (PA)" sheetId="105" r:id="rId134"/>
    <sheet name="IN_Cost-Plant Acct-Elec-P16(PA)" sheetId="106" r:id="rId135"/>
    <sheet name="Total Gas PIS_NBV-P17 (PA)" sheetId="107" r:id="rId136"/>
    <sheet name="Tot Gas PIS COST SPLIT-P18(PA)" sheetId="108" r:id="rId137"/>
    <sheet name="KY_Total Gas PIS_NBV-P19 (PA)" sheetId="109" r:id="rId138"/>
    <sheet name="KY_Cost-Plant Acct-Gas-P20 (PA)" sheetId="110" r:id="rId139"/>
    <sheet name="IN_Total PIS_Gas_NBV-P21 (PA)" sheetId="111" r:id="rId140"/>
    <sheet name="IN_Cost-Plant Acct-Gas-P22 (PA)" sheetId="112" r:id="rId141"/>
    <sheet name="Gas Stored NonRecov-KY P23 (PA)" sheetId="113" state="hidden" r:id="rId142"/>
    <sheet name="Gas Stored NonRecov-IN P24 (PA)" sheetId="114" state="hidden" r:id="rId143"/>
    <sheet name="Capital Leased Prop P25 (PA)" sheetId="115" state="hidden" r:id="rId144"/>
    <sheet name="Plant Held Future Use P26 (PA)" sheetId="116" r:id="rId145"/>
    <sheet name="Non Utility Property P27 (PA)" sheetId="117" r:id="rId146"/>
    <sheet name="Plant Purch &amp; Sold P28 (PA)" sheetId="118" state="hidden" r:id="rId147"/>
    <sheet name="KY_Res by Plant Acct-P29 (PA)" sheetId="119" r:id="rId148"/>
    <sheet name="IN_Res by Plant Acct-P30 (PA)" sheetId="120" r:id="rId149"/>
  </sheets>
  <externalReferences>
    <externalReference r:id="rId150"/>
    <externalReference r:id="rId151"/>
  </externalReferences>
  <definedNames>
    <definedName name="_xlnm._FilterDatabase" localSheetId="88" hidden="1">'CWIP Spend by Project P3B (FIN)'!$A$5:$Q$401</definedName>
    <definedName name="AccountedPeriodType1">CRITERIA1!$B$5</definedName>
    <definedName name="AccountedPeriodType2">CRITERIA2!$B$5</definedName>
    <definedName name="AccountedPeriodType3">CRITERIA3!$B$5</definedName>
    <definedName name="AppsUsername1">CRITERIA1!$B$14</definedName>
    <definedName name="AppsUsername2">CRITERIA2!$B$14</definedName>
    <definedName name="AppsUsername3">CRITERIA3!$B$14</definedName>
    <definedName name="ChartOfAccountsID1">CRITERIA1!$B$3</definedName>
    <definedName name="ChartOfAccountsID2">CRITERIA2!$B$3</definedName>
    <definedName name="ChartOfAccountsID3">CRITERIA3!$B$3</definedName>
    <definedName name="ColumnAttributes1" localSheetId="52">#REF!</definedName>
    <definedName name="ColumnAttributes1" localSheetId="88">#REF!</definedName>
    <definedName name="ColumnAttributes1" localSheetId="47">#REF!</definedName>
    <definedName name="ColumnAttributes1" localSheetId="1">#REF!</definedName>
    <definedName name="ColumnAttributes1">#REF!</definedName>
    <definedName name="ColumnAttributes2" localSheetId="52">#REF!</definedName>
    <definedName name="ColumnAttributes2" localSheetId="88">#REF!</definedName>
    <definedName name="ColumnAttributes2" localSheetId="47">#REF!</definedName>
    <definedName name="ColumnAttributes2" localSheetId="1">#REF!</definedName>
    <definedName name="ColumnAttributes2">#REF!</definedName>
    <definedName name="ColumnAttributes3" localSheetId="52">#REF!</definedName>
    <definedName name="ColumnAttributes3" localSheetId="88">#REF!</definedName>
    <definedName name="ColumnAttributes3" localSheetId="47">#REF!</definedName>
    <definedName name="ColumnAttributes3" localSheetId="1">#REF!</definedName>
    <definedName name="ColumnAttributes3">#REF!</definedName>
    <definedName name="ColumnHeadings1" localSheetId="52">#REF!</definedName>
    <definedName name="ColumnHeadings1" localSheetId="88">#REF!</definedName>
    <definedName name="ColumnHeadings1" localSheetId="47">#REF!</definedName>
    <definedName name="ColumnHeadings1" localSheetId="1">#REF!</definedName>
    <definedName name="ColumnHeadings1">#REF!</definedName>
    <definedName name="ColumnHeadings2" localSheetId="52">#REF!</definedName>
    <definedName name="ColumnHeadings2" localSheetId="88">#REF!</definedName>
    <definedName name="ColumnHeadings2" localSheetId="47">#REF!</definedName>
    <definedName name="ColumnHeadings2" localSheetId="1">#REF!</definedName>
    <definedName name="ColumnHeadings2">#REF!</definedName>
    <definedName name="ColumnHeadings3" localSheetId="52">#REF!</definedName>
    <definedName name="ColumnHeadings3" localSheetId="88">#REF!</definedName>
    <definedName name="ColumnHeadings3" localSheetId="47">#REF!</definedName>
    <definedName name="ColumnHeadings3" localSheetId="1">#REF!</definedName>
    <definedName name="ColumnHeadings3">#REF!</definedName>
    <definedName name="ConnectString1">CRITERIA1!$B$10</definedName>
    <definedName name="ConnectString2">CRITERIA2!$B$10</definedName>
    <definedName name="ConnectString3">CRITERIA3!$B$10</definedName>
    <definedName name="DBDECIMALPOINT1">CRITERIA1!$B$24</definedName>
    <definedName name="DBDECIMALPOINT2">CRITERIA2!$B$24</definedName>
    <definedName name="DBDECIMALPOINT3">CRITERIA3!$B$24</definedName>
    <definedName name="DBName1">CRITERIA1!$B$11</definedName>
    <definedName name="DBName2">CRITERIA2!$B$11</definedName>
    <definedName name="DBName3">CRITERIA3!$B$11</definedName>
    <definedName name="DBTHOUSANDSSEPARATOR1">CRITERIA1!$B$23</definedName>
    <definedName name="DBTHOUSANDSSEPARATOR2">CRITERIA2!$B$23</definedName>
    <definedName name="DBTHOUSANDSSEPARATOR3">CRITERIA3!$B$23</definedName>
    <definedName name="DBUsername1">CRITERIA1!$B$9</definedName>
    <definedName name="DBUsername2">CRITERIA2!$B$9</definedName>
    <definedName name="DBUsername3">CRITERIA3!$B$9</definedName>
    <definedName name="DEFAULTACTIVITY1">CRITERIA1!$B$22</definedName>
    <definedName name="DEFAULTACTIVITY2">CRITERIA2!$B$22</definedName>
    <definedName name="DEFAULTACTIVITY3">CRITERIA3!$B$22</definedName>
    <definedName name="DolUnitFactor">[1]ListsValues!$M$29</definedName>
    <definedName name="DolUnitList">[1]ListsValues!$C$32:$C$34</definedName>
    <definedName name="ElecUnitFactor">[1]ListsValues!$M$37</definedName>
    <definedName name="ElecUnitList">[1]ListsValues!$C$40:$C$41</definedName>
    <definedName name="FFAbove1_1">CRITERIA1!$H$1</definedName>
    <definedName name="FFAbove1_2">CRITERIA2!$H$1</definedName>
    <definedName name="FFAbove1_3">CRITERIA3!$H$1</definedName>
    <definedName name="FFAbove2_1">CRITERIA1!$H$2</definedName>
    <definedName name="FFAbove2_2">CRITERIA2!$H$2</definedName>
    <definedName name="FFAbove2_3">CRITERIA3!$H$2</definedName>
    <definedName name="FFAbove3_1">CRITERIA1!$H$3</definedName>
    <definedName name="FFAbove3_2">CRITERIA2!$H$3</definedName>
    <definedName name="FFAbove3_3">CRITERIA3!$H$3</definedName>
    <definedName name="FFAbove4_1">CRITERIA1!$H$4</definedName>
    <definedName name="FFAbove4_2">CRITERIA2!$H$4</definedName>
    <definedName name="FFAbove4_3">CRITERIA3!$H$4</definedName>
    <definedName name="FFAbove5_1">CRITERIA1!$H$5</definedName>
    <definedName name="FFAbove5_2">CRITERIA2!$H$5</definedName>
    <definedName name="FFAbove5_3">CRITERIA3!$H$5</definedName>
    <definedName name="FFAbove6_1">CRITERIA1!$H$6</definedName>
    <definedName name="FFAbove6_2">CRITERIA2!$H$6</definedName>
    <definedName name="FFAbove6_3">CRITERIA3!$H$6</definedName>
    <definedName name="FFAbove7_1">CRITERIA1!$H$7</definedName>
    <definedName name="FFAbove7_2">CRITERIA2!$H$7</definedName>
    <definedName name="FFAbove7_3">CRITERIA3!$H$7</definedName>
    <definedName name="FFAbove8_1">CRITERIA1!$H$8</definedName>
    <definedName name="FFAbove8_2">CRITERIA2!$H$8</definedName>
    <definedName name="FFAbove8_3">CRITERIA3!$H$8</definedName>
    <definedName name="FFAppColName1_1">CRITERIA1!$F$1</definedName>
    <definedName name="FFAppColName1_2">CRITERIA2!$F$1</definedName>
    <definedName name="FFAppColName1_3">CRITERIA3!$F$1</definedName>
    <definedName name="FFAppColName2_1">CRITERIA1!$F$2</definedName>
    <definedName name="FFAppColName2_2">CRITERIA2!$F$2</definedName>
    <definedName name="FFAppColName2_3">CRITERIA3!$F$2</definedName>
    <definedName name="FFAppColName3_1">CRITERIA1!$F$3</definedName>
    <definedName name="FFAppColName3_2">CRITERIA2!$F$3</definedName>
    <definedName name="FFAppColName3_3">CRITERIA3!$F$3</definedName>
    <definedName name="FFAppColName4_1">CRITERIA1!$F$4</definedName>
    <definedName name="FFAppColName4_2">CRITERIA2!$F$4</definedName>
    <definedName name="FFAppColName4_3">CRITERIA3!$F$4</definedName>
    <definedName name="FFAppColName5_1">CRITERIA1!$F$5</definedName>
    <definedName name="FFAppColName5_2">CRITERIA2!$F$5</definedName>
    <definedName name="FFAppColName5_3">CRITERIA3!$F$5</definedName>
    <definedName name="FFAppColName6_1">CRITERIA1!$F$6</definedName>
    <definedName name="FFAppColName6_2">CRITERIA2!$F$6</definedName>
    <definedName name="FFAppColName6_3">CRITERIA3!$F$6</definedName>
    <definedName name="FFAppColName7_1">CRITERIA1!$F$7</definedName>
    <definedName name="FFAppColName7_2">CRITERIA2!$F$7</definedName>
    <definedName name="FFAppColName7_3">CRITERIA3!$F$7</definedName>
    <definedName name="FFAppColName8_1">CRITERIA1!$F$8</definedName>
    <definedName name="FFAppColName8_2">CRITERIA2!$F$8</definedName>
    <definedName name="FFAppColName8_3">CRITERIA3!$F$8</definedName>
    <definedName name="FFDisplay1_1">CRITERIA1!$J$1</definedName>
    <definedName name="FFDisplay1_2">CRITERIA2!$J$1</definedName>
    <definedName name="FFDisplay1_3">CRITERIA3!$J$1</definedName>
    <definedName name="FFDisplay2_1">CRITERIA1!$J$2</definedName>
    <definedName name="FFDisplay2_2">CRITERIA2!$J$2</definedName>
    <definedName name="FFDisplay2_3">CRITERIA3!$J$2</definedName>
    <definedName name="FFDisplay3_1">CRITERIA1!$J$3</definedName>
    <definedName name="FFDisplay3_2">CRITERIA2!$J$3</definedName>
    <definedName name="FFDisplay3_3">CRITERIA3!$J$3</definedName>
    <definedName name="FFDisplay4_1">CRITERIA1!$J$4</definedName>
    <definedName name="FFDisplay4_2">CRITERIA2!$J$4</definedName>
    <definedName name="FFDisplay4_3">CRITERIA3!$J$4</definedName>
    <definedName name="FFDisplay5_1">CRITERIA1!$J$5</definedName>
    <definedName name="FFDisplay5_2">CRITERIA2!$J$5</definedName>
    <definedName name="FFDisplay5_3">CRITERIA3!$J$5</definedName>
    <definedName name="FFDisplay6_1">CRITERIA1!$J$6</definedName>
    <definedName name="FFDisplay6_2">CRITERIA2!$J$6</definedName>
    <definedName name="FFDisplay6_3">CRITERIA3!$J$6</definedName>
    <definedName name="FFDisplay7_1">CRITERIA1!$J$7</definedName>
    <definedName name="FFDisplay7_2">CRITERIA2!$J$7</definedName>
    <definedName name="FFDisplay7_3">CRITERIA3!$J$7</definedName>
    <definedName name="FFDisplay8_1">CRITERIA1!$J$8</definedName>
    <definedName name="FFDisplay8_2">CRITERIA2!$J$8</definedName>
    <definedName name="FFDisplay8_3">CRITERIA3!$J$8</definedName>
    <definedName name="FFMaximum1_1">CRITERIA1!$L$1</definedName>
    <definedName name="FFMaximum1_2">CRITERIA2!$L$1</definedName>
    <definedName name="FFMaximum1_3">CRITERIA3!$L$1</definedName>
    <definedName name="FFMaximum2_1">CRITERIA1!$L$2</definedName>
    <definedName name="FFMaximum2_2">CRITERIA2!$L$2</definedName>
    <definedName name="FFMaximum2_3">CRITERIA3!$L$2</definedName>
    <definedName name="FFMaximum3_1">CRITERIA1!$L$3</definedName>
    <definedName name="FFMaximum3_2">CRITERIA2!$L$3</definedName>
    <definedName name="FFMaximum3_3">CRITERIA3!$L$3</definedName>
    <definedName name="FFMaximum4_1">CRITERIA1!$L$4</definedName>
    <definedName name="FFMaximum4_2">CRITERIA2!$L$4</definedName>
    <definedName name="FFMaximum4_3">CRITERIA3!$L$4</definedName>
    <definedName name="FFMaximum5_1">CRITERIA1!$L$5</definedName>
    <definedName name="FFMaximum5_2">CRITERIA2!$L$5</definedName>
    <definedName name="FFMaximum5_3">CRITERIA3!$L$5</definedName>
    <definedName name="FFMaximum6_1">CRITERIA1!$L$6</definedName>
    <definedName name="FFMaximum6_2">CRITERIA2!$L$6</definedName>
    <definedName name="FFMaximum6_3">CRITERIA3!$L$6</definedName>
    <definedName name="FFMaximum7_1">CRITERIA1!$L$7</definedName>
    <definedName name="FFMaximum7_2">CRITERIA2!$L$7</definedName>
    <definedName name="FFMaximum7_3">CRITERIA3!$L$7</definedName>
    <definedName name="FFMaximum8_1">CRITERIA1!$L$8</definedName>
    <definedName name="FFMaximum8_2">CRITERIA2!$L$8</definedName>
    <definedName name="FFMaximum8_3">CRITERIA3!$L$8</definedName>
    <definedName name="FFSegment1_1">CRITERIA1!$D$1</definedName>
    <definedName name="FFSegment1_2">CRITERIA2!$D$1</definedName>
    <definedName name="FFSegment1_3">CRITERIA3!$D$1</definedName>
    <definedName name="FFSegment2_1">CRITERIA1!$D$2</definedName>
    <definedName name="FFSegment2_2">CRITERIA2!$D$2</definedName>
    <definedName name="FFSegment2_3">CRITERIA3!$D$2</definedName>
    <definedName name="FFSegment3_1">CRITERIA1!$D$3</definedName>
    <definedName name="FFSegment3_2">CRITERIA2!$D$3</definedName>
    <definedName name="FFSegment3_3">CRITERIA3!$D$3</definedName>
    <definedName name="FFSegment4_1">CRITERIA1!$D$4</definedName>
    <definedName name="FFSegment4_2">CRITERIA2!$D$4</definedName>
    <definedName name="FFSegment4_3">CRITERIA3!$D$4</definedName>
    <definedName name="FFSegment5_1">CRITERIA1!$D$5</definedName>
    <definedName name="FFSegment5_2">CRITERIA2!$D$5</definedName>
    <definedName name="FFSegment5_3">CRITERIA3!$D$5</definedName>
    <definedName name="FFSegment6_1">CRITERIA1!$D$6</definedName>
    <definedName name="FFSegment6_2">CRITERIA2!$D$6</definedName>
    <definedName name="FFSegment6_3">CRITERIA3!$D$6</definedName>
    <definedName name="FFSegment7_1">CRITERIA1!$D$7</definedName>
    <definedName name="FFSegment7_2">CRITERIA2!$D$7</definedName>
    <definedName name="FFSegment7_3">CRITERIA3!$D$7</definedName>
    <definedName name="FFSegment8_1">CRITERIA1!$D$8</definedName>
    <definedName name="FFSegment8_2">CRITERIA2!$D$8</definedName>
    <definedName name="FFSegment8_3">CRITERIA3!$D$8</definedName>
    <definedName name="FFSegSeparator1">CRITERIA1!$B$17</definedName>
    <definedName name="FFSegSeparator2">CRITERIA2!$B$17</definedName>
    <definedName name="FFSegSeparator3">CRITERIA3!$B$17</definedName>
    <definedName name="FNDNAM1">CRITERIA1!$B$12</definedName>
    <definedName name="FNDNAM2">CRITERIA2!$B$12</definedName>
    <definedName name="FNDNAM3">CRITERIA3!$B$12</definedName>
    <definedName name="FNDUserID1">CRITERIA1!$B$15</definedName>
    <definedName name="FNDUserID2">CRITERIA2!$B$15</definedName>
    <definedName name="FNDUserID3">CRITERIA3!$B$15</definedName>
    <definedName name="GasUnitFactor">[1]ListsValues!$M$44</definedName>
    <definedName name="GasUnitList">[1]ListsValues!$C$47</definedName>
    <definedName name="GWYUID1">CRITERIA1!$B$13</definedName>
    <definedName name="GWYUID2">CRITERIA2!$B$13</definedName>
    <definedName name="GWYUID3">CRITERIA3!$B$13</definedName>
    <definedName name="NOMEANING1">CRITERIA1!$B$21</definedName>
    <definedName name="NOMEANING2">CRITERIA2!$B$21</definedName>
    <definedName name="NOMEANING3">CRITERIA3!$B$21</definedName>
    <definedName name="NoOfFFSegments1">CRITERIA1!$B$18</definedName>
    <definedName name="NoOfFFSegments2">CRITERIA2!$B$18</definedName>
    <definedName name="NoOfFFSegments3">CRITERIA3!$B$18</definedName>
    <definedName name="PeriodSetName1">CRITERIA1!$B$4</definedName>
    <definedName name="PeriodSetName2">CRITERIA2!$B$4</definedName>
    <definedName name="PeriodSetName3">CRITERIA3!$B$4</definedName>
    <definedName name="_xlnm.Print_Area" localSheetId="85">'Cash Flow Summary - PG 2B (Fin)'!$A$1:$AM$294</definedName>
    <definedName name="_xlnm.Print_Area" localSheetId="52">'Cash Flow Summary - PG 2B (Tot)'!$A$1:$AT$307</definedName>
    <definedName name="_xlnm.Print_Area" localSheetId="0">'Footnotes (YTD)'!$A$1:$H$291</definedName>
    <definedName name="_xlnm.Print_Area" localSheetId="47">'Form 3Q (PA)'!$A$1:$V$182</definedName>
    <definedName name="_xlnm.Print_Area" localSheetId="1">'Form 3Q (Total)'!$A$1:$V$182</definedName>
    <definedName name="_xlnm.Print_Area" localSheetId="93">'KY_Cost Plant Acct-Comm-P8(Fin)'!$A$1:$L$69</definedName>
    <definedName name="_xlnm.Print_Area" localSheetId="59">'KY_Cost Plant Acct-Com-P8(Tot)'!$A$1:$L$69</definedName>
    <definedName name="_xlnm.Print_Area" localSheetId="126">'KY_Cost-Plant Acct-Comm-P8(PA)'!$A$1:$L$68</definedName>
    <definedName name="_xlnm.Print_Area" localSheetId="92">'KY_Total Comm PIS_NBV-P7 (Fin)'!$A$1:$P$46</definedName>
    <definedName name="_xlnm.Print_Area" localSheetId="125">'KY_Total Comm PIS_NBV-P7 (PA)'!$A$1:$P$46</definedName>
    <definedName name="_xlnm.Print_Area" localSheetId="58">'KY_Total Comm PIS_NBV-P7 (Tot)'!$A$1:$P$46</definedName>
    <definedName name="_xlnm.Print_Area" localSheetId="89">'Recon Depr Exp to IS P4 (Fin)'!$A$1:$S$77</definedName>
    <definedName name="_xlnm.Print_Area" localSheetId="84">'RWIP BY ACCOUNT - PG 2A (Fin)'!$A$1:$U$37</definedName>
    <definedName name="_xlnm.Print_Area" localSheetId="82">'Summary - Cost - PG 1 (Fin)'!$A$1:$N$120</definedName>
    <definedName name="_xlnm.Print_Area" localSheetId="116">'Summary - Cost - PG 1 (PA)'!$A$1:$N$120</definedName>
    <definedName name="_xlnm.Print_Area" localSheetId="49">'Summary - Cost - PG 1 (Tot)'!$A$1:$N$120</definedName>
    <definedName name="_xlnm.Print_Area" localSheetId="83">'Summary - Reserve - PG 2 (Fin)'!$A$1:$U$92</definedName>
    <definedName name="_xlnm.Print_Area" localSheetId="91">'Tot Com PIS_COST SPLIT-P6(Fin)'!$A$1:$M$78</definedName>
    <definedName name="_xlnm.Print_Area" localSheetId="57">'Tot Com PIS_COST SPLITS P6(Tot)'!$A$1:$M$78</definedName>
    <definedName name="_xlnm.Print_Area" localSheetId="124">'Tot Com PIS_COST SPLITS-P6 (PA)'!$A$1:$M$78</definedName>
    <definedName name="_xlnm.Print_Area" localSheetId="90">'Total Comm PIS_NBV-P5 (Fin)'!$A$1:$P$46</definedName>
    <definedName name="_xlnm.Print_Area" localSheetId="123">'Total Comm PIS_NBV-P5 (PA)'!$A$1:$P$46</definedName>
    <definedName name="_xlnm.Print_Area" localSheetId="56">'Total Comm PIS_NBV-P5 (Tot)'!$A$1:$P$46</definedName>
    <definedName name="_xlnm.Print_Titles" localSheetId="85">'Cash Flow Summary - PG 2B (Fin)'!$1:$7</definedName>
    <definedName name="_xlnm.Print_Titles" localSheetId="52">'Cash Flow Summary - PG 2B (Tot)'!$1:$7</definedName>
    <definedName name="_xlnm.Print_Titles" localSheetId="88">'CWIP Spend by Project P3B (FIN)'!$1:$5</definedName>
    <definedName name="_xlnm.Print_Titles" localSheetId="0">'Footnotes (YTD)'!$1:$6</definedName>
    <definedName name="_xlnm.Print_Titles" localSheetId="101">'IN_Cost Plant Acct-Elec-P16(Fin'!$1:$7</definedName>
    <definedName name="_xlnm.Print_Titles" localSheetId="67">'IN_Cost Plant Acct-Elec-P16(Tot'!$1:$7</definedName>
    <definedName name="_xlnm.Print_Titles" localSheetId="134">'IN_Cost-Plant Acct-Elec-P16(PA)'!$1:$7</definedName>
    <definedName name="_xlnm.Print_Titles" localSheetId="115">'IN_Res by Plant Acct-P30 (Fin)'!$1:$8</definedName>
    <definedName name="_xlnm.Print_Titles" localSheetId="148">'IN_Res by Plant Acct-P30 (PA)'!$1:$8</definedName>
    <definedName name="_xlnm.Print_Titles" localSheetId="81">'IN_Res by Plant Acct-P30 (Tot)'!$1:$8</definedName>
    <definedName name="_xlnm.Print_Titles" localSheetId="100">'IN_Total PIS_Elec_NBV-P15 (Fin)'!$1:$7</definedName>
    <definedName name="_xlnm.Print_Titles" localSheetId="133">'IN_Total PIS_Elec_NBV-P15 (PA)'!$1:$7</definedName>
    <definedName name="_xlnm.Print_Titles" localSheetId="66">'IN_Total PIS_Elec_NBV-P15 (Tot)'!$1:$7</definedName>
    <definedName name="_xlnm.Print_Titles" localSheetId="93">'KY_Cost Plant Acct-Comm-P8(Fin)'!$1:$8</definedName>
    <definedName name="_xlnm.Print_Titles" localSheetId="59">'KY_Cost Plant Acct-Com-P8(Tot)'!$1:$8</definedName>
    <definedName name="_xlnm.Print_Titles" localSheetId="99">'KY_Cost Plant Acct-Elec-P14(Fin'!$1:$8</definedName>
    <definedName name="_xlnm.Print_Titles" localSheetId="65">'KY_Cost Plant Acct-Elec-P14(Tot'!$1:$8</definedName>
    <definedName name="_xlnm.Print_Titles" localSheetId="105">'KY_Cost Plant Acct-Gas-P20(Fin)'!$1:$8</definedName>
    <definedName name="_xlnm.Print_Titles" localSheetId="71">'KY_Cost Plant Acct-Gas-P20(Tot)'!$1:$8</definedName>
    <definedName name="_xlnm.Print_Titles" localSheetId="126">'KY_Cost-Plant Acct-Comm-P8(PA)'!$1:$8</definedName>
    <definedName name="_xlnm.Print_Titles" localSheetId="132">'KY_Cost-Plant Acct-Elec-P14(PA)'!$1:$8</definedName>
    <definedName name="_xlnm.Print_Titles" localSheetId="138">'KY_Cost-Plant Acct-Gas-P20 (PA)'!$1:$8</definedName>
    <definedName name="_xlnm.Print_Titles" localSheetId="114">'KY_Res by Plant Acct-P29 (Fin)'!$1:$8</definedName>
    <definedName name="_xlnm.Print_Titles" localSheetId="147">'KY_Res by Plant Acct-P29 (PA)'!$1:$8</definedName>
    <definedName name="_xlnm.Print_Titles" localSheetId="80">'KY_Res by Plant Acct-P29 (Tot)'!$1:$8</definedName>
    <definedName name="_xlnm.Print_Titles" localSheetId="92">'KY_Total Comm PIS_NBV-P7 (Fin)'!$1:$8</definedName>
    <definedName name="_xlnm.Print_Titles" localSheetId="125">'KY_Total Comm PIS_NBV-P7 (PA)'!$1:$8</definedName>
    <definedName name="_xlnm.Print_Titles" localSheetId="58">'KY_Total Comm PIS_NBV-P7 (Tot)'!$1:$8</definedName>
    <definedName name="_xlnm.Print_Titles" localSheetId="98">'KY_Total Elec PIS_NBV-P13 (Fin)'!$1:$8</definedName>
    <definedName name="_xlnm.Print_Titles" localSheetId="131">'KY_Total Elec PIS_NBV-P13 (PA)'!$1:$8</definedName>
    <definedName name="_xlnm.Print_Titles" localSheetId="64">'KY_Total Elec PIS_NBV-P13 (Tot)'!$1:$8</definedName>
    <definedName name="_xlnm.Print_Titles" localSheetId="137">'KY_Total Gas PIS_NBV-P19 (PA)'!$1:$8</definedName>
    <definedName name="_xlnm.Print_Titles" localSheetId="70">'KY_Total Gas PIS_NBV-P19 (Tot)'!$1:$8</definedName>
    <definedName name="_xlnm.Print_Titles" localSheetId="104">'KY_Total Gas PIS_NBV-P19(Fin)'!$1:$8</definedName>
    <definedName name="_xlnm.Print_Titles" localSheetId="89">'Recon Depr Exp to IS P4 (Fin)'!$1:$4</definedName>
    <definedName name="_xlnm.Print_Titles" localSheetId="122">'Recon Depr Exp to IS P4 (PA)'!$1:$5</definedName>
    <definedName name="_xlnm.Print_Titles" localSheetId="55">'Recon Depr Exp to IS P4 (Tot)'!$1:$5</definedName>
    <definedName name="_xlnm.Print_Titles" localSheetId="82">'Summary - Cost - PG 1 (Fin)'!$1:$7</definedName>
    <definedName name="_xlnm.Print_Titles" localSheetId="116">'Summary - Cost - PG 1 (PA)'!$1:$7</definedName>
    <definedName name="_xlnm.Print_Titles" localSheetId="49">'Summary - Cost - PG 1 (Tot)'!$1:$7</definedName>
    <definedName name="_xlnm.Print_Titles" localSheetId="83">'Summary - Reserve - PG 2 (Fin)'!$1:$8</definedName>
    <definedName name="_xlnm.Print_Titles" localSheetId="117">'Summary - Reserve - PG 2 (PA)'!$1:$8</definedName>
    <definedName name="_xlnm.Print_Titles" localSheetId="50">'Summary - Reserve - PG 2 (Tot)'!$1:$8</definedName>
    <definedName name="_xlnm.Print_Titles" localSheetId="91">'Tot Com PIS_COST SPLIT-P6(Fin)'!$1:$7</definedName>
    <definedName name="_xlnm.Print_Titles" localSheetId="57">'Tot Com PIS_COST SPLITS P6(Tot)'!$1:$7</definedName>
    <definedName name="_xlnm.Print_Titles" localSheetId="124">'Tot Com PIS_COST SPLITS-P6 (PA)'!$1:$7</definedName>
    <definedName name="_xlnm.Print_Titles" localSheetId="97">'Tot Elec PIS Cost Split-P12(Fin'!$1:$7</definedName>
    <definedName name="_xlnm.Print_Titles" localSheetId="130">'Tot Elec PIS COST SPLIT-P12(PA)'!$1:$8</definedName>
    <definedName name="_xlnm.Print_Titles" localSheetId="63">'Tot Elec PIS COST SPLIT-P12(Tot'!$1:$8</definedName>
    <definedName name="_xlnm.Print_Titles" localSheetId="103">'Tot Gas PIS COST SPLIT-P18(Fin)'!$1:$8</definedName>
    <definedName name="_xlnm.Print_Titles" localSheetId="136">'Tot Gas PIS COST SPLIT-P18(PA)'!$1:$8</definedName>
    <definedName name="_xlnm.Print_Titles" localSheetId="69">'Tot Gas PIS COST SPLIT-P18(Tot)'!$1:$8</definedName>
    <definedName name="_xlnm.Print_Titles" localSheetId="90">'Total Comm PIS_NBV-P5 (Fin)'!$1:$8</definedName>
    <definedName name="_xlnm.Print_Titles" localSheetId="123">'Total Comm PIS_NBV-P5 (PA)'!$1:$8</definedName>
    <definedName name="_xlnm.Print_Titles" localSheetId="56">'Total Comm PIS_NBV-P5 (Tot)'!$1:$8</definedName>
    <definedName name="_xlnm.Print_Titles" localSheetId="96">'Total Elec PIS_NBV-P11 (Fin)'!$1:$8</definedName>
    <definedName name="_xlnm.Print_Titles" localSheetId="129">'Total Elec PIS_NBV-P11 (PA)'!$1:$8</definedName>
    <definedName name="_xlnm.Print_Titles" localSheetId="62">'Total Elec PIS_NBV-P11 (Tot)'!$1:$8</definedName>
    <definedName name="_xlnm.Print_Titles" localSheetId="102">'Total Gas PIS_NBV-P17 (Fin)'!$1:$8</definedName>
    <definedName name="_xlnm.Print_Titles" localSheetId="135">'Total Gas PIS_NBV-P17 (PA)'!$1:$8</definedName>
    <definedName name="_xlnm.Print_Titles" localSheetId="68">'Total Gas PIS_NBV-P17 (Tot)'!$1:$8</definedName>
    <definedName name="_xlnm.Print_Titles" localSheetId="86">'Transfer Detail PG 3 (Fin)'!$1:$8</definedName>
    <definedName name="_xlnm.Print_Titles" localSheetId="120">'Transfer Detail PG 3 (PA)'!$1:$8</definedName>
    <definedName name="_xlnm.Print_Titles" localSheetId="53">'Transfer Detail PG 3 (Tot)'!$1:$8</definedName>
    <definedName name="PVA_ReportList">[1]ListsValues!$C$53:$C$60</definedName>
    <definedName name="PVA_ReportValue">[1]ListsValues!$L$50</definedName>
    <definedName name="RBC_ReportList">[1]ListsValues!$C$65:$C$68</definedName>
    <definedName name="RBC_ReportValue">[1]ListsValues!$L$62</definedName>
    <definedName name="RBCDtl_KUE">#REF!</definedName>
    <definedName name="RBCDtl_LGEE">#REF!</definedName>
    <definedName name="RBCDtl_LGEG">#REF!</definedName>
    <definedName name="ReportTitle1" localSheetId="52">#REF!</definedName>
    <definedName name="ReportTitle1" localSheetId="88">#REF!</definedName>
    <definedName name="ReportTitle1" localSheetId="47">#REF!</definedName>
    <definedName name="ReportTitle1" localSheetId="1">#REF!</definedName>
    <definedName name="ReportTitle1">#REF!</definedName>
    <definedName name="ReportTitle2" localSheetId="52">#REF!</definedName>
    <definedName name="ReportTitle2" localSheetId="88">#REF!</definedName>
    <definedName name="ReportTitle2" localSheetId="47">#REF!</definedName>
    <definedName name="ReportTitle2" localSheetId="1">#REF!</definedName>
    <definedName name="ReportTitle2">#REF!</definedName>
    <definedName name="ReportTitle3" localSheetId="52">#REF!</definedName>
    <definedName name="ReportTitle3" localSheetId="88">#REF!</definedName>
    <definedName name="ReportTitle3" localSheetId="47">#REF!</definedName>
    <definedName name="ReportTitle3" localSheetId="1">#REF!</definedName>
    <definedName name="ReportTitle3">#REF!</definedName>
    <definedName name="ResponsibilityApplicationID1">CRITERIA1!$B$7</definedName>
    <definedName name="ResponsibilityApplicationID2">CRITERIA2!$B$7</definedName>
    <definedName name="ResponsibilityApplicationID3">CRITERIA3!$B$7</definedName>
    <definedName name="ResponsibilityID1">CRITERIA1!$B$8</definedName>
    <definedName name="ResponsibilityID2">CRITERIA2!$B$8</definedName>
    <definedName name="ResponsibilityID3">CRITERIA3!$B$8</definedName>
    <definedName name="ResponsibilityName1">CRITERIA1!$B$6</definedName>
    <definedName name="ResponsibilityName2">CRITERIA2!$B$6</definedName>
    <definedName name="ResponsibilityName3">CRITERIA3!$B$6</definedName>
    <definedName name="RowDetails1" localSheetId="52">#REF!</definedName>
    <definedName name="RowDetails1" localSheetId="88">#REF!</definedName>
    <definedName name="RowDetails1" localSheetId="47">#REF!</definedName>
    <definedName name="RowDetails1" localSheetId="1">#REF!</definedName>
    <definedName name="RowDetails1">#REF!</definedName>
    <definedName name="RowDetails2" localSheetId="52">#REF!</definedName>
    <definedName name="RowDetails2" localSheetId="88">#REF!</definedName>
    <definedName name="RowDetails2" localSheetId="47">#REF!</definedName>
    <definedName name="RowDetails2" localSheetId="1">#REF!</definedName>
    <definedName name="RowDetails2">#REF!</definedName>
    <definedName name="RowDetails3" localSheetId="52">#REF!</definedName>
    <definedName name="RowDetails3" localSheetId="88">#REF!</definedName>
    <definedName name="RowDetails3" localSheetId="47">#REF!</definedName>
    <definedName name="RowDetails3" localSheetId="1">#REF!</definedName>
    <definedName name="RowDetails3">#REF!</definedName>
    <definedName name="RptgMonth">[1]ListsValues!$F$3</definedName>
    <definedName name="RptgMonthList">[1]ListsValues!$C$14:$C$26</definedName>
    <definedName name="RptgMonthLYr">[1]ListsValues!$F$7</definedName>
    <definedName name="SetOfBooksID1">CRITERIA1!$B$1</definedName>
    <definedName name="SetOfBooksID2">CRITERIA2!$B$1</definedName>
    <definedName name="SetOfBooksID3">CRITERIA3!$B$1</definedName>
    <definedName name="SetOfBooksName1">CRITERIA1!$B$2</definedName>
    <definedName name="SetOfBooksName2">CRITERIA2!$B$2</definedName>
    <definedName name="SetOfBooksName3">CRITERIA3!$B$2</definedName>
    <definedName name="ShowSeparator1">CRITERIA1!$B$19</definedName>
    <definedName name="ShowSeparator2">CRITERIA2!$B$19</definedName>
    <definedName name="ShowSeparator3">CRITERIA3!$B$19</definedName>
    <definedName name="YESMEANING1">CRITERIA1!$B$20</definedName>
    <definedName name="YESMEANING2">CRITERIA2!$B$20</definedName>
    <definedName name="YESMEANING3">CRITERIA3!$B$20</definedName>
    <definedName name="Z_6B74E52F_9552_408A_8775_25AFF24E6639_.wvu.PrintArea" localSheetId="47" hidden="1">'Form 3Q (PA)'!$A$1:$V$182</definedName>
    <definedName name="Z_6B74E52F_9552_408A_8775_25AFF24E6639_.wvu.PrintArea" localSheetId="1" hidden="1">'Form 3Q (Total)'!$A$1:$V$182</definedName>
    <definedName name="Z_6B74E52F_9552_408A_8775_25AFF24E6639_.wvu.PrintArea" localSheetId="93" hidden="1">'KY_Cost Plant Acct-Comm-P8(Fin)'!$A$1:$L$69</definedName>
    <definedName name="Z_6B74E52F_9552_408A_8775_25AFF24E6639_.wvu.PrintArea" localSheetId="59" hidden="1">'KY_Cost Plant Acct-Com-P8(Tot)'!$A$1:$L$69</definedName>
    <definedName name="Z_6B74E52F_9552_408A_8775_25AFF24E6639_.wvu.PrintArea" localSheetId="126" hidden="1">'KY_Cost-Plant Acct-Comm-P8(PA)'!$A$1:$L$68</definedName>
    <definedName name="Z_6B74E52F_9552_408A_8775_25AFF24E6639_.wvu.PrintArea" localSheetId="92" hidden="1">'KY_Total Comm PIS_NBV-P7 (Fin)'!$A$1:$P$46</definedName>
    <definedName name="Z_6B74E52F_9552_408A_8775_25AFF24E6639_.wvu.PrintArea" localSheetId="125" hidden="1">'KY_Total Comm PIS_NBV-P7 (PA)'!$A$1:$P$46</definedName>
    <definedName name="Z_6B74E52F_9552_408A_8775_25AFF24E6639_.wvu.PrintArea" localSheetId="58" hidden="1">'KY_Total Comm PIS_NBV-P7 (Tot)'!$A$1:$P$46</definedName>
    <definedName name="Z_6B74E52F_9552_408A_8775_25AFF24E6639_.wvu.PrintArea" localSheetId="82" hidden="1">'Summary - Cost - PG 1 (Fin)'!$A$1:$N$120</definedName>
    <definedName name="Z_6B74E52F_9552_408A_8775_25AFF24E6639_.wvu.PrintArea" localSheetId="116" hidden="1">'Summary - Cost - PG 1 (PA)'!$A$1:$N$120</definedName>
    <definedName name="Z_6B74E52F_9552_408A_8775_25AFF24E6639_.wvu.PrintArea" localSheetId="49" hidden="1">'Summary - Cost - PG 1 (Tot)'!$A$1:$N$120</definedName>
    <definedName name="Z_6B74E52F_9552_408A_8775_25AFF24E6639_.wvu.PrintArea" localSheetId="91" hidden="1">'Tot Com PIS_COST SPLIT-P6(Fin)'!$A$1:$M$78</definedName>
    <definedName name="Z_6B74E52F_9552_408A_8775_25AFF24E6639_.wvu.PrintArea" localSheetId="57" hidden="1">'Tot Com PIS_COST SPLITS P6(Tot)'!$A$1:$M$78</definedName>
    <definedName name="Z_6B74E52F_9552_408A_8775_25AFF24E6639_.wvu.PrintArea" localSheetId="124" hidden="1">'Tot Com PIS_COST SPLITS-P6 (PA)'!$A$1:$M$78</definedName>
    <definedName name="Z_6B74E52F_9552_408A_8775_25AFF24E6639_.wvu.PrintArea" localSheetId="90" hidden="1">'Total Comm PIS_NBV-P5 (Fin)'!$A$1:$P$46</definedName>
    <definedName name="Z_6B74E52F_9552_408A_8775_25AFF24E6639_.wvu.PrintArea" localSheetId="123" hidden="1">'Total Comm PIS_NBV-P5 (PA)'!$A$1:$P$46</definedName>
    <definedName name="Z_6B74E52F_9552_408A_8775_25AFF24E6639_.wvu.PrintArea" localSheetId="56" hidden="1">'Total Comm PIS_NBV-P5 (Tot)'!$A$1:$P$46</definedName>
    <definedName name="Z_6B74E52F_9552_408A_8775_25AFF24E6639_.wvu.PrintTitles" localSheetId="101" hidden="1">'IN_Cost Plant Acct-Elec-P16(Fin'!$1:$7</definedName>
    <definedName name="Z_6B74E52F_9552_408A_8775_25AFF24E6639_.wvu.PrintTitles" localSheetId="67" hidden="1">'IN_Cost Plant Acct-Elec-P16(Tot'!$1:$7</definedName>
    <definedName name="Z_6B74E52F_9552_408A_8775_25AFF24E6639_.wvu.PrintTitles" localSheetId="134" hidden="1">'IN_Cost-Plant Acct-Elec-P16(PA)'!$1:$7</definedName>
    <definedName name="Z_6B74E52F_9552_408A_8775_25AFF24E6639_.wvu.PrintTitles" localSheetId="115" hidden="1">'IN_Res by Plant Acct-P30 (Fin)'!$1:$8</definedName>
    <definedName name="Z_6B74E52F_9552_408A_8775_25AFF24E6639_.wvu.PrintTitles" localSheetId="148" hidden="1">'IN_Res by Plant Acct-P30 (PA)'!$1:$8</definedName>
    <definedName name="Z_6B74E52F_9552_408A_8775_25AFF24E6639_.wvu.PrintTitles" localSheetId="81" hidden="1">'IN_Res by Plant Acct-P30 (Tot)'!$1:$8</definedName>
    <definedName name="Z_6B74E52F_9552_408A_8775_25AFF24E6639_.wvu.PrintTitles" localSheetId="100" hidden="1">'IN_Total PIS_Elec_NBV-P15 (Fin)'!$1:$7</definedName>
    <definedName name="Z_6B74E52F_9552_408A_8775_25AFF24E6639_.wvu.PrintTitles" localSheetId="133" hidden="1">'IN_Total PIS_Elec_NBV-P15 (PA)'!$1:$7</definedName>
    <definedName name="Z_6B74E52F_9552_408A_8775_25AFF24E6639_.wvu.PrintTitles" localSheetId="66" hidden="1">'IN_Total PIS_Elec_NBV-P15 (Tot)'!$1:$7</definedName>
    <definedName name="Z_6B74E52F_9552_408A_8775_25AFF24E6639_.wvu.PrintTitles" localSheetId="93" hidden="1">'KY_Cost Plant Acct-Comm-P8(Fin)'!$1:$8</definedName>
    <definedName name="Z_6B74E52F_9552_408A_8775_25AFF24E6639_.wvu.PrintTitles" localSheetId="59" hidden="1">'KY_Cost Plant Acct-Com-P8(Tot)'!$1:$8</definedName>
    <definedName name="Z_6B74E52F_9552_408A_8775_25AFF24E6639_.wvu.PrintTitles" localSheetId="99" hidden="1">'KY_Cost Plant Acct-Elec-P14(Fin'!$1:$8</definedName>
    <definedName name="Z_6B74E52F_9552_408A_8775_25AFF24E6639_.wvu.PrintTitles" localSheetId="65" hidden="1">'KY_Cost Plant Acct-Elec-P14(Tot'!$1:$8</definedName>
    <definedName name="Z_6B74E52F_9552_408A_8775_25AFF24E6639_.wvu.PrintTitles" localSheetId="105" hidden="1">'KY_Cost Plant Acct-Gas-P20(Fin)'!$1:$8</definedName>
    <definedName name="Z_6B74E52F_9552_408A_8775_25AFF24E6639_.wvu.PrintTitles" localSheetId="71" hidden="1">'KY_Cost Plant Acct-Gas-P20(Tot)'!$1:$8</definedName>
    <definedName name="Z_6B74E52F_9552_408A_8775_25AFF24E6639_.wvu.PrintTitles" localSheetId="126" hidden="1">'KY_Cost-Plant Acct-Comm-P8(PA)'!$1:$8</definedName>
    <definedName name="Z_6B74E52F_9552_408A_8775_25AFF24E6639_.wvu.PrintTitles" localSheetId="132" hidden="1">'KY_Cost-Plant Acct-Elec-P14(PA)'!$1:$8</definedName>
    <definedName name="Z_6B74E52F_9552_408A_8775_25AFF24E6639_.wvu.PrintTitles" localSheetId="138" hidden="1">'KY_Cost-Plant Acct-Gas-P20 (PA)'!$1:$8</definedName>
    <definedName name="Z_6B74E52F_9552_408A_8775_25AFF24E6639_.wvu.PrintTitles" localSheetId="114" hidden="1">'KY_Res by Plant Acct-P29 (Fin)'!$1:$8</definedName>
    <definedName name="Z_6B74E52F_9552_408A_8775_25AFF24E6639_.wvu.PrintTitles" localSheetId="147" hidden="1">'KY_Res by Plant Acct-P29 (PA)'!$1:$8</definedName>
    <definedName name="Z_6B74E52F_9552_408A_8775_25AFF24E6639_.wvu.PrintTitles" localSheetId="80" hidden="1">'KY_Res by Plant Acct-P29 (Tot)'!$1:$8</definedName>
    <definedName name="Z_6B74E52F_9552_408A_8775_25AFF24E6639_.wvu.PrintTitles" localSheetId="92" hidden="1">'KY_Total Comm PIS_NBV-P7 (Fin)'!$1:$8</definedName>
    <definedName name="Z_6B74E52F_9552_408A_8775_25AFF24E6639_.wvu.PrintTitles" localSheetId="125" hidden="1">'KY_Total Comm PIS_NBV-P7 (PA)'!$1:$8</definedName>
    <definedName name="Z_6B74E52F_9552_408A_8775_25AFF24E6639_.wvu.PrintTitles" localSheetId="58" hidden="1">'KY_Total Comm PIS_NBV-P7 (Tot)'!$1:$8</definedName>
    <definedName name="Z_6B74E52F_9552_408A_8775_25AFF24E6639_.wvu.PrintTitles" localSheetId="98" hidden="1">'KY_Total Elec PIS_NBV-P13 (Fin)'!$1:$8</definedName>
    <definedName name="Z_6B74E52F_9552_408A_8775_25AFF24E6639_.wvu.PrintTitles" localSheetId="131" hidden="1">'KY_Total Elec PIS_NBV-P13 (PA)'!$1:$8</definedName>
    <definedName name="Z_6B74E52F_9552_408A_8775_25AFF24E6639_.wvu.PrintTitles" localSheetId="64" hidden="1">'KY_Total Elec PIS_NBV-P13 (Tot)'!$1:$8</definedName>
    <definedName name="Z_6B74E52F_9552_408A_8775_25AFF24E6639_.wvu.PrintTitles" localSheetId="137" hidden="1">'KY_Total Gas PIS_NBV-P19 (PA)'!$1:$8</definedName>
    <definedName name="Z_6B74E52F_9552_408A_8775_25AFF24E6639_.wvu.PrintTitles" localSheetId="70" hidden="1">'KY_Total Gas PIS_NBV-P19 (Tot)'!$1:$8</definedName>
    <definedName name="Z_6B74E52F_9552_408A_8775_25AFF24E6639_.wvu.PrintTitles" localSheetId="104" hidden="1">'KY_Total Gas PIS_NBV-P19(Fin)'!$1:$8</definedName>
    <definedName name="Z_6B74E52F_9552_408A_8775_25AFF24E6639_.wvu.PrintTitles" localSheetId="89" hidden="1">'Recon Depr Exp to IS P4 (Fin)'!$1:$4</definedName>
    <definedName name="Z_6B74E52F_9552_408A_8775_25AFF24E6639_.wvu.PrintTitles" localSheetId="122" hidden="1">'Recon Depr Exp to IS P4 (PA)'!$1:$5</definedName>
    <definedName name="Z_6B74E52F_9552_408A_8775_25AFF24E6639_.wvu.PrintTitles" localSheetId="55" hidden="1">'Recon Depr Exp to IS P4 (Tot)'!$1:$5</definedName>
    <definedName name="Z_6B74E52F_9552_408A_8775_25AFF24E6639_.wvu.PrintTitles" localSheetId="82" hidden="1">'Summary - Cost - PG 1 (Fin)'!$1:$7</definedName>
    <definedName name="Z_6B74E52F_9552_408A_8775_25AFF24E6639_.wvu.PrintTitles" localSheetId="116" hidden="1">'Summary - Cost - PG 1 (PA)'!$1:$7</definedName>
    <definedName name="Z_6B74E52F_9552_408A_8775_25AFF24E6639_.wvu.PrintTitles" localSheetId="49" hidden="1">'Summary - Cost - PG 1 (Tot)'!$1:$7</definedName>
    <definedName name="Z_6B74E52F_9552_408A_8775_25AFF24E6639_.wvu.PrintTitles" localSheetId="83" hidden="1">'Summary - Reserve - PG 2 (Fin)'!$1:$8</definedName>
    <definedName name="Z_6B74E52F_9552_408A_8775_25AFF24E6639_.wvu.PrintTitles" localSheetId="117" hidden="1">'Summary - Reserve - PG 2 (PA)'!$1:$8</definedName>
    <definedName name="Z_6B74E52F_9552_408A_8775_25AFF24E6639_.wvu.PrintTitles" localSheetId="50" hidden="1">'Summary - Reserve - PG 2 (Tot)'!$1:$8</definedName>
    <definedName name="Z_6B74E52F_9552_408A_8775_25AFF24E6639_.wvu.PrintTitles" localSheetId="91" hidden="1">'Tot Com PIS_COST SPLIT-P6(Fin)'!$1:$7</definedName>
    <definedName name="Z_6B74E52F_9552_408A_8775_25AFF24E6639_.wvu.PrintTitles" localSheetId="57" hidden="1">'Tot Com PIS_COST SPLITS P6(Tot)'!$1:$7</definedName>
    <definedName name="Z_6B74E52F_9552_408A_8775_25AFF24E6639_.wvu.PrintTitles" localSheetId="124" hidden="1">'Tot Com PIS_COST SPLITS-P6 (PA)'!$1:$7</definedName>
    <definedName name="Z_6B74E52F_9552_408A_8775_25AFF24E6639_.wvu.PrintTitles" localSheetId="97" hidden="1">'Tot Elec PIS Cost Split-P12(Fin'!$1:$8</definedName>
    <definedName name="Z_6B74E52F_9552_408A_8775_25AFF24E6639_.wvu.PrintTitles" localSheetId="130" hidden="1">'Tot Elec PIS COST SPLIT-P12(PA)'!$1:$8</definedName>
    <definedName name="Z_6B74E52F_9552_408A_8775_25AFF24E6639_.wvu.PrintTitles" localSheetId="63" hidden="1">'Tot Elec PIS COST SPLIT-P12(Tot'!$1:$8</definedName>
    <definedName name="Z_6B74E52F_9552_408A_8775_25AFF24E6639_.wvu.PrintTitles" localSheetId="103" hidden="1">'Tot Gas PIS COST SPLIT-P18(Fin)'!$1:$8</definedName>
    <definedName name="Z_6B74E52F_9552_408A_8775_25AFF24E6639_.wvu.PrintTitles" localSheetId="136" hidden="1">'Tot Gas PIS COST SPLIT-P18(PA)'!$1:$8</definedName>
    <definedName name="Z_6B74E52F_9552_408A_8775_25AFF24E6639_.wvu.PrintTitles" localSheetId="69" hidden="1">'Tot Gas PIS COST SPLIT-P18(Tot)'!$1:$8</definedName>
    <definedName name="Z_6B74E52F_9552_408A_8775_25AFF24E6639_.wvu.PrintTitles" localSheetId="90" hidden="1">'Total Comm PIS_NBV-P5 (Fin)'!$1:$8</definedName>
    <definedName name="Z_6B74E52F_9552_408A_8775_25AFF24E6639_.wvu.PrintTitles" localSheetId="123" hidden="1">'Total Comm PIS_NBV-P5 (PA)'!$1:$8</definedName>
    <definedName name="Z_6B74E52F_9552_408A_8775_25AFF24E6639_.wvu.PrintTitles" localSheetId="56" hidden="1">'Total Comm PIS_NBV-P5 (Tot)'!$1:$8</definedName>
    <definedName name="Z_6B74E52F_9552_408A_8775_25AFF24E6639_.wvu.PrintTitles" localSheetId="96" hidden="1">'Total Elec PIS_NBV-P11 (Fin)'!$1:$8</definedName>
    <definedName name="Z_6B74E52F_9552_408A_8775_25AFF24E6639_.wvu.PrintTitles" localSheetId="129" hidden="1">'Total Elec PIS_NBV-P11 (PA)'!$1:$8</definedName>
    <definedName name="Z_6B74E52F_9552_408A_8775_25AFF24E6639_.wvu.PrintTitles" localSheetId="62" hidden="1">'Total Elec PIS_NBV-P11 (Tot)'!$1:$8</definedName>
    <definedName name="Z_6B74E52F_9552_408A_8775_25AFF24E6639_.wvu.PrintTitles" localSheetId="102" hidden="1">'Total Gas PIS_NBV-P17 (Fin)'!$1:$8</definedName>
    <definedName name="Z_6B74E52F_9552_408A_8775_25AFF24E6639_.wvu.PrintTitles" localSheetId="135" hidden="1">'Total Gas PIS_NBV-P17 (PA)'!$1:$8</definedName>
    <definedName name="Z_6B74E52F_9552_408A_8775_25AFF24E6639_.wvu.PrintTitles" localSheetId="68" hidden="1">'Total Gas PIS_NBV-P17 (Tot)'!$1:$8</definedName>
    <definedName name="Z_6B74E52F_9552_408A_8775_25AFF24E6639_.wvu.PrintTitles" localSheetId="86" hidden="1">'Transfer Detail PG 3 (Fin)'!$1:$8</definedName>
    <definedName name="Z_6B74E52F_9552_408A_8775_25AFF24E6639_.wvu.PrintTitles" localSheetId="120" hidden="1">'Transfer Detail PG 3 (PA)'!$1:$8</definedName>
    <definedName name="Z_6B74E52F_9552_408A_8775_25AFF24E6639_.wvu.PrintTitles" localSheetId="53" hidden="1">'Transfer Detail PG 3 (Tot)'!$1:$8</definedName>
    <definedName name="Z_6B74E52F_9552_408A_8775_25AFF24E6639_.wvu.Rows" localSheetId="47" hidden="1">'Form 3Q (PA)'!$32:$62</definedName>
    <definedName name="Z_6B74E52F_9552_408A_8775_25AFF24E6639_.wvu.Rows" localSheetId="1" hidden="1">'Form 3Q (Total)'!$32:$62</definedName>
    <definedName name="Z_6B74E52F_9552_408A_8775_25AFF24E6639_.wvu.Rows" localSheetId="114" hidden="1">'KY_Res by Plant Acct-P29 (Fin)'!$57:$70,'KY_Res by Plant Acct-P29 (Fin)'!$72:$87,'KY_Res by Plant Acct-P29 (Fin)'!$89:$99,'KY_Res by Plant Acct-P29 (Fin)'!$101:$115,'KY_Res by Plant Acct-P29 (Fin)'!$117:$131,'KY_Res by Plant Acct-P29 (Fin)'!$133:$145,'KY_Res by Plant Acct-P29 (Fin)'!$155:$180,'KY_Res by Plant Acct-P29 (Fin)'!$182:$187,'KY_Res by Plant Acct-P29 (Fin)'!$190:$234,'KY_Res by Plant Acct-P29 (Fin)'!$236:$237,'KY_Res by Plant Acct-P29 (Fin)'!$239:$251,'KY_Res by Plant Acct-P29 (Fin)'!$253:$274,'KY_Res by Plant Acct-P29 (Fin)'!$276:$283,'KY_Res by Plant Acct-P29 (Fin)'!$285:$299</definedName>
    <definedName name="Z_6B74E52F_9552_408A_8775_25AFF24E6639_.wvu.Rows" localSheetId="147" hidden="1">'KY_Res by Plant Acct-P29 (PA)'!$56:$69,'KY_Res by Plant Acct-P29 (PA)'!$71:$86,'KY_Res by Plant Acct-P29 (PA)'!$88:$98,'KY_Res by Plant Acct-P29 (PA)'!$100:$114,'KY_Res by Plant Acct-P29 (PA)'!$116:$130,'KY_Res by Plant Acct-P29 (PA)'!$132:$144,'KY_Res by Plant Acct-P29 (PA)'!$154:$179,'KY_Res by Plant Acct-P29 (PA)'!$181:$186,'KY_Res by Plant Acct-P29 (PA)'!$189:$233,'KY_Res by Plant Acct-P29 (PA)'!$235:$236,'KY_Res by Plant Acct-P29 (PA)'!$238:$250,'KY_Res by Plant Acct-P29 (PA)'!$252:$273,'KY_Res by Plant Acct-P29 (PA)'!$275:$282,'KY_Res by Plant Acct-P29 (PA)'!$284:$297</definedName>
    <definedName name="Z_6B74E52F_9552_408A_8775_25AFF24E6639_.wvu.Rows" localSheetId="80" hidden="1">'KY_Res by Plant Acct-P29 (Tot)'!$57:$70,'KY_Res by Plant Acct-P29 (Tot)'!$72:$87,'KY_Res by Plant Acct-P29 (Tot)'!$89:$99,'KY_Res by Plant Acct-P29 (Tot)'!$101:$115,'KY_Res by Plant Acct-P29 (Tot)'!$117:$131,'KY_Res by Plant Acct-P29 (Tot)'!$133:$145,'KY_Res by Plant Acct-P29 (Tot)'!$155:$180,'KY_Res by Plant Acct-P29 (Tot)'!$182:$187,'KY_Res by Plant Acct-P29 (Tot)'!$190:$234,'KY_Res by Plant Acct-P29 (Tot)'!$236:$237,'KY_Res by Plant Acct-P29 (Tot)'!$239:$251,'KY_Res by Plant Acct-P29 (Tot)'!$253:$274,'KY_Res by Plant Acct-P29 (Tot)'!$276:$283,'KY_Res by Plant Acct-P29 (Tot)'!$285:$299</definedName>
    <definedName name="Z_6B74E52F_9552_408A_8775_25AFF24E6639_.wvu.Rows" localSheetId="86" hidden="1">'Transfer Detail PG 3 (Fin)'!$58:$113,'Transfer Detail PG 3 (Fin)'!$184:$193</definedName>
    <definedName name="Z_6B74E52F_9552_408A_8775_25AFF24E6639_.wvu.Rows" localSheetId="120" hidden="1">'Transfer Detail PG 3 (PA)'!$55:$110,'Transfer Detail PG 3 (PA)'!$182:$191</definedName>
    <definedName name="Z_6B74E52F_9552_408A_8775_25AFF24E6639_.wvu.Rows" localSheetId="53" hidden="1">'Transfer Detail PG 3 (Tot)'!$55:$111,'Transfer Detail PG 3 (Tot)'!$183:$192</definedName>
  </definedNames>
  <calcPr calcId="125725" calcMode="manual"/>
  <customWorkbookViews>
    <customWorkbookView name="e005011 - Personal View" guid="{6B74E52F-9552-408A-8775-25AFF24E6639}" mergeInterval="0" personalView="1" maximized="1" windowWidth="1020" windowHeight="565" activeSheetId="53"/>
  </customWorkbookViews>
</workbook>
</file>

<file path=xl/calcChain.xml><?xml version="1.0" encoding="utf-8"?>
<calcChain xmlns="http://schemas.openxmlformats.org/spreadsheetml/2006/main">
  <c r="P107" i="51"/>
  <c r="P12"/>
  <c r="L158" i="65"/>
  <c r="AA73" i="52"/>
  <c r="AA16" l="1"/>
  <c r="Z16"/>
  <c r="Y16"/>
  <c r="AC18" l="1"/>
  <c r="U30" i="84"/>
  <c r="G170" i="125"/>
  <c r="G173" i="53"/>
  <c r="G171"/>
  <c r="AB16" i="154"/>
  <c r="Z245"/>
  <c r="F298"/>
  <c r="F299"/>
  <c r="I178" i="125" l="1"/>
  <c r="I177"/>
  <c r="AO186"/>
  <c r="I186"/>
  <c r="I185"/>
  <c r="AO185" s="1"/>
  <c r="I184"/>
  <c r="AO184" s="1"/>
  <c r="E46"/>
  <c r="G30"/>
  <c r="G26"/>
  <c r="E16"/>
  <c r="G150"/>
  <c r="G146"/>
  <c r="G133"/>
  <c r="G132"/>
  <c r="G131"/>
  <c r="G130"/>
  <c r="G129"/>
  <c r="G128"/>
  <c r="G127"/>
  <c r="G126"/>
  <c r="G125"/>
  <c r="G124"/>
  <c r="G123"/>
  <c r="G122"/>
  <c r="G121"/>
  <c r="G120"/>
  <c r="G119"/>
  <c r="G118"/>
  <c r="G117"/>
  <c r="E118"/>
  <c r="E119"/>
  <c r="E120"/>
  <c r="E121"/>
  <c r="E122"/>
  <c r="E123"/>
  <c r="E124"/>
  <c r="E125"/>
  <c r="E126"/>
  <c r="E127"/>
  <c r="E128"/>
  <c r="E129"/>
  <c r="E130"/>
  <c r="E131"/>
  <c r="E132"/>
  <c r="E133"/>
  <c r="E117"/>
  <c r="F212" i="119"/>
  <c r="F344"/>
  <c r="F342"/>
  <c r="F341"/>
  <c r="F315"/>
  <c r="F314"/>
  <c r="F308"/>
  <c r="F246"/>
  <c r="F227"/>
  <c r="F259"/>
  <c r="F214"/>
  <c r="F24"/>
  <c r="F23"/>
  <c r="F21"/>
  <c r="F20"/>
  <c r="F19"/>
  <c r="F18"/>
  <c r="F17"/>
  <c r="F16"/>
  <c r="F15"/>
  <c r="F13"/>
  <c r="F408"/>
  <c r="G10" i="89"/>
  <c r="G19"/>
  <c r="G26"/>
  <c r="G23"/>
  <c r="G21"/>
  <c r="G12"/>
  <c r="F16" i="110"/>
  <c r="F15"/>
  <c r="F87" i="104"/>
  <c r="F86"/>
  <c r="F83"/>
  <c r="F72"/>
  <c r="F70"/>
  <c r="F73"/>
  <c r="F68"/>
  <c r="D108"/>
  <c r="D109"/>
  <c r="F23"/>
  <c r="F22"/>
  <c r="D22"/>
  <c r="F20"/>
  <c r="F19"/>
  <c r="F18"/>
  <c r="F17"/>
  <c r="F16"/>
  <c r="F15"/>
  <c r="F14"/>
  <c r="F13"/>
  <c r="F13" i="98"/>
  <c r="F67" i="88"/>
  <c r="H20"/>
  <c r="H10"/>
  <c r="H28"/>
  <c r="H25"/>
  <c r="H21"/>
  <c r="H15"/>
  <c r="F15"/>
  <c r="G172" i="125" l="1"/>
  <c r="J55" i="51"/>
  <c r="H55"/>
  <c r="F55"/>
  <c r="M29" i="84"/>
  <c r="M27"/>
  <c r="M75" i="52"/>
  <c r="M73"/>
  <c r="M29" i="55" l="1"/>
  <c r="M16"/>
  <c r="M10"/>
  <c r="K19"/>
  <c r="I21"/>
  <c r="E30"/>
  <c r="E21"/>
  <c r="O24" i="84"/>
  <c r="O23"/>
  <c r="O75" i="52"/>
  <c r="O74"/>
  <c r="S28" i="84" l="1"/>
  <c r="O29"/>
  <c r="Q29"/>
  <c r="Q28"/>
  <c r="O28"/>
  <c r="O27"/>
  <c r="M28"/>
  <c r="S74" i="52"/>
  <c r="Q75"/>
  <c r="Q74"/>
  <c r="O73"/>
  <c r="M74"/>
  <c r="F108" i="51"/>
  <c r="F107"/>
  <c r="F106"/>
  <c r="D379" i="79"/>
  <c r="F228"/>
  <c r="D122"/>
  <c r="D89"/>
  <c r="L24"/>
  <c r="L24" i="152"/>
  <c r="D237" i="79"/>
  <c r="D236"/>
  <c r="D188"/>
  <c r="D187"/>
  <c r="D186"/>
  <c r="D184"/>
  <c r="D183"/>
  <c r="D31" i="80"/>
  <c r="D375" i="79"/>
  <c r="D389"/>
  <c r="D388"/>
  <c r="D387"/>
  <c r="D383"/>
  <c r="D382"/>
  <c r="D381"/>
  <c r="D35" i="80"/>
  <c r="D380" i="79"/>
  <c r="D378"/>
  <c r="D377"/>
  <c r="D33" i="80"/>
  <c r="D376" i="79"/>
  <c r="D32" i="80"/>
  <c r="D374" i="79"/>
  <c r="D30" i="80"/>
  <c r="D373" i="79"/>
  <c r="D370"/>
  <c r="D29" i="80"/>
  <c r="D368" i="79"/>
  <c r="D361"/>
  <c r="D360"/>
  <c r="D358"/>
  <c r="D357"/>
  <c r="D356"/>
  <c r="D352"/>
  <c r="D351"/>
  <c r="D350"/>
  <c r="D349"/>
  <c r="D348"/>
  <c r="D347"/>
  <c r="D346"/>
  <c r="D345"/>
  <c r="F344"/>
  <c r="D344"/>
  <c r="L343"/>
  <c r="F343"/>
  <c r="D343"/>
  <c r="D342"/>
  <c r="D341"/>
  <c r="D340"/>
  <c r="D321"/>
  <c r="D320"/>
  <c r="D319"/>
  <c r="D318"/>
  <c r="L317"/>
  <c r="F317"/>
  <c r="D317"/>
  <c r="D21" i="80"/>
  <c r="L316" i="79"/>
  <c r="F316"/>
  <c r="D316"/>
  <c r="D20" i="80"/>
  <c r="D315" i="79"/>
  <c r="D19" i="80"/>
  <c r="D311" i="79"/>
  <c r="L310"/>
  <c r="F310"/>
  <c r="D310"/>
  <c r="D18" i="80"/>
  <c r="D308" i="79"/>
  <c r="D307"/>
  <c r="D17" i="80"/>
  <c r="D305" i="79"/>
  <c r="D15" i="80"/>
  <c r="D301" i="79"/>
  <c r="D299"/>
  <c r="D298"/>
  <c r="D297"/>
  <c r="D296"/>
  <c r="D295"/>
  <c r="D294"/>
  <c r="D293"/>
  <c r="D292"/>
  <c r="D291"/>
  <c r="D290"/>
  <c r="D289"/>
  <c r="D288"/>
  <c r="D287"/>
  <c r="D274"/>
  <c r="D273"/>
  <c r="D272"/>
  <c r="D271"/>
  <c r="D269"/>
  <c r="D268"/>
  <c r="D267"/>
  <c r="D266"/>
  <c r="D265"/>
  <c r="D264"/>
  <c r="D263"/>
  <c r="D262"/>
  <c r="D261"/>
  <c r="L260"/>
  <c r="F260"/>
  <c r="D260"/>
  <c r="D259"/>
  <c r="D258"/>
  <c r="D257"/>
  <c r="D256"/>
  <c r="D251"/>
  <c r="D250"/>
  <c r="D248"/>
  <c r="L247"/>
  <c r="F247"/>
  <c r="D247"/>
  <c r="D246"/>
  <c r="D245"/>
  <c r="D244"/>
  <c r="D243"/>
  <c r="D242"/>
  <c r="D234"/>
  <c r="D233"/>
  <c r="D232"/>
  <c r="D231"/>
  <c r="D230"/>
  <c r="D229"/>
  <c r="L228"/>
  <c r="D228"/>
  <c r="D227"/>
  <c r="D226"/>
  <c r="D224"/>
  <c r="D223"/>
  <c r="D222"/>
  <c r="D221"/>
  <c r="D220"/>
  <c r="D219"/>
  <c r="D218"/>
  <c r="D217"/>
  <c r="D216"/>
  <c r="L215"/>
  <c r="F215"/>
  <c r="D215"/>
  <c r="D214"/>
  <c r="L213"/>
  <c r="F213"/>
  <c r="D213"/>
  <c r="D212"/>
  <c r="D211"/>
  <c r="D210"/>
  <c r="D209"/>
  <c r="D207"/>
  <c r="D206"/>
  <c r="D205"/>
  <c r="D204"/>
  <c r="D203"/>
  <c r="D202"/>
  <c r="D201"/>
  <c r="D200"/>
  <c r="D199"/>
  <c r="D198"/>
  <c r="D194"/>
  <c r="D193"/>
  <c r="D180"/>
  <c r="D179"/>
  <c r="D178"/>
  <c r="D177"/>
  <c r="D176"/>
  <c r="D175"/>
  <c r="D173"/>
  <c r="D172"/>
  <c r="D171"/>
  <c r="D170"/>
  <c r="D169"/>
  <c r="D168"/>
  <c r="D167"/>
  <c r="D166"/>
  <c r="D165"/>
  <c r="D164"/>
  <c r="D163"/>
  <c r="D162"/>
  <c r="D161"/>
  <c r="D160"/>
  <c r="D159"/>
  <c r="D158"/>
  <c r="D147"/>
  <c r="D143"/>
  <c r="D142"/>
  <c r="D141"/>
  <c r="D140"/>
  <c r="D139"/>
  <c r="D138"/>
  <c r="D135"/>
  <c r="D134"/>
  <c r="D133"/>
  <c r="D131"/>
  <c r="D129"/>
  <c r="D128"/>
  <c r="D127"/>
  <c r="D126"/>
  <c r="D125"/>
  <c r="D124"/>
  <c r="D123"/>
  <c r="D121"/>
  <c r="D120"/>
  <c r="D119"/>
  <c r="D118" l="1"/>
  <c r="D117"/>
  <c r="D115"/>
  <c r="D113"/>
  <c r="D112"/>
  <c r="D111"/>
  <c r="D110"/>
  <c r="D109"/>
  <c r="D108"/>
  <c r="D107"/>
  <c r="D106"/>
  <c r="D105"/>
  <c r="D104"/>
  <c r="D103"/>
  <c r="D102"/>
  <c r="D101"/>
  <c r="D98"/>
  <c r="D97"/>
  <c r="D96"/>
  <c r="D95"/>
  <c r="D94"/>
  <c r="D93"/>
  <c r="D92"/>
  <c r="D91"/>
  <c r="D90"/>
  <c r="D87"/>
  <c r="D85"/>
  <c r="D84"/>
  <c r="D83"/>
  <c r="D82"/>
  <c r="D81"/>
  <c r="D80"/>
  <c r="D79"/>
  <c r="D78"/>
  <c r="D77"/>
  <c r="D76"/>
  <c r="D75"/>
  <c r="D74"/>
  <c r="D73"/>
  <c r="D72"/>
  <c r="D70"/>
  <c r="D68"/>
  <c r="D67"/>
  <c r="D66"/>
  <c r="D65"/>
  <c r="D64"/>
  <c r="D63"/>
  <c r="D62"/>
  <c r="D61"/>
  <c r="D60"/>
  <c r="D59"/>
  <c r="D58"/>
  <c r="D57"/>
  <c r="D51"/>
  <c r="D48"/>
  <c r="D47"/>
  <c r="D46"/>
  <c r="D45"/>
  <c r="D44"/>
  <c r="D43"/>
  <c r="D42"/>
  <c r="D36"/>
  <c r="D35"/>
  <c r="D33"/>
  <c r="D32"/>
  <c r="D31"/>
  <c r="D27"/>
  <c r="D26"/>
  <c r="F24"/>
  <c r="D24"/>
  <c r="L23"/>
  <c r="F23"/>
  <c r="D23"/>
  <c r="D22"/>
  <c r="F21"/>
  <c r="D21"/>
  <c r="L20"/>
  <c r="F20"/>
  <c r="D20"/>
  <c r="F19"/>
  <c r="D19"/>
  <c r="L18"/>
  <c r="F18"/>
  <c r="D18"/>
  <c r="L17"/>
  <c r="F17"/>
  <c r="D17"/>
  <c r="L16"/>
  <c r="F16"/>
  <c r="D16"/>
  <c r="L15"/>
  <c r="F15"/>
  <c r="D15"/>
  <c r="F13"/>
  <c r="D13"/>
  <c r="D12"/>
  <c r="D450"/>
  <c r="D449"/>
  <c r="D432"/>
  <c r="D431"/>
  <c r="D430"/>
  <c r="D429"/>
  <c r="D43" i="80"/>
  <c r="D428" i="79"/>
  <c r="D427"/>
  <c r="D425"/>
  <c r="D424"/>
  <c r="D423"/>
  <c r="D422"/>
  <c r="D421"/>
  <c r="D420"/>
  <c r="D419"/>
  <c r="D418"/>
  <c r="D417"/>
  <c r="D416"/>
  <c r="D415"/>
  <c r="D414"/>
  <c r="D413"/>
  <c r="D412"/>
  <c r="D411"/>
  <c r="D410"/>
  <c r="D409"/>
  <c r="D407"/>
  <c r="D406"/>
  <c r="E56" i="52"/>
  <c r="E44"/>
  <c r="E40"/>
  <c r="G19"/>
  <c r="E17"/>
  <c r="E81"/>
  <c r="E62"/>
  <c r="E60"/>
  <c r="E59"/>
  <c r="E58"/>
  <c r="Q57"/>
  <c r="E57"/>
  <c r="Q56"/>
  <c r="E53"/>
  <c r="E52"/>
  <c r="E51"/>
  <c r="E46"/>
  <c r="O42"/>
  <c r="E42"/>
  <c r="O41"/>
  <c r="E41"/>
  <c r="O40"/>
  <c r="E39"/>
  <c r="E38"/>
  <c r="O36"/>
  <c r="E36"/>
  <c r="O35"/>
  <c r="E35"/>
  <c r="E30"/>
  <c r="E29"/>
  <c r="E27"/>
  <c r="G26"/>
  <c r="E26"/>
  <c r="E25"/>
  <c r="E24"/>
  <c r="G23"/>
  <c r="E23"/>
  <c r="E22"/>
  <c r="G21"/>
  <c r="E21"/>
  <c r="E20"/>
  <c r="E19"/>
  <c r="E18"/>
  <c r="E16"/>
  <c r="E15"/>
  <c r="E14"/>
  <c r="E13"/>
  <c r="G12"/>
  <c r="E12"/>
  <c r="E11"/>
  <c r="G10"/>
  <c r="E10"/>
  <c r="F80" i="51"/>
  <c r="F77"/>
  <c r="D107" i="71"/>
  <c r="D103"/>
  <c r="D102"/>
  <c r="D100"/>
  <c r="D95"/>
  <c r="D56"/>
  <c r="D53"/>
  <c r="D88"/>
  <c r="D30"/>
  <c r="D28"/>
  <c r="D80"/>
  <c r="D78"/>
  <c r="D76"/>
  <c r="D75"/>
  <c r="D18"/>
  <c r="F16"/>
  <c r="D16"/>
  <c r="F15"/>
  <c r="D15"/>
  <c r="D149" i="65"/>
  <c r="D148"/>
  <c r="D147"/>
  <c r="D146"/>
  <c r="F88"/>
  <c r="D88"/>
  <c r="F87"/>
  <c r="D87"/>
  <c r="F84"/>
  <c r="D84"/>
  <c r="D140"/>
  <c r="D139"/>
  <c r="D138"/>
  <c r="D137"/>
  <c r="D135"/>
  <c r="F74"/>
  <c r="D74"/>
  <c r="F73"/>
  <c r="D73"/>
  <c r="F71"/>
  <c r="D71"/>
  <c r="F69"/>
  <c r="D69"/>
  <c r="D129"/>
  <c r="D110"/>
  <c r="D109"/>
  <c r="D108"/>
  <c r="D107"/>
  <c r="D106"/>
  <c r="D105"/>
  <c r="D104"/>
  <c r="D103"/>
  <c r="D102"/>
  <c r="D101"/>
  <c r="D100"/>
  <c r="F23"/>
  <c r="D23"/>
  <c r="F22"/>
  <c r="D22"/>
  <c r="D21"/>
  <c r="F20"/>
  <c r="D20"/>
  <c r="F19"/>
  <c r="D19"/>
  <c r="F18"/>
  <c r="D18"/>
  <c r="F17"/>
  <c r="D17"/>
  <c r="F16"/>
  <c r="D16"/>
  <c r="F15"/>
  <c r="D15"/>
  <c r="F14"/>
  <c r="D14"/>
  <c r="F13"/>
  <c r="D13"/>
  <c r="D11"/>
  <c r="D62" i="59"/>
  <c r="D61"/>
  <c r="D37"/>
  <c r="D58"/>
  <c r="D52"/>
  <c r="D50"/>
  <c r="D48"/>
  <c r="D20"/>
  <c r="D13"/>
  <c r="D29" i="73"/>
  <c r="D27"/>
  <c r="F81" i="51"/>
  <c r="F78"/>
  <c r="F73"/>
  <c r="F72"/>
  <c r="F71"/>
  <c r="F67"/>
  <c r="F63"/>
  <c r="F62"/>
  <c r="H28"/>
  <c r="F28"/>
  <c r="F26"/>
  <c r="J25"/>
  <c r="F25"/>
  <c r="H25"/>
  <c r="H21"/>
  <c r="F21"/>
  <c r="H20"/>
  <c r="F20"/>
  <c r="J15"/>
  <c r="H15"/>
  <c r="F15"/>
  <c r="H11"/>
  <c r="F11"/>
  <c r="H10"/>
  <c r="F10"/>
  <c r="B408" i="152"/>
  <c r="D408"/>
  <c r="F408"/>
  <c r="H408"/>
  <c r="J408"/>
  <c r="L408"/>
  <c r="N408"/>
  <c r="P408"/>
  <c r="B409"/>
  <c r="D409"/>
  <c r="F409"/>
  <c r="H409"/>
  <c r="J409"/>
  <c r="L409"/>
  <c r="N409"/>
  <c r="P409"/>
  <c r="R406" i="119"/>
  <c r="R407"/>
  <c r="R408" i="79"/>
  <c r="R409"/>
  <c r="R409" i="152" l="1"/>
  <c r="R408"/>
  <c r="F313" i="119"/>
  <c r="F317"/>
  <c r="F257"/>
  <c r="F85" i="104"/>
  <c r="F89"/>
  <c r="L319" i="79" l="1"/>
  <c r="F319"/>
  <c r="N18"/>
  <c r="Q52" i="52"/>
  <c r="D59" i="59"/>
  <c r="D99" i="71"/>
  <c r="D98"/>
  <c r="F90" i="65"/>
  <c r="H77"/>
  <c r="D131"/>
  <c r="D53" i="59"/>
  <c r="J20" i="51"/>
  <c r="AJ18" i="154" l="1"/>
  <c r="AJ16"/>
  <c r="J50" i="64"/>
  <c r="H50"/>
  <c r="F50"/>
  <c r="D50"/>
  <c r="B51"/>
  <c r="B50"/>
  <c r="C117" i="125"/>
  <c r="C16"/>
  <c r="A3" i="162"/>
  <c r="H27" i="79"/>
  <c r="I13" i="52"/>
  <c r="R27" i="79" l="1"/>
  <c r="H26" i="65"/>
  <c r="J29" i="73"/>
  <c r="L29" s="1"/>
  <c r="H29" i="145"/>
  <c r="H28"/>
  <c r="H27"/>
  <c r="H26"/>
  <c r="H97" i="141" s="1"/>
  <c r="F29" i="145"/>
  <c r="F28"/>
  <c r="F27"/>
  <c r="F26"/>
  <c r="F97" i="141" s="1"/>
  <c r="D29" i="145"/>
  <c r="D28"/>
  <c r="D27"/>
  <c r="D26"/>
  <c r="D97" i="141" s="1"/>
  <c r="B29" i="145"/>
  <c r="B26"/>
  <c r="B97" i="141" s="1"/>
  <c r="D52" i="68"/>
  <c r="D49"/>
  <c r="H100" i="69"/>
  <c r="H99"/>
  <c r="H98"/>
  <c r="H97"/>
  <c r="F100"/>
  <c r="F99"/>
  <c r="F98"/>
  <c r="F97"/>
  <c r="B99"/>
  <c r="B100"/>
  <c r="B98"/>
  <c r="B97"/>
  <c r="D97"/>
  <c r="H16" i="72"/>
  <c r="H15"/>
  <c r="H14"/>
  <c r="H13"/>
  <c r="F16"/>
  <c r="F15"/>
  <c r="F14"/>
  <c r="F13"/>
  <c r="D15"/>
  <c r="D14"/>
  <c r="D13"/>
  <c r="B16"/>
  <c r="B15"/>
  <c r="B14"/>
  <c r="B13"/>
  <c r="J26" i="73"/>
  <c r="L26" s="1"/>
  <c r="H30"/>
  <c r="F30"/>
  <c r="B30"/>
  <c r="J97" i="141" l="1"/>
  <c r="L97" s="1"/>
  <c r="J26" i="145"/>
  <c r="L26" s="1"/>
  <c r="J97" i="69"/>
  <c r="L97" s="1"/>
  <c r="D30" i="145"/>
  <c r="F30"/>
  <c r="H30"/>
  <c r="D16" i="72"/>
  <c r="D100" i="69"/>
  <c r="D30" i="73"/>
  <c r="J29" i="145"/>
  <c r="L29" s="1"/>
  <c r="D17" i="154"/>
  <c r="R32" i="120"/>
  <c r="B83" i="110"/>
  <c r="D83"/>
  <c r="F83"/>
  <c r="H83"/>
  <c r="S113" i="92"/>
  <c r="S114"/>
  <c r="S115"/>
  <c r="S116"/>
  <c r="S117"/>
  <c r="S118"/>
  <c r="S119"/>
  <c r="S120"/>
  <c r="S121"/>
  <c r="S122"/>
  <c r="S123"/>
  <c r="S124"/>
  <c r="S125"/>
  <c r="S126"/>
  <c r="S127"/>
  <c r="S128"/>
  <c r="S129"/>
  <c r="S130"/>
  <c r="S131"/>
  <c r="S132"/>
  <c r="S133"/>
  <c r="O31"/>
  <c r="O23"/>
  <c r="O13"/>
  <c r="O33" s="1"/>
  <c r="M31"/>
  <c r="M33" s="1"/>
  <c r="M23"/>
  <c r="M13"/>
  <c r="K31"/>
  <c r="K23"/>
  <c r="K13"/>
  <c r="I31"/>
  <c r="I23"/>
  <c r="I13"/>
  <c r="I33" s="1"/>
  <c r="G31"/>
  <c r="G23"/>
  <c r="G13"/>
  <c r="G33" s="1"/>
  <c r="E31"/>
  <c r="E23"/>
  <c r="E13"/>
  <c r="H50" i="62"/>
  <c r="F50"/>
  <c r="D50"/>
  <c r="B51"/>
  <c r="B50"/>
  <c r="E33" i="92" l="1"/>
  <c r="K33"/>
  <c r="R298" i="79"/>
  <c r="H83" i="71"/>
  <c r="F83"/>
  <c r="H57" i="59" l="1"/>
  <c r="F57"/>
  <c r="AM116" i="53"/>
  <c r="AM117"/>
  <c r="AM118"/>
  <c r="AM119"/>
  <c r="AM120"/>
  <c r="AM121"/>
  <c r="AM122"/>
  <c r="AM123"/>
  <c r="AM124"/>
  <c r="AM125"/>
  <c r="AM126"/>
  <c r="AM127"/>
  <c r="AM128"/>
  <c r="AM129"/>
  <c r="AM130"/>
  <c r="AM131"/>
  <c r="AM132"/>
  <c r="AM133"/>
  <c r="AM134"/>
  <c r="AM135"/>
  <c r="AM140"/>
  <c r="AM141"/>
  <c r="AM142"/>
  <c r="AM143"/>
  <c r="AM144"/>
  <c r="AM145"/>
  <c r="AM146"/>
  <c r="AM147"/>
  <c r="AM148"/>
  <c r="AM149"/>
  <c r="AM150"/>
  <c r="AM151"/>
  <c r="AM155"/>
  <c r="AM156"/>
  <c r="AM157"/>
  <c r="AM158"/>
  <c r="AM159"/>
  <c r="AM160"/>
  <c r="AM161"/>
  <c r="AM162"/>
  <c r="AM163"/>
  <c r="AM164"/>
  <c r="AM165"/>
  <c r="AM166"/>
  <c r="AM167"/>
  <c r="AM177"/>
  <c r="AM178"/>
  <c r="AM179"/>
  <c r="AK180"/>
  <c r="AK173"/>
  <c r="AK172"/>
  <c r="AK171"/>
  <c r="AK168"/>
  <c r="AK152"/>
  <c r="AK136"/>
  <c r="AI180"/>
  <c r="AI173"/>
  <c r="AI172"/>
  <c r="AI171"/>
  <c r="AI168"/>
  <c r="AI152"/>
  <c r="AI136"/>
  <c r="AG180"/>
  <c r="AG173"/>
  <c r="AG172"/>
  <c r="AG171"/>
  <c r="AG174" s="1"/>
  <c r="AG168"/>
  <c r="AG152"/>
  <c r="AG136"/>
  <c r="AE180"/>
  <c r="AE173"/>
  <c r="AE172"/>
  <c r="AE171"/>
  <c r="AE174" s="1"/>
  <c r="AE168"/>
  <c r="AE152"/>
  <c r="AE136"/>
  <c r="AC180"/>
  <c r="AC173"/>
  <c r="AC172"/>
  <c r="AC171"/>
  <c r="AC168"/>
  <c r="AC152"/>
  <c r="AC136"/>
  <c r="AA180"/>
  <c r="AA173"/>
  <c r="AA172"/>
  <c r="AA171"/>
  <c r="AA168"/>
  <c r="AA152"/>
  <c r="AA136"/>
  <c r="Y180"/>
  <c r="Y173"/>
  <c r="Y172"/>
  <c r="Y171"/>
  <c r="Y168"/>
  <c r="Y152"/>
  <c r="Y136"/>
  <c r="W180"/>
  <c r="W173"/>
  <c r="W172"/>
  <c r="W171"/>
  <c r="W174" s="1"/>
  <c r="W168"/>
  <c r="W152"/>
  <c r="W136"/>
  <c r="U180"/>
  <c r="U173"/>
  <c r="U172"/>
  <c r="U171"/>
  <c r="U168"/>
  <c r="U152"/>
  <c r="U136"/>
  <c r="S180"/>
  <c r="S173"/>
  <c r="S172"/>
  <c r="S171"/>
  <c r="S168"/>
  <c r="S152"/>
  <c r="S136"/>
  <c r="Q180"/>
  <c r="Q173"/>
  <c r="Q172"/>
  <c r="Q171"/>
  <c r="Q168"/>
  <c r="Q152"/>
  <c r="Q136"/>
  <c r="O180"/>
  <c r="O173"/>
  <c r="O172"/>
  <c r="O171"/>
  <c r="O174" s="1"/>
  <c r="O168"/>
  <c r="O152"/>
  <c r="O136"/>
  <c r="M180"/>
  <c r="M173"/>
  <c r="M172"/>
  <c r="M171"/>
  <c r="M174" s="1"/>
  <c r="M168"/>
  <c r="M152"/>
  <c r="M136"/>
  <c r="K180"/>
  <c r="K173"/>
  <c r="K172"/>
  <c r="K171"/>
  <c r="K168"/>
  <c r="K152"/>
  <c r="K136"/>
  <c r="I180"/>
  <c r="I173"/>
  <c r="I172"/>
  <c r="I171"/>
  <c r="I168"/>
  <c r="I152"/>
  <c r="I136"/>
  <c r="G180"/>
  <c r="G172"/>
  <c r="G168"/>
  <c r="G152"/>
  <c r="G136"/>
  <c r="E180"/>
  <c r="E173"/>
  <c r="E172"/>
  <c r="E171"/>
  <c r="E168"/>
  <c r="E152"/>
  <c r="E136"/>
  <c r="AI42"/>
  <c r="AI44" s="1"/>
  <c r="AI34"/>
  <c r="AI26"/>
  <c r="AI16"/>
  <c r="AI36" s="1"/>
  <c r="AG42"/>
  <c r="AG44" s="1"/>
  <c r="AG34"/>
  <c r="AG26"/>
  <c r="AG16"/>
  <c r="AG36" s="1"/>
  <c r="AE42"/>
  <c r="AE44" s="1"/>
  <c r="AE34"/>
  <c r="AE26"/>
  <c r="AE16"/>
  <c r="AC42"/>
  <c r="AC44" s="1"/>
  <c r="AC34"/>
  <c r="AC26"/>
  <c r="AC16"/>
  <c r="AA44"/>
  <c r="AA42"/>
  <c r="AA34"/>
  <c r="AA26"/>
  <c r="AA16"/>
  <c r="AA36" s="1"/>
  <c r="Y44"/>
  <c r="Y42"/>
  <c r="Y34"/>
  <c r="Y26"/>
  <c r="Y16"/>
  <c r="W42"/>
  <c r="W44" s="1"/>
  <c r="W34"/>
  <c r="W26"/>
  <c r="W16"/>
  <c r="S42"/>
  <c r="S44" s="1"/>
  <c r="S34"/>
  <c r="S26"/>
  <c r="S16"/>
  <c r="I42"/>
  <c r="I44" s="1"/>
  <c r="I34"/>
  <c r="I26"/>
  <c r="I16"/>
  <c r="I36" s="1"/>
  <c r="G44"/>
  <c r="G42"/>
  <c r="G34"/>
  <c r="G26"/>
  <c r="G16"/>
  <c r="E42"/>
  <c r="E44" s="1"/>
  <c r="E34"/>
  <c r="E26"/>
  <c r="E36" s="1"/>
  <c r="E16"/>
  <c r="G25" i="84"/>
  <c r="AM180" i="53" l="1"/>
  <c r="G174"/>
  <c r="G36"/>
  <c r="AM136"/>
  <c r="Y36"/>
  <c r="E174"/>
  <c r="AI174"/>
  <c r="AM152"/>
  <c r="S36"/>
  <c r="AC36"/>
  <c r="K174"/>
  <c r="U174"/>
  <c r="AC174"/>
  <c r="AM168"/>
  <c r="Q174"/>
  <c r="Y174"/>
  <c r="W36"/>
  <c r="AE36"/>
  <c r="I174"/>
  <c r="S174"/>
  <c r="AA174"/>
  <c r="AK174"/>
  <c r="AK160" i="125" l="1"/>
  <c r="AK159"/>
  <c r="AK148"/>
  <c r="AK147"/>
  <c r="AK146"/>
  <c r="AK145"/>
  <c r="AK144"/>
  <c r="AK143"/>
  <c r="AK165"/>
  <c r="AK164"/>
  <c r="AK163"/>
  <c r="AK162"/>
  <c r="AK161"/>
  <c r="AK158"/>
  <c r="AK157"/>
  <c r="AK156"/>
  <c r="AK155"/>
  <c r="AK154"/>
  <c r="AK149"/>
  <c r="AK142"/>
  <c r="AK141"/>
  <c r="AK140"/>
  <c r="AK124"/>
  <c r="AM123"/>
  <c r="AK123"/>
  <c r="R185" i="79"/>
  <c r="AK16" i="125"/>
  <c r="E182" i="53" l="1"/>
  <c r="G182"/>
  <c r="I182"/>
  <c r="K182"/>
  <c r="M182"/>
  <c r="Q182"/>
  <c r="S182"/>
  <c r="U182"/>
  <c r="W182"/>
  <c r="Y182"/>
  <c r="AA182"/>
  <c r="AC182"/>
  <c r="AE182"/>
  <c r="AG182"/>
  <c r="AK182"/>
  <c r="AK22" i="125" l="1"/>
  <c r="AK21"/>
  <c r="AM178"/>
  <c r="AM177"/>
  <c r="AI128"/>
  <c r="AI172" s="1"/>
  <c r="AI124"/>
  <c r="AI171" s="1"/>
  <c r="AI21"/>
  <c r="AI23" s="1"/>
  <c r="AI26"/>
  <c r="AI31" s="1"/>
  <c r="AI187"/>
  <c r="AI179"/>
  <c r="AI170"/>
  <c r="AI167"/>
  <c r="AI151"/>
  <c r="AI106"/>
  <c r="AI95"/>
  <c r="AI97" s="1"/>
  <c r="AI87"/>
  <c r="AI89" s="1"/>
  <c r="AI77"/>
  <c r="AI78" s="1"/>
  <c r="AI59"/>
  <c r="AI48"/>
  <c r="AI50" s="1"/>
  <c r="AI39"/>
  <c r="AI41" s="1"/>
  <c r="AI13"/>
  <c r="AK187"/>
  <c r="AK179"/>
  <c r="AK172"/>
  <c r="AK171"/>
  <c r="AK170"/>
  <c r="AK167"/>
  <c r="AK151"/>
  <c r="AK135"/>
  <c r="AK106"/>
  <c r="AK95"/>
  <c r="AK97" s="1"/>
  <c r="AK87"/>
  <c r="AK89" s="1"/>
  <c r="AK77"/>
  <c r="AK78" s="1"/>
  <c r="AK59"/>
  <c r="AK50"/>
  <c r="AK48"/>
  <c r="AK39"/>
  <c r="AK41" s="1"/>
  <c r="AK31"/>
  <c r="AK13"/>
  <c r="AG188" i="53"/>
  <c r="AG107"/>
  <c r="AG96"/>
  <c r="AG98" s="1"/>
  <c r="AG90"/>
  <c r="AG88"/>
  <c r="AG80"/>
  <c r="AG72"/>
  <c r="AG62"/>
  <c r="AG82" s="1"/>
  <c r="AG51"/>
  <c r="AG53" s="1"/>
  <c r="AK80" i="125" l="1"/>
  <c r="AI80"/>
  <c r="AK173"/>
  <c r="AK181" s="1"/>
  <c r="AK190" s="1"/>
  <c r="AI135"/>
  <c r="AI173"/>
  <c r="AI181" s="1"/>
  <c r="AI190" s="1"/>
  <c r="AK23"/>
  <c r="AK33" s="1"/>
  <c r="AI33"/>
  <c r="AG191" i="53"/>
  <c r="AI188"/>
  <c r="AI107"/>
  <c r="AI96"/>
  <c r="AI98" s="1"/>
  <c r="AI90"/>
  <c r="AI88"/>
  <c r="AI80"/>
  <c r="AI72"/>
  <c r="AI62"/>
  <c r="AI51"/>
  <c r="AI53" s="1"/>
  <c r="C482" i="162"/>
  <c r="H136" i="137"/>
  <c r="H137" i="135" s="1"/>
  <c r="F136" i="137"/>
  <c r="F137" i="135" s="1"/>
  <c r="D136" i="137"/>
  <c r="D137" i="135" s="1"/>
  <c r="B136" i="137"/>
  <c r="B137" i="135" s="1"/>
  <c r="V17" i="154"/>
  <c r="AI82" i="53" l="1"/>
  <c r="J137" i="135"/>
  <c r="L137" s="1"/>
  <c r="J136" i="137"/>
  <c r="L136" s="1"/>
  <c r="AI182" i="53" l="1"/>
  <c r="AI191" s="1"/>
  <c r="H70" i="62" l="1"/>
  <c r="F70"/>
  <c r="D70"/>
  <c r="B70"/>
  <c r="H51"/>
  <c r="F51"/>
  <c r="D51"/>
  <c r="B137" i="63"/>
  <c r="D137"/>
  <c r="F137"/>
  <c r="H137"/>
  <c r="H51" i="64"/>
  <c r="F51"/>
  <c r="D51"/>
  <c r="H70"/>
  <c r="F70"/>
  <c r="D70"/>
  <c r="B70"/>
  <c r="J136" i="65"/>
  <c r="L136" s="1"/>
  <c r="J137" i="63" l="1"/>
  <c r="L137" s="1"/>
  <c r="P232" i="152"/>
  <c r="N232"/>
  <c r="L232"/>
  <c r="J232"/>
  <c r="H232"/>
  <c r="F232"/>
  <c r="D232"/>
  <c r="B232"/>
  <c r="R232" i="79"/>
  <c r="R231" i="119"/>
  <c r="P188" i="152"/>
  <c r="N188"/>
  <c r="L188"/>
  <c r="J188"/>
  <c r="H188"/>
  <c r="F188"/>
  <c r="D188"/>
  <c r="B188"/>
  <c r="P189" i="79"/>
  <c r="N189"/>
  <c r="L189"/>
  <c r="J189"/>
  <c r="H189"/>
  <c r="F189"/>
  <c r="D189"/>
  <c r="B189"/>
  <c r="R188"/>
  <c r="B188" i="119"/>
  <c r="P188"/>
  <c r="R187"/>
  <c r="N188"/>
  <c r="L188"/>
  <c r="J188"/>
  <c r="H188"/>
  <c r="F188"/>
  <c r="D188"/>
  <c r="P179" i="152"/>
  <c r="N179"/>
  <c r="L179"/>
  <c r="J179"/>
  <c r="H179"/>
  <c r="F179"/>
  <c r="D179"/>
  <c r="B179"/>
  <c r="R179" i="79"/>
  <c r="R178" i="119"/>
  <c r="AE187" i="125"/>
  <c r="AE179"/>
  <c r="AE167"/>
  <c r="AE151"/>
  <c r="AE133"/>
  <c r="AE132"/>
  <c r="AE131"/>
  <c r="AE130"/>
  <c r="AE129"/>
  <c r="AE128"/>
  <c r="AE127"/>
  <c r="AE126"/>
  <c r="AE125"/>
  <c r="AE124"/>
  <c r="AE123"/>
  <c r="AE122"/>
  <c r="AE121"/>
  <c r="AE120"/>
  <c r="AE119"/>
  <c r="AE118"/>
  <c r="AE117"/>
  <c r="AE116"/>
  <c r="AE115"/>
  <c r="AE114"/>
  <c r="AE106"/>
  <c r="AE97"/>
  <c r="AE95"/>
  <c r="AE87"/>
  <c r="AE89" s="1"/>
  <c r="AE80"/>
  <c r="AE78"/>
  <c r="AE77"/>
  <c r="AE59"/>
  <c r="AE50"/>
  <c r="AE48"/>
  <c r="AE39"/>
  <c r="AE41" s="1"/>
  <c r="AE30"/>
  <c r="AE29"/>
  <c r="AE28"/>
  <c r="AE27"/>
  <c r="AE26"/>
  <c r="AE22"/>
  <c r="AE21"/>
  <c r="AE20"/>
  <c r="AE19"/>
  <c r="AE18"/>
  <c r="AE17"/>
  <c r="AE16"/>
  <c r="AE13"/>
  <c r="M186" i="92"/>
  <c r="M178"/>
  <c r="M171"/>
  <c r="M170"/>
  <c r="M169"/>
  <c r="M166"/>
  <c r="M150"/>
  <c r="M134"/>
  <c r="M105"/>
  <c r="M94"/>
  <c r="M96" s="1"/>
  <c r="M86"/>
  <c r="M88" s="1"/>
  <c r="M78"/>
  <c r="M70"/>
  <c r="M59"/>
  <c r="M48"/>
  <c r="M50" s="1"/>
  <c r="M39"/>
  <c r="M41" s="1"/>
  <c r="Y187" i="125"/>
  <c r="Y179"/>
  <c r="Y172"/>
  <c r="Y170"/>
  <c r="Y167"/>
  <c r="Y151"/>
  <c r="Y124"/>
  <c r="Y171" s="1"/>
  <c r="Y106"/>
  <c r="Y97"/>
  <c r="Y95"/>
  <c r="Y87"/>
  <c r="Y89" s="1"/>
  <c r="Y77"/>
  <c r="Y78" s="1"/>
  <c r="Y59"/>
  <c r="Y48"/>
  <c r="Y50" s="1"/>
  <c r="Y39"/>
  <c r="Y41" s="1"/>
  <c r="Y31"/>
  <c r="Y21"/>
  <c r="Y23" s="1"/>
  <c r="Y13"/>
  <c r="AC188" i="53"/>
  <c r="AC107"/>
  <c r="AC96"/>
  <c r="AC98" s="1"/>
  <c r="AC88"/>
  <c r="AC90" s="1"/>
  <c r="AC80"/>
  <c r="AC72"/>
  <c r="AC62"/>
  <c r="AC82" s="1"/>
  <c r="AC53"/>
  <c r="AC51"/>
  <c r="W188"/>
  <c r="W107"/>
  <c r="W96"/>
  <c r="W98" s="1"/>
  <c r="W88"/>
  <c r="W90" s="1"/>
  <c r="W80"/>
  <c r="W72"/>
  <c r="W62"/>
  <c r="W51"/>
  <c r="W53" s="1"/>
  <c r="H26" i="137"/>
  <c r="H26" i="135" s="1"/>
  <c r="F26" i="137"/>
  <c r="F26" i="134" s="1"/>
  <c r="D26" i="137"/>
  <c r="D26" i="134" s="1"/>
  <c r="B26" i="137"/>
  <c r="B26" i="135" s="1"/>
  <c r="H25" i="137"/>
  <c r="H25" i="135" s="1"/>
  <c r="F25" i="137"/>
  <c r="F25" i="134" s="1"/>
  <c r="D25" i="137"/>
  <c r="D25" i="134" s="1"/>
  <c r="B25" i="137"/>
  <c r="B25" i="135" s="1"/>
  <c r="P27" i="152"/>
  <c r="P26"/>
  <c r="N27"/>
  <c r="N26"/>
  <c r="L27"/>
  <c r="L26"/>
  <c r="J27"/>
  <c r="J26"/>
  <c r="H27"/>
  <c r="H26"/>
  <c r="F27"/>
  <c r="F26"/>
  <c r="D27"/>
  <c r="D26"/>
  <c r="B27"/>
  <c r="B26"/>
  <c r="N26" i="62"/>
  <c r="N26" i="64"/>
  <c r="H26" i="62"/>
  <c r="F26"/>
  <c r="D26"/>
  <c r="B26"/>
  <c r="B25"/>
  <c r="D25"/>
  <c r="F25"/>
  <c r="H25"/>
  <c r="H26" i="63"/>
  <c r="F26"/>
  <c r="D26"/>
  <c r="B26"/>
  <c r="B25"/>
  <c r="D25"/>
  <c r="F25"/>
  <c r="H25"/>
  <c r="Y173" i="125" l="1"/>
  <c r="M80" i="92"/>
  <c r="W82" i="53"/>
  <c r="J26" i="63"/>
  <c r="L26" s="1"/>
  <c r="R27" i="152"/>
  <c r="N26" i="134" s="1"/>
  <c r="B26"/>
  <c r="H25"/>
  <c r="J25" s="1"/>
  <c r="B26" i="136"/>
  <c r="R232" i="152"/>
  <c r="W191" i="53"/>
  <c r="AC191"/>
  <c r="AE170" i="125"/>
  <c r="AE171"/>
  <c r="AE172"/>
  <c r="AE23"/>
  <c r="AE31"/>
  <c r="AE135"/>
  <c r="J25" i="137"/>
  <c r="F26" i="135"/>
  <c r="D25" i="136"/>
  <c r="F25" i="135"/>
  <c r="J26" i="62"/>
  <c r="L26" s="1"/>
  <c r="B25" i="136"/>
  <c r="H26"/>
  <c r="D25" i="135"/>
  <c r="D26"/>
  <c r="B25" i="134"/>
  <c r="H26"/>
  <c r="J26" s="1"/>
  <c r="H25" i="136"/>
  <c r="F26"/>
  <c r="J26" i="137"/>
  <c r="L26" s="1"/>
  <c r="F25" i="136"/>
  <c r="D26"/>
  <c r="R188" i="152"/>
  <c r="R179"/>
  <c r="M172" i="92"/>
  <c r="M180" s="1"/>
  <c r="M189" s="1"/>
  <c r="Y80" i="125"/>
  <c r="Y181"/>
  <c r="Y190" s="1"/>
  <c r="Y135"/>
  <c r="Y33"/>
  <c r="H26" i="64"/>
  <c r="H25"/>
  <c r="F26"/>
  <c r="F25"/>
  <c r="D26"/>
  <c r="D25"/>
  <c r="B26"/>
  <c r="B25"/>
  <c r="J26" i="65"/>
  <c r="L26" s="1"/>
  <c r="L26" i="64" s="1"/>
  <c r="P26" s="1"/>
  <c r="N26" i="136" l="1"/>
  <c r="L26" i="134"/>
  <c r="P26" s="1"/>
  <c r="J26" i="64"/>
  <c r="AE173" i="125"/>
  <c r="AE181" s="1"/>
  <c r="AE190" s="1"/>
  <c r="AE33"/>
  <c r="J26" i="135"/>
  <c r="L26" s="1"/>
  <c r="P26" i="62"/>
  <c r="J25" i="136"/>
  <c r="J26"/>
  <c r="L26" s="1"/>
  <c r="AG115" i="125"/>
  <c r="AG116"/>
  <c r="AG117"/>
  <c r="AG118"/>
  <c r="AG119"/>
  <c r="AG120"/>
  <c r="AG121"/>
  <c r="AG122"/>
  <c r="AG123"/>
  <c r="AG124"/>
  <c r="AG125"/>
  <c r="AG126"/>
  <c r="AG127"/>
  <c r="AG128"/>
  <c r="AG129"/>
  <c r="AG130"/>
  <c r="AG131"/>
  <c r="AG132"/>
  <c r="AG133"/>
  <c r="AG114"/>
  <c r="AG30"/>
  <c r="AG29"/>
  <c r="AG28"/>
  <c r="AG27"/>
  <c r="AG26"/>
  <c r="AG17"/>
  <c r="AG18"/>
  <c r="AG19"/>
  <c r="AG20"/>
  <c r="AG21"/>
  <c r="AG22"/>
  <c r="AG16"/>
  <c r="AG187"/>
  <c r="AG179"/>
  <c r="AG167"/>
  <c r="AG151"/>
  <c r="AG106"/>
  <c r="AG95"/>
  <c r="AG97" s="1"/>
  <c r="AG87"/>
  <c r="AG89" s="1"/>
  <c r="AG77"/>
  <c r="AG78" s="1"/>
  <c r="AG59"/>
  <c r="AG48"/>
  <c r="AG50" s="1"/>
  <c r="AG39"/>
  <c r="AG41" s="1"/>
  <c r="AG13"/>
  <c r="AE188" i="53"/>
  <c r="AE107"/>
  <c r="AE96"/>
  <c r="AE98" s="1"/>
  <c r="AE88"/>
  <c r="AE90" s="1"/>
  <c r="AE80"/>
  <c r="AE72"/>
  <c r="AE62"/>
  <c r="AE51"/>
  <c r="AE53" s="1"/>
  <c r="P26" i="136" l="1"/>
  <c r="AE82" i="53"/>
  <c r="AG80" i="125"/>
  <c r="AG31"/>
  <c r="AG171"/>
  <c r="AG172"/>
  <c r="AG135"/>
  <c r="AG170"/>
  <c r="AG23"/>
  <c r="AE191" i="53"/>
  <c r="AG33" i="125" l="1"/>
  <c r="AG173"/>
  <c r="AG181" s="1"/>
  <c r="AG190" s="1"/>
  <c r="AC187" l="1"/>
  <c r="AC179"/>
  <c r="AC172"/>
  <c r="AC171"/>
  <c r="AC170"/>
  <c r="AC167"/>
  <c r="AC151"/>
  <c r="AC135"/>
  <c r="AC106"/>
  <c r="AC95"/>
  <c r="AC97" s="1"/>
  <c r="AC87"/>
  <c r="AC89" s="1"/>
  <c r="AC77"/>
  <c r="AC78" s="1"/>
  <c r="AC59"/>
  <c r="AC48"/>
  <c r="AC50" s="1"/>
  <c r="AC39"/>
  <c r="AC41" s="1"/>
  <c r="AC23"/>
  <c r="AC13"/>
  <c r="AA188" i="53"/>
  <c r="AA191" s="1"/>
  <c r="AA107"/>
  <c r="AA96"/>
  <c r="AA98" s="1"/>
  <c r="AA90"/>
  <c r="AA88"/>
  <c r="AA80"/>
  <c r="AA72"/>
  <c r="AA62"/>
  <c r="AA51"/>
  <c r="AA53" s="1"/>
  <c r="AA82" l="1"/>
  <c r="AC80" i="125"/>
  <c r="AC173"/>
  <c r="AC181" s="1"/>
  <c r="AC190" s="1"/>
  <c r="W178"/>
  <c r="W177"/>
  <c r="W187"/>
  <c r="AA21"/>
  <c r="AA23" s="1"/>
  <c r="AA124"/>
  <c r="AA171" s="1"/>
  <c r="U118"/>
  <c r="U171" s="1"/>
  <c r="U114"/>
  <c r="U170" s="1"/>
  <c r="U17"/>
  <c r="U23" s="1"/>
  <c r="U11"/>
  <c r="U13" s="1"/>
  <c r="U187"/>
  <c r="U179"/>
  <c r="W172"/>
  <c r="U172"/>
  <c r="W171"/>
  <c r="W170"/>
  <c r="W167"/>
  <c r="U167"/>
  <c r="W151"/>
  <c r="U151"/>
  <c r="W135"/>
  <c r="W106"/>
  <c r="U106"/>
  <c r="W95"/>
  <c r="W97" s="1"/>
  <c r="U95"/>
  <c r="U97" s="1"/>
  <c r="W87"/>
  <c r="W89" s="1"/>
  <c r="U87"/>
  <c r="U89" s="1"/>
  <c r="W77"/>
  <c r="W78" s="1"/>
  <c r="U77"/>
  <c r="U78" s="1"/>
  <c r="W59"/>
  <c r="U59"/>
  <c r="U80" s="1"/>
  <c r="U50"/>
  <c r="W48"/>
  <c r="W50" s="1"/>
  <c r="U48"/>
  <c r="W39"/>
  <c r="W41" s="1"/>
  <c r="U39"/>
  <c r="U41" s="1"/>
  <c r="W31"/>
  <c r="U31"/>
  <c r="W23"/>
  <c r="W13"/>
  <c r="AA187"/>
  <c r="AA179"/>
  <c r="AA172"/>
  <c r="AA170"/>
  <c r="AA167"/>
  <c r="AA151"/>
  <c r="AA106"/>
  <c r="AA95"/>
  <c r="AA97" s="1"/>
  <c r="AA87"/>
  <c r="AA89" s="1"/>
  <c r="AA77"/>
  <c r="AA78" s="1"/>
  <c r="AA59"/>
  <c r="AA48"/>
  <c r="AA50" s="1"/>
  <c r="AA39"/>
  <c r="AA41" s="1"/>
  <c r="AA31"/>
  <c r="AA13"/>
  <c r="Y188" i="53"/>
  <c r="Y107"/>
  <c r="Y96"/>
  <c r="Y98" s="1"/>
  <c r="Y90"/>
  <c r="Y88"/>
  <c r="Y80"/>
  <c r="Y72"/>
  <c r="Y62"/>
  <c r="Y51"/>
  <c r="Y53" s="1"/>
  <c r="S188"/>
  <c r="S107"/>
  <c r="S96"/>
  <c r="S98" s="1"/>
  <c r="S88"/>
  <c r="S90" s="1"/>
  <c r="S80"/>
  <c r="S72"/>
  <c r="S62"/>
  <c r="S51"/>
  <c r="S53" s="1"/>
  <c r="U188"/>
  <c r="U107"/>
  <c r="U96"/>
  <c r="U98" s="1"/>
  <c r="U88"/>
  <c r="U90" s="1"/>
  <c r="U80"/>
  <c r="U72"/>
  <c r="U62"/>
  <c r="U51"/>
  <c r="U53" s="1"/>
  <c r="U44"/>
  <c r="U42"/>
  <c r="U34"/>
  <c r="U26"/>
  <c r="U16"/>
  <c r="H35" i="64"/>
  <c r="H34"/>
  <c r="H33"/>
  <c r="H32"/>
  <c r="H31"/>
  <c r="H30"/>
  <c r="M58" i="55"/>
  <c r="H35" i="62"/>
  <c r="H34"/>
  <c r="H33"/>
  <c r="H32"/>
  <c r="H31"/>
  <c r="H30"/>
  <c r="H105" i="69"/>
  <c r="F105"/>
  <c r="B104"/>
  <c r="D104"/>
  <c r="J104" s="1"/>
  <c r="H56" i="70"/>
  <c r="F56"/>
  <c r="D56"/>
  <c r="B56"/>
  <c r="H103" i="143"/>
  <c r="H104" i="141" s="1"/>
  <c r="F103" i="143"/>
  <c r="F104" i="141" s="1"/>
  <c r="D103" i="143"/>
  <c r="D104" i="141" s="1"/>
  <c r="B103" i="143"/>
  <c r="B104" i="141" s="1"/>
  <c r="M35" i="55"/>
  <c r="E35"/>
  <c r="E69" i="52"/>
  <c r="S69"/>
  <c r="Q69"/>
  <c r="O69"/>
  <c r="M69"/>
  <c r="K69"/>
  <c r="I69"/>
  <c r="G69"/>
  <c r="C69"/>
  <c r="E32"/>
  <c r="P390" i="79"/>
  <c r="N390"/>
  <c r="L390"/>
  <c r="J390"/>
  <c r="H390"/>
  <c r="F390"/>
  <c r="D390"/>
  <c r="B390"/>
  <c r="H104" i="71"/>
  <c r="F104"/>
  <c r="D104"/>
  <c r="B104"/>
  <c r="J103"/>
  <c r="L103" s="1"/>
  <c r="Q35" i="127"/>
  <c r="O35"/>
  <c r="M35"/>
  <c r="K35"/>
  <c r="I35"/>
  <c r="G35"/>
  <c r="E35"/>
  <c r="Q35" i="55"/>
  <c r="O35"/>
  <c r="K35"/>
  <c r="I35"/>
  <c r="G35"/>
  <c r="Q36" i="94"/>
  <c r="O36"/>
  <c r="M36"/>
  <c r="K36"/>
  <c r="I36"/>
  <c r="G36"/>
  <c r="E36"/>
  <c r="C35"/>
  <c r="S35" s="1"/>
  <c r="U36" i="53" l="1"/>
  <c r="U82"/>
  <c r="S82"/>
  <c r="Y82"/>
  <c r="AA80" i="125"/>
  <c r="W80"/>
  <c r="W33"/>
  <c r="W173"/>
  <c r="U33"/>
  <c r="J103" i="143"/>
  <c r="L103" s="1"/>
  <c r="J104" i="141"/>
  <c r="L104" s="1"/>
  <c r="L104" i="69"/>
  <c r="W179" i="125"/>
  <c r="U135"/>
  <c r="U173"/>
  <c r="U181" s="1"/>
  <c r="U190" s="1"/>
  <c r="AA33"/>
  <c r="AA173"/>
  <c r="AA181" s="1"/>
  <c r="AA190" s="1"/>
  <c r="AA135"/>
  <c r="S191" i="53"/>
  <c r="Y191"/>
  <c r="U191"/>
  <c r="B389" i="152"/>
  <c r="D389"/>
  <c r="F389"/>
  <c r="H389"/>
  <c r="J389"/>
  <c r="L389"/>
  <c r="N389"/>
  <c r="P389"/>
  <c r="P388" i="119"/>
  <c r="N388"/>
  <c r="L388"/>
  <c r="J388"/>
  <c r="H388"/>
  <c r="F388"/>
  <c r="D388"/>
  <c r="B388"/>
  <c r="R387"/>
  <c r="N64" i="109" s="1"/>
  <c r="R381" i="119"/>
  <c r="H64" i="107"/>
  <c r="F64"/>
  <c r="D64"/>
  <c r="B64"/>
  <c r="B64" i="108"/>
  <c r="D64"/>
  <c r="F64"/>
  <c r="H64"/>
  <c r="H64" i="109"/>
  <c r="F64"/>
  <c r="D64"/>
  <c r="B64"/>
  <c r="C34" i="55"/>
  <c r="S34" s="1"/>
  <c r="J64" i="108" l="1"/>
  <c r="L64" s="1"/>
  <c r="W181" i="125"/>
  <c r="W190" s="1"/>
  <c r="J64" i="107"/>
  <c r="L64" s="1"/>
  <c r="J64" i="109"/>
  <c r="L64" s="1"/>
  <c r="P64" s="1"/>
  <c r="N64" i="107"/>
  <c r="R389" i="152"/>
  <c r="R389" i="79"/>
  <c r="H64" i="68"/>
  <c r="F64"/>
  <c r="D64"/>
  <c r="B64"/>
  <c r="B64" i="69"/>
  <c r="D64"/>
  <c r="F64"/>
  <c r="H64"/>
  <c r="H64" i="70"/>
  <c r="F64"/>
  <c r="D64"/>
  <c r="B64"/>
  <c r="H64" i="143"/>
  <c r="F64"/>
  <c r="D64"/>
  <c r="B64"/>
  <c r="H65" i="110"/>
  <c r="F65"/>
  <c r="D65"/>
  <c r="B65"/>
  <c r="J64"/>
  <c r="L64" s="1"/>
  <c r="H65" i="71"/>
  <c r="F65"/>
  <c r="D65"/>
  <c r="B65"/>
  <c r="J64"/>
  <c r="L64" s="1"/>
  <c r="B108"/>
  <c r="F108"/>
  <c r="H108"/>
  <c r="C30" i="122"/>
  <c r="D214" i="154" s="1"/>
  <c r="E30" i="122"/>
  <c r="G30"/>
  <c r="H214" i="154" s="1"/>
  <c r="I30" i="122"/>
  <c r="J214" i="154" s="1"/>
  <c r="K30" i="122"/>
  <c r="M30"/>
  <c r="N214" i="154" s="1"/>
  <c r="O30" i="122"/>
  <c r="P214" i="154" s="1"/>
  <c r="Q30" i="122"/>
  <c r="R214" i="154" s="1"/>
  <c r="S30" i="122"/>
  <c r="T214" i="154" s="1"/>
  <c r="S30" i="89"/>
  <c r="U30" i="52"/>
  <c r="M72" i="55"/>
  <c r="P64" i="107" l="1"/>
  <c r="F214" i="154"/>
  <c r="V214" s="1"/>
  <c r="N64" i="68"/>
  <c r="N64" i="70"/>
  <c r="J64" i="69"/>
  <c r="L64" s="1"/>
  <c r="N64" i="140"/>
  <c r="N64" i="142"/>
  <c r="D64"/>
  <c r="D64" i="141"/>
  <c r="D64" i="140"/>
  <c r="B64"/>
  <c r="B64" i="141"/>
  <c r="B64" i="142"/>
  <c r="F64" i="141"/>
  <c r="F64" i="142"/>
  <c r="F64" i="140"/>
  <c r="J64" i="68"/>
  <c r="L64" s="1"/>
  <c r="J64" i="143"/>
  <c r="L64" s="1"/>
  <c r="H64" i="141"/>
  <c r="H64" i="142"/>
  <c r="H64" i="140"/>
  <c r="U30" i="122"/>
  <c r="O58" i="55"/>
  <c r="J64" i="70"/>
  <c r="L64" l="1"/>
  <c r="P64" i="68"/>
  <c r="J64" i="140"/>
  <c r="J64" i="142"/>
  <c r="L64" s="1"/>
  <c r="P64" s="1"/>
  <c r="J64" i="141"/>
  <c r="L64" s="1"/>
  <c r="P64" i="70" l="1"/>
  <c r="L64" i="140"/>
  <c r="D108" i="71"/>
  <c r="D57" i="59"/>
  <c r="AM14" i="154"/>
  <c r="P64" i="140" l="1"/>
  <c r="S123" i="125"/>
  <c r="S171" s="1"/>
  <c r="S21"/>
  <c r="S23" s="1"/>
  <c r="S187"/>
  <c r="S179"/>
  <c r="S172"/>
  <c r="S170"/>
  <c r="S167"/>
  <c r="S151"/>
  <c r="S106"/>
  <c r="S95"/>
  <c r="S97" s="1"/>
  <c r="S87"/>
  <c r="S89" s="1"/>
  <c r="S77"/>
  <c r="S78" s="1"/>
  <c r="S59"/>
  <c r="S48"/>
  <c r="S50" s="1"/>
  <c r="S39"/>
  <c r="S41" s="1"/>
  <c r="S31"/>
  <c r="S13"/>
  <c r="B22" i="56"/>
  <c r="D22"/>
  <c r="F22"/>
  <c r="H22"/>
  <c r="B22" i="57"/>
  <c r="D22"/>
  <c r="F22"/>
  <c r="H22"/>
  <c r="B22" i="58"/>
  <c r="D22"/>
  <c r="F22"/>
  <c r="H22"/>
  <c r="B22" i="95"/>
  <c r="D22"/>
  <c r="F22"/>
  <c r="H22"/>
  <c r="B22" i="96"/>
  <c r="D22"/>
  <c r="F22"/>
  <c r="H22"/>
  <c r="B22" i="97"/>
  <c r="D22"/>
  <c r="F22"/>
  <c r="H22"/>
  <c r="B68" i="62"/>
  <c r="D68"/>
  <c r="F68"/>
  <c r="H68"/>
  <c r="B68" i="63"/>
  <c r="D68"/>
  <c r="F68"/>
  <c r="H68"/>
  <c r="B68" i="64"/>
  <c r="D68"/>
  <c r="F68"/>
  <c r="H68"/>
  <c r="R200" i="119"/>
  <c r="S80" i="125" l="1"/>
  <c r="J68" i="64"/>
  <c r="L68" s="1"/>
  <c r="J22" i="58"/>
  <c r="L22" s="1"/>
  <c r="J22" i="57"/>
  <c r="L22" s="1"/>
  <c r="S135" i="125"/>
  <c r="J22" i="96"/>
  <c r="L22" s="1"/>
  <c r="J22" i="95"/>
  <c r="L22" s="1"/>
  <c r="J68" i="63"/>
  <c r="L68" s="1"/>
  <c r="J68" i="62"/>
  <c r="L68" s="1"/>
  <c r="J22" i="56"/>
  <c r="L22" s="1"/>
  <c r="J22" i="97"/>
  <c r="L22" s="1"/>
  <c r="S173" i="125"/>
  <c r="S181" s="1"/>
  <c r="S190" s="1"/>
  <c r="S33"/>
  <c r="R176" i="79"/>
  <c r="D233" i="152"/>
  <c r="D228"/>
  <c r="D226"/>
  <c r="D213"/>
  <c r="D211"/>
  <c r="D209"/>
  <c r="D274"/>
  <c r="H271"/>
  <c r="D271"/>
  <c r="B270"/>
  <c r="D270"/>
  <c r="F270"/>
  <c r="H270"/>
  <c r="J270"/>
  <c r="L270"/>
  <c r="N270"/>
  <c r="P270"/>
  <c r="B271"/>
  <c r="F271"/>
  <c r="J271"/>
  <c r="L271"/>
  <c r="N271"/>
  <c r="P271"/>
  <c r="B272"/>
  <c r="D272"/>
  <c r="F272"/>
  <c r="H272"/>
  <c r="J272"/>
  <c r="L272"/>
  <c r="N272"/>
  <c r="P272"/>
  <c r="B273"/>
  <c r="D273"/>
  <c r="F273"/>
  <c r="H273"/>
  <c r="J273"/>
  <c r="L273"/>
  <c r="N273"/>
  <c r="P273"/>
  <c r="B274"/>
  <c r="F274"/>
  <c r="H274"/>
  <c r="J274"/>
  <c r="L274"/>
  <c r="N274"/>
  <c r="P274"/>
  <c r="B226"/>
  <c r="F226"/>
  <c r="H226"/>
  <c r="J226"/>
  <c r="L226"/>
  <c r="N226"/>
  <c r="P226"/>
  <c r="B227"/>
  <c r="D227"/>
  <c r="F227"/>
  <c r="H227"/>
  <c r="J227"/>
  <c r="L227"/>
  <c r="N227"/>
  <c r="P227"/>
  <c r="B228"/>
  <c r="F228"/>
  <c r="H228"/>
  <c r="J228"/>
  <c r="L228"/>
  <c r="N228"/>
  <c r="P228"/>
  <c r="B229"/>
  <c r="D229"/>
  <c r="F229"/>
  <c r="H229"/>
  <c r="J229"/>
  <c r="L229"/>
  <c r="N229"/>
  <c r="P229"/>
  <c r="B230"/>
  <c r="D230"/>
  <c r="F230"/>
  <c r="H230"/>
  <c r="J230"/>
  <c r="L230"/>
  <c r="N230"/>
  <c r="P230"/>
  <c r="B231"/>
  <c r="D231"/>
  <c r="F231"/>
  <c r="H231"/>
  <c r="J231"/>
  <c r="L231"/>
  <c r="N231"/>
  <c r="P231"/>
  <c r="B233"/>
  <c r="F233"/>
  <c r="H233"/>
  <c r="J233"/>
  <c r="L233"/>
  <c r="N233"/>
  <c r="P233"/>
  <c r="B234"/>
  <c r="D234"/>
  <c r="F234"/>
  <c r="H234"/>
  <c r="J234"/>
  <c r="L234"/>
  <c r="N234"/>
  <c r="P234"/>
  <c r="D224"/>
  <c r="D223"/>
  <c r="D222"/>
  <c r="D220"/>
  <c r="D215"/>
  <c r="B208"/>
  <c r="D208"/>
  <c r="F208"/>
  <c r="H208"/>
  <c r="J208"/>
  <c r="L208"/>
  <c r="N208"/>
  <c r="P208"/>
  <c r="B209"/>
  <c r="F209"/>
  <c r="H209"/>
  <c r="J209"/>
  <c r="L209"/>
  <c r="N209"/>
  <c r="P209"/>
  <c r="B210"/>
  <c r="D210"/>
  <c r="F210"/>
  <c r="H210"/>
  <c r="J210"/>
  <c r="L210"/>
  <c r="N210"/>
  <c r="P210"/>
  <c r="B211"/>
  <c r="F211"/>
  <c r="H211"/>
  <c r="J211"/>
  <c r="L211"/>
  <c r="N211"/>
  <c r="P211"/>
  <c r="B212"/>
  <c r="D212"/>
  <c r="F212"/>
  <c r="H212"/>
  <c r="J212"/>
  <c r="L212"/>
  <c r="N212"/>
  <c r="P212"/>
  <c r="B213"/>
  <c r="F213"/>
  <c r="H213"/>
  <c r="J213"/>
  <c r="L213"/>
  <c r="N213"/>
  <c r="P213"/>
  <c r="B214"/>
  <c r="D214"/>
  <c r="F214"/>
  <c r="H214"/>
  <c r="J214"/>
  <c r="L214"/>
  <c r="N214"/>
  <c r="P214"/>
  <c r="B215"/>
  <c r="F215"/>
  <c r="H215"/>
  <c r="J215"/>
  <c r="L215"/>
  <c r="N215"/>
  <c r="P215"/>
  <c r="B216"/>
  <c r="D216"/>
  <c r="F216"/>
  <c r="H216"/>
  <c r="J216"/>
  <c r="L216"/>
  <c r="N216"/>
  <c r="P216"/>
  <c r="B217"/>
  <c r="D217"/>
  <c r="F217"/>
  <c r="H217"/>
  <c r="J217"/>
  <c r="L217"/>
  <c r="N217"/>
  <c r="P217"/>
  <c r="B218"/>
  <c r="D218"/>
  <c r="F218"/>
  <c r="H218"/>
  <c r="J218"/>
  <c r="L218"/>
  <c r="N218"/>
  <c r="P218"/>
  <c r="B219"/>
  <c r="D219"/>
  <c r="F219"/>
  <c r="H219"/>
  <c r="J219"/>
  <c r="L219"/>
  <c r="N219"/>
  <c r="P219"/>
  <c r="B220"/>
  <c r="F220"/>
  <c r="H220"/>
  <c r="J220"/>
  <c r="L220"/>
  <c r="N220"/>
  <c r="P220"/>
  <c r="B221"/>
  <c r="D221"/>
  <c r="F221"/>
  <c r="H221"/>
  <c r="J221"/>
  <c r="L221"/>
  <c r="N221"/>
  <c r="P221"/>
  <c r="B222"/>
  <c r="F222"/>
  <c r="H222"/>
  <c r="J222"/>
  <c r="L222"/>
  <c r="N222"/>
  <c r="P222"/>
  <c r="B223"/>
  <c r="F223"/>
  <c r="H223"/>
  <c r="J223"/>
  <c r="L223"/>
  <c r="N223"/>
  <c r="P223"/>
  <c r="B224"/>
  <c r="F224"/>
  <c r="H224"/>
  <c r="J224"/>
  <c r="L224"/>
  <c r="N224"/>
  <c r="P224"/>
  <c r="B225"/>
  <c r="D225"/>
  <c r="F225"/>
  <c r="H225"/>
  <c r="J225"/>
  <c r="L225"/>
  <c r="N225"/>
  <c r="P225"/>
  <c r="R201" i="79"/>
  <c r="D180" i="152"/>
  <c r="H177"/>
  <c r="D175"/>
  <c r="B175"/>
  <c r="F175"/>
  <c r="H175"/>
  <c r="J175"/>
  <c r="L175"/>
  <c r="N175"/>
  <c r="P175"/>
  <c r="B176"/>
  <c r="D176"/>
  <c r="F176"/>
  <c r="H176"/>
  <c r="J176"/>
  <c r="L176"/>
  <c r="N176"/>
  <c r="P176"/>
  <c r="B177"/>
  <c r="F177"/>
  <c r="J177"/>
  <c r="L177"/>
  <c r="N177"/>
  <c r="P177"/>
  <c r="B178"/>
  <c r="F178"/>
  <c r="H178"/>
  <c r="J178"/>
  <c r="L178"/>
  <c r="N178"/>
  <c r="P178"/>
  <c r="B180"/>
  <c r="F180"/>
  <c r="H180"/>
  <c r="J180"/>
  <c r="L180"/>
  <c r="N180"/>
  <c r="P180"/>
  <c r="R420" i="79"/>
  <c r="D419" i="152"/>
  <c r="D418"/>
  <c r="B418"/>
  <c r="F418"/>
  <c r="H418"/>
  <c r="J418"/>
  <c r="L418"/>
  <c r="N418"/>
  <c r="P418"/>
  <c r="B419"/>
  <c r="F419"/>
  <c r="H419"/>
  <c r="J419"/>
  <c r="L419"/>
  <c r="N419"/>
  <c r="P419"/>
  <c r="B420"/>
  <c r="D420"/>
  <c r="F420"/>
  <c r="H420"/>
  <c r="J420"/>
  <c r="L420"/>
  <c r="N420"/>
  <c r="P420"/>
  <c r="R416" i="119"/>
  <c r="R418"/>
  <c r="B68" i="137"/>
  <c r="D68"/>
  <c r="F68"/>
  <c r="H68"/>
  <c r="J68" i="65"/>
  <c r="L68" s="1"/>
  <c r="J67" i="104"/>
  <c r="L67" s="1"/>
  <c r="B22" i="131"/>
  <c r="D22"/>
  <c r="F22"/>
  <c r="H22"/>
  <c r="J22" i="59"/>
  <c r="L22" s="1"/>
  <c r="J22" i="98"/>
  <c r="L22" s="1"/>
  <c r="H22" i="129" l="1"/>
  <c r="H22" i="128"/>
  <c r="H22" i="130"/>
  <c r="D68" i="134"/>
  <c r="D68" i="135"/>
  <c r="D68" i="136"/>
  <c r="R221" i="152"/>
  <c r="D22" i="129"/>
  <c r="H68" i="134"/>
  <c r="H68" i="135"/>
  <c r="H68" i="136"/>
  <c r="B22" i="129"/>
  <c r="F68" i="136"/>
  <c r="F68" i="134"/>
  <c r="F68" i="135"/>
  <c r="F22" i="130"/>
  <c r="F22" i="129"/>
  <c r="F22" i="128"/>
  <c r="B68" i="134"/>
  <c r="B68" i="135"/>
  <c r="B68" i="136"/>
  <c r="J68" i="137"/>
  <c r="L68" s="1"/>
  <c r="R270" i="152"/>
  <c r="N22" i="95"/>
  <c r="P22" s="1"/>
  <c r="N22" i="97"/>
  <c r="P22" s="1"/>
  <c r="R231" i="152"/>
  <c r="R212"/>
  <c r="R224"/>
  <c r="R227"/>
  <c r="R216"/>
  <c r="R208"/>
  <c r="R230"/>
  <c r="N22" i="58"/>
  <c r="P22" s="1"/>
  <c r="N22" i="56"/>
  <c r="P22" s="1"/>
  <c r="R220" i="152"/>
  <c r="R210"/>
  <c r="R273"/>
  <c r="R234"/>
  <c r="R217"/>
  <c r="R213"/>
  <c r="R233"/>
  <c r="R228"/>
  <c r="R209"/>
  <c r="R211"/>
  <c r="R274"/>
  <c r="R272"/>
  <c r="R271"/>
  <c r="R229"/>
  <c r="R226"/>
  <c r="R225"/>
  <c r="R223"/>
  <c r="R222"/>
  <c r="R219"/>
  <c r="R218"/>
  <c r="R215"/>
  <c r="R214"/>
  <c r="R418" i="79"/>
  <c r="R419" i="152"/>
  <c r="R420"/>
  <c r="R418"/>
  <c r="J22" i="131"/>
  <c r="L22" s="1"/>
  <c r="P433" i="79"/>
  <c r="N433"/>
  <c r="J433"/>
  <c r="H433"/>
  <c r="B433"/>
  <c r="P431" i="119"/>
  <c r="N431"/>
  <c r="L431"/>
  <c r="H431"/>
  <c r="J431"/>
  <c r="B431"/>
  <c r="P153" i="152"/>
  <c r="P152"/>
  <c r="N153"/>
  <c r="N152"/>
  <c r="L153"/>
  <c r="L152"/>
  <c r="J153"/>
  <c r="J152"/>
  <c r="H153"/>
  <c r="H152"/>
  <c r="F153"/>
  <c r="F152"/>
  <c r="D153"/>
  <c r="D152"/>
  <c r="B152"/>
  <c r="B153"/>
  <c r="P154" i="79"/>
  <c r="P181" s="1"/>
  <c r="N154"/>
  <c r="N181" s="1"/>
  <c r="L154"/>
  <c r="L181" s="1"/>
  <c r="J154"/>
  <c r="J181" s="1"/>
  <c r="H154"/>
  <c r="H181" s="1"/>
  <c r="F154"/>
  <c r="F181" s="1"/>
  <c r="D154"/>
  <c r="D181" s="1"/>
  <c r="B154"/>
  <c r="R153"/>
  <c r="R152"/>
  <c r="B153" i="119"/>
  <c r="D153"/>
  <c r="F153"/>
  <c r="H153"/>
  <c r="J153"/>
  <c r="L153"/>
  <c r="N153"/>
  <c r="P153"/>
  <c r="R152"/>
  <c r="R151"/>
  <c r="R271" i="79"/>
  <c r="R270" i="119"/>
  <c r="R231" i="79"/>
  <c r="R233" i="119"/>
  <c r="R230"/>
  <c r="R229" i="79"/>
  <c r="R228" i="119"/>
  <c r="R226" i="79"/>
  <c r="R225" i="119"/>
  <c r="R217" i="79"/>
  <c r="R216" i="119"/>
  <c r="R214" i="79"/>
  <c r="R213" i="119"/>
  <c r="R212" i="79"/>
  <c r="R211" i="119"/>
  <c r="R210" i="79"/>
  <c r="R209" i="119"/>
  <c r="P205" i="152"/>
  <c r="N205"/>
  <c r="L205"/>
  <c r="J205"/>
  <c r="H205"/>
  <c r="F205"/>
  <c r="D205"/>
  <c r="B205"/>
  <c r="R205" i="79"/>
  <c r="R204" i="119"/>
  <c r="P203" i="152"/>
  <c r="N203"/>
  <c r="L203"/>
  <c r="J203"/>
  <c r="H203"/>
  <c r="F203"/>
  <c r="D203"/>
  <c r="B203"/>
  <c r="R203" i="79"/>
  <c r="R202" i="119"/>
  <c r="P201" i="152"/>
  <c r="N201"/>
  <c r="L201"/>
  <c r="J201"/>
  <c r="H201"/>
  <c r="F201"/>
  <c r="D201"/>
  <c r="B201"/>
  <c r="R200" i="79"/>
  <c r="R177"/>
  <c r="R175" i="119"/>
  <c r="R176"/>
  <c r="R234" i="79"/>
  <c r="J68" i="136" l="1"/>
  <c r="L68" s="1"/>
  <c r="J22" i="129"/>
  <c r="L22" s="1"/>
  <c r="J68" i="134"/>
  <c r="L68" s="1"/>
  <c r="J68" i="135"/>
  <c r="L68" s="1"/>
  <c r="N67" i="64"/>
  <c r="N67" i="62"/>
  <c r="N68"/>
  <c r="P68" s="1"/>
  <c r="N68" i="64"/>
  <c r="P68" s="1"/>
  <c r="N22" i="128"/>
  <c r="N22" i="130"/>
  <c r="R153" i="119"/>
  <c r="D177" i="152"/>
  <c r="R177" s="1"/>
  <c r="R154" i="79"/>
  <c r="D154" i="152"/>
  <c r="N154"/>
  <c r="R152"/>
  <c r="J154"/>
  <c r="B154"/>
  <c r="L154"/>
  <c r="R153"/>
  <c r="F154"/>
  <c r="P154"/>
  <c r="H154"/>
  <c r="R205"/>
  <c r="R203"/>
  <c r="R201"/>
  <c r="R176"/>
  <c r="R219" i="79"/>
  <c r="R218" i="119"/>
  <c r="R216" i="79"/>
  <c r="R215" i="119"/>
  <c r="B207" i="152"/>
  <c r="D207"/>
  <c r="F207"/>
  <c r="H207"/>
  <c r="J207"/>
  <c r="L207"/>
  <c r="N207"/>
  <c r="P207"/>
  <c r="R207" i="79"/>
  <c r="R206" i="119"/>
  <c r="B166" i="152"/>
  <c r="D166"/>
  <c r="F166"/>
  <c r="H166"/>
  <c r="J166"/>
  <c r="L166"/>
  <c r="N166"/>
  <c r="P166"/>
  <c r="R166" i="79"/>
  <c r="R165" i="119"/>
  <c r="B164" i="152"/>
  <c r="D164"/>
  <c r="F164"/>
  <c r="H164"/>
  <c r="J164"/>
  <c r="L164"/>
  <c r="N164"/>
  <c r="P164"/>
  <c r="R163" i="119"/>
  <c r="R164" i="79"/>
  <c r="L100"/>
  <c r="N67" i="136" l="1"/>
  <c r="N67" i="134"/>
  <c r="N68" i="136"/>
  <c r="P68" s="1"/>
  <c r="N68" i="134"/>
  <c r="P68" s="1"/>
  <c r="R154" i="152"/>
  <c r="R207"/>
  <c r="R166"/>
  <c r="R164"/>
  <c r="Q178" i="125"/>
  <c r="Q177"/>
  <c r="Q176"/>
  <c r="Q187"/>
  <c r="Q172"/>
  <c r="Q171"/>
  <c r="Q170"/>
  <c r="Q167"/>
  <c r="Q151"/>
  <c r="Q135"/>
  <c r="Q106"/>
  <c r="Q95"/>
  <c r="Q97" s="1"/>
  <c r="Q87"/>
  <c r="Q89" s="1"/>
  <c r="Q77"/>
  <c r="Q78" s="1"/>
  <c r="Q59"/>
  <c r="Q48"/>
  <c r="Q50" s="1"/>
  <c r="Q39"/>
  <c r="Q41" s="1"/>
  <c r="Q31"/>
  <c r="Q23"/>
  <c r="Q13"/>
  <c r="O118"/>
  <c r="O188" i="53"/>
  <c r="O107"/>
  <c r="O96"/>
  <c r="O98" s="1"/>
  <c r="O88"/>
  <c r="O90" s="1"/>
  <c r="O80"/>
  <c r="O72"/>
  <c r="O62"/>
  <c r="O51"/>
  <c r="O53" s="1"/>
  <c r="O42"/>
  <c r="O44" s="1"/>
  <c r="O34"/>
  <c r="O26"/>
  <c r="O16"/>
  <c r="Q188"/>
  <c r="Q107"/>
  <c r="Q96"/>
  <c r="Q98" s="1"/>
  <c r="Q90"/>
  <c r="Q88"/>
  <c r="Q80"/>
  <c r="Q72"/>
  <c r="Q62"/>
  <c r="Q82" s="1"/>
  <c r="Q51"/>
  <c r="Q53" s="1"/>
  <c r="Q44"/>
  <c r="Q42"/>
  <c r="Q34"/>
  <c r="Q26"/>
  <c r="Q16"/>
  <c r="Q36" s="1"/>
  <c r="L433" i="79"/>
  <c r="F433"/>
  <c r="O36" i="53" l="1"/>
  <c r="O82"/>
  <c r="Q80" i="125"/>
  <c r="Q33"/>
  <c r="Q173"/>
  <c r="F431" i="119"/>
  <c r="D433" i="79"/>
  <c r="Q179" i="125"/>
  <c r="Q181" s="1"/>
  <c r="Q190" s="1"/>
  <c r="Q191" i="53"/>
  <c r="D20" i="61"/>
  <c r="M129" i="125"/>
  <c r="M118"/>
  <c r="O129" l="1"/>
  <c r="AO18" i="154"/>
  <c r="O182" i="53" l="1"/>
  <c r="O191" s="1"/>
  <c r="U75" i="52"/>
  <c r="M178" i="125" l="1"/>
  <c r="M177"/>
  <c r="F35" i="62"/>
  <c r="D35"/>
  <c r="B35"/>
  <c r="D149" i="63" l="1"/>
  <c r="D43"/>
  <c r="H116" i="137"/>
  <c r="H117" i="135" s="1"/>
  <c r="F116" i="137"/>
  <c r="F117" i="135" s="1"/>
  <c r="D116" i="137"/>
  <c r="B116"/>
  <c r="B117" i="135" s="1"/>
  <c r="H117" i="63"/>
  <c r="F117"/>
  <c r="D117"/>
  <c r="B117"/>
  <c r="F35" i="64"/>
  <c r="D35"/>
  <c r="B35"/>
  <c r="J116" i="65"/>
  <c r="L116" s="1"/>
  <c r="H117"/>
  <c r="F117"/>
  <c r="D117"/>
  <c r="B117"/>
  <c r="H33" i="139"/>
  <c r="H32"/>
  <c r="F33"/>
  <c r="F32"/>
  <c r="D33"/>
  <c r="D32"/>
  <c r="B33"/>
  <c r="B32"/>
  <c r="H150" i="63"/>
  <c r="H149"/>
  <c r="F150"/>
  <c r="F149"/>
  <c r="D150"/>
  <c r="B150"/>
  <c r="B149"/>
  <c r="H21" i="66"/>
  <c r="H20"/>
  <c r="F21"/>
  <c r="F20"/>
  <c r="D21"/>
  <c r="D20"/>
  <c r="B21"/>
  <c r="B20"/>
  <c r="H34" i="67"/>
  <c r="F34"/>
  <c r="B34"/>
  <c r="D34"/>
  <c r="J33"/>
  <c r="L33" s="1"/>
  <c r="J32"/>
  <c r="G66" i="55"/>
  <c r="G53"/>
  <c r="AH12" i="154"/>
  <c r="D431" i="119"/>
  <c r="D106" i="110"/>
  <c r="L28" i="79"/>
  <c r="D71"/>
  <c r="J32" i="139" l="1"/>
  <c r="L32" s="1"/>
  <c r="D178" i="152"/>
  <c r="R178" s="1"/>
  <c r="J116" i="137"/>
  <c r="L116" s="1"/>
  <c r="D117" i="135"/>
  <c r="J117" s="1"/>
  <c r="L117" s="1"/>
  <c r="J117" i="63"/>
  <c r="J33" i="139"/>
  <c r="L33" s="1"/>
  <c r="L32" i="67"/>
  <c r="K83" i="122"/>
  <c r="K82"/>
  <c r="K81"/>
  <c r="K75"/>
  <c r="L283" i="154" s="1"/>
  <c r="K74" i="122"/>
  <c r="K73"/>
  <c r="L281" i="154" s="1"/>
  <c r="K63" i="122"/>
  <c r="K62"/>
  <c r="K61"/>
  <c r="K60"/>
  <c r="K59"/>
  <c r="K58"/>
  <c r="K57"/>
  <c r="K56"/>
  <c r="K55"/>
  <c r="K54"/>
  <c r="K53"/>
  <c r="K52"/>
  <c r="K51"/>
  <c r="K47"/>
  <c r="K46"/>
  <c r="K45"/>
  <c r="K44"/>
  <c r="K43"/>
  <c r="K42"/>
  <c r="K41"/>
  <c r="K40"/>
  <c r="K39"/>
  <c r="K38"/>
  <c r="K37"/>
  <c r="K36"/>
  <c r="K35"/>
  <c r="K29"/>
  <c r="K31"/>
  <c r="K28"/>
  <c r="K27"/>
  <c r="K26"/>
  <c r="K25"/>
  <c r="K24"/>
  <c r="K23"/>
  <c r="K22"/>
  <c r="K21"/>
  <c r="K20"/>
  <c r="K19"/>
  <c r="K18"/>
  <c r="K17"/>
  <c r="K16"/>
  <c r="K15"/>
  <c r="K14"/>
  <c r="K13"/>
  <c r="K12"/>
  <c r="K11"/>
  <c r="K10"/>
  <c r="K29" i="123"/>
  <c r="K28"/>
  <c r="K27"/>
  <c r="K24"/>
  <c r="L294" i="154" s="1"/>
  <c r="K23" i="123"/>
  <c r="L293" i="154" s="1"/>
  <c r="K22" i="123"/>
  <c r="K19"/>
  <c r="K18"/>
  <c r="K17"/>
  <c r="U74" i="52"/>
  <c r="AA75" s="1"/>
  <c r="U73"/>
  <c r="U19" i="84"/>
  <c r="U18"/>
  <c r="U17"/>
  <c r="U29"/>
  <c r="U28"/>
  <c r="U27"/>
  <c r="U24"/>
  <c r="U23"/>
  <c r="U22"/>
  <c r="K34"/>
  <c r="K32"/>
  <c r="K33"/>
  <c r="K30"/>
  <c r="K25"/>
  <c r="K20"/>
  <c r="K13"/>
  <c r="K13" i="123" s="1"/>
  <c r="K12" i="84"/>
  <c r="K11"/>
  <c r="K11" i="123" s="1"/>
  <c r="K84" i="52"/>
  <c r="K76"/>
  <c r="K68"/>
  <c r="K67"/>
  <c r="K64"/>
  <c r="K48"/>
  <c r="K32"/>
  <c r="U76" l="1"/>
  <c r="AB16"/>
  <c r="AD16" s="1"/>
  <c r="K70"/>
  <c r="K69" i="122"/>
  <c r="K34" i="123"/>
  <c r="K84" i="122"/>
  <c r="K48"/>
  <c r="L117" i="63"/>
  <c r="K30" i="123"/>
  <c r="K68" i="122"/>
  <c r="K33" i="123"/>
  <c r="K32" i="122"/>
  <c r="K67"/>
  <c r="K76"/>
  <c r="L282" i="154"/>
  <c r="L284" s="1"/>
  <c r="K20" i="123"/>
  <c r="K25"/>
  <c r="L292" i="154"/>
  <c r="L295" s="1"/>
  <c r="K35" i="84"/>
  <c r="K14"/>
  <c r="K12" i="123"/>
  <c r="K14" s="1"/>
  <c r="K64" i="122"/>
  <c r="K32" i="123"/>
  <c r="K78" i="52"/>
  <c r="K87" s="1"/>
  <c r="K70" i="122" l="1"/>
  <c r="K78" s="1"/>
  <c r="K87" s="1"/>
  <c r="K35" i="123"/>
  <c r="L304" i="154"/>
  <c r="D121" i="102"/>
  <c r="D124" i="63"/>
  <c r="I176" i="125"/>
  <c r="I129"/>
  <c r="I127"/>
  <c r="I21"/>
  <c r="I20"/>
  <c r="I27"/>
  <c r="I26"/>
  <c r="I16"/>
  <c r="C34" i="84"/>
  <c r="C33"/>
  <c r="C32"/>
  <c r="B143" i="157"/>
  <c r="D143"/>
  <c r="I115" i="156"/>
  <c r="I85"/>
  <c r="I86" s="1"/>
  <c r="G85"/>
  <c r="G86" s="1"/>
  <c r="E85"/>
  <c r="E86" s="1"/>
  <c r="C85"/>
  <c r="C86" s="1"/>
  <c r="U65" i="155"/>
  <c r="U66"/>
  <c r="U67"/>
  <c r="U68"/>
  <c r="U69"/>
  <c r="U70"/>
  <c r="T66"/>
  <c r="T67"/>
  <c r="T68"/>
  <c r="T69"/>
  <c r="T70"/>
  <c r="T65"/>
  <c r="G142" i="156"/>
  <c r="E142"/>
  <c r="E96"/>
  <c r="C96"/>
  <c r="E95"/>
  <c r="C95"/>
  <c r="E94"/>
  <c r="C94"/>
  <c r="I93"/>
  <c r="G93"/>
  <c r="E93"/>
  <c r="C93"/>
  <c r="E92"/>
  <c r="C92"/>
  <c r="E91"/>
  <c r="C91"/>
  <c r="E90"/>
  <c r="C90"/>
  <c r="I80"/>
  <c r="G80"/>
  <c r="E80"/>
  <c r="C80"/>
  <c r="I79"/>
  <c r="E79"/>
  <c r="C79"/>
  <c r="E78"/>
  <c r="C78"/>
  <c r="E77"/>
  <c r="C77"/>
  <c r="E76"/>
  <c r="C76"/>
  <c r="G75"/>
  <c r="E75"/>
  <c r="C75"/>
  <c r="T74"/>
  <c r="I74"/>
  <c r="G74"/>
  <c r="E74"/>
  <c r="C74"/>
  <c r="S73"/>
  <c r="Q42"/>
  <c r="O42"/>
  <c r="M42"/>
  <c r="K42"/>
  <c r="I42"/>
  <c r="G42"/>
  <c r="E42"/>
  <c r="C42"/>
  <c r="Q41"/>
  <c r="O41"/>
  <c r="M41"/>
  <c r="K41"/>
  <c r="I41"/>
  <c r="G41"/>
  <c r="E41"/>
  <c r="C41"/>
  <c r="Q40"/>
  <c r="Q43" s="1"/>
  <c r="O40"/>
  <c r="M40"/>
  <c r="M43" s="1"/>
  <c r="K40"/>
  <c r="I40"/>
  <c r="G40"/>
  <c r="G43" s="1"/>
  <c r="E40"/>
  <c r="E43" s="1"/>
  <c r="C40"/>
  <c r="C43" s="1"/>
  <c r="C29"/>
  <c r="G28"/>
  <c r="E28"/>
  <c r="C28"/>
  <c r="C27"/>
  <c r="C26"/>
  <c r="C25"/>
  <c r="G24"/>
  <c r="C24"/>
  <c r="C23"/>
  <c r="E22"/>
  <c r="C22"/>
  <c r="C21"/>
  <c r="I20"/>
  <c r="E20"/>
  <c r="C20"/>
  <c r="C19"/>
  <c r="E18"/>
  <c r="C18"/>
  <c r="C17"/>
  <c r="C16"/>
  <c r="C15"/>
  <c r="C14"/>
  <c r="G13"/>
  <c r="C13"/>
  <c r="C12"/>
  <c r="I11"/>
  <c r="E11"/>
  <c r="C11"/>
  <c r="C10"/>
  <c r="G9"/>
  <c r="E9"/>
  <c r="C9"/>
  <c r="E134"/>
  <c r="E127"/>
  <c r="E138" s="1"/>
  <c r="E126"/>
  <c r="E137" s="1"/>
  <c r="E123"/>
  <c r="N108"/>
  <c r="U71"/>
  <c r="W70"/>
  <c r="W69"/>
  <c r="W68"/>
  <c r="W67"/>
  <c r="W66"/>
  <c r="W65"/>
  <c r="T71"/>
  <c r="W64"/>
  <c r="K43"/>
  <c r="G142" i="155"/>
  <c r="E142"/>
  <c r="T74"/>
  <c r="S73"/>
  <c r="A3"/>
  <c r="E134"/>
  <c r="E127"/>
  <c r="E138" s="1"/>
  <c r="E126"/>
  <c r="E137" s="1"/>
  <c r="E123"/>
  <c r="N108"/>
  <c r="W70"/>
  <c r="W69"/>
  <c r="W68"/>
  <c r="W67"/>
  <c r="W66"/>
  <c r="W65"/>
  <c r="W64"/>
  <c r="S50" i="127"/>
  <c r="Q34"/>
  <c r="Q33"/>
  <c r="Q32"/>
  <c r="Q31"/>
  <c r="Q30"/>
  <c r="Q29"/>
  <c r="Q28"/>
  <c r="Q25"/>
  <c r="Q24"/>
  <c r="Q23"/>
  <c r="Q22"/>
  <c r="Q21"/>
  <c r="Q20"/>
  <c r="Q19"/>
  <c r="Q18"/>
  <c r="Q17"/>
  <c r="Q16"/>
  <c r="Q15"/>
  <c r="Q12"/>
  <c r="Q11"/>
  <c r="O34"/>
  <c r="O33"/>
  <c r="O32"/>
  <c r="O31"/>
  <c r="O30"/>
  <c r="O29"/>
  <c r="O28"/>
  <c r="O25"/>
  <c r="O24"/>
  <c r="O23"/>
  <c r="O22"/>
  <c r="I115" i="155" s="1"/>
  <c r="O21" i="127"/>
  <c r="O20"/>
  <c r="O19"/>
  <c r="O18"/>
  <c r="O17"/>
  <c r="O16"/>
  <c r="O15"/>
  <c r="O12"/>
  <c r="O11"/>
  <c r="M34"/>
  <c r="M33"/>
  <c r="M32"/>
  <c r="M31"/>
  <c r="M30"/>
  <c r="M29"/>
  <c r="M28"/>
  <c r="M25"/>
  <c r="M24"/>
  <c r="M23"/>
  <c r="M22"/>
  <c r="M21"/>
  <c r="M20"/>
  <c r="M19"/>
  <c r="M18"/>
  <c r="M17"/>
  <c r="M16"/>
  <c r="M15"/>
  <c r="M12"/>
  <c r="M11"/>
  <c r="K34"/>
  <c r="K33"/>
  <c r="K32"/>
  <c r="K31"/>
  <c r="K30"/>
  <c r="K29"/>
  <c r="K28"/>
  <c r="K25"/>
  <c r="K24"/>
  <c r="K23"/>
  <c r="K22"/>
  <c r="K21"/>
  <c r="K20"/>
  <c r="K19"/>
  <c r="K18"/>
  <c r="K17"/>
  <c r="K16"/>
  <c r="K15"/>
  <c r="K12"/>
  <c r="K11"/>
  <c r="I34"/>
  <c r="I33"/>
  <c r="I32"/>
  <c r="I31"/>
  <c r="I30"/>
  <c r="I29"/>
  <c r="I28"/>
  <c r="I25"/>
  <c r="I24"/>
  <c r="I23"/>
  <c r="I22"/>
  <c r="I21"/>
  <c r="I20"/>
  <c r="I19"/>
  <c r="I18"/>
  <c r="I17"/>
  <c r="I16"/>
  <c r="I15"/>
  <c r="I12"/>
  <c r="I11"/>
  <c r="G34"/>
  <c r="G33"/>
  <c r="G32"/>
  <c r="G31"/>
  <c r="G30"/>
  <c r="G29"/>
  <c r="G28"/>
  <c r="G25"/>
  <c r="G24"/>
  <c r="G23"/>
  <c r="G22"/>
  <c r="G21"/>
  <c r="G20"/>
  <c r="G19"/>
  <c r="G18"/>
  <c r="G17"/>
  <c r="G16"/>
  <c r="G15"/>
  <c r="G12"/>
  <c r="G11"/>
  <c r="E34"/>
  <c r="E33"/>
  <c r="E32"/>
  <c r="E31"/>
  <c r="E30"/>
  <c r="E29"/>
  <c r="E28"/>
  <c r="E25"/>
  <c r="E24"/>
  <c r="E23"/>
  <c r="E22"/>
  <c r="E21"/>
  <c r="E20"/>
  <c r="E19"/>
  <c r="E18"/>
  <c r="E17"/>
  <c r="E16"/>
  <c r="E15"/>
  <c r="E12"/>
  <c r="E11"/>
  <c r="Y14" i="154"/>
  <c r="Y13"/>
  <c r="Y11"/>
  <c r="Y10"/>
  <c r="F300"/>
  <c r="AA304" s="1"/>
  <c r="AA15" s="1"/>
  <c r="V299"/>
  <c r="V298"/>
  <c r="T300"/>
  <c r="R300"/>
  <c r="P300"/>
  <c r="N300"/>
  <c r="J300"/>
  <c r="H300"/>
  <c r="D300"/>
  <c r="G145" i="125"/>
  <c r="G140"/>
  <c r="G151" s="1"/>
  <c r="G116"/>
  <c r="G22"/>
  <c r="G16"/>
  <c r="G20" i="156"/>
  <c r="C35" i="84" l="1"/>
  <c r="C105" i="156"/>
  <c r="C100"/>
  <c r="G36" i="127"/>
  <c r="I36"/>
  <c r="K36"/>
  <c r="O36"/>
  <c r="Q36"/>
  <c r="I43" i="156"/>
  <c r="M36" i="127"/>
  <c r="E36"/>
  <c r="C103" i="156"/>
  <c r="E103"/>
  <c r="C104"/>
  <c r="E106"/>
  <c r="C34"/>
  <c r="C50" s="1"/>
  <c r="S41"/>
  <c r="E104"/>
  <c r="AA12" i="154"/>
  <c r="K85" i="156"/>
  <c r="M85" s="1"/>
  <c r="M86" s="1"/>
  <c r="C102"/>
  <c r="S42"/>
  <c r="E81"/>
  <c r="C36"/>
  <c r="C52" s="1"/>
  <c r="S40"/>
  <c r="C101"/>
  <c r="E102"/>
  <c r="C106"/>
  <c r="C97"/>
  <c r="K93"/>
  <c r="M93" s="1"/>
  <c r="U71" i="155"/>
  <c r="V300" i="154"/>
  <c r="E105" i="156"/>
  <c r="C35"/>
  <c r="C58" s="1"/>
  <c r="G13" i="127"/>
  <c r="I13"/>
  <c r="I26"/>
  <c r="K13"/>
  <c r="M13"/>
  <c r="O13"/>
  <c r="O26"/>
  <c r="Q13"/>
  <c r="G11" i="156"/>
  <c r="G22"/>
  <c r="T71" i="155"/>
  <c r="U73" i="156"/>
  <c r="C30"/>
  <c r="O43"/>
  <c r="K80"/>
  <c r="M80" s="1"/>
  <c r="C81"/>
  <c r="E97"/>
  <c r="E100"/>
  <c r="E101"/>
  <c r="K74"/>
  <c r="M74" s="1"/>
  <c r="G26" i="127"/>
  <c r="K26"/>
  <c r="M26"/>
  <c r="Q26"/>
  <c r="AO245" i="154"/>
  <c r="AB18"/>
  <c r="Z15"/>
  <c r="Z14"/>
  <c r="Z13"/>
  <c r="Z12"/>
  <c r="Z16" s="1"/>
  <c r="Z11"/>
  <c r="Z10"/>
  <c r="AB15"/>
  <c r="AB14"/>
  <c r="AB13"/>
  <c r="AB12"/>
  <c r="AB11"/>
  <c r="AB10"/>
  <c r="AO14"/>
  <c r="AO11"/>
  <c r="AO10"/>
  <c r="AN13"/>
  <c r="AN11"/>
  <c r="AM15"/>
  <c r="AM13"/>
  <c r="AM12"/>
  <c r="AM10"/>
  <c r="AL15"/>
  <c r="AL14"/>
  <c r="AL13"/>
  <c r="AL12"/>
  <c r="AL11"/>
  <c r="AL10"/>
  <c r="AK15"/>
  <c r="AK14"/>
  <c r="AK13"/>
  <c r="AK12"/>
  <c r="AK11"/>
  <c r="AK10"/>
  <c r="AI15"/>
  <c r="AI14"/>
  <c r="AI13"/>
  <c r="AI12"/>
  <c r="AI11"/>
  <c r="AI10"/>
  <c r="AJ15"/>
  <c r="AJ14"/>
  <c r="AJ13"/>
  <c r="AJ11"/>
  <c r="AH14"/>
  <c r="AH13"/>
  <c r="AH11"/>
  <c r="AG14"/>
  <c r="AG13"/>
  <c r="AG12"/>
  <c r="AG11"/>
  <c r="AG10"/>
  <c r="AM167" i="125"/>
  <c r="AM151"/>
  <c r="O167"/>
  <c r="O151"/>
  <c r="M167"/>
  <c r="M151"/>
  <c r="K167"/>
  <c r="K151"/>
  <c r="I167"/>
  <c r="I151"/>
  <c r="G167"/>
  <c r="E167"/>
  <c r="E151"/>
  <c r="AM135"/>
  <c r="O135"/>
  <c r="M135"/>
  <c r="K135"/>
  <c r="I135"/>
  <c r="G135"/>
  <c r="E135"/>
  <c r="AM31"/>
  <c r="O31"/>
  <c r="M31"/>
  <c r="K31"/>
  <c r="I31"/>
  <c r="G31"/>
  <c r="E31"/>
  <c r="AM23"/>
  <c r="O23"/>
  <c r="M23"/>
  <c r="K23"/>
  <c r="I23"/>
  <c r="G23"/>
  <c r="AM13"/>
  <c r="O13"/>
  <c r="M13"/>
  <c r="K13"/>
  <c r="I13"/>
  <c r="G13"/>
  <c r="E13"/>
  <c r="C87"/>
  <c r="E87"/>
  <c r="E89" s="1"/>
  <c r="G87"/>
  <c r="G89" s="1"/>
  <c r="I87"/>
  <c r="I89" s="1"/>
  <c r="K87"/>
  <c r="C89"/>
  <c r="K89"/>
  <c r="C95"/>
  <c r="C97" s="1"/>
  <c r="E95"/>
  <c r="E97" s="1"/>
  <c r="G95"/>
  <c r="I95"/>
  <c r="I97" s="1"/>
  <c r="K95"/>
  <c r="K97" s="1"/>
  <c r="G97"/>
  <c r="C106"/>
  <c r="E106"/>
  <c r="G106"/>
  <c r="I106"/>
  <c r="K106"/>
  <c r="C78"/>
  <c r="E78"/>
  <c r="G78"/>
  <c r="I78"/>
  <c r="K78"/>
  <c r="E178"/>
  <c r="AO178" s="1"/>
  <c r="E177"/>
  <c r="AO177" s="1"/>
  <c r="E176"/>
  <c r="AO176" s="1"/>
  <c r="C47"/>
  <c r="C21"/>
  <c r="AO166"/>
  <c r="AO165"/>
  <c r="AO164"/>
  <c r="AO163"/>
  <c r="AO162"/>
  <c r="AO161"/>
  <c r="AO160"/>
  <c r="AO159"/>
  <c r="AO158"/>
  <c r="AO157"/>
  <c r="AO156"/>
  <c r="AO155"/>
  <c r="AO154"/>
  <c r="AO150"/>
  <c r="AO149"/>
  <c r="AO148"/>
  <c r="AO147"/>
  <c r="AO146"/>
  <c r="AO145"/>
  <c r="AO144"/>
  <c r="AO143"/>
  <c r="AO142"/>
  <c r="AO141"/>
  <c r="AO140"/>
  <c r="AO139"/>
  <c r="AO126"/>
  <c r="AO125"/>
  <c r="AO124"/>
  <c r="AO123"/>
  <c r="AO122"/>
  <c r="AK34" i="53"/>
  <c r="AK26"/>
  <c r="AK16"/>
  <c r="M34"/>
  <c r="M26"/>
  <c r="M16"/>
  <c r="K34"/>
  <c r="K26"/>
  <c r="K16"/>
  <c r="AM187"/>
  <c r="AM186"/>
  <c r="AM185"/>
  <c r="AF15" i="154"/>
  <c r="AF14"/>
  <c r="AF13"/>
  <c r="AF11"/>
  <c r="AD15"/>
  <c r="AD14"/>
  <c r="AD12"/>
  <c r="AD11"/>
  <c r="D17" i="58"/>
  <c r="H49" i="131"/>
  <c r="H52" i="129" s="1"/>
  <c r="F49" i="131"/>
  <c r="F52" i="129" s="1"/>
  <c r="B49" i="131"/>
  <c r="B52" i="129" s="1"/>
  <c r="D49" i="131"/>
  <c r="D52" i="129" s="1"/>
  <c r="H31" i="139"/>
  <c r="H30"/>
  <c r="F31"/>
  <c r="F30"/>
  <c r="B30"/>
  <c r="D30"/>
  <c r="H84" i="62"/>
  <c r="F84"/>
  <c r="B84"/>
  <c r="D84"/>
  <c r="H147" i="63"/>
  <c r="F147"/>
  <c r="B147"/>
  <c r="D147"/>
  <c r="H18" i="66"/>
  <c r="F18"/>
  <c r="B18"/>
  <c r="D18"/>
  <c r="H31" i="56"/>
  <c r="F31"/>
  <c r="B31"/>
  <c r="D31"/>
  <c r="H52" i="57"/>
  <c r="F52"/>
  <c r="B52"/>
  <c r="B17" i="56"/>
  <c r="H17"/>
  <c r="F17"/>
  <c r="D17"/>
  <c r="D52" i="57"/>
  <c r="H65"/>
  <c r="F65"/>
  <c r="B65"/>
  <c r="D65"/>
  <c r="D66"/>
  <c r="AA20" i="154" l="1"/>
  <c r="AO12"/>
  <c r="AK36" i="53"/>
  <c r="K36"/>
  <c r="M36"/>
  <c r="K86" i="156"/>
  <c r="C51"/>
  <c r="C53" s="1"/>
  <c r="C59"/>
  <c r="C57"/>
  <c r="Q38" i="127"/>
  <c r="S43" i="156"/>
  <c r="C107"/>
  <c r="C108" s="1"/>
  <c r="O38" i="127"/>
  <c r="I38"/>
  <c r="H34" i="139"/>
  <c r="G38" i="127"/>
  <c r="F34" i="139"/>
  <c r="K38" i="127"/>
  <c r="C37" i="156"/>
  <c r="U73" i="155"/>
  <c r="M38" i="127"/>
  <c r="AO30" i="154" s="1"/>
  <c r="E107" i="156"/>
  <c r="E108" s="1"/>
  <c r="J30" i="139"/>
  <c r="J49" i="131"/>
  <c r="L49" s="1"/>
  <c r="H19" i="133"/>
  <c r="H20" s="1"/>
  <c r="H22" s="1"/>
  <c r="F19"/>
  <c r="F20" s="1"/>
  <c r="F22" s="1"/>
  <c r="B19"/>
  <c r="B20" s="1"/>
  <c r="B22" s="1"/>
  <c r="D19"/>
  <c r="D20" s="1"/>
  <c r="D22" s="1"/>
  <c r="P299" i="152"/>
  <c r="P298"/>
  <c r="N299"/>
  <c r="N298"/>
  <c r="L299"/>
  <c r="L298"/>
  <c r="J299"/>
  <c r="J298"/>
  <c r="H299"/>
  <c r="H298"/>
  <c r="F299"/>
  <c r="F298"/>
  <c r="D299"/>
  <c r="D298"/>
  <c r="B299"/>
  <c r="B298"/>
  <c r="P251"/>
  <c r="P250"/>
  <c r="P249"/>
  <c r="N251"/>
  <c r="N250"/>
  <c r="N249"/>
  <c r="L251"/>
  <c r="L250"/>
  <c r="L249"/>
  <c r="J251"/>
  <c r="J250"/>
  <c r="J249"/>
  <c r="H251"/>
  <c r="H250"/>
  <c r="H249"/>
  <c r="F251"/>
  <c r="F250"/>
  <c r="F249"/>
  <c r="D249"/>
  <c r="D251"/>
  <c r="D250"/>
  <c r="B251"/>
  <c r="B250"/>
  <c r="R273" i="119"/>
  <c r="R249"/>
  <c r="R232"/>
  <c r="R229"/>
  <c r="R174"/>
  <c r="R177"/>
  <c r="S34" i="84"/>
  <c r="S33"/>
  <c r="S32"/>
  <c r="Q34"/>
  <c r="Q33"/>
  <c r="Q32"/>
  <c r="O34"/>
  <c r="O33"/>
  <c r="O32"/>
  <c r="M34"/>
  <c r="M33"/>
  <c r="M32"/>
  <c r="I34"/>
  <c r="I33"/>
  <c r="I32"/>
  <c r="G34"/>
  <c r="G33"/>
  <c r="G32"/>
  <c r="E34"/>
  <c r="E33"/>
  <c r="E25"/>
  <c r="E32"/>
  <c r="C60" i="156" l="1"/>
  <c r="AO29" i="154"/>
  <c r="AO31" s="1"/>
  <c r="AO22"/>
  <c r="AO23" s="1"/>
  <c r="R298" i="152"/>
  <c r="U33" i="84"/>
  <c r="U32"/>
  <c r="U34"/>
  <c r="L30" i="139"/>
  <c r="R175" i="152"/>
  <c r="J19" i="133"/>
  <c r="J20" s="1"/>
  <c r="J22" s="1"/>
  <c r="R250" i="152"/>
  <c r="R274" i="79"/>
  <c r="R250"/>
  <c r="R230"/>
  <c r="R233"/>
  <c r="R175"/>
  <c r="J33" i="71"/>
  <c r="J32"/>
  <c r="J31"/>
  <c r="J30"/>
  <c r="J29"/>
  <c r="J28"/>
  <c r="J49" i="59"/>
  <c r="L49" s="1"/>
  <c r="J30" i="67"/>
  <c r="H10" i="60"/>
  <c r="F10"/>
  <c r="D10"/>
  <c r="B10"/>
  <c r="H23" i="61"/>
  <c r="H26" s="1"/>
  <c r="F23"/>
  <c r="F26" s="1"/>
  <c r="D23"/>
  <c r="D26" s="1"/>
  <c r="B26"/>
  <c r="B23"/>
  <c r="H21"/>
  <c r="F21"/>
  <c r="D21"/>
  <c r="B21"/>
  <c r="J20"/>
  <c r="J21" s="1"/>
  <c r="J23" s="1"/>
  <c r="J26" s="1"/>
  <c r="L30" i="67" l="1"/>
  <c r="L19" i="133"/>
  <c r="L20" s="1"/>
  <c r="L22" s="1"/>
  <c r="J10" i="60"/>
  <c r="L20" i="61"/>
  <c r="L21" s="1"/>
  <c r="L23" s="1"/>
  <c r="L26" s="1"/>
  <c r="S29" i="123"/>
  <c r="S28"/>
  <c r="S27"/>
  <c r="Q29"/>
  <c r="Q28"/>
  <c r="Q27"/>
  <c r="O29"/>
  <c r="O28"/>
  <c r="O27"/>
  <c r="M29"/>
  <c r="M28"/>
  <c r="M27"/>
  <c r="I29"/>
  <c r="I28"/>
  <c r="I27"/>
  <c r="G29"/>
  <c r="G28"/>
  <c r="G27"/>
  <c r="E29"/>
  <c r="E28"/>
  <c r="E27"/>
  <c r="S24"/>
  <c r="T294" i="154" s="1"/>
  <c r="S23" i="123"/>
  <c r="T293" i="154" s="1"/>
  <c r="S22" i="123"/>
  <c r="Q24"/>
  <c r="R294" i="154" s="1"/>
  <c r="Q23" i="123"/>
  <c r="R293" i="154" s="1"/>
  <c r="Q22" i="123"/>
  <c r="R292" i="154" s="1"/>
  <c r="O24" i="123"/>
  <c r="O23"/>
  <c r="O22"/>
  <c r="P292" i="154" s="1"/>
  <c r="M24" i="123"/>
  <c r="N294" i="154" s="1"/>
  <c r="M23" i="123"/>
  <c r="N293" i="154" s="1"/>
  <c r="M22" i="123"/>
  <c r="N292" i="154" s="1"/>
  <c r="I24" i="123"/>
  <c r="J294" i="154" s="1"/>
  <c r="I23" i="123"/>
  <c r="J293" i="154" s="1"/>
  <c r="I22" i="123"/>
  <c r="G24"/>
  <c r="H294" i="154" s="1"/>
  <c r="G23" i="123"/>
  <c r="H293" i="154" s="1"/>
  <c r="G22" i="123"/>
  <c r="H292" i="154" s="1"/>
  <c r="E24" i="123"/>
  <c r="F294" i="154" s="1"/>
  <c r="E23" i="123"/>
  <c r="F293" i="154" s="1"/>
  <c r="E22" i="123"/>
  <c r="S19"/>
  <c r="S18"/>
  <c r="S17"/>
  <c r="Q19"/>
  <c r="Q18"/>
  <c r="Q17"/>
  <c r="O19"/>
  <c r="O18"/>
  <c r="O17"/>
  <c r="M19"/>
  <c r="M18"/>
  <c r="M17"/>
  <c r="I19"/>
  <c r="I18"/>
  <c r="I17"/>
  <c r="G19"/>
  <c r="G18"/>
  <c r="G17"/>
  <c r="E19"/>
  <c r="E18"/>
  <c r="E17"/>
  <c r="C29"/>
  <c r="C28"/>
  <c r="C27"/>
  <c r="C24"/>
  <c r="D294" i="154" s="1"/>
  <c r="C23" i="123"/>
  <c r="D293" i="154" s="1"/>
  <c r="C22" i="123"/>
  <c r="D292" i="154" s="1"/>
  <c r="C19" i="123"/>
  <c r="C18"/>
  <c r="C17"/>
  <c r="B51" i="69"/>
  <c r="B51" i="70"/>
  <c r="B26" i="56"/>
  <c r="B38"/>
  <c r="B72" i="57"/>
  <c r="B60"/>
  <c r="B38" i="58"/>
  <c r="B26"/>
  <c r="B148" i="63"/>
  <c r="B86" i="64"/>
  <c r="J149" i="65"/>
  <c r="J148"/>
  <c r="J147"/>
  <c r="J146"/>
  <c r="J145"/>
  <c r="J144"/>
  <c r="D150"/>
  <c r="F150"/>
  <c r="H150"/>
  <c r="P300" i="79"/>
  <c r="P284"/>
  <c r="N300"/>
  <c r="N284"/>
  <c r="L300"/>
  <c r="L284"/>
  <c r="J300"/>
  <c r="J284"/>
  <c r="H300"/>
  <c r="H284"/>
  <c r="F300"/>
  <c r="F284"/>
  <c r="P192"/>
  <c r="N192"/>
  <c r="L192"/>
  <c r="J192"/>
  <c r="H192"/>
  <c r="F192"/>
  <c r="P146"/>
  <c r="N146"/>
  <c r="L146"/>
  <c r="J146"/>
  <c r="H146"/>
  <c r="F146"/>
  <c r="N116"/>
  <c r="D116"/>
  <c r="F116"/>
  <c r="H116"/>
  <c r="J116"/>
  <c r="F71"/>
  <c r="L71"/>
  <c r="R32" i="80"/>
  <c r="E35" i="84"/>
  <c r="E30"/>
  <c r="G35"/>
  <c r="G30"/>
  <c r="I35"/>
  <c r="I30"/>
  <c r="I25"/>
  <c r="M35"/>
  <c r="M30"/>
  <c r="M25"/>
  <c r="O35"/>
  <c r="O30"/>
  <c r="O25"/>
  <c r="Q35"/>
  <c r="Q30"/>
  <c r="Q25"/>
  <c r="S35"/>
  <c r="S30"/>
  <c r="S25"/>
  <c r="C20"/>
  <c r="E20"/>
  <c r="G20"/>
  <c r="I20"/>
  <c r="M20"/>
  <c r="O20"/>
  <c r="Q20"/>
  <c r="S20"/>
  <c r="I76" i="52"/>
  <c r="G76"/>
  <c r="B38" i="95"/>
  <c r="B72" i="96"/>
  <c r="B31" i="97"/>
  <c r="B38"/>
  <c r="B121" i="102"/>
  <c r="B144"/>
  <c r="B84" i="103"/>
  <c r="B51" i="108"/>
  <c r="B51" i="109"/>
  <c r="H92" i="110"/>
  <c r="F92"/>
  <c r="H20" i="116"/>
  <c r="H13"/>
  <c r="F20"/>
  <c r="F13"/>
  <c r="H298" i="119"/>
  <c r="H283"/>
  <c r="F298"/>
  <c r="F283"/>
  <c r="H251"/>
  <c r="F251"/>
  <c r="H234"/>
  <c r="F234"/>
  <c r="H115"/>
  <c r="F115"/>
  <c r="B70"/>
  <c r="B87"/>
  <c r="B99"/>
  <c r="B115"/>
  <c r="B131"/>
  <c r="B145"/>
  <c r="H36" i="120"/>
  <c r="F36"/>
  <c r="H67" i="103"/>
  <c r="H191" i="119"/>
  <c r="H180"/>
  <c r="H274"/>
  <c r="H237"/>
  <c r="H72" i="102"/>
  <c r="H67" i="101"/>
  <c r="H43" i="108"/>
  <c r="H103" i="110"/>
  <c r="H121" i="102"/>
  <c r="H144"/>
  <c r="H74"/>
  <c r="H71"/>
  <c r="H69"/>
  <c r="H42"/>
  <c r="H41"/>
  <c r="H40"/>
  <c r="H39"/>
  <c r="H23"/>
  <c r="H22"/>
  <c r="H19"/>
  <c r="H18"/>
  <c r="H17"/>
  <c r="H16"/>
  <c r="H15"/>
  <c r="H14"/>
  <c r="H13"/>
  <c r="H86"/>
  <c r="H85"/>
  <c r="H84"/>
  <c r="H82"/>
  <c r="G25" i="123" l="1"/>
  <c r="I20"/>
  <c r="N295" i="154"/>
  <c r="M20" i="123"/>
  <c r="U29"/>
  <c r="U19"/>
  <c r="V227" i="154" s="1"/>
  <c r="S20" i="123"/>
  <c r="U18"/>
  <c r="T292" i="154"/>
  <c r="T295" s="1"/>
  <c r="U22" i="123"/>
  <c r="U27"/>
  <c r="U17"/>
  <c r="U28"/>
  <c r="P294" i="154"/>
  <c r="V294" s="1"/>
  <c r="U24" i="123"/>
  <c r="P293" i="154"/>
  <c r="U23" i="123"/>
  <c r="Q25"/>
  <c r="S25"/>
  <c r="M25"/>
  <c r="C20"/>
  <c r="C34"/>
  <c r="C30"/>
  <c r="D288" i="154"/>
  <c r="D226"/>
  <c r="F287"/>
  <c r="F225"/>
  <c r="F289"/>
  <c r="F227"/>
  <c r="G20" i="123"/>
  <c r="H288" i="154"/>
  <c r="H226"/>
  <c r="J287"/>
  <c r="J225"/>
  <c r="J289"/>
  <c r="J227"/>
  <c r="N288"/>
  <c r="N226"/>
  <c r="P287"/>
  <c r="P225"/>
  <c r="P289"/>
  <c r="P227"/>
  <c r="Q20" i="123"/>
  <c r="R288" i="154"/>
  <c r="R226"/>
  <c r="T287"/>
  <c r="T225"/>
  <c r="T289"/>
  <c r="T227"/>
  <c r="C32" i="123"/>
  <c r="H295" i="154"/>
  <c r="R295"/>
  <c r="D287"/>
  <c r="D225"/>
  <c r="D289"/>
  <c r="D227"/>
  <c r="E20" i="123"/>
  <c r="F226" i="154"/>
  <c r="F288"/>
  <c r="H287"/>
  <c r="H225"/>
  <c r="H289"/>
  <c r="H227"/>
  <c r="J226"/>
  <c r="J288"/>
  <c r="N287"/>
  <c r="N225"/>
  <c r="N289"/>
  <c r="N227"/>
  <c r="O20" i="123"/>
  <c r="P226" i="154"/>
  <c r="P288"/>
  <c r="R287"/>
  <c r="R225"/>
  <c r="R289"/>
  <c r="R227"/>
  <c r="T226"/>
  <c r="T288"/>
  <c r="F292"/>
  <c r="F295" s="1"/>
  <c r="I25" i="123"/>
  <c r="J292" i="154"/>
  <c r="J295" s="1"/>
  <c r="C33" i="123"/>
  <c r="V225" i="154"/>
  <c r="C25" i="123"/>
  <c r="E33"/>
  <c r="G32"/>
  <c r="G34"/>
  <c r="I33"/>
  <c r="M32"/>
  <c r="M34"/>
  <c r="O33"/>
  <c r="Q32"/>
  <c r="Q34"/>
  <c r="S33"/>
  <c r="O32"/>
  <c r="O25"/>
  <c r="S32"/>
  <c r="S34"/>
  <c r="Q33"/>
  <c r="M33"/>
  <c r="I32"/>
  <c r="I34"/>
  <c r="E32"/>
  <c r="E25"/>
  <c r="E34"/>
  <c r="G33"/>
  <c r="O34"/>
  <c r="S30"/>
  <c r="Q30"/>
  <c r="O30"/>
  <c r="M30"/>
  <c r="I30"/>
  <c r="G30"/>
  <c r="E30"/>
  <c r="V226" i="154"/>
  <c r="H67" i="102"/>
  <c r="AM77" i="125"/>
  <c r="AM78" s="1"/>
  <c r="O77"/>
  <c r="O78" s="1"/>
  <c r="M77"/>
  <c r="M78" s="1"/>
  <c r="AO76"/>
  <c r="H38" i="95"/>
  <c r="H37"/>
  <c r="H31"/>
  <c r="H20"/>
  <c r="H55" i="108"/>
  <c r="H54"/>
  <c r="H53"/>
  <c r="H52"/>
  <c r="H51"/>
  <c r="H50"/>
  <c r="H30"/>
  <c r="H21"/>
  <c r="H20"/>
  <c r="H18"/>
  <c r="H15"/>
  <c r="B102"/>
  <c r="B101"/>
  <c r="B100"/>
  <c r="B99"/>
  <c r="B98"/>
  <c r="B97"/>
  <c r="B96"/>
  <c r="B95"/>
  <c r="D102"/>
  <c r="D101"/>
  <c r="D100"/>
  <c r="D99"/>
  <c r="D98"/>
  <c r="D97"/>
  <c r="D96"/>
  <c r="D95"/>
  <c r="F102"/>
  <c r="F101"/>
  <c r="F100"/>
  <c r="F99"/>
  <c r="F98"/>
  <c r="F97"/>
  <c r="F96"/>
  <c r="F95"/>
  <c r="H102"/>
  <c r="H101"/>
  <c r="H100"/>
  <c r="H99"/>
  <c r="H98"/>
  <c r="H97"/>
  <c r="H96"/>
  <c r="H95"/>
  <c r="B91"/>
  <c r="B90"/>
  <c r="B89"/>
  <c r="B88"/>
  <c r="B87"/>
  <c r="B86"/>
  <c r="D91"/>
  <c r="D90"/>
  <c r="D89"/>
  <c r="D88"/>
  <c r="D87"/>
  <c r="D86"/>
  <c r="F91"/>
  <c r="F90"/>
  <c r="F89"/>
  <c r="F88"/>
  <c r="F87"/>
  <c r="F86"/>
  <c r="H91"/>
  <c r="H90"/>
  <c r="H89"/>
  <c r="H88"/>
  <c r="H87"/>
  <c r="H86"/>
  <c r="B82"/>
  <c r="B81"/>
  <c r="B80"/>
  <c r="B79"/>
  <c r="B78"/>
  <c r="B77"/>
  <c r="B76"/>
  <c r="B75"/>
  <c r="B74"/>
  <c r="B73"/>
  <c r="D82"/>
  <c r="D81"/>
  <c r="D80"/>
  <c r="D79"/>
  <c r="D78"/>
  <c r="D77"/>
  <c r="D76"/>
  <c r="D75"/>
  <c r="D74"/>
  <c r="D73"/>
  <c r="F82"/>
  <c r="F81"/>
  <c r="F80"/>
  <c r="F79"/>
  <c r="F78"/>
  <c r="F77"/>
  <c r="F76"/>
  <c r="F75"/>
  <c r="F74"/>
  <c r="F73"/>
  <c r="H82"/>
  <c r="H81"/>
  <c r="H80"/>
  <c r="H79"/>
  <c r="H78"/>
  <c r="H77"/>
  <c r="H76"/>
  <c r="H75"/>
  <c r="H74"/>
  <c r="H73"/>
  <c r="I35" i="123" l="1"/>
  <c r="P295" i="154"/>
  <c r="AP18" s="1"/>
  <c r="S35" i="123"/>
  <c r="U34"/>
  <c r="E35"/>
  <c r="V292" i="154"/>
  <c r="V293"/>
  <c r="Q35" i="123"/>
  <c r="U33"/>
  <c r="U32"/>
  <c r="V228" i="154"/>
  <c r="N290"/>
  <c r="O35" i="123"/>
  <c r="M35"/>
  <c r="G35"/>
  <c r="R228" i="154"/>
  <c r="H290"/>
  <c r="C35" i="123"/>
  <c r="T290" i="154"/>
  <c r="P228"/>
  <c r="J228"/>
  <c r="F290"/>
  <c r="R290"/>
  <c r="N228"/>
  <c r="H228"/>
  <c r="T228"/>
  <c r="P290"/>
  <c r="J290"/>
  <c r="F228"/>
  <c r="H103" i="108"/>
  <c r="H72" i="96"/>
  <c r="H38"/>
  <c r="H37"/>
  <c r="H31"/>
  <c r="H20"/>
  <c r="H74" i="101"/>
  <c r="H72"/>
  <c r="H71"/>
  <c r="H69"/>
  <c r="H42"/>
  <c r="H41"/>
  <c r="H40"/>
  <c r="H39"/>
  <c r="H23"/>
  <c r="H22"/>
  <c r="H19"/>
  <c r="H18"/>
  <c r="H17"/>
  <c r="H16"/>
  <c r="H15"/>
  <c r="H14"/>
  <c r="H86" i="103"/>
  <c r="H85"/>
  <c r="H84"/>
  <c r="H82"/>
  <c r="H74"/>
  <c r="H72"/>
  <c r="H71"/>
  <c r="H69"/>
  <c r="H42"/>
  <c r="H41"/>
  <c r="H40"/>
  <c r="H39"/>
  <c r="H23"/>
  <c r="H22"/>
  <c r="H19"/>
  <c r="H18"/>
  <c r="H17"/>
  <c r="H16"/>
  <c r="H15"/>
  <c r="H14"/>
  <c r="H13"/>
  <c r="H55" i="107"/>
  <c r="H54"/>
  <c r="H53"/>
  <c r="H51"/>
  <c r="H43"/>
  <c r="H30"/>
  <c r="H22"/>
  <c r="H21"/>
  <c r="H20"/>
  <c r="H18"/>
  <c r="H17"/>
  <c r="H15"/>
  <c r="H14"/>
  <c r="H13"/>
  <c r="H55" i="109"/>
  <c r="H54"/>
  <c r="H53"/>
  <c r="H51"/>
  <c r="H50"/>
  <c r="H45"/>
  <c r="H43"/>
  <c r="H30"/>
  <c r="H22"/>
  <c r="H21"/>
  <c r="H20"/>
  <c r="H19"/>
  <c r="H18"/>
  <c r="H17"/>
  <c r="H15"/>
  <c r="H14"/>
  <c r="H13"/>
  <c r="H38" i="97"/>
  <c r="H37"/>
  <c r="H31"/>
  <c r="H20"/>
  <c r="AO68" i="125"/>
  <c r="AO67"/>
  <c r="AO66"/>
  <c r="AO65"/>
  <c r="L62" i="88" l="1"/>
  <c r="L63"/>
  <c r="AS17" i="154" l="1"/>
  <c r="AT17" s="1"/>
  <c r="AG18" i="86"/>
  <c r="AL17"/>
  <c r="AM17" s="1"/>
  <c r="T18"/>
  <c r="T17"/>
  <c r="W236"/>
  <c r="W12"/>
  <c r="W16" s="1"/>
  <c r="AP16" i="154"/>
  <c r="AK7"/>
  <c r="AI7"/>
  <c r="AH7"/>
  <c r="AC16" i="86"/>
  <c r="X18"/>
  <c r="A3" i="51"/>
  <c r="AE20" i="86"/>
  <c r="AD20"/>
  <c r="AC20"/>
  <c r="AB20"/>
  <c r="X20"/>
  <c r="AI18"/>
  <c r="AB20" i="154" l="1"/>
  <c r="AH20"/>
  <c r="AS16"/>
  <c r="AT16" s="1"/>
  <c r="W20" i="86"/>
  <c r="T12"/>
  <c r="Z20" i="154" l="1"/>
  <c r="N285" i="86" l="1"/>
  <c r="AL16"/>
  <c r="AM16" s="1"/>
  <c r="AL18"/>
  <c r="AM18" s="1"/>
  <c r="P46" i="120" l="1"/>
  <c r="P36"/>
  <c r="P39" s="1"/>
  <c r="P22"/>
  <c r="P25" s="1"/>
  <c r="P11"/>
  <c r="N46"/>
  <c r="N36"/>
  <c r="N39" s="1"/>
  <c r="N22"/>
  <c r="N25" s="1"/>
  <c r="N11"/>
  <c r="L46"/>
  <c r="L36"/>
  <c r="L39" s="1"/>
  <c r="L50" s="1"/>
  <c r="L22"/>
  <c r="L25" s="1"/>
  <c r="L11"/>
  <c r="J46"/>
  <c r="J36"/>
  <c r="J39" s="1"/>
  <c r="J22"/>
  <c r="J25" s="1"/>
  <c r="J11"/>
  <c r="F46"/>
  <c r="F39"/>
  <c r="F22"/>
  <c r="F25" s="1"/>
  <c r="F11"/>
  <c r="D46"/>
  <c r="D36"/>
  <c r="D39" s="1"/>
  <c r="D50" s="1"/>
  <c r="D22"/>
  <c r="D25" s="1"/>
  <c r="D11"/>
  <c r="P450" i="119"/>
  <c r="P453" s="1"/>
  <c r="P438"/>
  <c r="P396"/>
  <c r="P399" s="1"/>
  <c r="P382"/>
  <c r="P360"/>
  <c r="P351"/>
  <c r="P329"/>
  <c r="P331" s="1"/>
  <c r="P320"/>
  <c r="P298"/>
  <c r="P283"/>
  <c r="P274"/>
  <c r="P251"/>
  <c r="P237"/>
  <c r="P234"/>
  <c r="P191"/>
  <c r="P180"/>
  <c r="P145"/>
  <c r="P131"/>
  <c r="P115"/>
  <c r="P99"/>
  <c r="P87"/>
  <c r="P70"/>
  <c r="P51"/>
  <c r="P36"/>
  <c r="P27"/>
  <c r="N450"/>
  <c r="N453" s="1"/>
  <c r="N438"/>
  <c r="N396"/>
  <c r="N399" s="1"/>
  <c r="N382"/>
  <c r="N360"/>
  <c r="N351"/>
  <c r="N329"/>
  <c r="N331" s="1"/>
  <c r="N320"/>
  <c r="N298"/>
  <c r="N283"/>
  <c r="N274"/>
  <c r="N251"/>
  <c r="N237"/>
  <c r="N234"/>
  <c r="N191"/>
  <c r="N180"/>
  <c r="N145"/>
  <c r="N131"/>
  <c r="N115"/>
  <c r="N99"/>
  <c r="N87"/>
  <c r="N70"/>
  <c r="N51"/>
  <c r="N36"/>
  <c r="N27"/>
  <c r="L450"/>
  <c r="L453" s="1"/>
  <c r="L438"/>
  <c r="L396"/>
  <c r="L399" s="1"/>
  <c r="L382"/>
  <c r="L360"/>
  <c r="L351"/>
  <c r="L329"/>
  <c r="L331" s="1"/>
  <c r="L320"/>
  <c r="L298"/>
  <c r="L283"/>
  <c r="L274"/>
  <c r="L251"/>
  <c r="L237"/>
  <c r="L234"/>
  <c r="L191"/>
  <c r="L180"/>
  <c r="L145"/>
  <c r="L131"/>
  <c r="L115"/>
  <c r="L99"/>
  <c r="L87"/>
  <c r="L70"/>
  <c r="L51"/>
  <c r="L36"/>
  <c r="L27"/>
  <c r="J450"/>
  <c r="J453" s="1"/>
  <c r="J438"/>
  <c r="J396"/>
  <c r="J399" s="1"/>
  <c r="J382"/>
  <c r="J360"/>
  <c r="J351"/>
  <c r="J329"/>
  <c r="J331" s="1"/>
  <c r="J320"/>
  <c r="J298"/>
  <c r="J283"/>
  <c r="J274"/>
  <c r="J251"/>
  <c r="J237"/>
  <c r="J234"/>
  <c r="J191"/>
  <c r="J180"/>
  <c r="J145"/>
  <c r="J131"/>
  <c r="J115"/>
  <c r="J99"/>
  <c r="J87"/>
  <c r="J70"/>
  <c r="J51"/>
  <c r="J36"/>
  <c r="J27"/>
  <c r="F450"/>
  <c r="F453" s="1"/>
  <c r="F438"/>
  <c r="F396"/>
  <c r="F399" s="1"/>
  <c r="F382"/>
  <c r="F360"/>
  <c r="F351"/>
  <c r="F329"/>
  <c r="F331" s="1"/>
  <c r="F320"/>
  <c r="F274"/>
  <c r="F237"/>
  <c r="F191"/>
  <c r="F180"/>
  <c r="F145"/>
  <c r="F131"/>
  <c r="F99"/>
  <c r="F87"/>
  <c r="F70"/>
  <c r="F51"/>
  <c r="F36"/>
  <c r="F27"/>
  <c r="D450"/>
  <c r="D453" s="1"/>
  <c r="D438"/>
  <c r="D396"/>
  <c r="D399" s="1"/>
  <c r="D382"/>
  <c r="D360"/>
  <c r="D351"/>
  <c r="D329"/>
  <c r="D331" s="1"/>
  <c r="D320"/>
  <c r="D298"/>
  <c r="D283"/>
  <c r="D274"/>
  <c r="D251"/>
  <c r="D237"/>
  <c r="D234"/>
  <c r="D191"/>
  <c r="D180"/>
  <c r="D145"/>
  <c r="D131"/>
  <c r="D115"/>
  <c r="D99"/>
  <c r="D87"/>
  <c r="D70"/>
  <c r="D51"/>
  <c r="D36"/>
  <c r="D27"/>
  <c r="J13" i="117"/>
  <c r="J12"/>
  <c r="J11"/>
  <c r="J10"/>
  <c r="F107" i="110"/>
  <c r="F103"/>
  <c r="F59"/>
  <c r="F38"/>
  <c r="F34"/>
  <c r="F25"/>
  <c r="D107"/>
  <c r="D103"/>
  <c r="D92"/>
  <c r="D59"/>
  <c r="D38"/>
  <c r="D34"/>
  <c r="D25"/>
  <c r="F31" i="106"/>
  <c r="F27"/>
  <c r="F34" s="1"/>
  <c r="F18"/>
  <c r="D31"/>
  <c r="D27"/>
  <c r="D21"/>
  <c r="D18"/>
  <c r="F147" i="104"/>
  <c r="G96" i="156" s="1"/>
  <c r="F138" i="104"/>
  <c r="G95" i="156" s="1"/>
  <c r="F131" i="104"/>
  <c r="G94" i="156" s="1"/>
  <c r="F123" i="104"/>
  <c r="G92" i="156" s="1"/>
  <c r="F115" i="104"/>
  <c r="G91" i="156" s="1"/>
  <c r="F110" i="104"/>
  <c r="G90" i="156" s="1"/>
  <c r="F92" i="104"/>
  <c r="F77"/>
  <c r="G79" i="156" s="1"/>
  <c r="F63" i="104"/>
  <c r="G78" i="156" s="1"/>
  <c r="F51" i="104"/>
  <c r="G77" i="156" s="1"/>
  <c r="F46" i="104"/>
  <c r="G76" i="156" s="1"/>
  <c r="F35" i="104"/>
  <c r="F26"/>
  <c r="D147"/>
  <c r="D138"/>
  <c r="D131"/>
  <c r="D123"/>
  <c r="D115"/>
  <c r="D110"/>
  <c r="D92"/>
  <c r="D77"/>
  <c r="D63"/>
  <c r="D51"/>
  <c r="D46"/>
  <c r="D35"/>
  <c r="D26"/>
  <c r="Q64" i="89"/>
  <c r="Q48"/>
  <c r="O64"/>
  <c r="O48"/>
  <c r="M64"/>
  <c r="M48"/>
  <c r="K64"/>
  <c r="K48"/>
  <c r="I64"/>
  <c r="I48"/>
  <c r="P50" i="120" l="1"/>
  <c r="J50"/>
  <c r="F50"/>
  <c r="J441" i="119"/>
  <c r="G102" i="156"/>
  <c r="G81"/>
  <c r="G104"/>
  <c r="G101"/>
  <c r="G106"/>
  <c r="G103"/>
  <c r="G105"/>
  <c r="K79"/>
  <c r="M79" s="1"/>
  <c r="G100"/>
  <c r="G97"/>
  <c r="N441" i="119"/>
  <c r="D441"/>
  <c r="L441"/>
  <c r="P441"/>
  <c r="D68" i="110"/>
  <c r="D95" i="104"/>
  <c r="F21" i="106"/>
  <c r="F37" s="1"/>
  <c r="D111" i="110"/>
  <c r="D391" i="119"/>
  <c r="J391"/>
  <c r="L391"/>
  <c r="N391"/>
  <c r="P391"/>
  <c r="D300"/>
  <c r="D150" i="104"/>
  <c r="F150"/>
  <c r="F111" i="110"/>
  <c r="J300" i="119"/>
  <c r="L300"/>
  <c r="N300"/>
  <c r="P300"/>
  <c r="F148"/>
  <c r="D148"/>
  <c r="J148"/>
  <c r="L148"/>
  <c r="N148"/>
  <c r="P148"/>
  <c r="F68" i="110"/>
  <c r="F95" i="104"/>
  <c r="F391" i="119"/>
  <c r="F300"/>
  <c r="F441"/>
  <c r="N50" i="120"/>
  <c r="D34" i="106"/>
  <c r="D37"/>
  <c r="V289" i="154"/>
  <c r="V288"/>
  <c r="A3"/>
  <c r="D295"/>
  <c r="D290"/>
  <c r="D228"/>
  <c r="T170"/>
  <c r="R170"/>
  <c r="P170"/>
  <c r="T169"/>
  <c r="R169"/>
  <c r="P169"/>
  <c r="T168"/>
  <c r="R168"/>
  <c r="P168"/>
  <c r="T167"/>
  <c r="R167"/>
  <c r="P167"/>
  <c r="T166"/>
  <c r="R166"/>
  <c r="P166"/>
  <c r="T165"/>
  <c r="R165"/>
  <c r="P165"/>
  <c r="T164"/>
  <c r="R164"/>
  <c r="P164"/>
  <c r="T163"/>
  <c r="R163"/>
  <c r="P163"/>
  <c r="T162"/>
  <c r="R162"/>
  <c r="R171" s="1"/>
  <c r="P162"/>
  <c r="T137"/>
  <c r="R137"/>
  <c r="P137"/>
  <c r="AQ15"/>
  <c r="AC15"/>
  <c r="AQ14"/>
  <c r="AP14"/>
  <c r="AE14"/>
  <c r="AP13"/>
  <c r="AE13"/>
  <c r="X13"/>
  <c r="AQ12"/>
  <c r="AC12"/>
  <c r="AQ11"/>
  <c r="AP11"/>
  <c r="AE11"/>
  <c r="AC11"/>
  <c r="X11"/>
  <c r="AQ10"/>
  <c r="AP10"/>
  <c r="X10"/>
  <c r="AA11" i="86"/>
  <c r="AF11"/>
  <c r="AA13"/>
  <c r="AF13"/>
  <c r="AA14"/>
  <c r="AF14"/>
  <c r="G107" i="156" l="1"/>
  <c r="G108" s="1"/>
  <c r="D114" i="110"/>
  <c r="D153" i="104"/>
  <c r="F114" i="110"/>
  <c r="F323" i="119"/>
  <c r="F456" s="1"/>
  <c r="P323"/>
  <c r="P456" s="1"/>
  <c r="N323"/>
  <c r="N456" s="1"/>
  <c r="D323"/>
  <c r="D456" s="1"/>
  <c r="J323"/>
  <c r="J456" s="1"/>
  <c r="L323"/>
  <c r="L456" s="1"/>
  <c r="F153" i="104"/>
  <c r="P171" i="154"/>
  <c r="T171"/>
  <c r="H62" i="131" l="1"/>
  <c r="H72" i="129" s="1"/>
  <c r="F62" i="131"/>
  <c r="D62"/>
  <c r="B62"/>
  <c r="B72" i="129" s="1"/>
  <c r="H61" i="131"/>
  <c r="H71" i="129" s="1"/>
  <c r="F61" i="131"/>
  <c r="D61"/>
  <c r="B61"/>
  <c r="H60"/>
  <c r="F60"/>
  <c r="D60"/>
  <c r="B60"/>
  <c r="H59"/>
  <c r="H66" i="129" s="1"/>
  <c r="F59" i="131"/>
  <c r="F66" i="129" s="1"/>
  <c r="D59" i="131"/>
  <c r="D66" i="129" s="1"/>
  <c r="B59" i="131"/>
  <c r="B66" i="129" s="1"/>
  <c r="H58" i="131"/>
  <c r="H65" i="129" s="1"/>
  <c r="F58" i="131"/>
  <c r="F65" i="129" s="1"/>
  <c r="D58" i="131"/>
  <c r="D65" i="129" s="1"/>
  <c r="B58" i="131"/>
  <c r="B65" i="129" s="1"/>
  <c r="H57" i="131"/>
  <c r="F57"/>
  <c r="D57"/>
  <c r="B57"/>
  <c r="H56"/>
  <c r="F56"/>
  <c r="D56"/>
  <c r="B56"/>
  <c r="B60" i="129" s="1"/>
  <c r="H55" i="131"/>
  <c r="F55"/>
  <c r="D55"/>
  <c r="B55"/>
  <c r="H54"/>
  <c r="F54"/>
  <c r="D54"/>
  <c r="B54"/>
  <c r="H53"/>
  <c r="F53"/>
  <c r="D53"/>
  <c r="B53"/>
  <c r="H52"/>
  <c r="F52"/>
  <c r="D52"/>
  <c r="B52"/>
  <c r="H51"/>
  <c r="F51"/>
  <c r="D51"/>
  <c r="B51"/>
  <c r="H50"/>
  <c r="F50"/>
  <c r="D50"/>
  <c r="B50"/>
  <c r="H48"/>
  <c r="F48"/>
  <c r="D48"/>
  <c r="B48"/>
  <c r="H39"/>
  <c r="F39"/>
  <c r="D39"/>
  <c r="B39"/>
  <c r="H38"/>
  <c r="F38"/>
  <c r="D38"/>
  <c r="B38"/>
  <c r="H37"/>
  <c r="F37"/>
  <c r="D37"/>
  <c r="B37"/>
  <c r="H36"/>
  <c r="F36"/>
  <c r="D36"/>
  <c r="B36"/>
  <c r="H35"/>
  <c r="F35"/>
  <c r="D35"/>
  <c r="B35"/>
  <c r="H34"/>
  <c r="F34"/>
  <c r="D34"/>
  <c r="B34"/>
  <c r="H33"/>
  <c r="F33"/>
  <c r="D33"/>
  <c r="B33"/>
  <c r="H32"/>
  <c r="F32"/>
  <c r="D32"/>
  <c r="B32"/>
  <c r="H31"/>
  <c r="F31"/>
  <c r="D31"/>
  <c r="B31"/>
  <c r="H30"/>
  <c r="F30"/>
  <c r="D30"/>
  <c r="B30"/>
  <c r="H29"/>
  <c r="F29"/>
  <c r="D29"/>
  <c r="B29"/>
  <c r="H28"/>
  <c r="F28"/>
  <c r="D28"/>
  <c r="B28"/>
  <c r="H27"/>
  <c r="F27"/>
  <c r="D27"/>
  <c r="B27"/>
  <c r="H26"/>
  <c r="F26"/>
  <c r="D26"/>
  <c r="B26"/>
  <c r="H25"/>
  <c r="F25"/>
  <c r="D25"/>
  <c r="B25"/>
  <c r="H24"/>
  <c r="F24"/>
  <c r="D24"/>
  <c r="B24"/>
  <c r="H23"/>
  <c r="F23"/>
  <c r="D23"/>
  <c r="B23"/>
  <c r="H21"/>
  <c r="F21"/>
  <c r="D21"/>
  <c r="B21"/>
  <c r="H20"/>
  <c r="F20"/>
  <c r="D20"/>
  <c r="B20"/>
  <c r="H19"/>
  <c r="F19"/>
  <c r="D19"/>
  <c r="B19"/>
  <c r="H18"/>
  <c r="F18"/>
  <c r="D18"/>
  <c r="B18"/>
  <c r="H17"/>
  <c r="F17"/>
  <c r="D17"/>
  <c r="B17"/>
  <c r="H16"/>
  <c r="F16"/>
  <c r="D16"/>
  <c r="B16"/>
  <c r="H15"/>
  <c r="F15"/>
  <c r="D15"/>
  <c r="B15"/>
  <c r="H14"/>
  <c r="F14"/>
  <c r="D14"/>
  <c r="B14"/>
  <c r="H13"/>
  <c r="F13"/>
  <c r="D13"/>
  <c r="B13"/>
  <c r="H12"/>
  <c r="F12"/>
  <c r="D12"/>
  <c r="B12"/>
  <c r="H11"/>
  <c r="F11"/>
  <c r="D11"/>
  <c r="B11"/>
  <c r="H10" i="133"/>
  <c r="H10" i="132" s="1"/>
  <c r="F10" i="133"/>
  <c r="F10" i="132" s="1"/>
  <c r="D10" i="133"/>
  <c r="D10" i="132" s="1"/>
  <c r="B10" i="133"/>
  <c r="B10" i="132" s="1"/>
  <c r="B22" i="130" l="1"/>
  <c r="B22" i="128"/>
  <c r="D22"/>
  <c r="J22" s="1"/>
  <c r="D22" i="130"/>
  <c r="J22" s="1"/>
  <c r="B17" i="128"/>
  <c r="B17" i="130"/>
  <c r="F17" i="128"/>
  <c r="F17" i="130"/>
  <c r="D17" i="128"/>
  <c r="D17" i="130"/>
  <c r="H17" i="128"/>
  <c r="H17" i="130"/>
  <c r="J10" i="132"/>
  <c r="D31" i="128"/>
  <c r="B26"/>
  <c r="B26" i="130"/>
  <c r="B38" i="128"/>
  <c r="B38" i="130"/>
  <c r="H20"/>
  <c r="H20" i="128"/>
  <c r="H31"/>
  <c r="H31" i="130"/>
  <c r="H37"/>
  <c r="H37" i="128"/>
  <c r="H38"/>
  <c r="H38" i="130"/>
  <c r="J48" i="131"/>
  <c r="L48" s="1"/>
  <c r="J50"/>
  <c r="J51"/>
  <c r="L51" s="1"/>
  <c r="J53"/>
  <c r="L53" s="1"/>
  <c r="J54"/>
  <c r="L54" s="1"/>
  <c r="J55"/>
  <c r="L55" s="1"/>
  <c r="J57"/>
  <c r="L57" s="1"/>
  <c r="J59"/>
  <c r="L59" s="1"/>
  <c r="J60"/>
  <c r="L60" s="1"/>
  <c r="J62"/>
  <c r="L62" s="1"/>
  <c r="J61"/>
  <c r="L61" s="1"/>
  <c r="J58"/>
  <c r="L58" s="1"/>
  <c r="J56"/>
  <c r="L56" s="1"/>
  <c r="J52"/>
  <c r="L52" s="1"/>
  <c r="J17"/>
  <c r="L17" s="1"/>
  <c r="J18"/>
  <c r="L18" s="1"/>
  <c r="J19"/>
  <c r="L19" s="1"/>
  <c r="J20"/>
  <c r="L20" s="1"/>
  <c r="J21"/>
  <c r="L21" s="1"/>
  <c r="J23"/>
  <c r="L23" s="1"/>
  <c r="J24"/>
  <c r="L24" s="1"/>
  <c r="J25"/>
  <c r="L25" s="1"/>
  <c r="J26"/>
  <c r="L26" s="1"/>
  <c r="J27"/>
  <c r="L27" s="1"/>
  <c r="J28"/>
  <c r="L28" s="1"/>
  <c r="J29"/>
  <c r="L29" s="1"/>
  <c r="J30"/>
  <c r="L30" s="1"/>
  <c r="J31"/>
  <c r="L31" s="1"/>
  <c r="J32"/>
  <c r="L32" s="1"/>
  <c r="J33"/>
  <c r="L33" s="1"/>
  <c r="J34"/>
  <c r="L34" s="1"/>
  <c r="J35"/>
  <c r="L35" s="1"/>
  <c r="J36"/>
  <c r="L36" s="1"/>
  <c r="J37"/>
  <c r="L37" s="1"/>
  <c r="J38"/>
  <c r="L38" s="1"/>
  <c r="J39"/>
  <c r="L39" s="1"/>
  <c r="J12"/>
  <c r="L12" s="1"/>
  <c r="J13"/>
  <c r="L13" s="1"/>
  <c r="J14"/>
  <c r="L14" s="1"/>
  <c r="J15"/>
  <c r="L15" s="1"/>
  <c r="J16"/>
  <c r="L16" s="1"/>
  <c r="L50"/>
  <c r="AM187" i="125"/>
  <c r="AM179"/>
  <c r="AM171"/>
  <c r="AM106"/>
  <c r="AM95"/>
  <c r="AM97" s="1"/>
  <c r="AM87"/>
  <c r="AM89" s="1"/>
  <c r="AM59"/>
  <c r="AM80" s="1"/>
  <c r="AM48"/>
  <c r="AM50" s="1"/>
  <c r="AM39"/>
  <c r="AM41" s="1"/>
  <c r="G13" i="123"/>
  <c r="G12"/>
  <c r="G11"/>
  <c r="E13"/>
  <c r="E12"/>
  <c r="E11"/>
  <c r="S75" i="122"/>
  <c r="Q75"/>
  <c r="O75"/>
  <c r="M75"/>
  <c r="I75"/>
  <c r="I42" i="155" s="1"/>
  <c r="G75" i="122"/>
  <c r="E75"/>
  <c r="C75"/>
  <c r="S74"/>
  <c r="Q74"/>
  <c r="O74"/>
  <c r="M74"/>
  <c r="I74"/>
  <c r="I41" i="155" s="1"/>
  <c r="G74" i="122"/>
  <c r="E74"/>
  <c r="C74"/>
  <c r="S73"/>
  <c r="Q73"/>
  <c r="O73"/>
  <c r="M73"/>
  <c r="I73"/>
  <c r="I40" i="155" s="1"/>
  <c r="G73" i="122"/>
  <c r="E73"/>
  <c r="C73"/>
  <c r="S63"/>
  <c r="T277" i="154" s="1"/>
  <c r="Q63" i="122"/>
  <c r="R277" i="154" s="1"/>
  <c r="O63" i="122"/>
  <c r="P277" i="154" s="1"/>
  <c r="M63" i="122"/>
  <c r="N277" i="154" s="1"/>
  <c r="I63" i="122"/>
  <c r="G63"/>
  <c r="H277" i="154" s="1"/>
  <c r="E63" i="122"/>
  <c r="F277" i="154" s="1"/>
  <c r="C63" i="122"/>
  <c r="D277" i="154" s="1"/>
  <c r="S62" i="122"/>
  <c r="T276" i="154" s="1"/>
  <c r="Q62" i="122"/>
  <c r="R276" i="154" s="1"/>
  <c r="O62" i="122"/>
  <c r="P276" i="154" s="1"/>
  <c r="M62" i="122"/>
  <c r="N276" i="154" s="1"/>
  <c r="I62" i="122"/>
  <c r="G62"/>
  <c r="H276" i="154" s="1"/>
  <c r="E62" i="122"/>
  <c r="F276" i="154" s="1"/>
  <c r="C62" i="122"/>
  <c r="D276" i="154" s="1"/>
  <c r="S61" i="122"/>
  <c r="T275" i="154" s="1"/>
  <c r="Q61" i="122"/>
  <c r="R275" i="154" s="1"/>
  <c r="O61" i="122"/>
  <c r="P275" i="154" s="1"/>
  <c r="M61" i="122"/>
  <c r="N275" i="154" s="1"/>
  <c r="I61" i="122"/>
  <c r="G61"/>
  <c r="H275" i="154" s="1"/>
  <c r="E61" i="122"/>
  <c r="F275" i="154" s="1"/>
  <c r="C61" i="122"/>
  <c r="D275" i="154" s="1"/>
  <c r="S60" i="122"/>
  <c r="T274" i="154" s="1"/>
  <c r="Q60" i="122"/>
  <c r="R274" i="154" s="1"/>
  <c r="O60" i="122"/>
  <c r="P274" i="154" s="1"/>
  <c r="M60" i="122"/>
  <c r="N274" i="154" s="1"/>
  <c r="I60" i="122"/>
  <c r="G60"/>
  <c r="H274" i="154" s="1"/>
  <c r="E60" i="122"/>
  <c r="F274" i="154" s="1"/>
  <c r="C60" i="122"/>
  <c r="D274" i="154" s="1"/>
  <c r="S59" i="122"/>
  <c r="T273" i="154" s="1"/>
  <c r="Q59" i="122"/>
  <c r="R273" i="154" s="1"/>
  <c r="O59" i="122"/>
  <c r="P273" i="154" s="1"/>
  <c r="M59" i="122"/>
  <c r="N273" i="154" s="1"/>
  <c r="I59" i="122"/>
  <c r="G59"/>
  <c r="H273" i="154" s="1"/>
  <c r="E59" i="122"/>
  <c r="F273" i="154" s="1"/>
  <c r="C59" i="122"/>
  <c r="D273" i="154" s="1"/>
  <c r="S58" i="122"/>
  <c r="T272" i="154" s="1"/>
  <c r="Q58" i="122"/>
  <c r="R272" i="154" s="1"/>
  <c r="O58" i="122"/>
  <c r="P272" i="154" s="1"/>
  <c r="M58" i="122"/>
  <c r="N272" i="154" s="1"/>
  <c r="I58" i="122"/>
  <c r="G58"/>
  <c r="H272" i="154" s="1"/>
  <c r="E58" i="122"/>
  <c r="F272" i="154" s="1"/>
  <c r="C58" i="122"/>
  <c r="S57"/>
  <c r="T271" i="154" s="1"/>
  <c r="Q57" i="122"/>
  <c r="R271" i="154" s="1"/>
  <c r="O57" i="122"/>
  <c r="P271" i="154" s="1"/>
  <c r="M57" i="122"/>
  <c r="N271" i="154" s="1"/>
  <c r="I57" i="122"/>
  <c r="G57"/>
  <c r="H271" i="154" s="1"/>
  <c r="E57" i="122"/>
  <c r="F271" i="154" s="1"/>
  <c r="C57" i="122"/>
  <c r="D271" i="154" s="1"/>
  <c r="S56" i="122"/>
  <c r="T270" i="154" s="1"/>
  <c r="Q56" i="122"/>
  <c r="R270" i="154" s="1"/>
  <c r="O56" i="122"/>
  <c r="P270" i="154" s="1"/>
  <c r="M56" i="122"/>
  <c r="N270" i="154" s="1"/>
  <c r="I56" i="122"/>
  <c r="G56"/>
  <c r="H270" i="154" s="1"/>
  <c r="E56" i="122"/>
  <c r="F270" i="154" s="1"/>
  <c r="C56" i="122"/>
  <c r="D270" i="154" s="1"/>
  <c r="S55" i="122"/>
  <c r="T269" i="154" s="1"/>
  <c r="Q55" i="122"/>
  <c r="R269" i="154" s="1"/>
  <c r="O55" i="122"/>
  <c r="P269" i="154" s="1"/>
  <c r="M55" i="122"/>
  <c r="N269" i="154" s="1"/>
  <c r="I55" i="122"/>
  <c r="G55"/>
  <c r="H269" i="154" s="1"/>
  <c r="E55" i="122"/>
  <c r="F269" i="154" s="1"/>
  <c r="C55" i="122"/>
  <c r="D269" i="154" s="1"/>
  <c r="S54" i="122"/>
  <c r="T268" i="154" s="1"/>
  <c r="Q54" i="122"/>
  <c r="R268" i="154" s="1"/>
  <c r="O54" i="122"/>
  <c r="P268" i="154" s="1"/>
  <c r="M54" i="122"/>
  <c r="N268" i="154" s="1"/>
  <c r="I54" i="122"/>
  <c r="G54"/>
  <c r="H268" i="154" s="1"/>
  <c r="E54" i="122"/>
  <c r="F268" i="154" s="1"/>
  <c r="C54" i="122"/>
  <c r="D268" i="154" s="1"/>
  <c r="S53" i="122"/>
  <c r="T267" i="154" s="1"/>
  <c r="Q53" i="122"/>
  <c r="R267" i="154" s="1"/>
  <c r="O53" i="122"/>
  <c r="P267" i="154" s="1"/>
  <c r="M53" i="122"/>
  <c r="N267" i="154" s="1"/>
  <c r="I53" i="122"/>
  <c r="G53"/>
  <c r="H267" i="154" s="1"/>
  <c r="E53" i="122"/>
  <c r="F267" i="154" s="1"/>
  <c r="C53" i="122"/>
  <c r="D267" i="154" s="1"/>
  <c r="S52" i="122"/>
  <c r="T266" i="154" s="1"/>
  <c r="Q52" i="122"/>
  <c r="R266" i="154" s="1"/>
  <c r="O52" i="122"/>
  <c r="P266" i="154" s="1"/>
  <c r="M52" i="122"/>
  <c r="N266" i="154" s="1"/>
  <c r="I52" i="122"/>
  <c r="G52"/>
  <c r="H266" i="154" s="1"/>
  <c r="E52" i="122"/>
  <c r="F266" i="154" s="1"/>
  <c r="C52" i="122"/>
  <c r="D266" i="154" s="1"/>
  <c r="S51" i="122"/>
  <c r="T265" i="154" s="1"/>
  <c r="T278" s="1"/>
  <c r="Q51" i="122"/>
  <c r="R265" i="154" s="1"/>
  <c r="O51" i="122"/>
  <c r="P265" i="154" s="1"/>
  <c r="P278" s="1"/>
  <c r="M51" i="122"/>
  <c r="N265" i="154" s="1"/>
  <c r="I51" i="122"/>
  <c r="G51"/>
  <c r="H265" i="154" s="1"/>
  <c r="E51" i="122"/>
  <c r="F265" i="154" s="1"/>
  <c r="C51" i="122"/>
  <c r="D265" i="154" s="1"/>
  <c r="S47" i="122"/>
  <c r="T261" i="154" s="1"/>
  <c r="Q47" i="122"/>
  <c r="R261" i="154" s="1"/>
  <c r="O47" i="122"/>
  <c r="P261" i="154" s="1"/>
  <c r="M47" i="122"/>
  <c r="N261" i="154" s="1"/>
  <c r="I47" i="122"/>
  <c r="G47"/>
  <c r="H261" i="154" s="1"/>
  <c r="E47" i="122"/>
  <c r="C47"/>
  <c r="D261" i="154" s="1"/>
  <c r="S46" i="122"/>
  <c r="T260" i="154" s="1"/>
  <c r="Q46" i="122"/>
  <c r="R260" i="154" s="1"/>
  <c r="O46" i="122"/>
  <c r="P260" i="154" s="1"/>
  <c r="M46" i="122"/>
  <c r="N260" i="154" s="1"/>
  <c r="I46" i="122"/>
  <c r="G46"/>
  <c r="H260" i="154" s="1"/>
  <c r="E46" i="122"/>
  <c r="F260" i="154" s="1"/>
  <c r="C46" i="122"/>
  <c r="D260" i="154" s="1"/>
  <c r="S45" i="122"/>
  <c r="T259" i="154" s="1"/>
  <c r="Q45" i="122"/>
  <c r="R259" i="154" s="1"/>
  <c r="O45" i="122"/>
  <c r="P259" i="154" s="1"/>
  <c r="M45" i="122"/>
  <c r="N259" i="154" s="1"/>
  <c r="I45" i="122"/>
  <c r="G45"/>
  <c r="H259" i="154" s="1"/>
  <c r="E45" i="122"/>
  <c r="F259" i="154" s="1"/>
  <c r="C45" i="122"/>
  <c r="D259" i="154" s="1"/>
  <c r="S44" i="122"/>
  <c r="T258" i="154" s="1"/>
  <c r="Q44" i="122"/>
  <c r="R258" i="154" s="1"/>
  <c r="O44" i="122"/>
  <c r="P258" i="154" s="1"/>
  <c r="M44" i="122"/>
  <c r="N258" i="154" s="1"/>
  <c r="I44" i="122"/>
  <c r="G44"/>
  <c r="H258" i="154" s="1"/>
  <c r="E44" i="122"/>
  <c r="C44"/>
  <c r="D258" i="154" s="1"/>
  <c r="S43" i="122"/>
  <c r="T257" i="154" s="1"/>
  <c r="Q43" i="122"/>
  <c r="R257" i="154" s="1"/>
  <c r="O43" i="122"/>
  <c r="P257" i="154" s="1"/>
  <c r="M43" i="122"/>
  <c r="N257" i="154" s="1"/>
  <c r="I43" i="122"/>
  <c r="G43"/>
  <c r="H257" i="154" s="1"/>
  <c r="E43" i="122"/>
  <c r="F257" i="154" s="1"/>
  <c r="C43" i="122"/>
  <c r="D257" i="154" s="1"/>
  <c r="S42" i="122"/>
  <c r="T256" i="154" s="1"/>
  <c r="Q42" i="122"/>
  <c r="R256" i="154" s="1"/>
  <c r="O42" i="122"/>
  <c r="P256" i="154" s="1"/>
  <c r="M42" i="122"/>
  <c r="N256" i="154" s="1"/>
  <c r="I42" i="122"/>
  <c r="G42"/>
  <c r="H256" i="154" s="1"/>
  <c r="E42" i="122"/>
  <c r="F256" i="154" s="1"/>
  <c r="C42" i="122"/>
  <c r="D256" i="154" s="1"/>
  <c r="S41" i="122"/>
  <c r="T255" i="154" s="1"/>
  <c r="Q41" i="122"/>
  <c r="R255" i="154" s="1"/>
  <c r="O41" i="122"/>
  <c r="P255" i="154" s="1"/>
  <c r="M41" i="122"/>
  <c r="N255" i="154" s="1"/>
  <c r="I41" i="122"/>
  <c r="G41"/>
  <c r="H255" i="154" s="1"/>
  <c r="E41" i="122"/>
  <c r="F255" i="154" s="1"/>
  <c r="C41" i="122"/>
  <c r="D255" i="154" s="1"/>
  <c r="S40" i="122"/>
  <c r="T254" i="154" s="1"/>
  <c r="Q40" i="122"/>
  <c r="R254" i="154" s="1"/>
  <c r="O40" i="122"/>
  <c r="P254" i="154" s="1"/>
  <c r="M40" i="122"/>
  <c r="N254" i="154" s="1"/>
  <c r="I40" i="122"/>
  <c r="G40"/>
  <c r="H254" i="154" s="1"/>
  <c r="E40" i="122"/>
  <c r="F254" i="154" s="1"/>
  <c r="C40" i="122"/>
  <c r="D254" i="154" s="1"/>
  <c r="S39" i="122"/>
  <c r="T253" i="154" s="1"/>
  <c r="Q39" i="122"/>
  <c r="R253" i="154" s="1"/>
  <c r="O39" i="122"/>
  <c r="P253" i="154" s="1"/>
  <c r="M39" i="122"/>
  <c r="N253" i="154" s="1"/>
  <c r="I39" i="122"/>
  <c r="G39"/>
  <c r="H253" i="154" s="1"/>
  <c r="E39" i="122"/>
  <c r="F253" i="154" s="1"/>
  <c r="C39" i="122"/>
  <c r="D253" i="154" s="1"/>
  <c r="S38" i="122"/>
  <c r="T252" i="154" s="1"/>
  <c r="Q38" i="122"/>
  <c r="R252" i="154" s="1"/>
  <c r="O38" i="122"/>
  <c r="P252" i="154" s="1"/>
  <c r="M38" i="122"/>
  <c r="N252" i="154" s="1"/>
  <c r="I38" i="122"/>
  <c r="G38"/>
  <c r="H252" i="154" s="1"/>
  <c r="E38" i="122"/>
  <c r="F252" i="154" s="1"/>
  <c r="C38" i="122"/>
  <c r="D252" i="154" s="1"/>
  <c r="S37" i="122"/>
  <c r="T251" i="154" s="1"/>
  <c r="Q37" i="122"/>
  <c r="R251" i="154" s="1"/>
  <c r="O37" i="122"/>
  <c r="P251" i="154" s="1"/>
  <c r="M37" i="122"/>
  <c r="N251" i="154" s="1"/>
  <c r="I37" i="122"/>
  <c r="G37"/>
  <c r="H251" i="154" s="1"/>
  <c r="E37" i="122"/>
  <c r="F251" i="154" s="1"/>
  <c r="C37" i="122"/>
  <c r="D251" i="154" s="1"/>
  <c r="S36" i="122"/>
  <c r="T250" i="154" s="1"/>
  <c r="Q36" i="122"/>
  <c r="R250" i="154" s="1"/>
  <c r="O36" i="122"/>
  <c r="P250" i="154" s="1"/>
  <c r="M36" i="122"/>
  <c r="N250" i="154" s="1"/>
  <c r="I36" i="122"/>
  <c r="G36"/>
  <c r="H250" i="154" s="1"/>
  <c r="E36" i="122"/>
  <c r="F250" i="154" s="1"/>
  <c r="C36" i="122"/>
  <c r="D250" i="154" s="1"/>
  <c r="S35" i="122"/>
  <c r="T249" i="154" s="1"/>
  <c r="T262" s="1"/>
  <c r="Q35" i="122"/>
  <c r="R249" i="154" s="1"/>
  <c r="O35" i="122"/>
  <c r="P249" i="154" s="1"/>
  <c r="M35" i="122"/>
  <c r="N249" i="154" s="1"/>
  <c r="I35" i="122"/>
  <c r="G35"/>
  <c r="H249" i="154" s="1"/>
  <c r="E35" i="122"/>
  <c r="F249" i="154" s="1"/>
  <c r="C35" i="122"/>
  <c r="D249" i="154" s="1"/>
  <c r="D262" s="1"/>
  <c r="J108" i="121"/>
  <c r="J154" i="154" s="1"/>
  <c r="H108" i="121"/>
  <c r="H154" i="154" s="1"/>
  <c r="F108" i="121"/>
  <c r="F154" i="154" s="1"/>
  <c r="D108" i="121"/>
  <c r="D154" i="154" s="1"/>
  <c r="J107" i="121"/>
  <c r="J153" i="154" s="1"/>
  <c r="H107" i="121"/>
  <c r="H153" i="154" s="1"/>
  <c r="F107" i="121"/>
  <c r="F153" i="154" s="1"/>
  <c r="D107" i="121"/>
  <c r="D153" i="154" s="1"/>
  <c r="J106" i="121"/>
  <c r="J152" i="154" s="1"/>
  <c r="H106" i="121"/>
  <c r="H152" i="154" s="1"/>
  <c r="H155" s="1"/>
  <c r="H158" s="1"/>
  <c r="F106" i="121"/>
  <c r="F152" i="154" s="1"/>
  <c r="D106" i="121"/>
  <c r="D152" i="154" s="1"/>
  <c r="J89" i="121"/>
  <c r="J117" i="154" s="1"/>
  <c r="J118" s="1"/>
  <c r="J120" s="1"/>
  <c r="H89" i="121"/>
  <c r="H117" i="154" s="1"/>
  <c r="H118" s="1"/>
  <c r="H120" s="1"/>
  <c r="F89" i="121"/>
  <c r="F117" i="154" s="1"/>
  <c r="D89" i="121"/>
  <c r="D117" i="154" s="1"/>
  <c r="H81" i="121"/>
  <c r="H109" i="154" s="1"/>
  <c r="F81" i="121"/>
  <c r="F109" i="154" s="1"/>
  <c r="D81" i="121"/>
  <c r="D109" i="154" s="1"/>
  <c r="J80" i="121"/>
  <c r="H80"/>
  <c r="H108" i="154" s="1"/>
  <c r="F80" i="121"/>
  <c r="F108" i="154" s="1"/>
  <c r="D80" i="121"/>
  <c r="D108" i="154" s="1"/>
  <c r="J79" i="121"/>
  <c r="H79"/>
  <c r="H107" i="154" s="1"/>
  <c r="F79" i="121"/>
  <c r="F107" i="154" s="1"/>
  <c r="D79" i="121"/>
  <c r="D107" i="154" s="1"/>
  <c r="J78" i="121"/>
  <c r="H78"/>
  <c r="H106" i="154" s="1"/>
  <c r="F78" i="121"/>
  <c r="F106" i="154" s="1"/>
  <c r="D78" i="121"/>
  <c r="D106" i="154" s="1"/>
  <c r="H77" i="121"/>
  <c r="H105" i="154" s="1"/>
  <c r="F77" i="121"/>
  <c r="F105" i="154" s="1"/>
  <c r="D77" i="121"/>
  <c r="D105" i="154" s="1"/>
  <c r="H73" i="121"/>
  <c r="F73"/>
  <c r="D73"/>
  <c r="H72"/>
  <c r="F72"/>
  <c r="D72"/>
  <c r="H71"/>
  <c r="F71"/>
  <c r="D71"/>
  <c r="J70"/>
  <c r="I93" i="155" s="1"/>
  <c r="H70" i="121"/>
  <c r="F70"/>
  <c r="D70"/>
  <c r="H69"/>
  <c r="F69"/>
  <c r="D69"/>
  <c r="H68"/>
  <c r="F68"/>
  <c r="D68"/>
  <c r="H67"/>
  <c r="F67"/>
  <c r="D67"/>
  <c r="J63"/>
  <c r="H63"/>
  <c r="H91" i="154" s="1"/>
  <c r="F63" i="121"/>
  <c r="F91" i="154" s="1"/>
  <c r="D63" i="121"/>
  <c r="D91" i="154" s="1"/>
  <c r="J62" i="121"/>
  <c r="H62"/>
  <c r="H90" i="154" s="1"/>
  <c r="H92" s="1"/>
  <c r="F62" i="121"/>
  <c r="F90" i="154" s="1"/>
  <c r="D62" i="121"/>
  <c r="D90" i="154" s="1"/>
  <c r="J54" i="121"/>
  <c r="H54"/>
  <c r="H82" i="154" s="1"/>
  <c r="F54" i="121"/>
  <c r="F82" i="154" s="1"/>
  <c r="D54" i="121"/>
  <c r="D82" i="154" s="1"/>
  <c r="J53" i="121"/>
  <c r="J55" s="1"/>
  <c r="H53"/>
  <c r="F53"/>
  <c r="D53"/>
  <c r="D81" i="154" s="1"/>
  <c r="D83" s="1"/>
  <c r="D85" s="1"/>
  <c r="J45" i="121"/>
  <c r="H45"/>
  <c r="F45"/>
  <c r="D45"/>
  <c r="J37"/>
  <c r="J65" i="154" s="1"/>
  <c r="J66" s="1"/>
  <c r="J68" s="1"/>
  <c r="H37" i="121"/>
  <c r="H65" i="154" s="1"/>
  <c r="H66" s="1"/>
  <c r="H68" s="1"/>
  <c r="F37" i="121"/>
  <c r="F65" i="154" s="1"/>
  <c r="D37" i="121"/>
  <c r="D65" i="154" s="1"/>
  <c r="H149" i="137"/>
  <c r="H150" i="135" s="1"/>
  <c r="F149" i="137"/>
  <c r="F150" i="135" s="1"/>
  <c r="D149" i="137"/>
  <c r="D150" i="135" s="1"/>
  <c r="B149" i="137"/>
  <c r="B150" i="135" s="1"/>
  <c r="H148" i="137"/>
  <c r="H149" i="135" s="1"/>
  <c r="F148" i="137"/>
  <c r="F149" i="135" s="1"/>
  <c r="D148" i="137"/>
  <c r="D149" i="135" s="1"/>
  <c r="B148" i="137"/>
  <c r="B149" i="135" s="1"/>
  <c r="H147" i="137"/>
  <c r="H148" i="135" s="1"/>
  <c r="F147" i="137"/>
  <c r="D147"/>
  <c r="B147"/>
  <c r="H146"/>
  <c r="H147" i="135" s="1"/>
  <c r="F146" i="137"/>
  <c r="F147" i="135" s="1"/>
  <c r="D146" i="137"/>
  <c r="D147" i="135" s="1"/>
  <c r="B146" i="137"/>
  <c r="B147" i="135" s="1"/>
  <c r="H145" i="137"/>
  <c r="F145"/>
  <c r="D145"/>
  <c r="B145"/>
  <c r="H144"/>
  <c r="F144"/>
  <c r="D144"/>
  <c r="B144"/>
  <c r="H140"/>
  <c r="F140"/>
  <c r="D140"/>
  <c r="B140"/>
  <c r="H139"/>
  <c r="F139"/>
  <c r="D139"/>
  <c r="B139"/>
  <c r="H138"/>
  <c r="F138"/>
  <c r="D138"/>
  <c r="B138"/>
  <c r="H137"/>
  <c r="F137"/>
  <c r="D137"/>
  <c r="B137"/>
  <c r="H135"/>
  <c r="F135"/>
  <c r="D135"/>
  <c r="B135"/>
  <c r="H132"/>
  <c r="F132"/>
  <c r="D132"/>
  <c r="B132"/>
  <c r="H131"/>
  <c r="F131"/>
  <c r="D131"/>
  <c r="B131"/>
  <c r="H130"/>
  <c r="F130"/>
  <c r="D130"/>
  <c r="B130"/>
  <c r="H129"/>
  <c r="F129"/>
  <c r="D129"/>
  <c r="B129"/>
  <c r="H128"/>
  <c r="F128"/>
  <c r="D128"/>
  <c r="B128"/>
  <c r="H124"/>
  <c r="F124"/>
  <c r="D124"/>
  <c r="B124"/>
  <c r="H123"/>
  <c r="H124" i="135" s="1"/>
  <c r="F123" i="137"/>
  <c r="D123"/>
  <c r="D124" i="135" s="1"/>
  <c r="B123" i="137"/>
  <c r="B124" i="135" s="1"/>
  <c r="H122" i="137"/>
  <c r="F122"/>
  <c r="D122"/>
  <c r="B122"/>
  <c r="H121"/>
  <c r="F121"/>
  <c r="D121"/>
  <c r="B121"/>
  <c r="H120"/>
  <c r="F120"/>
  <c r="D120"/>
  <c r="B120"/>
  <c r="H115"/>
  <c r="F115"/>
  <c r="D115"/>
  <c r="B115"/>
  <c r="H114"/>
  <c r="H117" s="1"/>
  <c r="F114"/>
  <c r="F117" s="1"/>
  <c r="D114"/>
  <c r="B114"/>
  <c r="B117" s="1"/>
  <c r="H110"/>
  <c r="F110"/>
  <c r="D110"/>
  <c r="B110"/>
  <c r="H109"/>
  <c r="F109"/>
  <c r="D109"/>
  <c r="B109"/>
  <c r="H108"/>
  <c r="F108"/>
  <c r="D108"/>
  <c r="B108"/>
  <c r="H107"/>
  <c r="F107"/>
  <c r="D107"/>
  <c r="B107"/>
  <c r="H106"/>
  <c r="F106"/>
  <c r="D106"/>
  <c r="B106"/>
  <c r="H105"/>
  <c r="F105"/>
  <c r="D105"/>
  <c r="B105"/>
  <c r="H104"/>
  <c r="F104"/>
  <c r="D104"/>
  <c r="B104"/>
  <c r="H103"/>
  <c r="F103"/>
  <c r="D103"/>
  <c r="B103"/>
  <c r="H102"/>
  <c r="F102"/>
  <c r="D102"/>
  <c r="B102"/>
  <c r="H101"/>
  <c r="F101"/>
  <c r="D101"/>
  <c r="B101"/>
  <c r="H100"/>
  <c r="F100"/>
  <c r="D100"/>
  <c r="B100"/>
  <c r="H92"/>
  <c r="F92"/>
  <c r="D92"/>
  <c r="B92"/>
  <c r="H91"/>
  <c r="F91"/>
  <c r="D91"/>
  <c r="B91"/>
  <c r="H90"/>
  <c r="F90"/>
  <c r="D90"/>
  <c r="B90"/>
  <c r="H89"/>
  <c r="F89"/>
  <c r="D89"/>
  <c r="B89"/>
  <c r="H88"/>
  <c r="F88"/>
  <c r="D88"/>
  <c r="B88"/>
  <c r="H87"/>
  <c r="F87"/>
  <c r="D87"/>
  <c r="B87"/>
  <c r="H86"/>
  <c r="F86"/>
  <c r="D86"/>
  <c r="B86"/>
  <c r="B86" i="136" s="1"/>
  <c r="H85" i="137"/>
  <c r="F85"/>
  <c r="D85"/>
  <c r="B85"/>
  <c r="H84"/>
  <c r="H84" i="136" s="1"/>
  <c r="F84" i="137"/>
  <c r="D84"/>
  <c r="B84"/>
  <c r="H83"/>
  <c r="F83"/>
  <c r="D83"/>
  <c r="B83"/>
  <c r="H82"/>
  <c r="F82"/>
  <c r="D82"/>
  <c r="B82"/>
  <c r="H81"/>
  <c r="F81"/>
  <c r="D81"/>
  <c r="B81"/>
  <c r="H77"/>
  <c r="F77"/>
  <c r="D77"/>
  <c r="B77"/>
  <c r="H76"/>
  <c r="F76"/>
  <c r="D76"/>
  <c r="B76"/>
  <c r="H75"/>
  <c r="F75"/>
  <c r="D75"/>
  <c r="B75"/>
  <c r="H74"/>
  <c r="F74"/>
  <c r="D74"/>
  <c r="B74"/>
  <c r="H73"/>
  <c r="F73"/>
  <c r="D73"/>
  <c r="B73"/>
  <c r="H72"/>
  <c r="F72"/>
  <c r="D72"/>
  <c r="B72"/>
  <c r="H71"/>
  <c r="F71"/>
  <c r="D71"/>
  <c r="B71"/>
  <c r="H70"/>
  <c r="F70"/>
  <c r="D70"/>
  <c r="B70"/>
  <c r="H69"/>
  <c r="H69" i="134" s="1"/>
  <c r="F69" i="137"/>
  <c r="D69"/>
  <c r="B69"/>
  <c r="H67"/>
  <c r="F67"/>
  <c r="D67"/>
  <c r="B67"/>
  <c r="H63"/>
  <c r="F63"/>
  <c r="D63"/>
  <c r="B63"/>
  <c r="H62"/>
  <c r="F62"/>
  <c r="D62"/>
  <c r="B62"/>
  <c r="H61"/>
  <c r="F61"/>
  <c r="D61"/>
  <c r="B61"/>
  <c r="H60"/>
  <c r="F60"/>
  <c r="D60"/>
  <c r="B60"/>
  <c r="H59"/>
  <c r="F59"/>
  <c r="D59"/>
  <c r="B59"/>
  <c r="H58"/>
  <c r="F58"/>
  <c r="D58"/>
  <c r="B58"/>
  <c r="H57"/>
  <c r="F57"/>
  <c r="D57"/>
  <c r="B57"/>
  <c r="H56"/>
  <c r="F56"/>
  <c r="D56"/>
  <c r="B56"/>
  <c r="H55"/>
  <c r="F55"/>
  <c r="D55"/>
  <c r="B55"/>
  <c r="H51"/>
  <c r="F51"/>
  <c r="D51"/>
  <c r="B51"/>
  <c r="H50"/>
  <c r="F50"/>
  <c r="D50"/>
  <c r="B50"/>
  <c r="H46"/>
  <c r="F46"/>
  <c r="D46"/>
  <c r="B46"/>
  <c r="H45"/>
  <c r="F45"/>
  <c r="D45"/>
  <c r="B45"/>
  <c r="H44"/>
  <c r="F44"/>
  <c r="D44"/>
  <c r="B44"/>
  <c r="H43"/>
  <c r="F43"/>
  <c r="D43"/>
  <c r="B43"/>
  <c r="H42"/>
  <c r="F42"/>
  <c r="D42"/>
  <c r="B42"/>
  <c r="H41"/>
  <c r="F41"/>
  <c r="D41"/>
  <c r="B41"/>
  <c r="H40"/>
  <c r="F40"/>
  <c r="D40"/>
  <c r="B40"/>
  <c r="H39"/>
  <c r="F39"/>
  <c r="D39"/>
  <c r="B39"/>
  <c r="H35"/>
  <c r="F35"/>
  <c r="D35"/>
  <c r="B35"/>
  <c r="H34"/>
  <c r="F34"/>
  <c r="D34"/>
  <c r="B34"/>
  <c r="H33"/>
  <c r="F33"/>
  <c r="D33"/>
  <c r="B33"/>
  <c r="H32"/>
  <c r="F32"/>
  <c r="D32"/>
  <c r="B32"/>
  <c r="H31"/>
  <c r="F31"/>
  <c r="D31"/>
  <c r="B31"/>
  <c r="H30"/>
  <c r="F30"/>
  <c r="D30"/>
  <c r="B30"/>
  <c r="H24"/>
  <c r="F24"/>
  <c r="D24"/>
  <c r="B24"/>
  <c r="H23"/>
  <c r="F23"/>
  <c r="D23"/>
  <c r="B23"/>
  <c r="H22"/>
  <c r="F22"/>
  <c r="D22"/>
  <c r="B22"/>
  <c r="H21"/>
  <c r="F21"/>
  <c r="D21"/>
  <c r="B21"/>
  <c r="H20"/>
  <c r="F20"/>
  <c r="D20"/>
  <c r="B20"/>
  <c r="H19"/>
  <c r="F19"/>
  <c r="D19"/>
  <c r="B19"/>
  <c r="H18"/>
  <c r="F18"/>
  <c r="D18"/>
  <c r="B18"/>
  <c r="H17"/>
  <c r="F17"/>
  <c r="D17"/>
  <c r="B17"/>
  <c r="H16"/>
  <c r="F16"/>
  <c r="D16"/>
  <c r="B16"/>
  <c r="H15"/>
  <c r="F15"/>
  <c r="D15"/>
  <c r="B15"/>
  <c r="H14"/>
  <c r="F14"/>
  <c r="D14"/>
  <c r="B14"/>
  <c r="H13"/>
  <c r="H13" i="136" s="1"/>
  <c r="F13" i="137"/>
  <c r="D13"/>
  <c r="B13"/>
  <c r="H12"/>
  <c r="F12"/>
  <c r="D12"/>
  <c r="B12"/>
  <c r="H11"/>
  <c r="F11"/>
  <c r="D11"/>
  <c r="B11"/>
  <c r="D31" i="139"/>
  <c r="D34" s="1"/>
  <c r="B31"/>
  <c r="B34" s="1"/>
  <c r="H26"/>
  <c r="F26"/>
  <c r="D26"/>
  <c r="B26"/>
  <c r="H17"/>
  <c r="H21" i="138" s="1"/>
  <c r="F17" i="139"/>
  <c r="F21" i="138" s="1"/>
  <c r="D17" i="139"/>
  <c r="D21" i="138" s="1"/>
  <c r="B17" i="139"/>
  <c r="B21" i="138" s="1"/>
  <c r="H16" i="139"/>
  <c r="H20" i="138" s="1"/>
  <c r="F16" i="139"/>
  <c r="F20" i="138" s="1"/>
  <c r="D16" i="139"/>
  <c r="D20" i="138" s="1"/>
  <c r="B16" i="139"/>
  <c r="B20" i="138" s="1"/>
  <c r="H15" i="139"/>
  <c r="F15"/>
  <c r="D15"/>
  <c r="B15"/>
  <c r="H14"/>
  <c r="H18" i="138" s="1"/>
  <c r="F14" i="139"/>
  <c r="F18" i="138" s="1"/>
  <c r="D14" i="139"/>
  <c r="D18" i="138" s="1"/>
  <c r="B14" i="139"/>
  <c r="B18" i="138" s="1"/>
  <c r="H13" i="139"/>
  <c r="F13"/>
  <c r="D13"/>
  <c r="B13"/>
  <c r="H12"/>
  <c r="F12"/>
  <c r="D12"/>
  <c r="B12"/>
  <c r="H11"/>
  <c r="F11"/>
  <c r="D11"/>
  <c r="B11"/>
  <c r="H107" i="143"/>
  <c r="H108" i="141" s="1"/>
  <c r="H109" s="1"/>
  <c r="F107" i="143"/>
  <c r="F108" i="141" s="1"/>
  <c r="F109" s="1"/>
  <c r="D107" i="143"/>
  <c r="B107"/>
  <c r="H102"/>
  <c r="H103" i="141" s="1"/>
  <c r="F102" i="143"/>
  <c r="F103" i="141" s="1"/>
  <c r="D102" i="143"/>
  <c r="B102"/>
  <c r="H101"/>
  <c r="H102" i="141" s="1"/>
  <c r="F101" i="143"/>
  <c r="F102" i="141" s="1"/>
  <c r="D101" i="143"/>
  <c r="B101"/>
  <c r="H100"/>
  <c r="H101" i="141" s="1"/>
  <c r="F100" i="143"/>
  <c r="F101" i="141" s="1"/>
  <c r="D100" i="143"/>
  <c r="B100"/>
  <c r="H99"/>
  <c r="H100" i="141" s="1"/>
  <c r="F99" i="143"/>
  <c r="F100" i="141" s="1"/>
  <c r="D99" i="143"/>
  <c r="D100" i="141" s="1"/>
  <c r="B99" i="143"/>
  <c r="B100" i="141" s="1"/>
  <c r="H98" i="143"/>
  <c r="H99" i="141" s="1"/>
  <c r="F98" i="143"/>
  <c r="F99" i="141" s="1"/>
  <c r="D98" i="143"/>
  <c r="B98"/>
  <c r="H97"/>
  <c r="H98" i="141" s="1"/>
  <c r="F97" i="143"/>
  <c r="F98" i="141" s="1"/>
  <c r="D97" i="143"/>
  <c r="B97"/>
  <c r="H96"/>
  <c r="H96" i="141" s="1"/>
  <c r="F96" i="143"/>
  <c r="F96" i="141" s="1"/>
  <c r="D96" i="143"/>
  <c r="B96"/>
  <c r="H95"/>
  <c r="F95"/>
  <c r="D95"/>
  <c r="D104" s="1"/>
  <c r="B95"/>
  <c r="B104" s="1"/>
  <c r="H91"/>
  <c r="H91" i="141" s="1"/>
  <c r="F91" i="143"/>
  <c r="F91" i="141" s="1"/>
  <c r="D91" i="143"/>
  <c r="B91"/>
  <c r="H90"/>
  <c r="H90" i="141" s="1"/>
  <c r="F90" i="143"/>
  <c r="F90" i="141" s="1"/>
  <c r="D90" i="143"/>
  <c r="B90"/>
  <c r="H89"/>
  <c r="H89" i="141" s="1"/>
  <c r="F89" i="143"/>
  <c r="F89" i="141" s="1"/>
  <c r="D89" i="143"/>
  <c r="B89"/>
  <c r="H88"/>
  <c r="H88" i="141" s="1"/>
  <c r="F88" i="143"/>
  <c r="F88" i="141" s="1"/>
  <c r="D88" i="143"/>
  <c r="B88"/>
  <c r="H87"/>
  <c r="H87" i="141" s="1"/>
  <c r="F87" i="143"/>
  <c r="F87" i="141" s="1"/>
  <c r="D87" i="143"/>
  <c r="B87"/>
  <c r="H86"/>
  <c r="H86" i="141" s="1"/>
  <c r="H92" s="1"/>
  <c r="F86" i="143"/>
  <c r="F86" i="141" s="1"/>
  <c r="F92" s="1"/>
  <c r="D86" i="143"/>
  <c r="B86"/>
  <c r="H82"/>
  <c r="H82" i="141" s="1"/>
  <c r="F82" i="143"/>
  <c r="F82" i="141" s="1"/>
  <c r="D82" i="143"/>
  <c r="B82"/>
  <c r="H81"/>
  <c r="H81" i="141" s="1"/>
  <c r="F81" i="143"/>
  <c r="F81" i="141" s="1"/>
  <c r="D81" i="143"/>
  <c r="B81"/>
  <c r="H80"/>
  <c r="H80" i="141" s="1"/>
  <c r="F80" i="143"/>
  <c r="F80" i="141" s="1"/>
  <c r="D80" i="143"/>
  <c r="B80"/>
  <c r="H79"/>
  <c r="H79" i="141" s="1"/>
  <c r="F79" i="143"/>
  <c r="F79" i="141" s="1"/>
  <c r="D79" i="143"/>
  <c r="B79"/>
  <c r="H78"/>
  <c r="H78" i="141" s="1"/>
  <c r="F78" i="143"/>
  <c r="F78" i="141" s="1"/>
  <c r="D78" i="143"/>
  <c r="B78"/>
  <c r="H77"/>
  <c r="H77" i="141" s="1"/>
  <c r="F77" i="143"/>
  <c r="F77" i="141" s="1"/>
  <c r="D77" i="143"/>
  <c r="B77"/>
  <c r="H76"/>
  <c r="H76" i="141" s="1"/>
  <c r="F76" i="143"/>
  <c r="F76" i="141" s="1"/>
  <c r="D76" i="143"/>
  <c r="B76"/>
  <c r="H75"/>
  <c r="H75" i="141" s="1"/>
  <c r="F75" i="143"/>
  <c r="F75" i="141" s="1"/>
  <c r="D75" i="143"/>
  <c r="B75"/>
  <c r="H74"/>
  <c r="H74" i="141" s="1"/>
  <c r="F74" i="143"/>
  <c r="F74" i="141" s="1"/>
  <c r="D74" i="143"/>
  <c r="B74"/>
  <c r="H73"/>
  <c r="H73" i="141" s="1"/>
  <c r="F73" i="143"/>
  <c r="F73" i="141" s="1"/>
  <c r="F83" s="1"/>
  <c r="D73" i="143"/>
  <c r="B73"/>
  <c r="H63"/>
  <c r="F63"/>
  <c r="D63"/>
  <c r="B63"/>
  <c r="H62"/>
  <c r="H65" s="1"/>
  <c r="F62"/>
  <c r="D62"/>
  <c r="D65" s="1"/>
  <c r="B62"/>
  <c r="B65" s="1"/>
  <c r="H58"/>
  <c r="F58"/>
  <c r="D58"/>
  <c r="B58"/>
  <c r="H57"/>
  <c r="F57"/>
  <c r="D57"/>
  <c r="B57"/>
  <c r="H56"/>
  <c r="F56"/>
  <c r="D56"/>
  <c r="B56"/>
  <c r="H55"/>
  <c r="F55"/>
  <c r="D55"/>
  <c r="B55"/>
  <c r="H54"/>
  <c r="F54"/>
  <c r="D54"/>
  <c r="B54"/>
  <c r="H53"/>
  <c r="F53"/>
  <c r="D53"/>
  <c r="B53"/>
  <c r="H52"/>
  <c r="H52" i="142" s="1"/>
  <c r="F52" i="143"/>
  <c r="D52"/>
  <c r="B52"/>
  <c r="H51"/>
  <c r="F51"/>
  <c r="D51"/>
  <c r="B51"/>
  <c r="H50"/>
  <c r="F50"/>
  <c r="D50"/>
  <c r="B50"/>
  <c r="H49"/>
  <c r="F49"/>
  <c r="D49"/>
  <c r="B49"/>
  <c r="H48"/>
  <c r="F48"/>
  <c r="D48"/>
  <c r="B48"/>
  <c r="H47"/>
  <c r="F47"/>
  <c r="D47"/>
  <c r="B47"/>
  <c r="H46"/>
  <c r="F46"/>
  <c r="D46"/>
  <c r="B46"/>
  <c r="H45"/>
  <c r="H45" i="142" s="1"/>
  <c r="F45" i="143"/>
  <c r="D45"/>
  <c r="B45"/>
  <c r="H44"/>
  <c r="F44"/>
  <c r="D44"/>
  <c r="B44"/>
  <c r="H43"/>
  <c r="F43"/>
  <c r="D43"/>
  <c r="B43"/>
  <c r="H42"/>
  <c r="F42"/>
  <c r="D42"/>
  <c r="B42"/>
  <c r="H41"/>
  <c r="F41"/>
  <c r="D41"/>
  <c r="B41"/>
  <c r="H37"/>
  <c r="F37"/>
  <c r="D37"/>
  <c r="B37"/>
  <c r="H33"/>
  <c r="H33" i="142" s="1"/>
  <c r="F33" i="143"/>
  <c r="D33"/>
  <c r="B33"/>
  <c r="H32"/>
  <c r="H32" i="142" s="1"/>
  <c r="F32" i="143"/>
  <c r="D32"/>
  <c r="B32"/>
  <c r="H31"/>
  <c r="H31" i="142" s="1"/>
  <c r="F31" i="143"/>
  <c r="D31"/>
  <c r="B31"/>
  <c r="H30"/>
  <c r="F30"/>
  <c r="D30"/>
  <c r="B30"/>
  <c r="H29"/>
  <c r="H29" i="142" s="1"/>
  <c r="F29" i="143"/>
  <c r="D29"/>
  <c r="B29"/>
  <c r="H28"/>
  <c r="H28" i="142" s="1"/>
  <c r="F28" i="143"/>
  <c r="D28"/>
  <c r="B28"/>
  <c r="H24"/>
  <c r="F24"/>
  <c r="D24"/>
  <c r="B24"/>
  <c r="H23"/>
  <c r="F23"/>
  <c r="D23"/>
  <c r="B23"/>
  <c r="H22"/>
  <c r="H22" i="142" s="1"/>
  <c r="F22" i="143"/>
  <c r="D22"/>
  <c r="B22"/>
  <c r="H21"/>
  <c r="F21"/>
  <c r="D21"/>
  <c r="B21"/>
  <c r="H20"/>
  <c r="F20"/>
  <c r="D20"/>
  <c r="B20"/>
  <c r="H19"/>
  <c r="H19" i="142" s="1"/>
  <c r="F19" i="143"/>
  <c r="D19"/>
  <c r="B19"/>
  <c r="H18"/>
  <c r="F18"/>
  <c r="D18"/>
  <c r="B18"/>
  <c r="H17"/>
  <c r="H17" i="142" s="1"/>
  <c r="F17" i="143"/>
  <c r="D17"/>
  <c r="B17"/>
  <c r="H16"/>
  <c r="H16" i="142" s="1"/>
  <c r="F16" i="143"/>
  <c r="D16"/>
  <c r="B16"/>
  <c r="H15"/>
  <c r="F15"/>
  <c r="D15"/>
  <c r="B15"/>
  <c r="H14"/>
  <c r="H14" i="142" s="1"/>
  <c r="F14" i="143"/>
  <c r="D14"/>
  <c r="B14"/>
  <c r="H13"/>
  <c r="H13" i="142" s="1"/>
  <c r="F13" i="143"/>
  <c r="D13"/>
  <c r="B13"/>
  <c r="H12"/>
  <c r="F12"/>
  <c r="D12"/>
  <c r="B12"/>
  <c r="H11"/>
  <c r="F11"/>
  <c r="D11"/>
  <c r="B11"/>
  <c r="B28" i="145"/>
  <c r="B27"/>
  <c r="H18"/>
  <c r="F18"/>
  <c r="D18"/>
  <c r="B18"/>
  <c r="H17"/>
  <c r="F17"/>
  <c r="D17"/>
  <c r="B17"/>
  <c r="H16"/>
  <c r="H16" i="144" s="1"/>
  <c r="F16" i="145"/>
  <c r="F16" i="144" s="1"/>
  <c r="D16" i="145"/>
  <c r="D16" i="144" s="1"/>
  <c r="B16" i="145"/>
  <c r="B16" i="144" s="1"/>
  <c r="H15" i="145"/>
  <c r="H15" i="144" s="1"/>
  <c r="F15" i="145"/>
  <c r="F15" i="144" s="1"/>
  <c r="D15" i="145"/>
  <c r="B15"/>
  <c r="H14"/>
  <c r="H14" i="144" s="1"/>
  <c r="F14" i="145"/>
  <c r="F14" i="144" s="1"/>
  <c r="D14" i="145"/>
  <c r="D14" i="144" s="1"/>
  <c r="B14" i="145"/>
  <c r="B14" i="144" s="1"/>
  <c r="H13" i="145"/>
  <c r="H13" i="144" s="1"/>
  <c r="F13" i="145"/>
  <c r="F13" i="144" s="1"/>
  <c r="D13" i="145"/>
  <c r="D13" i="144" s="1"/>
  <c r="B13" i="145"/>
  <c r="B13" i="144" s="1"/>
  <c r="H12" i="145"/>
  <c r="F12"/>
  <c r="D12"/>
  <c r="B12"/>
  <c r="H11"/>
  <c r="F11"/>
  <c r="D11"/>
  <c r="B11"/>
  <c r="H10" i="146"/>
  <c r="F10"/>
  <c r="D10"/>
  <c r="B10"/>
  <c r="H10" i="147"/>
  <c r="F10"/>
  <c r="D10"/>
  <c r="B10"/>
  <c r="H19" i="149"/>
  <c r="F19"/>
  <c r="D19"/>
  <c r="B19"/>
  <c r="H18"/>
  <c r="F18"/>
  <c r="D18"/>
  <c r="B18"/>
  <c r="H17"/>
  <c r="F17"/>
  <c r="D17"/>
  <c r="B17"/>
  <c r="H16"/>
  <c r="F16"/>
  <c r="D16"/>
  <c r="B16"/>
  <c r="H12"/>
  <c r="F12"/>
  <c r="D12"/>
  <c r="B12"/>
  <c r="H11"/>
  <c r="F11"/>
  <c r="D11"/>
  <c r="B11"/>
  <c r="H13" i="150"/>
  <c r="H12"/>
  <c r="H11"/>
  <c r="H10"/>
  <c r="F13"/>
  <c r="F12"/>
  <c r="F11"/>
  <c r="F10"/>
  <c r="D13"/>
  <c r="J13" s="1"/>
  <c r="D12"/>
  <c r="J12" s="1"/>
  <c r="D11"/>
  <c r="J11" s="1"/>
  <c r="D10"/>
  <c r="J10" s="1"/>
  <c r="B13"/>
  <c r="L13" s="1"/>
  <c r="B12"/>
  <c r="B11"/>
  <c r="B10"/>
  <c r="P43" i="153"/>
  <c r="N43"/>
  <c r="L43"/>
  <c r="J43"/>
  <c r="H43"/>
  <c r="F43"/>
  <c r="D43"/>
  <c r="B43"/>
  <c r="P35"/>
  <c r="N35"/>
  <c r="L35"/>
  <c r="J35"/>
  <c r="H35"/>
  <c r="F35"/>
  <c r="D35"/>
  <c r="B35"/>
  <c r="P34"/>
  <c r="N34"/>
  <c r="L34"/>
  <c r="J34"/>
  <c r="H34"/>
  <c r="F34"/>
  <c r="D34"/>
  <c r="B34"/>
  <c r="P33"/>
  <c r="N33"/>
  <c r="L33"/>
  <c r="J33"/>
  <c r="H33"/>
  <c r="F33"/>
  <c r="D33"/>
  <c r="B33"/>
  <c r="P32"/>
  <c r="N32"/>
  <c r="L32"/>
  <c r="J32"/>
  <c r="H32"/>
  <c r="F32"/>
  <c r="D32"/>
  <c r="B32"/>
  <c r="P31"/>
  <c r="N31"/>
  <c r="L31"/>
  <c r="J31"/>
  <c r="H31"/>
  <c r="F31"/>
  <c r="D31"/>
  <c r="B31"/>
  <c r="P30"/>
  <c r="N30"/>
  <c r="L30"/>
  <c r="J30"/>
  <c r="H30"/>
  <c r="F30"/>
  <c r="D30"/>
  <c r="B30"/>
  <c r="P29"/>
  <c r="N29"/>
  <c r="L29"/>
  <c r="J29"/>
  <c r="H29"/>
  <c r="F29"/>
  <c r="D29"/>
  <c r="B29"/>
  <c r="P21"/>
  <c r="N21"/>
  <c r="L21"/>
  <c r="J21"/>
  <c r="H21"/>
  <c r="F21"/>
  <c r="D21"/>
  <c r="B21"/>
  <c r="P20"/>
  <c r="N20"/>
  <c r="L20"/>
  <c r="J20"/>
  <c r="H20"/>
  <c r="F20"/>
  <c r="D20"/>
  <c r="B20"/>
  <c r="P19"/>
  <c r="N19"/>
  <c r="L19"/>
  <c r="J19"/>
  <c r="H19"/>
  <c r="F19"/>
  <c r="D19"/>
  <c r="B19"/>
  <c r="P18"/>
  <c r="N18"/>
  <c r="L18"/>
  <c r="J18"/>
  <c r="H18"/>
  <c r="F18"/>
  <c r="D18"/>
  <c r="B18"/>
  <c r="P17"/>
  <c r="N17"/>
  <c r="L17"/>
  <c r="J17"/>
  <c r="H17"/>
  <c r="F17"/>
  <c r="D17"/>
  <c r="B17"/>
  <c r="P16"/>
  <c r="N16"/>
  <c r="L16"/>
  <c r="J16"/>
  <c r="H16"/>
  <c r="F16"/>
  <c r="D16"/>
  <c r="B16"/>
  <c r="P15"/>
  <c r="N15"/>
  <c r="L15"/>
  <c r="J15"/>
  <c r="H15"/>
  <c r="F15"/>
  <c r="D15"/>
  <c r="B15"/>
  <c r="P10"/>
  <c r="N10"/>
  <c r="L10"/>
  <c r="J10"/>
  <c r="H10"/>
  <c r="F10"/>
  <c r="D10"/>
  <c r="B10"/>
  <c r="P451" i="152"/>
  <c r="N451"/>
  <c r="L451"/>
  <c r="J451"/>
  <c r="H451"/>
  <c r="F451"/>
  <c r="D451"/>
  <c r="B451"/>
  <c r="P450"/>
  <c r="N450"/>
  <c r="L450"/>
  <c r="J450"/>
  <c r="H450"/>
  <c r="F450"/>
  <c r="D450"/>
  <c r="B450"/>
  <c r="P449"/>
  <c r="N449"/>
  <c r="L449"/>
  <c r="J449"/>
  <c r="H449"/>
  <c r="F449"/>
  <c r="D449"/>
  <c r="B449"/>
  <c r="P448"/>
  <c r="N448"/>
  <c r="L448"/>
  <c r="J448"/>
  <c r="H448"/>
  <c r="F448"/>
  <c r="D448"/>
  <c r="B448"/>
  <c r="P447"/>
  <c r="N447"/>
  <c r="L447"/>
  <c r="J447"/>
  <c r="H447"/>
  <c r="F447"/>
  <c r="D447"/>
  <c r="B447"/>
  <c r="P439"/>
  <c r="N439"/>
  <c r="L439"/>
  <c r="J439"/>
  <c r="H439"/>
  <c r="F439"/>
  <c r="D439"/>
  <c r="P438"/>
  <c r="N438"/>
  <c r="L438"/>
  <c r="J438"/>
  <c r="H438"/>
  <c r="F438"/>
  <c r="D438"/>
  <c r="B438"/>
  <c r="P437"/>
  <c r="N437"/>
  <c r="L437"/>
  <c r="J437"/>
  <c r="H437"/>
  <c r="F437"/>
  <c r="D437"/>
  <c r="P436"/>
  <c r="N436"/>
  <c r="L436"/>
  <c r="J436"/>
  <c r="H436"/>
  <c r="F436"/>
  <c r="D436"/>
  <c r="B436"/>
  <c r="P432"/>
  <c r="N432"/>
  <c r="L432"/>
  <c r="J432"/>
  <c r="H432"/>
  <c r="F432"/>
  <c r="D432"/>
  <c r="B432"/>
  <c r="P431"/>
  <c r="N431"/>
  <c r="L431"/>
  <c r="J431"/>
  <c r="H431"/>
  <c r="F431"/>
  <c r="D431"/>
  <c r="B431"/>
  <c r="P430"/>
  <c r="N430"/>
  <c r="L430"/>
  <c r="J430"/>
  <c r="H430"/>
  <c r="F430"/>
  <c r="D430"/>
  <c r="B430"/>
  <c r="P429"/>
  <c r="N429"/>
  <c r="L429"/>
  <c r="J429"/>
  <c r="H429"/>
  <c r="F429"/>
  <c r="D429"/>
  <c r="B429"/>
  <c r="P428"/>
  <c r="N428"/>
  <c r="L428"/>
  <c r="J428"/>
  <c r="H428"/>
  <c r="F428"/>
  <c r="D428"/>
  <c r="B428"/>
  <c r="P427"/>
  <c r="N427"/>
  <c r="L427"/>
  <c r="J427"/>
  <c r="H427"/>
  <c r="F427"/>
  <c r="D427"/>
  <c r="B427"/>
  <c r="P426"/>
  <c r="N426"/>
  <c r="L426"/>
  <c r="J426"/>
  <c r="H426"/>
  <c r="F426"/>
  <c r="D426"/>
  <c r="B426"/>
  <c r="P425"/>
  <c r="N425"/>
  <c r="L425"/>
  <c r="J425"/>
  <c r="H425"/>
  <c r="F425"/>
  <c r="D425"/>
  <c r="B425"/>
  <c r="P424"/>
  <c r="N424"/>
  <c r="L424"/>
  <c r="J424"/>
  <c r="H424"/>
  <c r="F424"/>
  <c r="D424"/>
  <c r="B424"/>
  <c r="P423"/>
  <c r="N423"/>
  <c r="L423"/>
  <c r="J423"/>
  <c r="H423"/>
  <c r="F423"/>
  <c r="D423"/>
  <c r="B423"/>
  <c r="P422"/>
  <c r="N422"/>
  <c r="L422"/>
  <c r="J422"/>
  <c r="H422"/>
  <c r="F422"/>
  <c r="D422"/>
  <c r="B422"/>
  <c r="P421"/>
  <c r="N421"/>
  <c r="L421"/>
  <c r="J421"/>
  <c r="H421"/>
  <c r="F421"/>
  <c r="D421"/>
  <c r="B421"/>
  <c r="P417"/>
  <c r="N417"/>
  <c r="L417"/>
  <c r="J417"/>
  <c r="H417"/>
  <c r="F417"/>
  <c r="D417"/>
  <c r="B417"/>
  <c r="P416"/>
  <c r="N416"/>
  <c r="L416"/>
  <c r="J416"/>
  <c r="H416"/>
  <c r="F416"/>
  <c r="D416"/>
  <c r="B416"/>
  <c r="P415"/>
  <c r="N415"/>
  <c r="L415"/>
  <c r="J415"/>
  <c r="H415"/>
  <c r="F415"/>
  <c r="D415"/>
  <c r="B415"/>
  <c r="P414"/>
  <c r="N414"/>
  <c r="L414"/>
  <c r="J414"/>
  <c r="H414"/>
  <c r="F414"/>
  <c r="D414"/>
  <c r="B414"/>
  <c r="P413"/>
  <c r="N413"/>
  <c r="L413"/>
  <c r="J413"/>
  <c r="H413"/>
  <c r="F413"/>
  <c r="D413"/>
  <c r="B413"/>
  <c r="P412"/>
  <c r="N412"/>
  <c r="L412"/>
  <c r="J412"/>
  <c r="H412"/>
  <c r="F412"/>
  <c r="D412"/>
  <c r="B412"/>
  <c r="P411"/>
  <c r="N411"/>
  <c r="L411"/>
  <c r="J411"/>
  <c r="H411"/>
  <c r="F411"/>
  <c r="D411"/>
  <c r="B411"/>
  <c r="P407"/>
  <c r="N407"/>
  <c r="L407"/>
  <c r="J407"/>
  <c r="H407"/>
  <c r="F407"/>
  <c r="D407"/>
  <c r="B407"/>
  <c r="P410"/>
  <c r="N410"/>
  <c r="L410"/>
  <c r="J410"/>
  <c r="H410"/>
  <c r="F410"/>
  <c r="D410"/>
  <c r="B410"/>
  <c r="P406"/>
  <c r="N406"/>
  <c r="L406"/>
  <c r="J406"/>
  <c r="H406"/>
  <c r="F406"/>
  <c r="D406"/>
  <c r="B406"/>
  <c r="P405"/>
  <c r="P433" s="1"/>
  <c r="N405"/>
  <c r="L405"/>
  <c r="J405"/>
  <c r="J433" s="1"/>
  <c r="H405"/>
  <c r="F405"/>
  <c r="D405"/>
  <c r="B405"/>
  <c r="P397"/>
  <c r="N397"/>
  <c r="L397"/>
  <c r="J397"/>
  <c r="H397"/>
  <c r="F397"/>
  <c r="D397"/>
  <c r="P388"/>
  <c r="N388"/>
  <c r="L388"/>
  <c r="J388"/>
  <c r="H388"/>
  <c r="F388"/>
  <c r="D388"/>
  <c r="B388"/>
  <c r="P387"/>
  <c r="N387"/>
  <c r="L387"/>
  <c r="J387"/>
  <c r="H387"/>
  <c r="F387"/>
  <c r="D387"/>
  <c r="B387"/>
  <c r="P383"/>
  <c r="N383"/>
  <c r="L383"/>
  <c r="J383"/>
  <c r="H383"/>
  <c r="F383"/>
  <c r="D383"/>
  <c r="B383"/>
  <c r="P382"/>
  <c r="N382"/>
  <c r="L382"/>
  <c r="J382"/>
  <c r="H382"/>
  <c r="F382"/>
  <c r="D382"/>
  <c r="B382"/>
  <c r="P381"/>
  <c r="N381"/>
  <c r="L381"/>
  <c r="J381"/>
  <c r="H381"/>
  <c r="F381"/>
  <c r="D381"/>
  <c r="B381"/>
  <c r="P380"/>
  <c r="N380"/>
  <c r="L380"/>
  <c r="J380"/>
  <c r="H380"/>
  <c r="F380"/>
  <c r="D380"/>
  <c r="B380"/>
  <c r="P379"/>
  <c r="N379"/>
  <c r="L379"/>
  <c r="J379"/>
  <c r="H379"/>
  <c r="F379"/>
  <c r="D379"/>
  <c r="B379"/>
  <c r="P378"/>
  <c r="N378"/>
  <c r="L378"/>
  <c r="J378"/>
  <c r="H378"/>
  <c r="F378"/>
  <c r="D378"/>
  <c r="B378"/>
  <c r="P377"/>
  <c r="N377"/>
  <c r="L377"/>
  <c r="J377"/>
  <c r="H377"/>
  <c r="F377"/>
  <c r="D377"/>
  <c r="B377"/>
  <c r="P376"/>
  <c r="N376"/>
  <c r="L376"/>
  <c r="J376"/>
  <c r="H376"/>
  <c r="F376"/>
  <c r="D376"/>
  <c r="B376"/>
  <c r="P375"/>
  <c r="N375"/>
  <c r="L375"/>
  <c r="J375"/>
  <c r="H375"/>
  <c r="F375"/>
  <c r="D375"/>
  <c r="B375"/>
  <c r="P374"/>
  <c r="N374"/>
  <c r="L374"/>
  <c r="J374"/>
  <c r="H374"/>
  <c r="F374"/>
  <c r="D374"/>
  <c r="B374"/>
  <c r="P373"/>
  <c r="N373"/>
  <c r="L373"/>
  <c r="J373"/>
  <c r="H373"/>
  <c r="F373"/>
  <c r="D373"/>
  <c r="B373"/>
  <c r="P372"/>
  <c r="N372"/>
  <c r="L372"/>
  <c r="J372"/>
  <c r="H372"/>
  <c r="F372"/>
  <c r="D372"/>
  <c r="B372"/>
  <c r="P371"/>
  <c r="N371"/>
  <c r="L371"/>
  <c r="J371"/>
  <c r="H371"/>
  <c r="F371"/>
  <c r="D371"/>
  <c r="B371"/>
  <c r="P370"/>
  <c r="N370"/>
  <c r="L370"/>
  <c r="J370"/>
  <c r="H370"/>
  <c r="F370"/>
  <c r="D370"/>
  <c r="B370"/>
  <c r="P369"/>
  <c r="N369"/>
  <c r="L369"/>
  <c r="J369"/>
  <c r="H369"/>
  <c r="F369"/>
  <c r="D369"/>
  <c r="B369"/>
  <c r="P368"/>
  <c r="N368"/>
  <c r="L368"/>
  <c r="J368"/>
  <c r="H368"/>
  <c r="F368"/>
  <c r="D368"/>
  <c r="B368"/>
  <c r="P367"/>
  <c r="N367"/>
  <c r="L367"/>
  <c r="J367"/>
  <c r="H367"/>
  <c r="F367"/>
  <c r="D367"/>
  <c r="B367"/>
  <c r="P366"/>
  <c r="N366"/>
  <c r="L366"/>
  <c r="J366"/>
  <c r="H366"/>
  <c r="F366"/>
  <c r="D366"/>
  <c r="B366"/>
  <c r="P361"/>
  <c r="N361"/>
  <c r="L361"/>
  <c r="J361"/>
  <c r="H361"/>
  <c r="F361"/>
  <c r="D361"/>
  <c r="B361"/>
  <c r="P360"/>
  <c r="N360"/>
  <c r="L360"/>
  <c r="J360"/>
  <c r="H360"/>
  <c r="F360"/>
  <c r="D360"/>
  <c r="B360"/>
  <c r="P359"/>
  <c r="N359"/>
  <c r="L359"/>
  <c r="J359"/>
  <c r="H359"/>
  <c r="F359"/>
  <c r="D359"/>
  <c r="B359"/>
  <c r="P358"/>
  <c r="N358"/>
  <c r="L358"/>
  <c r="J358"/>
  <c r="H358"/>
  <c r="F358"/>
  <c r="D358"/>
  <c r="B358"/>
  <c r="P357"/>
  <c r="N357"/>
  <c r="L357"/>
  <c r="J357"/>
  <c r="H357"/>
  <c r="F357"/>
  <c r="D357"/>
  <c r="B357"/>
  <c r="P356"/>
  <c r="N356"/>
  <c r="L356"/>
  <c r="J356"/>
  <c r="H356"/>
  <c r="F356"/>
  <c r="D356"/>
  <c r="B356"/>
  <c r="P352"/>
  <c r="N352"/>
  <c r="L352"/>
  <c r="J352"/>
  <c r="H352"/>
  <c r="F352"/>
  <c r="D352"/>
  <c r="B352"/>
  <c r="P351"/>
  <c r="N351"/>
  <c r="L351"/>
  <c r="J351"/>
  <c r="H351"/>
  <c r="F351"/>
  <c r="D351"/>
  <c r="B351"/>
  <c r="P350"/>
  <c r="N350"/>
  <c r="L350"/>
  <c r="J350"/>
  <c r="H350"/>
  <c r="F350"/>
  <c r="D350"/>
  <c r="B350"/>
  <c r="P349"/>
  <c r="N349"/>
  <c r="L349"/>
  <c r="J349"/>
  <c r="H349"/>
  <c r="F349"/>
  <c r="D349"/>
  <c r="B349"/>
  <c r="P348"/>
  <c r="N348"/>
  <c r="L348"/>
  <c r="J348"/>
  <c r="H348"/>
  <c r="F348"/>
  <c r="D348"/>
  <c r="B348"/>
  <c r="P347"/>
  <c r="N347"/>
  <c r="L347"/>
  <c r="J347"/>
  <c r="H347"/>
  <c r="F347"/>
  <c r="D347"/>
  <c r="B347"/>
  <c r="P346"/>
  <c r="N346"/>
  <c r="L346"/>
  <c r="J346"/>
  <c r="H346"/>
  <c r="F346"/>
  <c r="D346"/>
  <c r="B346"/>
  <c r="P345"/>
  <c r="N345"/>
  <c r="L345"/>
  <c r="J345"/>
  <c r="H345"/>
  <c r="F345"/>
  <c r="D345"/>
  <c r="B345"/>
  <c r="P344"/>
  <c r="N344"/>
  <c r="L344"/>
  <c r="J344"/>
  <c r="H344"/>
  <c r="F344"/>
  <c r="D344"/>
  <c r="B344"/>
  <c r="P343"/>
  <c r="N343"/>
  <c r="L343"/>
  <c r="J343"/>
  <c r="H343"/>
  <c r="F343"/>
  <c r="D343"/>
  <c r="B343"/>
  <c r="P342"/>
  <c r="N342"/>
  <c r="L342"/>
  <c r="J342"/>
  <c r="H342"/>
  <c r="F342"/>
  <c r="D342"/>
  <c r="B342"/>
  <c r="P341"/>
  <c r="N341"/>
  <c r="L341"/>
  <c r="J341"/>
  <c r="H341"/>
  <c r="F341"/>
  <c r="D341"/>
  <c r="B341"/>
  <c r="P340"/>
  <c r="N340"/>
  <c r="L340"/>
  <c r="J340"/>
  <c r="H340"/>
  <c r="F340"/>
  <c r="D340"/>
  <c r="B340"/>
  <c r="P339"/>
  <c r="N339"/>
  <c r="L339"/>
  <c r="J339"/>
  <c r="H339"/>
  <c r="F339"/>
  <c r="D339"/>
  <c r="B339"/>
  <c r="P330"/>
  <c r="N330"/>
  <c r="L330"/>
  <c r="J330"/>
  <c r="H330"/>
  <c r="F330"/>
  <c r="D330"/>
  <c r="P329"/>
  <c r="N329"/>
  <c r="L329"/>
  <c r="J329"/>
  <c r="H329"/>
  <c r="F329"/>
  <c r="D329"/>
  <c r="B329"/>
  <c r="P321"/>
  <c r="N321"/>
  <c r="L321"/>
  <c r="J321"/>
  <c r="H321"/>
  <c r="F321"/>
  <c r="D321"/>
  <c r="B321"/>
  <c r="P320"/>
  <c r="N320"/>
  <c r="L320"/>
  <c r="J320"/>
  <c r="H320"/>
  <c r="F320"/>
  <c r="D320"/>
  <c r="B320"/>
  <c r="P319"/>
  <c r="N319"/>
  <c r="L319"/>
  <c r="J319"/>
  <c r="H319"/>
  <c r="F319"/>
  <c r="D319"/>
  <c r="B319"/>
  <c r="P318"/>
  <c r="N318"/>
  <c r="L318"/>
  <c r="J318"/>
  <c r="H318"/>
  <c r="F318"/>
  <c r="D318"/>
  <c r="B318"/>
  <c r="P317"/>
  <c r="N317"/>
  <c r="L317"/>
  <c r="J317"/>
  <c r="H317"/>
  <c r="F317"/>
  <c r="D317"/>
  <c r="B317"/>
  <c r="P316"/>
  <c r="N316"/>
  <c r="L316"/>
  <c r="J316"/>
  <c r="H316"/>
  <c r="F316"/>
  <c r="D316"/>
  <c r="B316"/>
  <c r="P315"/>
  <c r="N315"/>
  <c r="L315"/>
  <c r="J315"/>
  <c r="H315"/>
  <c r="F315"/>
  <c r="D315"/>
  <c r="B315"/>
  <c r="P314"/>
  <c r="N314"/>
  <c r="L314"/>
  <c r="J314"/>
  <c r="H314"/>
  <c r="F314"/>
  <c r="D314"/>
  <c r="B314"/>
  <c r="P313"/>
  <c r="N313"/>
  <c r="L313"/>
  <c r="J313"/>
  <c r="H313"/>
  <c r="F313"/>
  <c r="D313"/>
  <c r="B313"/>
  <c r="P312"/>
  <c r="N312"/>
  <c r="L312"/>
  <c r="J312"/>
  <c r="H312"/>
  <c r="F312"/>
  <c r="D312"/>
  <c r="B312"/>
  <c r="P311"/>
  <c r="N311"/>
  <c r="L311"/>
  <c r="J311"/>
  <c r="H311"/>
  <c r="F311"/>
  <c r="D311"/>
  <c r="B311"/>
  <c r="P310"/>
  <c r="N310"/>
  <c r="L310"/>
  <c r="J310"/>
  <c r="H310"/>
  <c r="F310"/>
  <c r="D310"/>
  <c r="B310"/>
  <c r="P309"/>
  <c r="N309"/>
  <c r="L309"/>
  <c r="J309"/>
  <c r="H309"/>
  <c r="F309"/>
  <c r="D309"/>
  <c r="B309"/>
  <c r="P308"/>
  <c r="N308"/>
  <c r="L308"/>
  <c r="J308"/>
  <c r="H308"/>
  <c r="F308"/>
  <c r="D308"/>
  <c r="B308"/>
  <c r="P307"/>
  <c r="N307"/>
  <c r="L307"/>
  <c r="J307"/>
  <c r="H307"/>
  <c r="F307"/>
  <c r="D307"/>
  <c r="B307"/>
  <c r="P306"/>
  <c r="N306"/>
  <c r="L306"/>
  <c r="J306"/>
  <c r="H306"/>
  <c r="F306"/>
  <c r="D306"/>
  <c r="B306"/>
  <c r="P305"/>
  <c r="N305"/>
  <c r="L305"/>
  <c r="J305"/>
  <c r="H305"/>
  <c r="F305"/>
  <c r="D305"/>
  <c r="B305"/>
  <c r="P301"/>
  <c r="N301"/>
  <c r="L301"/>
  <c r="J301"/>
  <c r="H301"/>
  <c r="F301"/>
  <c r="D301"/>
  <c r="B301"/>
  <c r="P297"/>
  <c r="N297"/>
  <c r="L297"/>
  <c r="J297"/>
  <c r="H297"/>
  <c r="F297"/>
  <c r="D297"/>
  <c r="B297"/>
  <c r="P296"/>
  <c r="N296"/>
  <c r="L296"/>
  <c r="J296"/>
  <c r="H296"/>
  <c r="F296"/>
  <c r="D296"/>
  <c r="B296"/>
  <c r="P295"/>
  <c r="N295"/>
  <c r="L295"/>
  <c r="J295"/>
  <c r="H295"/>
  <c r="F295"/>
  <c r="D295"/>
  <c r="B295"/>
  <c r="P294"/>
  <c r="N294"/>
  <c r="L294"/>
  <c r="J294"/>
  <c r="H294"/>
  <c r="F294"/>
  <c r="D294"/>
  <c r="B294"/>
  <c r="P293"/>
  <c r="N293"/>
  <c r="L293"/>
  <c r="J293"/>
  <c r="H293"/>
  <c r="F293"/>
  <c r="D293"/>
  <c r="B293"/>
  <c r="P292"/>
  <c r="N292"/>
  <c r="L292"/>
  <c r="J292"/>
  <c r="H292"/>
  <c r="F292"/>
  <c r="D292"/>
  <c r="B292"/>
  <c r="P291"/>
  <c r="N291"/>
  <c r="L291"/>
  <c r="J291"/>
  <c r="H291"/>
  <c r="F291"/>
  <c r="D291"/>
  <c r="B291"/>
  <c r="P290"/>
  <c r="N290"/>
  <c r="L290"/>
  <c r="J290"/>
  <c r="H290"/>
  <c r="F290"/>
  <c r="D290"/>
  <c r="B290"/>
  <c r="P289"/>
  <c r="N289"/>
  <c r="L289"/>
  <c r="J289"/>
  <c r="H289"/>
  <c r="F289"/>
  <c r="D289"/>
  <c r="B289"/>
  <c r="P288"/>
  <c r="N288"/>
  <c r="L288"/>
  <c r="J288"/>
  <c r="H288"/>
  <c r="F288"/>
  <c r="D288"/>
  <c r="B288"/>
  <c r="P287"/>
  <c r="N287"/>
  <c r="L287"/>
  <c r="J287"/>
  <c r="H287"/>
  <c r="F287"/>
  <c r="D287"/>
  <c r="B287"/>
  <c r="P286"/>
  <c r="N286"/>
  <c r="L286"/>
  <c r="J286"/>
  <c r="H286"/>
  <c r="F286"/>
  <c r="D286"/>
  <c r="B286"/>
  <c r="P285"/>
  <c r="N285"/>
  <c r="L285"/>
  <c r="J285"/>
  <c r="H285"/>
  <c r="F285"/>
  <c r="D285"/>
  <c r="B285"/>
  <c r="P283"/>
  <c r="N283"/>
  <c r="L283"/>
  <c r="J283"/>
  <c r="H283"/>
  <c r="F283"/>
  <c r="D283"/>
  <c r="B283"/>
  <c r="P282"/>
  <c r="N282"/>
  <c r="L282"/>
  <c r="J282"/>
  <c r="H282"/>
  <c r="F282"/>
  <c r="D282"/>
  <c r="B282"/>
  <c r="P281"/>
  <c r="N281"/>
  <c r="L281"/>
  <c r="J281"/>
  <c r="H281"/>
  <c r="F281"/>
  <c r="D281"/>
  <c r="B281"/>
  <c r="P280"/>
  <c r="N280"/>
  <c r="L280"/>
  <c r="J280"/>
  <c r="H280"/>
  <c r="F280"/>
  <c r="D280"/>
  <c r="B280"/>
  <c r="P279"/>
  <c r="N279"/>
  <c r="L279"/>
  <c r="J279"/>
  <c r="H279"/>
  <c r="F279"/>
  <c r="D279"/>
  <c r="B279"/>
  <c r="P278"/>
  <c r="N278"/>
  <c r="L278"/>
  <c r="J278"/>
  <c r="H278"/>
  <c r="F278"/>
  <c r="D278"/>
  <c r="B278"/>
  <c r="P277"/>
  <c r="N277"/>
  <c r="L277"/>
  <c r="J277"/>
  <c r="H277"/>
  <c r="F277"/>
  <c r="D277"/>
  <c r="B277"/>
  <c r="P276"/>
  <c r="N276"/>
  <c r="L276"/>
  <c r="J276"/>
  <c r="H276"/>
  <c r="F276"/>
  <c r="D276"/>
  <c r="B276"/>
  <c r="P269"/>
  <c r="N269"/>
  <c r="L269"/>
  <c r="J269"/>
  <c r="H269"/>
  <c r="F269"/>
  <c r="D269"/>
  <c r="B269"/>
  <c r="P268"/>
  <c r="N268"/>
  <c r="L268"/>
  <c r="J268"/>
  <c r="H268"/>
  <c r="F268"/>
  <c r="D268"/>
  <c r="B268"/>
  <c r="P267"/>
  <c r="N267"/>
  <c r="L267"/>
  <c r="J267"/>
  <c r="H267"/>
  <c r="F267"/>
  <c r="D267"/>
  <c r="B267"/>
  <c r="P266"/>
  <c r="N266"/>
  <c r="L266"/>
  <c r="J266"/>
  <c r="H266"/>
  <c r="F266"/>
  <c r="D266"/>
  <c r="B266"/>
  <c r="P265"/>
  <c r="N265"/>
  <c r="L265"/>
  <c r="J265"/>
  <c r="H265"/>
  <c r="F265"/>
  <c r="D265"/>
  <c r="B265"/>
  <c r="P264"/>
  <c r="N264"/>
  <c r="L264"/>
  <c r="J264"/>
  <c r="H264"/>
  <c r="F264"/>
  <c r="D264"/>
  <c r="B264"/>
  <c r="P263"/>
  <c r="N263"/>
  <c r="L263"/>
  <c r="J263"/>
  <c r="H263"/>
  <c r="F263"/>
  <c r="D263"/>
  <c r="B263"/>
  <c r="P262"/>
  <c r="N262"/>
  <c r="L262"/>
  <c r="J262"/>
  <c r="H262"/>
  <c r="F262"/>
  <c r="D262"/>
  <c r="B262"/>
  <c r="P261"/>
  <c r="N261"/>
  <c r="L261"/>
  <c r="J261"/>
  <c r="H261"/>
  <c r="F261"/>
  <c r="D261"/>
  <c r="B261"/>
  <c r="P260"/>
  <c r="N260"/>
  <c r="L260"/>
  <c r="J260"/>
  <c r="H260"/>
  <c r="F260"/>
  <c r="D260"/>
  <c r="B260"/>
  <c r="P259"/>
  <c r="N259"/>
  <c r="L259"/>
  <c r="J259"/>
  <c r="H259"/>
  <c r="F259"/>
  <c r="D259"/>
  <c r="B259"/>
  <c r="P258"/>
  <c r="N258"/>
  <c r="L258"/>
  <c r="J258"/>
  <c r="H258"/>
  <c r="F258"/>
  <c r="D258"/>
  <c r="B258"/>
  <c r="P257"/>
  <c r="N257"/>
  <c r="L257"/>
  <c r="J257"/>
  <c r="H257"/>
  <c r="F257"/>
  <c r="D257"/>
  <c r="B257"/>
  <c r="P256"/>
  <c r="N256"/>
  <c r="L256"/>
  <c r="J256"/>
  <c r="H256"/>
  <c r="F256"/>
  <c r="D256"/>
  <c r="B256"/>
  <c r="P255"/>
  <c r="N255"/>
  <c r="L255"/>
  <c r="J255"/>
  <c r="H255"/>
  <c r="F255"/>
  <c r="D255"/>
  <c r="B255"/>
  <c r="P254"/>
  <c r="N254"/>
  <c r="L254"/>
  <c r="J254"/>
  <c r="H254"/>
  <c r="F254"/>
  <c r="D254"/>
  <c r="B254"/>
  <c r="P253"/>
  <c r="N253"/>
  <c r="L253"/>
  <c r="J253"/>
  <c r="H253"/>
  <c r="F253"/>
  <c r="D253"/>
  <c r="B253"/>
  <c r="B249"/>
  <c r="P248"/>
  <c r="N248"/>
  <c r="L248"/>
  <c r="J248"/>
  <c r="H248"/>
  <c r="F248"/>
  <c r="D248"/>
  <c r="B248"/>
  <c r="P247"/>
  <c r="N247"/>
  <c r="L247"/>
  <c r="J247"/>
  <c r="H247"/>
  <c r="F247"/>
  <c r="D247"/>
  <c r="B247"/>
  <c r="P246"/>
  <c r="N246"/>
  <c r="L246"/>
  <c r="J246"/>
  <c r="H246"/>
  <c r="F246"/>
  <c r="D246"/>
  <c r="B246"/>
  <c r="P245"/>
  <c r="N245"/>
  <c r="L245"/>
  <c r="J245"/>
  <c r="H245"/>
  <c r="F245"/>
  <c r="D245"/>
  <c r="B245"/>
  <c r="P244"/>
  <c r="N244"/>
  <c r="L244"/>
  <c r="J244"/>
  <c r="H244"/>
  <c r="F244"/>
  <c r="D244"/>
  <c r="B244"/>
  <c r="P243"/>
  <c r="N243"/>
  <c r="L243"/>
  <c r="J243"/>
  <c r="H243"/>
  <c r="F243"/>
  <c r="D243"/>
  <c r="B243"/>
  <c r="P242"/>
  <c r="N242"/>
  <c r="L242"/>
  <c r="J242"/>
  <c r="H242"/>
  <c r="F242"/>
  <c r="D242"/>
  <c r="B242"/>
  <c r="P241"/>
  <c r="N241"/>
  <c r="L241"/>
  <c r="J241"/>
  <c r="H241"/>
  <c r="F241"/>
  <c r="D241"/>
  <c r="B241"/>
  <c r="P240"/>
  <c r="N240"/>
  <c r="L240"/>
  <c r="J240"/>
  <c r="H240"/>
  <c r="F240"/>
  <c r="D240"/>
  <c r="B240"/>
  <c r="P239"/>
  <c r="N239"/>
  <c r="L239"/>
  <c r="J239"/>
  <c r="H239"/>
  <c r="F239"/>
  <c r="D239"/>
  <c r="B239"/>
  <c r="P237"/>
  <c r="N237"/>
  <c r="L237"/>
  <c r="J237"/>
  <c r="H237"/>
  <c r="F237"/>
  <c r="D237"/>
  <c r="B237"/>
  <c r="P236"/>
  <c r="N236"/>
  <c r="L236"/>
  <c r="J236"/>
  <c r="H236"/>
  <c r="F236"/>
  <c r="D236"/>
  <c r="B236"/>
  <c r="P206"/>
  <c r="N206"/>
  <c r="L206"/>
  <c r="J206"/>
  <c r="H206"/>
  <c r="F206"/>
  <c r="D206"/>
  <c r="B206"/>
  <c r="P204"/>
  <c r="N204"/>
  <c r="L204"/>
  <c r="J204"/>
  <c r="H204"/>
  <c r="F204"/>
  <c r="D204"/>
  <c r="B204"/>
  <c r="P199"/>
  <c r="N199"/>
  <c r="L199"/>
  <c r="J199"/>
  <c r="H199"/>
  <c r="F199"/>
  <c r="D199"/>
  <c r="B199"/>
  <c r="P202"/>
  <c r="N202"/>
  <c r="L202"/>
  <c r="J202"/>
  <c r="H202"/>
  <c r="F202"/>
  <c r="D202"/>
  <c r="B202"/>
  <c r="P198"/>
  <c r="N198"/>
  <c r="L198"/>
  <c r="J198"/>
  <c r="H198"/>
  <c r="F198"/>
  <c r="D198"/>
  <c r="B198"/>
  <c r="P200"/>
  <c r="N200"/>
  <c r="L200"/>
  <c r="J200"/>
  <c r="H200"/>
  <c r="F200"/>
  <c r="D200"/>
  <c r="B200"/>
  <c r="P197"/>
  <c r="N197"/>
  <c r="L197"/>
  <c r="J197"/>
  <c r="H197"/>
  <c r="F197"/>
  <c r="D197"/>
  <c r="B197"/>
  <c r="P196"/>
  <c r="N196"/>
  <c r="L196"/>
  <c r="J196"/>
  <c r="H196"/>
  <c r="F196"/>
  <c r="D196"/>
  <c r="B196"/>
  <c r="P195"/>
  <c r="N195"/>
  <c r="L195"/>
  <c r="J195"/>
  <c r="H195"/>
  <c r="F195"/>
  <c r="D195"/>
  <c r="B195"/>
  <c r="P194"/>
  <c r="N194"/>
  <c r="L194"/>
  <c r="J194"/>
  <c r="H194"/>
  <c r="F194"/>
  <c r="D194"/>
  <c r="B194"/>
  <c r="P193"/>
  <c r="N193"/>
  <c r="L193"/>
  <c r="J193"/>
  <c r="H193"/>
  <c r="F193"/>
  <c r="D193"/>
  <c r="B193"/>
  <c r="P191"/>
  <c r="N191"/>
  <c r="L191"/>
  <c r="J191"/>
  <c r="H191"/>
  <c r="F191"/>
  <c r="D191"/>
  <c r="B191"/>
  <c r="P190"/>
  <c r="N190"/>
  <c r="L190"/>
  <c r="J190"/>
  <c r="H190"/>
  <c r="F190"/>
  <c r="D190"/>
  <c r="B190"/>
  <c r="P187"/>
  <c r="N187"/>
  <c r="L187"/>
  <c r="J187"/>
  <c r="H187"/>
  <c r="F187"/>
  <c r="D187"/>
  <c r="B187"/>
  <c r="P186"/>
  <c r="N186"/>
  <c r="L186"/>
  <c r="J186"/>
  <c r="H186"/>
  <c r="F186"/>
  <c r="D186"/>
  <c r="B186"/>
  <c r="P185"/>
  <c r="N185"/>
  <c r="L185"/>
  <c r="J185"/>
  <c r="H185"/>
  <c r="F185"/>
  <c r="D185"/>
  <c r="B185"/>
  <c r="P184"/>
  <c r="N184"/>
  <c r="L184"/>
  <c r="J184"/>
  <c r="H184"/>
  <c r="F184"/>
  <c r="D184"/>
  <c r="B184"/>
  <c r="P183"/>
  <c r="N183"/>
  <c r="L183"/>
  <c r="J183"/>
  <c r="H183"/>
  <c r="F183"/>
  <c r="D183"/>
  <c r="B183"/>
  <c r="P182"/>
  <c r="P189" s="1"/>
  <c r="N182"/>
  <c r="N189" s="1"/>
  <c r="L182"/>
  <c r="J182"/>
  <c r="J189" s="1"/>
  <c r="H182"/>
  <c r="H189" s="1"/>
  <c r="F182"/>
  <c r="F189" s="1"/>
  <c r="D182"/>
  <c r="B182"/>
  <c r="B189" s="1"/>
  <c r="P174"/>
  <c r="N174"/>
  <c r="L174"/>
  <c r="J174"/>
  <c r="H174"/>
  <c r="F174"/>
  <c r="D174"/>
  <c r="B174"/>
  <c r="P165"/>
  <c r="N165"/>
  <c r="L165"/>
  <c r="J165"/>
  <c r="H165"/>
  <c r="F165"/>
  <c r="D165"/>
  <c r="B165"/>
  <c r="P173"/>
  <c r="N173"/>
  <c r="L173"/>
  <c r="J173"/>
  <c r="H173"/>
  <c r="F173"/>
  <c r="D173"/>
  <c r="B173"/>
  <c r="P172"/>
  <c r="N172"/>
  <c r="L172"/>
  <c r="J172"/>
  <c r="H172"/>
  <c r="F172"/>
  <c r="D172"/>
  <c r="B172"/>
  <c r="P171"/>
  <c r="N171"/>
  <c r="L171"/>
  <c r="J171"/>
  <c r="H171"/>
  <c r="F171"/>
  <c r="D171"/>
  <c r="B171"/>
  <c r="P170"/>
  <c r="N170"/>
  <c r="L170"/>
  <c r="J170"/>
  <c r="H170"/>
  <c r="F170"/>
  <c r="D170"/>
  <c r="B170"/>
  <c r="P169"/>
  <c r="N169"/>
  <c r="L169"/>
  <c r="J169"/>
  <c r="H169"/>
  <c r="F169"/>
  <c r="D169"/>
  <c r="B169"/>
  <c r="P168"/>
  <c r="N168"/>
  <c r="L168"/>
  <c r="J168"/>
  <c r="H168"/>
  <c r="F168"/>
  <c r="D168"/>
  <c r="B168"/>
  <c r="P167"/>
  <c r="N167"/>
  <c r="L167"/>
  <c r="J167"/>
  <c r="H167"/>
  <c r="F167"/>
  <c r="D167"/>
  <c r="B167"/>
  <c r="P163"/>
  <c r="N163"/>
  <c r="L163"/>
  <c r="J163"/>
  <c r="H163"/>
  <c r="F163"/>
  <c r="D163"/>
  <c r="B163"/>
  <c r="P162"/>
  <c r="N162"/>
  <c r="L162"/>
  <c r="J162"/>
  <c r="H162"/>
  <c r="F162"/>
  <c r="D162"/>
  <c r="B162"/>
  <c r="P161"/>
  <c r="N161"/>
  <c r="L161"/>
  <c r="J161"/>
  <c r="H161"/>
  <c r="F161"/>
  <c r="D161"/>
  <c r="B161"/>
  <c r="P160"/>
  <c r="N160"/>
  <c r="L160"/>
  <c r="J160"/>
  <c r="H160"/>
  <c r="F160"/>
  <c r="D160"/>
  <c r="B160"/>
  <c r="P159"/>
  <c r="N159"/>
  <c r="L159"/>
  <c r="J159"/>
  <c r="H159"/>
  <c r="F159"/>
  <c r="D159"/>
  <c r="B159"/>
  <c r="P158"/>
  <c r="N158"/>
  <c r="L158"/>
  <c r="J158"/>
  <c r="H158"/>
  <c r="F158"/>
  <c r="D158"/>
  <c r="B158"/>
  <c r="P157"/>
  <c r="N157"/>
  <c r="L157"/>
  <c r="J157"/>
  <c r="H157"/>
  <c r="F157"/>
  <c r="D157"/>
  <c r="B157"/>
  <c r="P156"/>
  <c r="N156"/>
  <c r="L156"/>
  <c r="J156"/>
  <c r="H156"/>
  <c r="F156"/>
  <c r="D156"/>
  <c r="B156"/>
  <c r="P155"/>
  <c r="N155"/>
  <c r="L155"/>
  <c r="J155"/>
  <c r="H155"/>
  <c r="F155"/>
  <c r="D155"/>
  <c r="B155"/>
  <c r="P148"/>
  <c r="N148"/>
  <c r="L148"/>
  <c r="J148"/>
  <c r="H148"/>
  <c r="F148"/>
  <c r="D148"/>
  <c r="B148"/>
  <c r="P147"/>
  <c r="N147"/>
  <c r="L147"/>
  <c r="J147"/>
  <c r="H147"/>
  <c r="F147"/>
  <c r="D147"/>
  <c r="B147"/>
  <c r="P145"/>
  <c r="N145"/>
  <c r="L145"/>
  <c r="J145"/>
  <c r="H145"/>
  <c r="F145"/>
  <c r="D145"/>
  <c r="B145"/>
  <c r="P144"/>
  <c r="N144"/>
  <c r="L144"/>
  <c r="J144"/>
  <c r="H144"/>
  <c r="F144"/>
  <c r="D144"/>
  <c r="B144"/>
  <c r="P143"/>
  <c r="N143"/>
  <c r="L143"/>
  <c r="J143"/>
  <c r="H143"/>
  <c r="F143"/>
  <c r="D143"/>
  <c r="B143"/>
  <c r="P142"/>
  <c r="N142"/>
  <c r="L142"/>
  <c r="J142"/>
  <c r="H142"/>
  <c r="F142"/>
  <c r="D142"/>
  <c r="B142"/>
  <c r="P141"/>
  <c r="N141"/>
  <c r="L141"/>
  <c r="J141"/>
  <c r="H141"/>
  <c r="F141"/>
  <c r="D141"/>
  <c r="B141"/>
  <c r="P140"/>
  <c r="N140"/>
  <c r="L140"/>
  <c r="J140"/>
  <c r="H140"/>
  <c r="F140"/>
  <c r="D140"/>
  <c r="B140"/>
  <c r="P139"/>
  <c r="N139"/>
  <c r="L139"/>
  <c r="J139"/>
  <c r="H139"/>
  <c r="F139"/>
  <c r="D139"/>
  <c r="B139"/>
  <c r="P138"/>
  <c r="N138"/>
  <c r="L138"/>
  <c r="J138"/>
  <c r="H138"/>
  <c r="F138"/>
  <c r="D138"/>
  <c r="B138"/>
  <c r="P137"/>
  <c r="N137"/>
  <c r="L137"/>
  <c r="J137"/>
  <c r="H137"/>
  <c r="F137"/>
  <c r="D137"/>
  <c r="B137"/>
  <c r="P136"/>
  <c r="N136"/>
  <c r="L136"/>
  <c r="J136"/>
  <c r="H136"/>
  <c r="F136"/>
  <c r="D136"/>
  <c r="B136"/>
  <c r="P135"/>
  <c r="N135"/>
  <c r="L135"/>
  <c r="J135"/>
  <c r="H135"/>
  <c r="F135"/>
  <c r="D135"/>
  <c r="B135"/>
  <c r="P134"/>
  <c r="N134"/>
  <c r="L134"/>
  <c r="J134"/>
  <c r="H134"/>
  <c r="F134"/>
  <c r="D134"/>
  <c r="B134"/>
  <c r="P133"/>
  <c r="N133"/>
  <c r="L133"/>
  <c r="J133"/>
  <c r="H133"/>
  <c r="F133"/>
  <c r="D133"/>
  <c r="B133"/>
  <c r="P131"/>
  <c r="N131"/>
  <c r="L131"/>
  <c r="J131"/>
  <c r="H131"/>
  <c r="F131"/>
  <c r="D131"/>
  <c r="B131"/>
  <c r="P130"/>
  <c r="N130"/>
  <c r="L130"/>
  <c r="J130"/>
  <c r="H130"/>
  <c r="F130"/>
  <c r="D130"/>
  <c r="B130"/>
  <c r="P129"/>
  <c r="N129"/>
  <c r="L129"/>
  <c r="J129"/>
  <c r="H129"/>
  <c r="F129"/>
  <c r="D129"/>
  <c r="B129"/>
  <c r="P128"/>
  <c r="N128"/>
  <c r="L128"/>
  <c r="J128"/>
  <c r="H128"/>
  <c r="F128"/>
  <c r="D128"/>
  <c r="B128"/>
  <c r="P127"/>
  <c r="N127"/>
  <c r="L127"/>
  <c r="J127"/>
  <c r="H127"/>
  <c r="F127"/>
  <c r="D127"/>
  <c r="B127"/>
  <c r="P126"/>
  <c r="N126"/>
  <c r="L126"/>
  <c r="J126"/>
  <c r="H126"/>
  <c r="F126"/>
  <c r="D126"/>
  <c r="B126"/>
  <c r="P125"/>
  <c r="N125"/>
  <c r="L125"/>
  <c r="J125"/>
  <c r="H125"/>
  <c r="F125"/>
  <c r="D125"/>
  <c r="B125"/>
  <c r="P124"/>
  <c r="N124"/>
  <c r="L124"/>
  <c r="J124"/>
  <c r="H124"/>
  <c r="F124"/>
  <c r="D124"/>
  <c r="B124"/>
  <c r="P123"/>
  <c r="N123"/>
  <c r="L123"/>
  <c r="J123"/>
  <c r="H123"/>
  <c r="F123"/>
  <c r="D123"/>
  <c r="B123"/>
  <c r="P122"/>
  <c r="N122"/>
  <c r="L122"/>
  <c r="J122"/>
  <c r="H122"/>
  <c r="F122"/>
  <c r="D122"/>
  <c r="B122"/>
  <c r="P121"/>
  <c r="N121"/>
  <c r="L121"/>
  <c r="J121"/>
  <c r="H121"/>
  <c r="F121"/>
  <c r="D121"/>
  <c r="B121"/>
  <c r="P120"/>
  <c r="N120"/>
  <c r="L120"/>
  <c r="J120"/>
  <c r="H120"/>
  <c r="F120"/>
  <c r="D120"/>
  <c r="B120"/>
  <c r="P119"/>
  <c r="N119"/>
  <c r="L119"/>
  <c r="J119"/>
  <c r="H119"/>
  <c r="F119"/>
  <c r="D119"/>
  <c r="B119"/>
  <c r="P118"/>
  <c r="N118"/>
  <c r="L118"/>
  <c r="J118"/>
  <c r="H118"/>
  <c r="F118"/>
  <c r="D118"/>
  <c r="B118"/>
  <c r="P117"/>
  <c r="N117"/>
  <c r="L117"/>
  <c r="J117"/>
  <c r="H117"/>
  <c r="F117"/>
  <c r="D117"/>
  <c r="B117"/>
  <c r="P115"/>
  <c r="N115"/>
  <c r="L115"/>
  <c r="J115"/>
  <c r="H115"/>
  <c r="F115"/>
  <c r="D115"/>
  <c r="B115"/>
  <c r="P114"/>
  <c r="N114"/>
  <c r="L114"/>
  <c r="J114"/>
  <c r="H114"/>
  <c r="F114"/>
  <c r="D114"/>
  <c r="B114"/>
  <c r="P113"/>
  <c r="N113"/>
  <c r="L113"/>
  <c r="J113"/>
  <c r="H113"/>
  <c r="F113"/>
  <c r="D113"/>
  <c r="B113"/>
  <c r="P112"/>
  <c r="N112"/>
  <c r="L112"/>
  <c r="J112"/>
  <c r="H112"/>
  <c r="F112"/>
  <c r="D112"/>
  <c r="B112"/>
  <c r="P111"/>
  <c r="N111"/>
  <c r="L111"/>
  <c r="J111"/>
  <c r="H111"/>
  <c r="F111"/>
  <c r="D111"/>
  <c r="B111"/>
  <c r="P110"/>
  <c r="N110"/>
  <c r="L110"/>
  <c r="J110"/>
  <c r="H110"/>
  <c r="F110"/>
  <c r="D110"/>
  <c r="B110"/>
  <c r="P109"/>
  <c r="N109"/>
  <c r="L109"/>
  <c r="J109"/>
  <c r="H109"/>
  <c r="F109"/>
  <c r="D109"/>
  <c r="B109"/>
  <c r="P108"/>
  <c r="N108"/>
  <c r="L108"/>
  <c r="J108"/>
  <c r="H108"/>
  <c r="F108"/>
  <c r="D108"/>
  <c r="B108"/>
  <c r="P107"/>
  <c r="N107"/>
  <c r="L107"/>
  <c r="J107"/>
  <c r="H107"/>
  <c r="F107"/>
  <c r="D107"/>
  <c r="B107"/>
  <c r="P106"/>
  <c r="N106"/>
  <c r="L106"/>
  <c r="J106"/>
  <c r="H106"/>
  <c r="F106"/>
  <c r="D106"/>
  <c r="B106"/>
  <c r="P105"/>
  <c r="N105"/>
  <c r="L105"/>
  <c r="J105"/>
  <c r="H105"/>
  <c r="F105"/>
  <c r="D105"/>
  <c r="B105"/>
  <c r="P104"/>
  <c r="N104"/>
  <c r="L104"/>
  <c r="J104"/>
  <c r="H104"/>
  <c r="F104"/>
  <c r="D104"/>
  <c r="B104"/>
  <c r="P103"/>
  <c r="N103"/>
  <c r="L103"/>
  <c r="J103"/>
  <c r="H103"/>
  <c r="F103"/>
  <c r="D103"/>
  <c r="B103"/>
  <c r="P102"/>
  <c r="N102"/>
  <c r="L102"/>
  <c r="J102"/>
  <c r="H102"/>
  <c r="F102"/>
  <c r="D102"/>
  <c r="B102"/>
  <c r="P101"/>
  <c r="N101"/>
  <c r="L101"/>
  <c r="J101"/>
  <c r="H101"/>
  <c r="F101"/>
  <c r="D101"/>
  <c r="B101"/>
  <c r="L100"/>
  <c r="P99"/>
  <c r="N99"/>
  <c r="L99"/>
  <c r="J99"/>
  <c r="H99"/>
  <c r="F99"/>
  <c r="D99"/>
  <c r="B99"/>
  <c r="P98"/>
  <c r="N98"/>
  <c r="L98"/>
  <c r="J98"/>
  <c r="H98"/>
  <c r="F98"/>
  <c r="D98"/>
  <c r="B98"/>
  <c r="P97"/>
  <c r="N97"/>
  <c r="L97"/>
  <c r="J97"/>
  <c r="H97"/>
  <c r="F97"/>
  <c r="D97"/>
  <c r="B97"/>
  <c r="P96"/>
  <c r="N96"/>
  <c r="L96"/>
  <c r="J96"/>
  <c r="H96"/>
  <c r="F96"/>
  <c r="D96"/>
  <c r="B96"/>
  <c r="P95"/>
  <c r="N95"/>
  <c r="L95"/>
  <c r="J95"/>
  <c r="H95"/>
  <c r="F95"/>
  <c r="D95"/>
  <c r="B95"/>
  <c r="P94"/>
  <c r="N94"/>
  <c r="L94"/>
  <c r="J94"/>
  <c r="H94"/>
  <c r="F94"/>
  <c r="D94"/>
  <c r="B94"/>
  <c r="P93"/>
  <c r="N93"/>
  <c r="L93"/>
  <c r="J93"/>
  <c r="H93"/>
  <c r="F93"/>
  <c r="D93"/>
  <c r="B93"/>
  <c r="P92"/>
  <c r="N92"/>
  <c r="L92"/>
  <c r="J92"/>
  <c r="H92"/>
  <c r="F92"/>
  <c r="D92"/>
  <c r="B92"/>
  <c r="P91"/>
  <c r="N91"/>
  <c r="L91"/>
  <c r="J91"/>
  <c r="H91"/>
  <c r="F91"/>
  <c r="D91"/>
  <c r="B91"/>
  <c r="P90"/>
  <c r="N90"/>
  <c r="L90"/>
  <c r="J90"/>
  <c r="H90"/>
  <c r="F90"/>
  <c r="D90"/>
  <c r="B90"/>
  <c r="P89"/>
  <c r="N89"/>
  <c r="L89"/>
  <c r="J89"/>
  <c r="H89"/>
  <c r="F89"/>
  <c r="D89"/>
  <c r="B89"/>
  <c r="P87"/>
  <c r="N87"/>
  <c r="L87"/>
  <c r="J87"/>
  <c r="H87"/>
  <c r="F87"/>
  <c r="D87"/>
  <c r="B87"/>
  <c r="P86"/>
  <c r="N86"/>
  <c r="L86"/>
  <c r="J86"/>
  <c r="H86"/>
  <c r="F86"/>
  <c r="D86"/>
  <c r="B86"/>
  <c r="P85"/>
  <c r="N85"/>
  <c r="L85"/>
  <c r="J85"/>
  <c r="H85"/>
  <c r="F85"/>
  <c r="D85"/>
  <c r="B85"/>
  <c r="P84"/>
  <c r="N84"/>
  <c r="L84"/>
  <c r="J84"/>
  <c r="H84"/>
  <c r="F84"/>
  <c r="D84"/>
  <c r="B84"/>
  <c r="P83"/>
  <c r="N83"/>
  <c r="L83"/>
  <c r="J83"/>
  <c r="H83"/>
  <c r="F83"/>
  <c r="D83"/>
  <c r="B83"/>
  <c r="P82"/>
  <c r="N82"/>
  <c r="L82"/>
  <c r="J82"/>
  <c r="H82"/>
  <c r="F82"/>
  <c r="D82"/>
  <c r="B82"/>
  <c r="P81"/>
  <c r="N81"/>
  <c r="L81"/>
  <c r="J81"/>
  <c r="H81"/>
  <c r="F81"/>
  <c r="D81"/>
  <c r="B81"/>
  <c r="P80"/>
  <c r="N80"/>
  <c r="L80"/>
  <c r="J80"/>
  <c r="H80"/>
  <c r="F80"/>
  <c r="D80"/>
  <c r="B80"/>
  <c r="P79"/>
  <c r="N79"/>
  <c r="L79"/>
  <c r="J79"/>
  <c r="H79"/>
  <c r="F79"/>
  <c r="D79"/>
  <c r="B79"/>
  <c r="P78"/>
  <c r="N78"/>
  <c r="L78"/>
  <c r="J78"/>
  <c r="H78"/>
  <c r="F78"/>
  <c r="D78"/>
  <c r="B78"/>
  <c r="P77"/>
  <c r="N77"/>
  <c r="L77"/>
  <c r="J77"/>
  <c r="H77"/>
  <c r="F77"/>
  <c r="D77"/>
  <c r="B77"/>
  <c r="P76"/>
  <c r="N76"/>
  <c r="L76"/>
  <c r="J76"/>
  <c r="H76"/>
  <c r="F76"/>
  <c r="D76"/>
  <c r="B76"/>
  <c r="P75"/>
  <c r="N75"/>
  <c r="L75"/>
  <c r="J75"/>
  <c r="H75"/>
  <c r="F75"/>
  <c r="D75"/>
  <c r="B75"/>
  <c r="P74"/>
  <c r="N74"/>
  <c r="L74"/>
  <c r="J74"/>
  <c r="H74"/>
  <c r="F74"/>
  <c r="D74"/>
  <c r="B74"/>
  <c r="P73"/>
  <c r="N73"/>
  <c r="L73"/>
  <c r="J73"/>
  <c r="H73"/>
  <c r="F73"/>
  <c r="D73"/>
  <c r="B73"/>
  <c r="P72"/>
  <c r="N72"/>
  <c r="L72"/>
  <c r="J72"/>
  <c r="H72"/>
  <c r="F72"/>
  <c r="D72"/>
  <c r="B72"/>
  <c r="L71"/>
  <c r="F71"/>
  <c r="P70"/>
  <c r="N70"/>
  <c r="L70"/>
  <c r="J70"/>
  <c r="H70"/>
  <c r="F70"/>
  <c r="D70"/>
  <c r="B70"/>
  <c r="P69"/>
  <c r="N69"/>
  <c r="L69"/>
  <c r="J69"/>
  <c r="H69"/>
  <c r="F69"/>
  <c r="D69"/>
  <c r="B69"/>
  <c r="P68"/>
  <c r="N68"/>
  <c r="L68"/>
  <c r="J68"/>
  <c r="H68"/>
  <c r="F68"/>
  <c r="D68"/>
  <c r="B68"/>
  <c r="P67"/>
  <c r="N67"/>
  <c r="L67"/>
  <c r="J67"/>
  <c r="H67"/>
  <c r="F67"/>
  <c r="D67"/>
  <c r="B67"/>
  <c r="P66"/>
  <c r="N66"/>
  <c r="L66"/>
  <c r="J66"/>
  <c r="H66"/>
  <c r="F66"/>
  <c r="D66"/>
  <c r="B66"/>
  <c r="P65"/>
  <c r="N65"/>
  <c r="L65"/>
  <c r="J65"/>
  <c r="H65"/>
  <c r="F65"/>
  <c r="D65"/>
  <c r="B65"/>
  <c r="P64"/>
  <c r="N64"/>
  <c r="L64"/>
  <c r="J64"/>
  <c r="H64"/>
  <c r="F64"/>
  <c r="D64"/>
  <c r="B64"/>
  <c r="P63"/>
  <c r="N63"/>
  <c r="L63"/>
  <c r="J63"/>
  <c r="H63"/>
  <c r="F63"/>
  <c r="D63"/>
  <c r="B63"/>
  <c r="P62"/>
  <c r="N62"/>
  <c r="L62"/>
  <c r="J62"/>
  <c r="H62"/>
  <c r="F62"/>
  <c r="D62"/>
  <c r="B62"/>
  <c r="P61"/>
  <c r="N61"/>
  <c r="L61"/>
  <c r="J61"/>
  <c r="H61"/>
  <c r="F61"/>
  <c r="D61"/>
  <c r="B61"/>
  <c r="P60"/>
  <c r="N60"/>
  <c r="L60"/>
  <c r="J60"/>
  <c r="H60"/>
  <c r="F60"/>
  <c r="D60"/>
  <c r="B60"/>
  <c r="P59"/>
  <c r="N59"/>
  <c r="L59"/>
  <c r="J59"/>
  <c r="H59"/>
  <c r="F59"/>
  <c r="D59"/>
  <c r="B59"/>
  <c r="P58"/>
  <c r="N58"/>
  <c r="L58"/>
  <c r="J58"/>
  <c r="H58"/>
  <c r="F58"/>
  <c r="D58"/>
  <c r="B58"/>
  <c r="P57"/>
  <c r="N57"/>
  <c r="L57"/>
  <c r="J57"/>
  <c r="H57"/>
  <c r="F57"/>
  <c r="D57"/>
  <c r="B57"/>
  <c r="P56"/>
  <c r="N56"/>
  <c r="L56"/>
  <c r="J56"/>
  <c r="H56"/>
  <c r="F56"/>
  <c r="D56"/>
  <c r="B56"/>
  <c r="P55"/>
  <c r="N55"/>
  <c r="L55"/>
  <c r="J55"/>
  <c r="H55"/>
  <c r="F55"/>
  <c r="D55"/>
  <c r="B55"/>
  <c r="P51"/>
  <c r="N51"/>
  <c r="L51"/>
  <c r="J51"/>
  <c r="H51"/>
  <c r="F51"/>
  <c r="D51"/>
  <c r="B51"/>
  <c r="P50"/>
  <c r="N50"/>
  <c r="L50"/>
  <c r="J50"/>
  <c r="H50"/>
  <c r="F50"/>
  <c r="D50"/>
  <c r="B50"/>
  <c r="P49"/>
  <c r="N49"/>
  <c r="L49"/>
  <c r="J49"/>
  <c r="H49"/>
  <c r="F49"/>
  <c r="D49"/>
  <c r="B49"/>
  <c r="P48"/>
  <c r="N48"/>
  <c r="L48"/>
  <c r="J48"/>
  <c r="H48"/>
  <c r="F48"/>
  <c r="D48"/>
  <c r="B48"/>
  <c r="P47"/>
  <c r="N47"/>
  <c r="L47"/>
  <c r="J47"/>
  <c r="H47"/>
  <c r="F47"/>
  <c r="D47"/>
  <c r="B47"/>
  <c r="P46"/>
  <c r="N46"/>
  <c r="L46"/>
  <c r="J46"/>
  <c r="H46"/>
  <c r="F46"/>
  <c r="D46"/>
  <c r="B46"/>
  <c r="P45"/>
  <c r="N45"/>
  <c r="L45"/>
  <c r="J45"/>
  <c r="H45"/>
  <c r="F45"/>
  <c r="D45"/>
  <c r="B45"/>
  <c r="P44"/>
  <c r="N44"/>
  <c r="L44"/>
  <c r="J44"/>
  <c r="H44"/>
  <c r="F44"/>
  <c r="D44"/>
  <c r="B44"/>
  <c r="P43"/>
  <c r="N43"/>
  <c r="L43"/>
  <c r="J43"/>
  <c r="H43"/>
  <c r="F43"/>
  <c r="D43"/>
  <c r="B43"/>
  <c r="P42"/>
  <c r="N42"/>
  <c r="L42"/>
  <c r="J42"/>
  <c r="H42"/>
  <c r="F42"/>
  <c r="D42"/>
  <c r="B42"/>
  <c r="P41"/>
  <c r="N41"/>
  <c r="L41"/>
  <c r="J41"/>
  <c r="H41"/>
  <c r="F41"/>
  <c r="D41"/>
  <c r="B41"/>
  <c r="P40"/>
  <c r="N40"/>
  <c r="L40"/>
  <c r="J40"/>
  <c r="H40"/>
  <c r="F40"/>
  <c r="D40"/>
  <c r="B40"/>
  <c r="P36"/>
  <c r="N36"/>
  <c r="L36"/>
  <c r="J36"/>
  <c r="H36"/>
  <c r="F36"/>
  <c r="D36"/>
  <c r="B36"/>
  <c r="P35"/>
  <c r="N35"/>
  <c r="L35"/>
  <c r="J35"/>
  <c r="H35"/>
  <c r="F35"/>
  <c r="D35"/>
  <c r="B35"/>
  <c r="P34"/>
  <c r="N34"/>
  <c r="L34"/>
  <c r="J34"/>
  <c r="H34"/>
  <c r="F34"/>
  <c r="D34"/>
  <c r="B34"/>
  <c r="P33"/>
  <c r="N33"/>
  <c r="L33"/>
  <c r="J33"/>
  <c r="H33"/>
  <c r="F33"/>
  <c r="D33"/>
  <c r="B33"/>
  <c r="P32"/>
  <c r="N32"/>
  <c r="L32"/>
  <c r="J32"/>
  <c r="H32"/>
  <c r="F32"/>
  <c r="D32"/>
  <c r="B32"/>
  <c r="P31"/>
  <c r="N31"/>
  <c r="L31"/>
  <c r="J31"/>
  <c r="H31"/>
  <c r="F31"/>
  <c r="D31"/>
  <c r="B31"/>
  <c r="P25"/>
  <c r="P24"/>
  <c r="P23"/>
  <c r="P22"/>
  <c r="P21"/>
  <c r="P20"/>
  <c r="P19"/>
  <c r="P18"/>
  <c r="P17"/>
  <c r="P16"/>
  <c r="P15"/>
  <c r="P14"/>
  <c r="P13"/>
  <c r="P12"/>
  <c r="P11"/>
  <c r="P10"/>
  <c r="N25"/>
  <c r="N24"/>
  <c r="N23"/>
  <c r="N22"/>
  <c r="N21"/>
  <c r="N20"/>
  <c r="N19"/>
  <c r="N18"/>
  <c r="N17"/>
  <c r="N16"/>
  <c r="N15"/>
  <c r="N14"/>
  <c r="N13"/>
  <c r="N12"/>
  <c r="N11"/>
  <c r="N10"/>
  <c r="L25"/>
  <c r="L23"/>
  <c r="L22"/>
  <c r="L21"/>
  <c r="L20"/>
  <c r="L19"/>
  <c r="L18"/>
  <c r="L17"/>
  <c r="L16"/>
  <c r="L15"/>
  <c r="L14"/>
  <c r="L13"/>
  <c r="L12"/>
  <c r="L11"/>
  <c r="L10"/>
  <c r="J25"/>
  <c r="J24"/>
  <c r="J23"/>
  <c r="J22"/>
  <c r="J21"/>
  <c r="J20"/>
  <c r="J19"/>
  <c r="J18"/>
  <c r="J17"/>
  <c r="J16"/>
  <c r="J15"/>
  <c r="J14"/>
  <c r="J13"/>
  <c r="J12"/>
  <c r="J11"/>
  <c r="J10"/>
  <c r="H25"/>
  <c r="H24"/>
  <c r="H23"/>
  <c r="H22"/>
  <c r="H21"/>
  <c r="H20"/>
  <c r="H19"/>
  <c r="H18"/>
  <c r="H17"/>
  <c r="H16"/>
  <c r="H15"/>
  <c r="H14"/>
  <c r="H13"/>
  <c r="H12"/>
  <c r="H11"/>
  <c r="H10"/>
  <c r="F25"/>
  <c r="F24"/>
  <c r="F23"/>
  <c r="F22"/>
  <c r="F21"/>
  <c r="F20"/>
  <c r="F19"/>
  <c r="F18"/>
  <c r="F17"/>
  <c r="F16"/>
  <c r="F15"/>
  <c r="F14"/>
  <c r="F13"/>
  <c r="F12"/>
  <c r="F11"/>
  <c r="F10"/>
  <c r="D25"/>
  <c r="D24"/>
  <c r="D23"/>
  <c r="D22"/>
  <c r="D21"/>
  <c r="D20"/>
  <c r="D19"/>
  <c r="D18"/>
  <c r="D17"/>
  <c r="D16"/>
  <c r="D15"/>
  <c r="D14"/>
  <c r="D13"/>
  <c r="D12"/>
  <c r="D11"/>
  <c r="D10"/>
  <c r="B25"/>
  <c r="B24"/>
  <c r="B23"/>
  <c r="B22"/>
  <c r="B21"/>
  <c r="B20"/>
  <c r="B19"/>
  <c r="B18"/>
  <c r="B17"/>
  <c r="B16"/>
  <c r="B15"/>
  <c r="B14"/>
  <c r="B13"/>
  <c r="B12"/>
  <c r="B11"/>
  <c r="B10"/>
  <c r="A3" i="67"/>
  <c r="I27" i="156"/>
  <c r="I23"/>
  <c r="I21"/>
  <c r="I19"/>
  <c r="I17"/>
  <c r="I15"/>
  <c r="G29" i="122"/>
  <c r="G25"/>
  <c r="G23"/>
  <c r="G21"/>
  <c r="G14"/>
  <c r="G12"/>
  <c r="G10"/>
  <c r="E29"/>
  <c r="E23"/>
  <c r="E21"/>
  <c r="E19"/>
  <c r="E12"/>
  <c r="E10"/>
  <c r="C29"/>
  <c r="C28"/>
  <c r="C27"/>
  <c r="C26"/>
  <c r="C25"/>
  <c r="C24"/>
  <c r="C23"/>
  <c r="C21"/>
  <c r="C10"/>
  <c r="C22"/>
  <c r="C20"/>
  <c r="C18"/>
  <c r="C16"/>
  <c r="C15"/>
  <c r="C14"/>
  <c r="C13"/>
  <c r="C12"/>
  <c r="C31"/>
  <c r="C11"/>
  <c r="D97" i="121"/>
  <c r="D142" i="154" s="1"/>
  <c r="H34" i="101"/>
  <c r="H33"/>
  <c r="H32"/>
  <c r="H31"/>
  <c r="H29"/>
  <c r="J11" i="121"/>
  <c r="H11"/>
  <c r="H39" i="154" s="1"/>
  <c r="F11" i="121"/>
  <c r="F39" i="154" s="1"/>
  <c r="D11" i="121"/>
  <c r="D39" i="154" s="1"/>
  <c r="H34" i="103"/>
  <c r="H33"/>
  <c r="H32"/>
  <c r="H31"/>
  <c r="H29"/>
  <c r="L10" i="113"/>
  <c r="L13" i="117"/>
  <c r="L12"/>
  <c r="L11"/>
  <c r="L10"/>
  <c r="A3" i="88"/>
  <c r="A3" i="156" s="1"/>
  <c r="S177" i="92"/>
  <c r="S176"/>
  <c r="S175"/>
  <c r="S165"/>
  <c r="S164"/>
  <c r="S163"/>
  <c r="S162"/>
  <c r="S161"/>
  <c r="S160"/>
  <c r="S159"/>
  <c r="S158"/>
  <c r="S157"/>
  <c r="S156"/>
  <c r="S155"/>
  <c r="S154"/>
  <c r="S153"/>
  <c r="S140"/>
  <c r="S141"/>
  <c r="S142"/>
  <c r="S143"/>
  <c r="S144"/>
  <c r="S145"/>
  <c r="S146"/>
  <c r="S147"/>
  <c r="S148"/>
  <c r="S149"/>
  <c r="S139"/>
  <c r="S138"/>
  <c r="H50" i="101"/>
  <c r="H49"/>
  <c r="F50"/>
  <c r="F49"/>
  <c r="D50"/>
  <c r="D49"/>
  <c r="B50"/>
  <c r="B49"/>
  <c r="H50" i="103"/>
  <c r="H49"/>
  <c r="F50"/>
  <c r="F49"/>
  <c r="D50"/>
  <c r="D49"/>
  <c r="B50"/>
  <c r="B49"/>
  <c r="B12" i="97"/>
  <c r="N262" i="154" l="1"/>
  <c r="H81"/>
  <c r="H83" s="1"/>
  <c r="H85" s="1"/>
  <c r="H55" i="121"/>
  <c r="H57" s="1"/>
  <c r="F81" i="154"/>
  <c r="F83" s="1"/>
  <c r="F55" i="121"/>
  <c r="H53" i="141"/>
  <c r="B433" i="152"/>
  <c r="N278" i="154"/>
  <c r="B98" i="141"/>
  <c r="B99"/>
  <c r="B15" i="144"/>
  <c r="B30" i="145"/>
  <c r="H433" i="152"/>
  <c r="D189"/>
  <c r="D117" i="137"/>
  <c r="L189" i="152"/>
  <c r="D70" i="136"/>
  <c r="D70" i="134"/>
  <c r="F70"/>
  <c r="F70" i="136"/>
  <c r="B70" i="134"/>
  <c r="B70" i="136"/>
  <c r="H70"/>
  <c r="H70" i="134"/>
  <c r="H83" i="141"/>
  <c r="N176" i="154"/>
  <c r="N231" s="1"/>
  <c r="F183"/>
  <c r="F238" s="1"/>
  <c r="F178"/>
  <c r="F233" s="1"/>
  <c r="P177"/>
  <c r="P232" s="1"/>
  <c r="P179"/>
  <c r="P234" s="1"/>
  <c r="R184"/>
  <c r="R239" s="1"/>
  <c r="H181"/>
  <c r="H236" s="1"/>
  <c r="D182"/>
  <c r="D237" s="1"/>
  <c r="T176"/>
  <c r="T231" s="1"/>
  <c r="N183"/>
  <c r="N238" s="1"/>
  <c r="D178"/>
  <c r="D233" s="1"/>
  <c r="D177"/>
  <c r="D232" s="1"/>
  <c r="N179"/>
  <c r="N234" s="1"/>
  <c r="T182"/>
  <c r="T237" s="1"/>
  <c r="H176"/>
  <c r="H231" s="1"/>
  <c r="R176"/>
  <c r="R231" s="1"/>
  <c r="J183"/>
  <c r="J238" s="1"/>
  <c r="T183"/>
  <c r="T238" s="1"/>
  <c r="J178"/>
  <c r="J233" s="1"/>
  <c r="T178"/>
  <c r="T233" s="1"/>
  <c r="J177"/>
  <c r="J232" s="1"/>
  <c r="T177"/>
  <c r="T232" s="1"/>
  <c r="J179"/>
  <c r="J234" s="1"/>
  <c r="T179"/>
  <c r="T234" s="1"/>
  <c r="N184"/>
  <c r="N239" s="1"/>
  <c r="D181"/>
  <c r="D236" s="1"/>
  <c r="N181"/>
  <c r="N236" s="1"/>
  <c r="H182"/>
  <c r="H237" s="1"/>
  <c r="R182"/>
  <c r="R237" s="1"/>
  <c r="D176"/>
  <c r="D231" s="1"/>
  <c r="P183"/>
  <c r="P238" s="1"/>
  <c r="P178"/>
  <c r="P233" s="1"/>
  <c r="F177"/>
  <c r="F232" s="1"/>
  <c r="F179"/>
  <c r="F234" s="1"/>
  <c r="H184"/>
  <c r="H239" s="1"/>
  <c r="R181"/>
  <c r="R236" s="1"/>
  <c r="N182"/>
  <c r="N237" s="1"/>
  <c r="J176"/>
  <c r="N178"/>
  <c r="N233" s="1"/>
  <c r="N177"/>
  <c r="N232" s="1"/>
  <c r="D179"/>
  <c r="D234" s="1"/>
  <c r="F184"/>
  <c r="F239" s="1"/>
  <c r="P184"/>
  <c r="P239" s="1"/>
  <c r="P181"/>
  <c r="P236" s="1"/>
  <c r="J182"/>
  <c r="J237" s="1"/>
  <c r="F176"/>
  <c r="F231" s="1"/>
  <c r="P176"/>
  <c r="P231" s="1"/>
  <c r="H183"/>
  <c r="H238" s="1"/>
  <c r="R183"/>
  <c r="R238" s="1"/>
  <c r="H178"/>
  <c r="H233" s="1"/>
  <c r="R178"/>
  <c r="R233" s="1"/>
  <c r="H177"/>
  <c r="H232" s="1"/>
  <c r="R177"/>
  <c r="R232" s="1"/>
  <c r="H179"/>
  <c r="H234" s="1"/>
  <c r="R179"/>
  <c r="R234" s="1"/>
  <c r="J184"/>
  <c r="J239" s="1"/>
  <c r="T184"/>
  <c r="T239" s="1"/>
  <c r="J181"/>
  <c r="J236" s="1"/>
  <c r="T181"/>
  <c r="T236" s="1"/>
  <c r="F182"/>
  <c r="F237" s="1"/>
  <c r="P182"/>
  <c r="P237" s="1"/>
  <c r="N433" i="152"/>
  <c r="B56" i="142"/>
  <c r="H56"/>
  <c r="H95" i="141"/>
  <c r="H104" i="143"/>
  <c r="L12" i="150"/>
  <c r="F56" i="142"/>
  <c r="F95" i="141"/>
  <c r="F104" i="143"/>
  <c r="D56" i="142"/>
  <c r="H30" i="136"/>
  <c r="H30" i="134"/>
  <c r="H31"/>
  <c r="H31" i="136"/>
  <c r="H32"/>
  <c r="H32" i="134"/>
  <c r="H33" i="136"/>
  <c r="H33" i="134"/>
  <c r="H34" i="136"/>
  <c r="H34" i="134"/>
  <c r="H35" i="136"/>
  <c r="H35" i="134"/>
  <c r="F261" i="154"/>
  <c r="C35" i="127"/>
  <c r="S35" s="1"/>
  <c r="D272" i="154"/>
  <c r="D278" s="1"/>
  <c r="C69" i="122"/>
  <c r="R262" i="154"/>
  <c r="F65" i="143"/>
  <c r="F258" i="154"/>
  <c r="P180"/>
  <c r="P235" s="1"/>
  <c r="L390" i="152"/>
  <c r="D180" i="154"/>
  <c r="D235" s="1"/>
  <c r="B390" i="152"/>
  <c r="N180" i="154"/>
  <c r="N235" s="1"/>
  <c r="J390" i="152"/>
  <c r="J180" i="154"/>
  <c r="J235" s="1"/>
  <c r="H390" i="152"/>
  <c r="T180" i="154"/>
  <c r="T235" s="1"/>
  <c r="P390" i="152"/>
  <c r="F180" i="154"/>
  <c r="F235" s="1"/>
  <c r="D390" i="152"/>
  <c r="H180" i="154"/>
  <c r="H235" s="1"/>
  <c r="F390" i="152"/>
  <c r="R180" i="154"/>
  <c r="R235" s="1"/>
  <c r="N390" i="152"/>
  <c r="L22" i="128"/>
  <c r="P22" s="1"/>
  <c r="R278" i="154"/>
  <c r="L10" i="150"/>
  <c r="H87" i="134"/>
  <c r="H88"/>
  <c r="L22" i="130"/>
  <c r="P22" s="1"/>
  <c r="F433" i="152"/>
  <c r="L433"/>
  <c r="F181" i="154"/>
  <c r="F236" s="1"/>
  <c r="D433" i="152"/>
  <c r="F278" i="154"/>
  <c r="P262"/>
  <c r="J155"/>
  <c r="J158" s="1"/>
  <c r="L11" i="150"/>
  <c r="B87" i="134"/>
  <c r="B88"/>
  <c r="F35"/>
  <c r="F35" i="136"/>
  <c r="F87" i="134"/>
  <c r="F88"/>
  <c r="B35"/>
  <c r="B35" i="136"/>
  <c r="D35" i="134"/>
  <c r="D35" i="136"/>
  <c r="D87" i="134"/>
  <c r="D88"/>
  <c r="R156" i="152"/>
  <c r="R157"/>
  <c r="I43" i="155"/>
  <c r="U73" i="122"/>
  <c r="U75"/>
  <c r="U74"/>
  <c r="R161" i="152"/>
  <c r="R174"/>
  <c r="D195" i="154"/>
  <c r="C10" i="155"/>
  <c r="D196" i="154"/>
  <c r="C11" i="155"/>
  <c r="D198" i="154"/>
  <c r="C13" i="155"/>
  <c r="D200" i="154"/>
  <c r="C15" i="155"/>
  <c r="D204" i="154"/>
  <c r="C19" i="155"/>
  <c r="D194" i="154"/>
  <c r="C9" i="155"/>
  <c r="D207" i="154"/>
  <c r="C22" i="155"/>
  <c r="D209" i="154"/>
  <c r="C24" i="155"/>
  <c r="D211" i="154"/>
  <c r="C26" i="155"/>
  <c r="D213" i="154"/>
  <c r="C28" i="155"/>
  <c r="F194" i="154"/>
  <c r="E9" i="155"/>
  <c r="F196" i="154"/>
  <c r="E11" i="155"/>
  <c r="E14" i="122"/>
  <c r="C17" i="127" s="1"/>
  <c r="S17" s="1"/>
  <c r="C156" i="155" s="1"/>
  <c r="I156" s="1"/>
  <c r="K156" s="1"/>
  <c r="E13" i="156"/>
  <c r="E16" i="122"/>
  <c r="C19" i="127" s="1"/>
  <c r="S19" s="1"/>
  <c r="C158" i="155" s="1"/>
  <c r="I158" s="1"/>
  <c r="E15" i="156"/>
  <c r="E18" i="122"/>
  <c r="C21" i="127" s="1"/>
  <c r="S21" s="1"/>
  <c r="C160" i="155" s="1"/>
  <c r="I160" s="1"/>
  <c r="E17" i="156"/>
  <c r="E20" i="122"/>
  <c r="C23" i="127" s="1"/>
  <c r="S23" s="1"/>
  <c r="C162" i="155" s="1"/>
  <c r="I162" s="1"/>
  <c r="E19" i="156"/>
  <c r="E22" i="122"/>
  <c r="C25" i="127" s="1"/>
  <c r="S25" s="1"/>
  <c r="C164" i="155" s="1"/>
  <c r="I164" s="1"/>
  <c r="E21" i="156"/>
  <c r="E24" i="122"/>
  <c r="C29" i="127" s="1"/>
  <c r="S29" s="1"/>
  <c r="C168" i="155" s="1"/>
  <c r="I168" s="1"/>
  <c r="E23" i="156"/>
  <c r="E26" i="122"/>
  <c r="C31" i="127" s="1"/>
  <c r="S31" s="1"/>
  <c r="C170" i="155" s="1"/>
  <c r="I170" s="1"/>
  <c r="E25" i="156"/>
  <c r="E28" i="122"/>
  <c r="C33" i="127" s="1"/>
  <c r="S33" s="1"/>
  <c r="C172" i="155" s="1"/>
  <c r="I172" s="1"/>
  <c r="K172" s="1"/>
  <c r="E27" i="156"/>
  <c r="E31" i="122"/>
  <c r="E29" i="156"/>
  <c r="G11" i="122"/>
  <c r="G10" i="156"/>
  <c r="G13" i="122"/>
  <c r="G12" i="156"/>
  <c r="G15" i="122"/>
  <c r="G14" i="156"/>
  <c r="G17" i="122"/>
  <c r="G16" i="156"/>
  <c r="G19" i="122"/>
  <c r="G18" i="156"/>
  <c r="H205" i="154"/>
  <c r="G20" i="155"/>
  <c r="H207" i="154"/>
  <c r="G22" i="155"/>
  <c r="H209" i="154"/>
  <c r="G24" i="155"/>
  <c r="G27" i="122"/>
  <c r="G26" i="156"/>
  <c r="H213" i="154"/>
  <c r="G28" i="155"/>
  <c r="I11" i="122"/>
  <c r="I10" i="155" s="1"/>
  <c r="I10" i="156"/>
  <c r="M11" i="122"/>
  <c r="K10" i="156"/>
  <c r="M13" i="122"/>
  <c r="K12" i="156"/>
  <c r="M15" i="122"/>
  <c r="K14" i="156"/>
  <c r="M17" i="122"/>
  <c r="K16" i="156"/>
  <c r="M19" i="122"/>
  <c r="K18" i="156"/>
  <c r="M21" i="122"/>
  <c r="K20" i="156"/>
  <c r="M23" i="122"/>
  <c r="K22" i="156"/>
  <c r="M25" i="122"/>
  <c r="K24" i="156"/>
  <c r="M27" i="122"/>
  <c r="K26" i="156"/>
  <c r="M29" i="122"/>
  <c r="K28" i="156"/>
  <c r="O10" i="122"/>
  <c r="M9" i="156"/>
  <c r="O12" i="122"/>
  <c r="M11" i="156"/>
  <c r="O14" i="122"/>
  <c r="M13" i="156"/>
  <c r="O16" i="122"/>
  <c r="M15" i="156"/>
  <c r="O18" i="122"/>
  <c r="M17" i="156"/>
  <c r="O20" i="122"/>
  <c r="M19" i="156"/>
  <c r="O22" i="122"/>
  <c r="M21" i="156"/>
  <c r="O24" i="122"/>
  <c r="M23" i="156"/>
  <c r="O26" i="122"/>
  <c r="M25" i="156"/>
  <c r="O28" i="122"/>
  <c r="M27" i="156"/>
  <c r="O31" i="122"/>
  <c r="M29" i="156"/>
  <c r="Q11" i="122"/>
  <c r="O10" i="156"/>
  <c r="Q13" i="122"/>
  <c r="O12" i="156"/>
  <c r="Q15" i="122"/>
  <c r="O14" i="156"/>
  <c r="Q17" i="122"/>
  <c r="O16" i="156"/>
  <c r="Q19" i="122"/>
  <c r="O18" i="156"/>
  <c r="Q21" i="122"/>
  <c r="O20" i="156"/>
  <c r="Q23" i="122"/>
  <c r="O22" i="156"/>
  <c r="Q25" i="122"/>
  <c r="O24" i="156"/>
  <c r="Q27" i="122"/>
  <c r="O26" i="156"/>
  <c r="Q29" i="122"/>
  <c r="O28" i="156"/>
  <c r="S10" i="122"/>
  <c r="Q9" i="156"/>
  <c r="S12" i="122"/>
  <c r="Q11" i="156"/>
  <c r="S14" i="122"/>
  <c r="Q13" i="156"/>
  <c r="S16" i="122"/>
  <c r="Q15" i="156"/>
  <c r="S18" i="122"/>
  <c r="Q17" i="156"/>
  <c r="S20" i="122"/>
  <c r="Q19" i="156"/>
  <c r="S22" i="122"/>
  <c r="Q21" i="156"/>
  <c r="S24" i="122"/>
  <c r="Q23" i="156"/>
  <c r="S26" i="122"/>
  <c r="Q25" i="156"/>
  <c r="S28" i="122"/>
  <c r="Q27" i="156"/>
  <c r="S31" i="122"/>
  <c r="Q29" i="156"/>
  <c r="F73" i="154"/>
  <c r="F74" s="1"/>
  <c r="F76" s="1"/>
  <c r="E85" i="155"/>
  <c r="J73" i="154"/>
  <c r="J74" s="1"/>
  <c r="J76" s="1"/>
  <c r="I85" i="155"/>
  <c r="I86" s="1"/>
  <c r="F95" i="154"/>
  <c r="E90" i="155"/>
  <c r="D96" i="154"/>
  <c r="C91" i="155"/>
  <c r="H96" i="154"/>
  <c r="G91" i="155"/>
  <c r="F97" i="154"/>
  <c r="E92" i="155"/>
  <c r="D98" i="154"/>
  <c r="C93" i="155"/>
  <c r="H98" i="154"/>
  <c r="G93" i="155"/>
  <c r="D99" i="154"/>
  <c r="C94" i="155"/>
  <c r="H99" i="154"/>
  <c r="G94" i="155"/>
  <c r="F100" i="154"/>
  <c r="E95" i="155"/>
  <c r="D101" i="154"/>
  <c r="C96" i="155"/>
  <c r="H101" i="154"/>
  <c r="G96" i="155"/>
  <c r="F281" i="154"/>
  <c r="E40" i="155"/>
  <c r="P281" i="154"/>
  <c r="M40" i="155"/>
  <c r="T281" i="154"/>
  <c r="Q40" i="155"/>
  <c r="F282" i="154"/>
  <c r="E41" i="155"/>
  <c r="P282" i="154"/>
  <c r="M41" i="155"/>
  <c r="T282" i="154"/>
  <c r="Q41" i="155"/>
  <c r="F283" i="154"/>
  <c r="E42" i="155"/>
  <c r="P283" i="154"/>
  <c r="M42" i="155"/>
  <c r="T283" i="154"/>
  <c r="Q42" i="155"/>
  <c r="D215" i="154"/>
  <c r="C29" i="155"/>
  <c r="D197" i="154"/>
  <c r="C12" i="155"/>
  <c r="D199" i="154"/>
  <c r="C14" i="155"/>
  <c r="D202" i="154"/>
  <c r="C17" i="155"/>
  <c r="D206" i="154"/>
  <c r="C21" i="155"/>
  <c r="D205" i="154"/>
  <c r="C20" i="155"/>
  <c r="D208" i="154"/>
  <c r="C23" i="155"/>
  <c r="D210" i="154"/>
  <c r="C25" i="155"/>
  <c r="D212" i="154"/>
  <c r="C27" i="155"/>
  <c r="E11" i="122"/>
  <c r="C12" i="127" s="1"/>
  <c r="S12" s="1"/>
  <c r="C149" i="155" s="1"/>
  <c r="E10" i="156"/>
  <c r="E13" i="122"/>
  <c r="C16" i="127" s="1"/>
  <c r="S16" s="1"/>
  <c r="C155" i="155" s="1"/>
  <c r="I155" s="1"/>
  <c r="E12" i="156"/>
  <c r="E15" i="122"/>
  <c r="C18" i="127" s="1"/>
  <c r="S18" s="1"/>
  <c r="C157" i="155" s="1"/>
  <c r="I157" s="1"/>
  <c r="E14" i="156"/>
  <c r="E17" i="122"/>
  <c r="E16" i="156"/>
  <c r="F203" i="154"/>
  <c r="E18" i="155"/>
  <c r="F205" i="154"/>
  <c r="E20" i="155"/>
  <c r="F207" i="154"/>
  <c r="E22" i="155"/>
  <c r="E25" i="122"/>
  <c r="C30" i="127" s="1"/>
  <c r="S30" s="1"/>
  <c r="C169" i="155" s="1"/>
  <c r="I169" s="1"/>
  <c r="K169" s="1"/>
  <c r="E24" i="156"/>
  <c r="E27" i="122"/>
  <c r="C32" i="127" s="1"/>
  <c r="S32" s="1"/>
  <c r="C171" i="155" s="1"/>
  <c r="I171" s="1"/>
  <c r="E26" i="156"/>
  <c r="F213" i="154"/>
  <c r="E28" i="155"/>
  <c r="H194" i="154"/>
  <c r="G9" i="155"/>
  <c r="H196" i="154"/>
  <c r="G11" i="155"/>
  <c r="H198" i="154"/>
  <c r="G13" i="155"/>
  <c r="G16" i="122"/>
  <c r="G15" i="156"/>
  <c r="G18" i="122"/>
  <c r="G17" i="156"/>
  <c r="G20" i="122"/>
  <c r="G19" i="156"/>
  <c r="G22" i="122"/>
  <c r="G21" i="156"/>
  <c r="G24" i="122"/>
  <c r="G23" i="156"/>
  <c r="G26" i="122"/>
  <c r="G25" i="156"/>
  <c r="G28" i="122"/>
  <c r="G27" i="156"/>
  <c r="G31" i="122"/>
  <c r="G29" i="156"/>
  <c r="I13" i="122"/>
  <c r="I12" i="155" s="1"/>
  <c r="I12" i="156"/>
  <c r="I27" i="122"/>
  <c r="I26" i="155" s="1"/>
  <c r="I26" i="156"/>
  <c r="M10" i="122"/>
  <c r="K9" i="156"/>
  <c r="M12" i="122"/>
  <c r="K11" i="156"/>
  <c r="M14" i="122"/>
  <c r="K13" i="156"/>
  <c r="M16" i="122"/>
  <c r="K15" i="156"/>
  <c r="M18" i="122"/>
  <c r="K17" i="156"/>
  <c r="M20" i="122"/>
  <c r="K19" i="156"/>
  <c r="M22" i="122"/>
  <c r="K21" i="156"/>
  <c r="M24" i="122"/>
  <c r="K23" i="156"/>
  <c r="M26" i="122"/>
  <c r="K25" i="156"/>
  <c r="M28" i="122"/>
  <c r="K27" i="156"/>
  <c r="M31" i="122"/>
  <c r="K29" i="156"/>
  <c r="O11" i="122"/>
  <c r="M10" i="156"/>
  <c r="O13" i="122"/>
  <c r="M12" i="156"/>
  <c r="O15" i="122"/>
  <c r="M14" i="156"/>
  <c r="O17" i="122"/>
  <c r="M16" i="156"/>
  <c r="O19" i="122"/>
  <c r="M18" i="156"/>
  <c r="O21" i="122"/>
  <c r="M20" i="156"/>
  <c r="O23" i="122"/>
  <c r="M22" i="156"/>
  <c r="O25" i="122"/>
  <c r="M24" i="156"/>
  <c r="O27" i="122"/>
  <c r="M26" i="156"/>
  <c r="O29" i="122"/>
  <c r="M28" i="156"/>
  <c r="Q10" i="122"/>
  <c r="O9" i="156"/>
  <c r="Q12" i="122"/>
  <c r="O11" i="156"/>
  <c r="Q14" i="122"/>
  <c r="O13" i="156"/>
  <c r="Q16" i="122"/>
  <c r="O15" i="156"/>
  <c r="Q18" i="122"/>
  <c r="O17" i="156"/>
  <c r="Q20" i="122"/>
  <c r="O19" i="156"/>
  <c r="Q22" i="122"/>
  <c r="O21" i="156"/>
  <c r="Q24" i="122"/>
  <c r="O23" i="156"/>
  <c r="Q26" i="122"/>
  <c r="O25" i="156"/>
  <c r="Q28" i="122"/>
  <c r="O27" i="156"/>
  <c r="Q31" i="122"/>
  <c r="O29" i="156"/>
  <c r="S11" i="122"/>
  <c r="Q10" i="156"/>
  <c r="S13" i="122"/>
  <c r="Q12" i="156"/>
  <c r="S15" i="122"/>
  <c r="Q14" i="156"/>
  <c r="S17" i="122"/>
  <c r="Q16" i="156"/>
  <c r="S19" i="122"/>
  <c r="Q18" i="156"/>
  <c r="S21" i="122"/>
  <c r="Q20" i="156"/>
  <c r="S23" i="122"/>
  <c r="Q22" i="156"/>
  <c r="S25" i="122"/>
  <c r="Q24" i="156"/>
  <c r="S27" i="122"/>
  <c r="Q26" i="156"/>
  <c r="S29" i="122"/>
  <c r="Q28" i="156"/>
  <c r="D73" i="154"/>
  <c r="D74" s="1"/>
  <c r="D76" s="1"/>
  <c r="C85" i="155"/>
  <c r="C86" s="1"/>
  <c r="H73" i="154"/>
  <c r="H74" s="1"/>
  <c r="H76" s="1"/>
  <c r="G85" i="155"/>
  <c r="G86" s="1"/>
  <c r="D95" i="154"/>
  <c r="C90" i="155"/>
  <c r="H95" i="154"/>
  <c r="G90" i="155"/>
  <c r="F96" i="154"/>
  <c r="E91" i="155"/>
  <c r="D97" i="154"/>
  <c r="C92" i="155"/>
  <c r="H97" i="154"/>
  <c r="G92" i="155"/>
  <c r="F98" i="154"/>
  <c r="E93" i="155"/>
  <c r="K93" s="1"/>
  <c r="F99" i="154"/>
  <c r="E94" i="155"/>
  <c r="D100" i="154"/>
  <c r="C95" i="155"/>
  <c r="H100" i="154"/>
  <c r="G95" i="155"/>
  <c r="F101" i="154"/>
  <c r="E96" i="155"/>
  <c r="D281" i="154"/>
  <c r="C40" i="155"/>
  <c r="H281" i="154"/>
  <c r="G40" i="155"/>
  <c r="N281" i="154"/>
  <c r="K40" i="155"/>
  <c r="R281" i="154"/>
  <c r="O40" i="155"/>
  <c r="D282" i="154"/>
  <c r="C41" i="155"/>
  <c r="H282" i="154"/>
  <c r="G41" i="155"/>
  <c r="N282" i="154"/>
  <c r="K41" i="155"/>
  <c r="R282" i="154"/>
  <c r="O41" i="155"/>
  <c r="D283" i="154"/>
  <c r="C42" i="155"/>
  <c r="H283" i="154"/>
  <c r="G42" i="155"/>
  <c r="N283" i="154"/>
  <c r="K42" i="155"/>
  <c r="R283" i="154"/>
  <c r="O42" i="155"/>
  <c r="R180" i="152"/>
  <c r="R165"/>
  <c r="R173"/>
  <c r="R172"/>
  <c r="R171"/>
  <c r="R170"/>
  <c r="R169"/>
  <c r="R168"/>
  <c r="R167"/>
  <c r="R163"/>
  <c r="R162"/>
  <c r="R160"/>
  <c r="R159"/>
  <c r="R158"/>
  <c r="B51" i="142"/>
  <c r="B51" i="141"/>
  <c r="B148" i="135"/>
  <c r="B50" i="136"/>
  <c r="B50" i="134"/>
  <c r="B51" i="136"/>
  <c r="B51" i="134"/>
  <c r="D132" i="154" s="1"/>
  <c r="D169" s="1"/>
  <c r="H110"/>
  <c r="H15" i="140"/>
  <c r="H15" i="142"/>
  <c r="H18"/>
  <c r="H18" i="140"/>
  <c r="H20"/>
  <c r="H20" i="142"/>
  <c r="H21" i="140"/>
  <c r="H21" i="142"/>
  <c r="H30" i="140"/>
  <c r="H30" i="142"/>
  <c r="H34" s="1"/>
  <c r="H43" i="140"/>
  <c r="H43" i="142"/>
  <c r="H50"/>
  <c r="H51"/>
  <c r="H51" i="140"/>
  <c r="H53"/>
  <c r="H53" i="142"/>
  <c r="H54" i="140"/>
  <c r="H54" i="142"/>
  <c r="H55" i="140"/>
  <c r="H55" i="142"/>
  <c r="H14" i="136"/>
  <c r="H14" i="134"/>
  <c r="H15"/>
  <c r="H15" i="136"/>
  <c r="H16"/>
  <c r="H16" i="134"/>
  <c r="H17"/>
  <c r="H17" i="136"/>
  <c r="H18"/>
  <c r="H18" i="134"/>
  <c r="H19"/>
  <c r="H19" i="136"/>
  <c r="H22"/>
  <c r="H22" i="134"/>
  <c r="H23"/>
  <c r="H23" i="136"/>
  <c r="H40"/>
  <c r="H40" i="134"/>
  <c r="H41"/>
  <c r="H41" i="136"/>
  <c r="H42"/>
  <c r="H42" i="134"/>
  <c r="H43"/>
  <c r="H43" i="136"/>
  <c r="H76"/>
  <c r="H76" i="134"/>
  <c r="H86" i="136"/>
  <c r="H87"/>
  <c r="H88"/>
  <c r="J90" i="154"/>
  <c r="N90" s="1"/>
  <c r="V90" s="1"/>
  <c r="J98"/>
  <c r="N98" s="1"/>
  <c r="J106"/>
  <c r="N106" s="1"/>
  <c r="V106" s="1"/>
  <c r="J107"/>
  <c r="N107" s="1"/>
  <c r="V107" s="1"/>
  <c r="J10" i="146"/>
  <c r="L10" s="1"/>
  <c r="L11" s="1"/>
  <c r="H74" i="134"/>
  <c r="H74" i="136"/>
  <c r="H71" i="134"/>
  <c r="H71" i="136"/>
  <c r="J108" i="154"/>
  <c r="H73" i="136"/>
  <c r="H73" i="134"/>
  <c r="N108" i="154"/>
  <c r="V108" s="1"/>
  <c r="N153"/>
  <c r="V153" s="1"/>
  <c r="N154"/>
  <c r="V154" s="1"/>
  <c r="V295"/>
  <c r="V296" s="1"/>
  <c r="J39"/>
  <c r="N39" s="1"/>
  <c r="V39" s="1"/>
  <c r="D143"/>
  <c r="D145" s="1"/>
  <c r="D147" s="1"/>
  <c r="AO132" i="125"/>
  <c r="H50" i="134"/>
  <c r="H50" i="136"/>
  <c r="H51" i="134"/>
  <c r="J132" i="154" s="1"/>
  <c r="J169" s="1"/>
  <c r="H51" i="136"/>
  <c r="N65" i="154"/>
  <c r="N66" s="1"/>
  <c r="N68" s="1"/>
  <c r="F66"/>
  <c r="F68" s="1"/>
  <c r="J81"/>
  <c r="F85"/>
  <c r="J82"/>
  <c r="F92"/>
  <c r="J91"/>
  <c r="N91" s="1"/>
  <c r="V91" s="1"/>
  <c r="F110"/>
  <c r="N117"/>
  <c r="N118" s="1"/>
  <c r="N120" s="1"/>
  <c r="F118"/>
  <c r="F120" s="1"/>
  <c r="N152"/>
  <c r="F155"/>
  <c r="F158" s="1"/>
  <c r="J281"/>
  <c r="J282"/>
  <c r="J283"/>
  <c r="I16" i="122"/>
  <c r="I15" i="155" s="1"/>
  <c r="I18" i="122"/>
  <c r="I17" i="155" s="1"/>
  <c r="I20" i="122"/>
  <c r="I22"/>
  <c r="I21" i="155" s="1"/>
  <c r="I24" i="122"/>
  <c r="I28"/>
  <c r="I27" i="155" s="1"/>
  <c r="AO131" i="125"/>
  <c r="D66" i="154"/>
  <c r="D68" s="1"/>
  <c r="D92"/>
  <c r="D110"/>
  <c r="D118"/>
  <c r="D120" s="1"/>
  <c r="D155"/>
  <c r="C81" i="122"/>
  <c r="C82"/>
  <c r="C83"/>
  <c r="R16" i="153"/>
  <c r="N16" i="138" s="1"/>
  <c r="S81" i="122"/>
  <c r="S83"/>
  <c r="S82"/>
  <c r="Q81"/>
  <c r="Q82"/>
  <c r="Q83"/>
  <c r="O81"/>
  <c r="O83"/>
  <c r="O82"/>
  <c r="M81"/>
  <c r="M82"/>
  <c r="M83"/>
  <c r="G82"/>
  <c r="G81"/>
  <c r="G83"/>
  <c r="E81"/>
  <c r="E82"/>
  <c r="E83"/>
  <c r="F50" i="134"/>
  <c r="F50" i="136"/>
  <c r="F51" i="134"/>
  <c r="H132" i="154" s="1"/>
  <c r="H169" s="1"/>
  <c r="F51" i="136"/>
  <c r="D50" i="134"/>
  <c r="D50" i="136"/>
  <c r="D51" i="134"/>
  <c r="F132" i="154" s="1"/>
  <c r="F169" s="1"/>
  <c r="D51" i="136"/>
  <c r="J49" i="103"/>
  <c r="J50"/>
  <c r="L50" s="1"/>
  <c r="AO15" i="154"/>
  <c r="J249"/>
  <c r="J250"/>
  <c r="V250" s="1"/>
  <c r="J251"/>
  <c r="V251" s="1"/>
  <c r="J252"/>
  <c r="V252" s="1"/>
  <c r="J253"/>
  <c r="V253" s="1"/>
  <c r="J254"/>
  <c r="V254" s="1"/>
  <c r="J255"/>
  <c r="V255" s="1"/>
  <c r="J256"/>
  <c r="V256" s="1"/>
  <c r="J257"/>
  <c r="V257" s="1"/>
  <c r="J258"/>
  <c r="J259"/>
  <c r="V259" s="1"/>
  <c r="J260"/>
  <c r="V260" s="1"/>
  <c r="J261"/>
  <c r="J265"/>
  <c r="J266"/>
  <c r="V266" s="1"/>
  <c r="J267"/>
  <c r="V267" s="1"/>
  <c r="J268"/>
  <c r="V268" s="1"/>
  <c r="J269"/>
  <c r="V269" s="1"/>
  <c r="J270"/>
  <c r="V270" s="1"/>
  <c r="J271"/>
  <c r="V271" s="1"/>
  <c r="J272"/>
  <c r="J273"/>
  <c r="V273" s="1"/>
  <c r="J274"/>
  <c r="V274" s="1"/>
  <c r="J275"/>
  <c r="V275" s="1"/>
  <c r="J276"/>
  <c r="V276" s="1"/>
  <c r="J277"/>
  <c r="V277" s="1"/>
  <c r="H278"/>
  <c r="H262"/>
  <c r="AM170" i="125"/>
  <c r="AM172"/>
  <c r="AM33"/>
  <c r="L49" i="103"/>
  <c r="P46" i="153"/>
  <c r="N46"/>
  <c r="L46"/>
  <c r="J46"/>
  <c r="H46"/>
  <c r="F46"/>
  <c r="B46"/>
  <c r="D46"/>
  <c r="P36"/>
  <c r="P39" s="1"/>
  <c r="N36"/>
  <c r="N39" s="1"/>
  <c r="J36"/>
  <c r="J39" s="1"/>
  <c r="B36"/>
  <c r="B39" s="1"/>
  <c r="R35"/>
  <c r="N18" i="144" s="1"/>
  <c r="R34" i="153"/>
  <c r="L36"/>
  <c r="L39" s="1"/>
  <c r="F36"/>
  <c r="F39" s="1"/>
  <c r="R33"/>
  <c r="N16" i="144" s="1"/>
  <c r="H36" i="153"/>
  <c r="H39" s="1"/>
  <c r="R32"/>
  <c r="N15" i="144" s="1"/>
  <c r="R31" i="153"/>
  <c r="N14" i="144" s="1"/>
  <c r="R30" i="153"/>
  <c r="N13" i="144" s="1"/>
  <c r="D36" i="153"/>
  <c r="D39" s="1"/>
  <c r="P22"/>
  <c r="N22"/>
  <c r="L22"/>
  <c r="J22"/>
  <c r="H22"/>
  <c r="F22"/>
  <c r="B22"/>
  <c r="R21"/>
  <c r="N21" i="138" s="1"/>
  <c r="R20" i="153"/>
  <c r="N20" i="138" s="1"/>
  <c r="R19" i="153"/>
  <c r="N19" i="138" s="1"/>
  <c r="R18" i="153"/>
  <c r="N18" i="138" s="1"/>
  <c r="R17" i="153"/>
  <c r="N17" i="138" s="1"/>
  <c r="R15" i="153"/>
  <c r="N15" i="138" s="1"/>
  <c r="D22" i="153"/>
  <c r="P11"/>
  <c r="N11"/>
  <c r="L11"/>
  <c r="J11"/>
  <c r="H11"/>
  <c r="F11"/>
  <c r="D11"/>
  <c r="B11"/>
  <c r="R10"/>
  <c r="R11" s="1"/>
  <c r="A3"/>
  <c r="P452" i="152"/>
  <c r="P455" s="1"/>
  <c r="N452"/>
  <c r="N455" s="1"/>
  <c r="L452"/>
  <c r="L455" s="1"/>
  <c r="J452"/>
  <c r="J455" s="1"/>
  <c r="H452"/>
  <c r="H455" s="1"/>
  <c r="B452"/>
  <c r="B455" s="1"/>
  <c r="R451"/>
  <c r="N39" i="130" s="1"/>
  <c r="D452" i="152"/>
  <c r="D455" s="1"/>
  <c r="F452"/>
  <c r="F455" s="1"/>
  <c r="R449"/>
  <c r="N37" i="128" s="1"/>
  <c r="R448" i="152"/>
  <c r="R447"/>
  <c r="N35" i="130" s="1"/>
  <c r="P440" i="152"/>
  <c r="N440"/>
  <c r="L440"/>
  <c r="J440"/>
  <c r="H440"/>
  <c r="F440"/>
  <c r="D440"/>
  <c r="R438"/>
  <c r="R436"/>
  <c r="R432"/>
  <c r="N34" i="130" s="1"/>
  <c r="R431" i="152"/>
  <c r="N33" i="128" s="1"/>
  <c r="R430" i="152"/>
  <c r="N32" i="130" s="1"/>
  <c r="R429" i="152"/>
  <c r="N31" i="130" s="1"/>
  <c r="R428" i="152"/>
  <c r="N30" i="130" s="1"/>
  <c r="R427" i="152"/>
  <c r="N29" i="128" s="1"/>
  <c r="R426" i="152"/>
  <c r="N28" i="130" s="1"/>
  <c r="R425" i="152"/>
  <c r="N27" i="130" s="1"/>
  <c r="R424" i="152"/>
  <c r="N26" i="128" s="1"/>
  <c r="R423" i="152"/>
  <c r="N25" i="130" s="1"/>
  <c r="R422" i="152"/>
  <c r="N24" i="130" s="1"/>
  <c r="R421" i="152"/>
  <c r="N23" i="130" s="1"/>
  <c r="N21"/>
  <c r="N20"/>
  <c r="R417" i="152"/>
  <c r="N19" i="128" s="1"/>
  <c r="R416" i="152"/>
  <c r="N18" i="130" s="1"/>
  <c r="R415" i="152"/>
  <c r="N17" i="128" s="1"/>
  <c r="R414" i="152"/>
  <c r="N16" i="130" s="1"/>
  <c r="R413" i="152"/>
  <c r="N15" i="128" s="1"/>
  <c r="R412" i="152"/>
  <c r="N14" i="128" s="1"/>
  <c r="R411" i="152"/>
  <c r="R407"/>
  <c r="R406"/>
  <c r="R405"/>
  <c r="N11" i="130" s="1"/>
  <c r="P398" i="152"/>
  <c r="P401" s="1"/>
  <c r="N398"/>
  <c r="N401" s="1"/>
  <c r="L398"/>
  <c r="L401" s="1"/>
  <c r="J398"/>
  <c r="J401" s="1"/>
  <c r="H398"/>
  <c r="H401" s="1"/>
  <c r="F398"/>
  <c r="F401" s="1"/>
  <c r="D398"/>
  <c r="D401" s="1"/>
  <c r="R388"/>
  <c r="N63" i="142" s="1"/>
  <c r="P384" i="152"/>
  <c r="N384"/>
  <c r="J384"/>
  <c r="R383"/>
  <c r="N58" i="140" s="1"/>
  <c r="R382" i="152"/>
  <c r="N57" i="142" s="1"/>
  <c r="R381" i="152"/>
  <c r="N56" i="142" s="1"/>
  <c r="R380" i="152"/>
  <c r="N55" i="142" s="1"/>
  <c r="R379" i="152"/>
  <c r="N54" i="142" s="1"/>
  <c r="R378" i="152"/>
  <c r="N53" i="142" s="1"/>
  <c r="R377" i="152"/>
  <c r="N52" i="142" s="1"/>
  <c r="H384" i="152"/>
  <c r="R376"/>
  <c r="N51" i="142" s="1"/>
  <c r="R375" i="152"/>
  <c r="N50" i="142" s="1"/>
  <c r="R374" i="152"/>
  <c r="N49" i="142" s="1"/>
  <c r="R373" i="152"/>
  <c r="N48" i="142" s="1"/>
  <c r="R372" i="152"/>
  <c r="N47" i="142" s="1"/>
  <c r="R371" i="152"/>
  <c r="L384"/>
  <c r="R370"/>
  <c r="N45" i="142" s="1"/>
  <c r="R369" i="152"/>
  <c r="N44" i="142" s="1"/>
  <c r="F384" i="152"/>
  <c r="D384"/>
  <c r="R367"/>
  <c r="R366"/>
  <c r="N41" i="142" s="1"/>
  <c r="P362" i="152"/>
  <c r="N362"/>
  <c r="L362"/>
  <c r="J362"/>
  <c r="B362"/>
  <c r="R361"/>
  <c r="N33" i="140" s="1"/>
  <c r="R360" i="152"/>
  <c r="N32" i="140" s="1"/>
  <c r="R359" i="152"/>
  <c r="N31" i="140" s="1"/>
  <c r="H362" i="152"/>
  <c r="R358"/>
  <c r="N30" i="142" s="1"/>
  <c r="R357" i="152"/>
  <c r="N29" i="142" s="1"/>
  <c r="F362" i="152"/>
  <c r="D362"/>
  <c r="P353"/>
  <c r="N353"/>
  <c r="J353"/>
  <c r="B353"/>
  <c r="R352"/>
  <c r="N24" i="140" s="1"/>
  <c r="H353" i="152"/>
  <c r="R351"/>
  <c r="N23" i="142" s="1"/>
  <c r="R350" i="152"/>
  <c r="N22" i="142" s="1"/>
  <c r="R349" i="152"/>
  <c r="N21" i="140" s="1"/>
  <c r="R348" i="152"/>
  <c r="N20" i="142" s="1"/>
  <c r="R347" i="152"/>
  <c r="N19" i="142" s="1"/>
  <c r="R346" i="152"/>
  <c r="N18" i="142" s="1"/>
  <c r="R345" i="152"/>
  <c r="N17" i="142" s="1"/>
  <c r="R344" i="152"/>
  <c r="N16" i="140" s="1"/>
  <c r="L353" i="152"/>
  <c r="F353"/>
  <c r="R343"/>
  <c r="N15" i="140" s="1"/>
  <c r="R342" i="152"/>
  <c r="N14" i="140" s="1"/>
  <c r="R341" i="152"/>
  <c r="N13" i="142" s="1"/>
  <c r="D353" i="152"/>
  <c r="R339"/>
  <c r="N11" i="140" s="1"/>
  <c r="P331" i="152"/>
  <c r="P333" s="1"/>
  <c r="N331"/>
  <c r="N333" s="1"/>
  <c r="L331"/>
  <c r="L333" s="1"/>
  <c r="J331"/>
  <c r="J333" s="1"/>
  <c r="H331"/>
  <c r="H333" s="1"/>
  <c r="F331"/>
  <c r="F333" s="1"/>
  <c r="D331"/>
  <c r="D333" s="1"/>
  <c r="P322"/>
  <c r="N322"/>
  <c r="J322"/>
  <c r="B322"/>
  <c r="R321"/>
  <c r="N92" i="136" s="1"/>
  <c r="H322" i="152"/>
  <c r="R320"/>
  <c r="N91" i="136" s="1"/>
  <c r="R319" i="152"/>
  <c r="N90" i="134" s="1"/>
  <c r="R318" i="152"/>
  <c r="N89" i="136" s="1"/>
  <c r="R317" i="152"/>
  <c r="N88" i="136" s="1"/>
  <c r="R316" i="152"/>
  <c r="N87" i="136" s="1"/>
  <c r="R315" i="152"/>
  <c r="N86" i="136" s="1"/>
  <c r="R314" i="152"/>
  <c r="R313"/>
  <c r="R312"/>
  <c r="R311"/>
  <c r="L322"/>
  <c r="R310"/>
  <c r="R309"/>
  <c r="R308"/>
  <c r="F322"/>
  <c r="R307"/>
  <c r="R306"/>
  <c r="N82" i="136" s="1"/>
  <c r="D322" i="152"/>
  <c r="R299"/>
  <c r="R297"/>
  <c r="R296"/>
  <c r="R295"/>
  <c r="R294"/>
  <c r="R293"/>
  <c r="R292"/>
  <c r="R291"/>
  <c r="R290"/>
  <c r="R289"/>
  <c r="R288"/>
  <c r="R286"/>
  <c r="R285"/>
  <c r="R283"/>
  <c r="R282"/>
  <c r="R281"/>
  <c r="R280"/>
  <c r="R279"/>
  <c r="R278"/>
  <c r="R277"/>
  <c r="R269"/>
  <c r="R268"/>
  <c r="R267"/>
  <c r="R266"/>
  <c r="R265"/>
  <c r="R264"/>
  <c r="R263"/>
  <c r="R262"/>
  <c r="R261"/>
  <c r="R260"/>
  <c r="R259"/>
  <c r="R258"/>
  <c r="R257"/>
  <c r="R255"/>
  <c r="R254"/>
  <c r="R253"/>
  <c r="R251"/>
  <c r="R249"/>
  <c r="R248"/>
  <c r="R247"/>
  <c r="R246"/>
  <c r="R245"/>
  <c r="R244"/>
  <c r="R243"/>
  <c r="R241"/>
  <c r="R240"/>
  <c r="R239"/>
  <c r="R237"/>
  <c r="R206"/>
  <c r="R204"/>
  <c r="R199"/>
  <c r="R202"/>
  <c r="R198"/>
  <c r="R200"/>
  <c r="R197"/>
  <c r="R196"/>
  <c r="R195"/>
  <c r="R194"/>
  <c r="R193"/>
  <c r="R191"/>
  <c r="R190"/>
  <c r="R187"/>
  <c r="R186"/>
  <c r="R185"/>
  <c r="R184"/>
  <c r="R182"/>
  <c r="R155"/>
  <c r="R147"/>
  <c r="N62" i="136" s="1"/>
  <c r="R145" i="152"/>
  <c r="R144"/>
  <c r="R143"/>
  <c r="R142"/>
  <c r="R141"/>
  <c r="R140"/>
  <c r="R139"/>
  <c r="R138"/>
  <c r="R137"/>
  <c r="R136"/>
  <c r="R135"/>
  <c r="R134"/>
  <c r="R131"/>
  <c r="R130"/>
  <c r="R129"/>
  <c r="R128"/>
  <c r="R127"/>
  <c r="R126"/>
  <c r="R125"/>
  <c r="R124"/>
  <c r="R123"/>
  <c r="R122"/>
  <c r="R121"/>
  <c r="R120"/>
  <c r="R119"/>
  <c r="R118"/>
  <c r="R115"/>
  <c r="R114"/>
  <c r="R113"/>
  <c r="R112"/>
  <c r="R111"/>
  <c r="R110"/>
  <c r="R109"/>
  <c r="R108"/>
  <c r="R107"/>
  <c r="R106"/>
  <c r="R105"/>
  <c r="R104"/>
  <c r="R103"/>
  <c r="R102"/>
  <c r="R99"/>
  <c r="R98"/>
  <c r="R97"/>
  <c r="R96"/>
  <c r="R95"/>
  <c r="R94"/>
  <c r="R93"/>
  <c r="R92"/>
  <c r="R91"/>
  <c r="R90"/>
  <c r="R89"/>
  <c r="R87"/>
  <c r="R86"/>
  <c r="R85"/>
  <c r="R84"/>
  <c r="R83"/>
  <c r="R82"/>
  <c r="R81"/>
  <c r="R80"/>
  <c r="R79"/>
  <c r="R78"/>
  <c r="R77"/>
  <c r="R76"/>
  <c r="R75"/>
  <c r="R74"/>
  <c r="R73"/>
  <c r="R72"/>
  <c r="R70"/>
  <c r="R69"/>
  <c r="R68"/>
  <c r="R67"/>
  <c r="R66"/>
  <c r="R65"/>
  <c r="R64"/>
  <c r="R63"/>
  <c r="R62"/>
  <c r="R61"/>
  <c r="R60"/>
  <c r="R59"/>
  <c r="R58"/>
  <c r="R57"/>
  <c r="R56"/>
  <c r="R55"/>
  <c r="P52"/>
  <c r="N52"/>
  <c r="L52"/>
  <c r="J52"/>
  <c r="F52"/>
  <c r="B52"/>
  <c r="H52"/>
  <c r="R51"/>
  <c r="N46" i="134" s="1"/>
  <c r="R50" i="152"/>
  <c r="R49"/>
  <c r="R48"/>
  <c r="R47"/>
  <c r="R46"/>
  <c r="N43" i="134" s="1"/>
  <c r="R45" i="152"/>
  <c r="N42" i="136" s="1"/>
  <c r="R44" i="152"/>
  <c r="N41" i="134" s="1"/>
  <c r="R43" i="152"/>
  <c r="R42"/>
  <c r="R41"/>
  <c r="R40"/>
  <c r="P37"/>
  <c r="N37"/>
  <c r="L37"/>
  <c r="J37"/>
  <c r="H37"/>
  <c r="B37"/>
  <c r="R36"/>
  <c r="N35" i="136" s="1"/>
  <c r="F37" i="152"/>
  <c r="R35"/>
  <c r="N34" i="134" s="1"/>
  <c r="R34" i="152"/>
  <c r="N33" i="136" s="1"/>
  <c r="R33" i="152"/>
  <c r="N32" i="134" s="1"/>
  <c r="R32" i="152"/>
  <c r="N31" i="136" s="1"/>
  <c r="R31" i="152"/>
  <c r="N30" i="134" s="1"/>
  <c r="P28" i="152"/>
  <c r="J28"/>
  <c r="B28"/>
  <c r="H28"/>
  <c r="R26"/>
  <c r="R25"/>
  <c r="N24" i="136" s="1"/>
  <c r="R24" i="152"/>
  <c r="N23" i="134" s="1"/>
  <c r="R23" i="152"/>
  <c r="N22" i="136" s="1"/>
  <c r="R22" i="152"/>
  <c r="N21" i="136" s="1"/>
  <c r="R21" i="152"/>
  <c r="N20" i="136" s="1"/>
  <c r="R20" i="152"/>
  <c r="N19" i="136" s="1"/>
  <c r="R19" i="152"/>
  <c r="N18" i="136" s="1"/>
  <c r="R18" i="152"/>
  <c r="N17" i="136" s="1"/>
  <c r="R17" i="152"/>
  <c r="N16" i="136" s="1"/>
  <c r="R16" i="152"/>
  <c r="N15" i="136" s="1"/>
  <c r="N28" i="152"/>
  <c r="R15"/>
  <c r="N14" i="136" s="1"/>
  <c r="R14" i="152"/>
  <c r="R13"/>
  <c r="N13" i="136" s="1"/>
  <c r="L28" i="152"/>
  <c r="F28"/>
  <c r="D28"/>
  <c r="R11"/>
  <c r="R10"/>
  <c r="A3"/>
  <c r="L11" i="151"/>
  <c r="J11"/>
  <c r="H11"/>
  <c r="F11"/>
  <c r="B11"/>
  <c r="D10"/>
  <c r="D11" s="1"/>
  <c r="A3"/>
  <c r="J14" i="150"/>
  <c r="H14"/>
  <c r="F14"/>
  <c r="D14"/>
  <c r="B14"/>
  <c r="A3"/>
  <c r="H20" i="149"/>
  <c r="F20"/>
  <c r="D20"/>
  <c r="B20"/>
  <c r="J19"/>
  <c r="L19" s="1"/>
  <c r="J18"/>
  <c r="L18" s="1"/>
  <c r="J17"/>
  <c r="L17" s="1"/>
  <c r="J16"/>
  <c r="H13"/>
  <c r="F13"/>
  <c r="D13"/>
  <c r="B13"/>
  <c r="J12"/>
  <c r="L12" s="1"/>
  <c r="J11"/>
  <c r="A3"/>
  <c r="H11" i="148"/>
  <c r="F11"/>
  <c r="D11"/>
  <c r="B11"/>
  <c r="J10"/>
  <c r="L10" s="1"/>
  <c r="L11" s="1"/>
  <c r="A3"/>
  <c r="H11" i="147"/>
  <c r="F11"/>
  <c r="D11"/>
  <c r="B11"/>
  <c r="J10"/>
  <c r="J11" s="1"/>
  <c r="A3"/>
  <c r="H11" i="146"/>
  <c r="F11"/>
  <c r="D11"/>
  <c r="B11"/>
  <c r="A3"/>
  <c r="J28" i="145"/>
  <c r="L28" s="1"/>
  <c r="J27"/>
  <c r="B19"/>
  <c r="B22" s="1"/>
  <c r="J18"/>
  <c r="L18" s="1"/>
  <c r="J17"/>
  <c r="L17" s="1"/>
  <c r="J16"/>
  <c r="L16" s="1"/>
  <c r="H19"/>
  <c r="H22" s="1"/>
  <c r="J15"/>
  <c r="L15" s="1"/>
  <c r="J13"/>
  <c r="L13" s="1"/>
  <c r="J12"/>
  <c r="L12" s="1"/>
  <c r="J11"/>
  <c r="A3"/>
  <c r="H18" i="144"/>
  <c r="H56" i="140" s="1"/>
  <c r="F18" i="144"/>
  <c r="F56" i="140" s="1"/>
  <c r="D18" i="144"/>
  <c r="D56" i="140" s="1"/>
  <c r="B18" i="144"/>
  <c r="B56" i="140" s="1"/>
  <c r="H17" i="144"/>
  <c r="F17"/>
  <c r="D17"/>
  <c r="B17"/>
  <c r="H52" i="140"/>
  <c r="F52"/>
  <c r="D52"/>
  <c r="B52"/>
  <c r="D15" i="144"/>
  <c r="B51" i="140"/>
  <c r="H50"/>
  <c r="F50"/>
  <c r="B50"/>
  <c r="H49"/>
  <c r="F49"/>
  <c r="D49"/>
  <c r="B49"/>
  <c r="H12" i="144"/>
  <c r="H45" i="140" s="1"/>
  <c r="F12" i="144"/>
  <c r="F45" i="140" s="1"/>
  <c r="D12" i="144"/>
  <c r="B12"/>
  <c r="B45" i="140" s="1"/>
  <c r="H11" i="144"/>
  <c r="H41" i="140" s="1"/>
  <c r="F11" i="144"/>
  <c r="F41" i="140" s="1"/>
  <c r="D11" i="144"/>
  <c r="D41" i="140" s="1"/>
  <c r="B11" i="144"/>
  <c r="B41" i="140" s="1"/>
  <c r="A3" i="144"/>
  <c r="H108" i="143"/>
  <c r="F108"/>
  <c r="B108"/>
  <c r="J107"/>
  <c r="J108" s="1"/>
  <c r="D108"/>
  <c r="J102"/>
  <c r="L102" s="1"/>
  <c r="J101"/>
  <c r="L101" s="1"/>
  <c r="J100"/>
  <c r="L100" s="1"/>
  <c r="J99"/>
  <c r="L99" s="1"/>
  <c r="J98"/>
  <c r="L98" s="1"/>
  <c r="J97"/>
  <c r="L97" s="1"/>
  <c r="J95"/>
  <c r="H92"/>
  <c r="F92"/>
  <c r="B92"/>
  <c r="J91"/>
  <c r="L91" s="1"/>
  <c r="J90"/>
  <c r="L90" s="1"/>
  <c r="J89"/>
  <c r="L89" s="1"/>
  <c r="J88"/>
  <c r="L88" s="1"/>
  <c r="D92"/>
  <c r="J86"/>
  <c r="H83"/>
  <c r="F83"/>
  <c r="B83"/>
  <c r="J82"/>
  <c r="L82" s="1"/>
  <c r="L82" i="141" s="1"/>
  <c r="J81" i="143"/>
  <c r="L81" s="1"/>
  <c r="J80"/>
  <c r="L80" s="1"/>
  <c r="J79"/>
  <c r="L79" s="1"/>
  <c r="J78"/>
  <c r="L78" s="1"/>
  <c r="J77"/>
  <c r="L77" s="1"/>
  <c r="J76"/>
  <c r="L76" s="1"/>
  <c r="J75"/>
  <c r="L75" s="1"/>
  <c r="J74"/>
  <c r="L74" s="1"/>
  <c r="J73"/>
  <c r="D83"/>
  <c r="J62"/>
  <c r="L62" s="1"/>
  <c r="J58"/>
  <c r="L58" s="1"/>
  <c r="J57"/>
  <c r="L57" s="1"/>
  <c r="J56"/>
  <c r="L56" s="1"/>
  <c r="J55"/>
  <c r="L55" s="1"/>
  <c r="J54"/>
  <c r="L54" s="1"/>
  <c r="J53"/>
  <c r="L53" s="1"/>
  <c r="B59"/>
  <c r="H59"/>
  <c r="D59"/>
  <c r="J51"/>
  <c r="L51" s="1"/>
  <c r="J50"/>
  <c r="L50" s="1"/>
  <c r="J49"/>
  <c r="L49" s="1"/>
  <c r="J48"/>
  <c r="L48" s="1"/>
  <c r="J47"/>
  <c r="L47" s="1"/>
  <c r="J46"/>
  <c r="L46" s="1"/>
  <c r="J45"/>
  <c r="L45" s="1"/>
  <c r="J44"/>
  <c r="L44" s="1"/>
  <c r="F59"/>
  <c r="J42"/>
  <c r="L42" s="1"/>
  <c r="J41"/>
  <c r="L41" s="1"/>
  <c r="H38"/>
  <c r="F38"/>
  <c r="D38"/>
  <c r="B38"/>
  <c r="J37"/>
  <c r="J38" s="1"/>
  <c r="H34"/>
  <c r="B34"/>
  <c r="J33"/>
  <c r="L33" s="1"/>
  <c r="J32"/>
  <c r="L32" s="1"/>
  <c r="J31"/>
  <c r="L31" s="1"/>
  <c r="D34"/>
  <c r="J29"/>
  <c r="L29" s="1"/>
  <c r="F34"/>
  <c r="B25"/>
  <c r="J24"/>
  <c r="L24" s="1"/>
  <c r="H25"/>
  <c r="J22"/>
  <c r="L22" s="1"/>
  <c r="J21"/>
  <c r="L21" s="1"/>
  <c r="J20"/>
  <c r="L20" s="1"/>
  <c r="D25"/>
  <c r="J18"/>
  <c r="L18" s="1"/>
  <c r="J17"/>
  <c r="L17" s="1"/>
  <c r="J16"/>
  <c r="L16" s="1"/>
  <c r="F25"/>
  <c r="J14"/>
  <c r="L14" s="1"/>
  <c r="J13"/>
  <c r="L13" s="1"/>
  <c r="J12"/>
  <c r="L12" s="1"/>
  <c r="J11"/>
  <c r="L11" s="1"/>
  <c r="A3"/>
  <c r="H63" i="142"/>
  <c r="F63"/>
  <c r="D63"/>
  <c r="B63"/>
  <c r="H62"/>
  <c r="H65" s="1"/>
  <c r="F62"/>
  <c r="D62"/>
  <c r="B62"/>
  <c r="B65" s="1"/>
  <c r="H58"/>
  <c r="F58"/>
  <c r="D58"/>
  <c r="B58"/>
  <c r="H57"/>
  <c r="F57"/>
  <c r="D57"/>
  <c r="B57"/>
  <c r="F55"/>
  <c r="D55"/>
  <c r="B55"/>
  <c r="F54"/>
  <c r="D54"/>
  <c r="B54"/>
  <c r="F53"/>
  <c r="D53"/>
  <c r="B53"/>
  <c r="F52"/>
  <c r="D52"/>
  <c r="B52"/>
  <c r="F51"/>
  <c r="D51"/>
  <c r="F50"/>
  <c r="D50"/>
  <c r="B50"/>
  <c r="H49"/>
  <c r="F49"/>
  <c r="D49"/>
  <c r="B49"/>
  <c r="H48"/>
  <c r="F48"/>
  <c r="D48"/>
  <c r="B48"/>
  <c r="H47"/>
  <c r="F47"/>
  <c r="D47"/>
  <c r="B47"/>
  <c r="H46"/>
  <c r="F46"/>
  <c r="D46"/>
  <c r="B46"/>
  <c r="F45"/>
  <c r="D45"/>
  <c r="B45"/>
  <c r="H44"/>
  <c r="F44"/>
  <c r="D44"/>
  <c r="B44"/>
  <c r="F43"/>
  <c r="D43"/>
  <c r="B43"/>
  <c r="H42"/>
  <c r="F42"/>
  <c r="D42"/>
  <c r="B42"/>
  <c r="H41"/>
  <c r="F41"/>
  <c r="D41"/>
  <c r="B41"/>
  <c r="H37"/>
  <c r="H38" s="1"/>
  <c r="F37"/>
  <c r="F38" s="1"/>
  <c r="D37"/>
  <c r="D38" s="1"/>
  <c r="B37"/>
  <c r="B38" s="1"/>
  <c r="F33"/>
  <c r="D33"/>
  <c r="B33"/>
  <c r="F32"/>
  <c r="D32"/>
  <c r="B32"/>
  <c r="F31"/>
  <c r="D31"/>
  <c r="B31"/>
  <c r="F30"/>
  <c r="D30"/>
  <c r="B30"/>
  <c r="F29"/>
  <c r="D29"/>
  <c r="B29"/>
  <c r="F28"/>
  <c r="D28"/>
  <c r="B28"/>
  <c r="H24"/>
  <c r="F24"/>
  <c r="D24"/>
  <c r="B24"/>
  <c r="H23"/>
  <c r="F23"/>
  <c r="D23"/>
  <c r="B23"/>
  <c r="F22"/>
  <c r="D22"/>
  <c r="B22"/>
  <c r="F21"/>
  <c r="D21"/>
  <c r="B21"/>
  <c r="F20"/>
  <c r="D20"/>
  <c r="B20"/>
  <c r="F19"/>
  <c r="D19"/>
  <c r="B19"/>
  <c r="F18"/>
  <c r="D18"/>
  <c r="B18"/>
  <c r="F17"/>
  <c r="D17"/>
  <c r="B17"/>
  <c r="F16"/>
  <c r="D16"/>
  <c r="B16"/>
  <c r="F15"/>
  <c r="D15"/>
  <c r="B15"/>
  <c r="F14"/>
  <c r="D14"/>
  <c r="B14"/>
  <c r="F13"/>
  <c r="D13"/>
  <c r="B13"/>
  <c r="H12"/>
  <c r="F12"/>
  <c r="D12"/>
  <c r="B12"/>
  <c r="H11"/>
  <c r="F11"/>
  <c r="D11"/>
  <c r="B11"/>
  <c r="A3"/>
  <c r="D108" i="141"/>
  <c r="D109" s="1"/>
  <c r="B108"/>
  <c r="B109" s="1"/>
  <c r="D103"/>
  <c r="J103" s="1"/>
  <c r="B103"/>
  <c r="D102"/>
  <c r="J102" s="1"/>
  <c r="B102"/>
  <c r="D101"/>
  <c r="J101" s="1"/>
  <c r="B101"/>
  <c r="J100"/>
  <c r="D99"/>
  <c r="D98"/>
  <c r="D96"/>
  <c r="J96" s="1"/>
  <c r="B96"/>
  <c r="D95"/>
  <c r="B95"/>
  <c r="D91"/>
  <c r="J91" s="1"/>
  <c r="B91"/>
  <c r="D90"/>
  <c r="J90" s="1"/>
  <c r="B90"/>
  <c r="D89"/>
  <c r="J89" s="1"/>
  <c r="B89"/>
  <c r="D88"/>
  <c r="J88" s="1"/>
  <c r="B88"/>
  <c r="D87"/>
  <c r="J87" s="1"/>
  <c r="B87"/>
  <c r="D86"/>
  <c r="J86" s="1"/>
  <c r="B86"/>
  <c r="D82"/>
  <c r="B82"/>
  <c r="D81"/>
  <c r="J81" s="1"/>
  <c r="B81"/>
  <c r="D80"/>
  <c r="J80" s="1"/>
  <c r="B80"/>
  <c r="D79"/>
  <c r="J79" s="1"/>
  <c r="B79"/>
  <c r="D78"/>
  <c r="J78" s="1"/>
  <c r="B78"/>
  <c r="D77"/>
  <c r="J77" s="1"/>
  <c r="B77"/>
  <c r="D76"/>
  <c r="J76" s="1"/>
  <c r="B76"/>
  <c r="D75"/>
  <c r="J75" s="1"/>
  <c r="B75"/>
  <c r="D74"/>
  <c r="J74" s="1"/>
  <c r="L74" s="1"/>
  <c r="D73"/>
  <c r="B73"/>
  <c r="H63"/>
  <c r="F63"/>
  <c r="D63"/>
  <c r="B63"/>
  <c r="H62"/>
  <c r="H65" s="1"/>
  <c r="F62"/>
  <c r="D62"/>
  <c r="D65" s="1"/>
  <c r="B62"/>
  <c r="B65" s="1"/>
  <c r="H58"/>
  <c r="F58"/>
  <c r="D58"/>
  <c r="B58"/>
  <c r="H57"/>
  <c r="F57"/>
  <c r="D57"/>
  <c r="B57"/>
  <c r="H56"/>
  <c r="F56"/>
  <c r="D56"/>
  <c r="B56"/>
  <c r="H55"/>
  <c r="F55"/>
  <c r="D55"/>
  <c r="B55"/>
  <c r="H54"/>
  <c r="F54"/>
  <c r="D54"/>
  <c r="B54"/>
  <c r="F53"/>
  <c r="D53"/>
  <c r="B53"/>
  <c r="H52"/>
  <c r="F52"/>
  <c r="D52"/>
  <c r="B52"/>
  <c r="H51"/>
  <c r="F51"/>
  <c r="D51"/>
  <c r="H50"/>
  <c r="F50"/>
  <c r="D50"/>
  <c r="B50"/>
  <c r="H49"/>
  <c r="F49"/>
  <c r="D49"/>
  <c r="B49"/>
  <c r="H48"/>
  <c r="F48"/>
  <c r="D48"/>
  <c r="B48"/>
  <c r="H47"/>
  <c r="F47"/>
  <c r="D47"/>
  <c r="B47"/>
  <c r="H46"/>
  <c r="F46"/>
  <c r="D46"/>
  <c r="B46"/>
  <c r="H45"/>
  <c r="F45"/>
  <c r="D45"/>
  <c r="B45"/>
  <c r="H44"/>
  <c r="F44"/>
  <c r="D44"/>
  <c r="B44"/>
  <c r="H43"/>
  <c r="F43"/>
  <c r="D43"/>
  <c r="B43"/>
  <c r="H42"/>
  <c r="F42"/>
  <c r="D42"/>
  <c r="B42"/>
  <c r="H41"/>
  <c r="F41"/>
  <c r="D41"/>
  <c r="B41"/>
  <c r="H37"/>
  <c r="H38" s="1"/>
  <c r="F37"/>
  <c r="F38" s="1"/>
  <c r="D37"/>
  <c r="D38" s="1"/>
  <c r="B37"/>
  <c r="B38" s="1"/>
  <c r="H33"/>
  <c r="F33"/>
  <c r="D33"/>
  <c r="B33"/>
  <c r="H32"/>
  <c r="F32"/>
  <c r="D32"/>
  <c r="B32"/>
  <c r="H31"/>
  <c r="F31"/>
  <c r="D31"/>
  <c r="B31"/>
  <c r="H30"/>
  <c r="F30"/>
  <c r="D30"/>
  <c r="B30"/>
  <c r="H29"/>
  <c r="F29"/>
  <c r="D29"/>
  <c r="B29"/>
  <c r="H28"/>
  <c r="H34" s="1"/>
  <c r="F28"/>
  <c r="F34" s="1"/>
  <c r="D28"/>
  <c r="D34" s="1"/>
  <c r="B28"/>
  <c r="H24"/>
  <c r="F24"/>
  <c r="D24"/>
  <c r="B24"/>
  <c r="H23"/>
  <c r="F23"/>
  <c r="D23"/>
  <c r="B23"/>
  <c r="H22"/>
  <c r="F22"/>
  <c r="D22"/>
  <c r="B22"/>
  <c r="H21"/>
  <c r="F21"/>
  <c r="D21"/>
  <c r="B21"/>
  <c r="H20"/>
  <c r="F20"/>
  <c r="D20"/>
  <c r="B20"/>
  <c r="H19"/>
  <c r="F19"/>
  <c r="D19"/>
  <c r="B19"/>
  <c r="H18"/>
  <c r="F18"/>
  <c r="D18"/>
  <c r="B18"/>
  <c r="H17"/>
  <c r="F17"/>
  <c r="D17"/>
  <c r="B17"/>
  <c r="H16"/>
  <c r="F16"/>
  <c r="D16"/>
  <c r="B16"/>
  <c r="H15"/>
  <c r="F15"/>
  <c r="D15"/>
  <c r="B15"/>
  <c r="H14"/>
  <c r="F14"/>
  <c r="D14"/>
  <c r="B14"/>
  <c r="H13"/>
  <c r="F13"/>
  <c r="D13"/>
  <c r="B13"/>
  <c r="H12"/>
  <c r="F12"/>
  <c r="D12"/>
  <c r="B12"/>
  <c r="H11"/>
  <c r="H25" s="1"/>
  <c r="F11"/>
  <c r="F25" s="1"/>
  <c r="D11"/>
  <c r="D25" s="1"/>
  <c r="B11"/>
  <c r="A3"/>
  <c r="H63" i="140"/>
  <c r="F63"/>
  <c r="D63"/>
  <c r="B63"/>
  <c r="H62"/>
  <c r="H65" s="1"/>
  <c r="F62"/>
  <c r="F65" s="1"/>
  <c r="D62"/>
  <c r="B62"/>
  <c r="B65" s="1"/>
  <c r="H58"/>
  <c r="F58"/>
  <c r="D58"/>
  <c r="B58"/>
  <c r="H57"/>
  <c r="F57"/>
  <c r="D57"/>
  <c r="B57"/>
  <c r="F55"/>
  <c r="D55"/>
  <c r="B55"/>
  <c r="F54"/>
  <c r="D54"/>
  <c r="B54"/>
  <c r="F53"/>
  <c r="D53"/>
  <c r="B53"/>
  <c r="F51"/>
  <c r="D51"/>
  <c r="D50"/>
  <c r="H48"/>
  <c r="F48"/>
  <c r="D48"/>
  <c r="B48"/>
  <c r="H47"/>
  <c r="F47"/>
  <c r="D47"/>
  <c r="B47"/>
  <c r="H46"/>
  <c r="J128" i="154" s="1"/>
  <c r="J165" s="1"/>
  <c r="F46" i="140"/>
  <c r="H128" i="154" s="1"/>
  <c r="H165" s="1"/>
  <c r="D46" i="140"/>
  <c r="F128" i="154" s="1"/>
  <c r="F165" s="1"/>
  <c r="B46" i="140"/>
  <c r="D128" i="154" s="1"/>
  <c r="D165" s="1"/>
  <c r="D45" i="140"/>
  <c r="H44"/>
  <c r="F44"/>
  <c r="D44"/>
  <c r="B44"/>
  <c r="F43"/>
  <c r="D43"/>
  <c r="B43"/>
  <c r="H42"/>
  <c r="J126" i="154" s="1"/>
  <c r="J163" s="1"/>
  <c r="F42" i="140"/>
  <c r="H126" i="154" s="1"/>
  <c r="H163" s="1"/>
  <c r="D42" i="140"/>
  <c r="F126" i="154" s="1"/>
  <c r="F163" s="1"/>
  <c r="B42" i="140"/>
  <c r="D126" i="154" s="1"/>
  <c r="D163" s="1"/>
  <c r="H37" i="140"/>
  <c r="F37"/>
  <c r="D37"/>
  <c r="B37"/>
  <c r="H33"/>
  <c r="F33"/>
  <c r="D33"/>
  <c r="B33"/>
  <c r="H32"/>
  <c r="F32"/>
  <c r="D32"/>
  <c r="B32"/>
  <c r="H31"/>
  <c r="F31"/>
  <c r="D31"/>
  <c r="B31"/>
  <c r="F30"/>
  <c r="D30"/>
  <c r="B30"/>
  <c r="H29"/>
  <c r="F29"/>
  <c r="D29"/>
  <c r="B29"/>
  <c r="H28"/>
  <c r="F28"/>
  <c r="D28"/>
  <c r="B28"/>
  <c r="H24"/>
  <c r="F24"/>
  <c r="D24"/>
  <c r="B24"/>
  <c r="H23"/>
  <c r="F23"/>
  <c r="D23"/>
  <c r="B23"/>
  <c r="H22"/>
  <c r="F22"/>
  <c r="D22"/>
  <c r="B22"/>
  <c r="F21"/>
  <c r="D21"/>
  <c r="B21"/>
  <c r="F20"/>
  <c r="D20"/>
  <c r="B20"/>
  <c r="H19"/>
  <c r="F19"/>
  <c r="D19"/>
  <c r="B19"/>
  <c r="F18"/>
  <c r="D18"/>
  <c r="B18"/>
  <c r="H17"/>
  <c r="F17"/>
  <c r="D17"/>
  <c r="B17"/>
  <c r="H16"/>
  <c r="F16"/>
  <c r="D16"/>
  <c r="B16"/>
  <c r="F15"/>
  <c r="D15"/>
  <c r="B15"/>
  <c r="H14"/>
  <c r="F14"/>
  <c r="D14"/>
  <c r="B14"/>
  <c r="H13"/>
  <c r="F13"/>
  <c r="D13"/>
  <c r="B13"/>
  <c r="H12"/>
  <c r="J127" i="154" s="1"/>
  <c r="J164" s="1"/>
  <c r="F12" i="140"/>
  <c r="H127" i="154" s="1"/>
  <c r="H164" s="1"/>
  <c r="D12" i="140"/>
  <c r="F127" i="154" s="1"/>
  <c r="F164" s="1"/>
  <c r="B12" i="140"/>
  <c r="D127" i="154" s="1"/>
  <c r="D164" s="1"/>
  <c r="H11" i="140"/>
  <c r="F11"/>
  <c r="D11"/>
  <c r="B11"/>
  <c r="A3"/>
  <c r="J31" i="139"/>
  <c r="J34" s="1"/>
  <c r="H27"/>
  <c r="F27"/>
  <c r="D27"/>
  <c r="B27"/>
  <c r="J26"/>
  <c r="J27" s="1"/>
  <c r="H18"/>
  <c r="H21" s="1"/>
  <c r="F18"/>
  <c r="F21" s="1"/>
  <c r="B18"/>
  <c r="B21" s="1"/>
  <c r="J17"/>
  <c r="L17" s="1"/>
  <c r="J16"/>
  <c r="L16" s="1"/>
  <c r="J15"/>
  <c r="L15" s="1"/>
  <c r="J14"/>
  <c r="D18"/>
  <c r="D21" s="1"/>
  <c r="J13"/>
  <c r="L13" s="1"/>
  <c r="J12"/>
  <c r="L12" s="1"/>
  <c r="J11"/>
  <c r="L11" s="1"/>
  <c r="A3"/>
  <c r="H19" i="138"/>
  <c r="H86" i="134" s="1"/>
  <c r="F19" i="138"/>
  <c r="D19"/>
  <c r="D86" i="134" s="1"/>
  <c r="B19" i="138"/>
  <c r="B86" i="134" s="1"/>
  <c r="H84"/>
  <c r="D84"/>
  <c r="H17" i="138"/>
  <c r="H83" i="134" s="1"/>
  <c r="F17" i="138"/>
  <c r="D17"/>
  <c r="D83" i="134" s="1"/>
  <c r="B17" i="138"/>
  <c r="B83" i="134" s="1"/>
  <c r="H16" i="138"/>
  <c r="F16"/>
  <c r="D16"/>
  <c r="B16"/>
  <c r="B82" i="134" s="1"/>
  <c r="H15" i="138"/>
  <c r="H81" i="134" s="1"/>
  <c r="F15" i="138"/>
  <c r="F81" i="134" s="1"/>
  <c r="D15" i="138"/>
  <c r="D81" i="134" s="1"/>
  <c r="B15" i="138"/>
  <c r="B81" i="134" s="1"/>
  <c r="D130" i="154" s="1"/>
  <c r="D167" s="1"/>
  <c r="H11" i="138"/>
  <c r="H12" s="1"/>
  <c r="F11"/>
  <c r="F12" s="1"/>
  <c r="D11"/>
  <c r="D12" s="1"/>
  <c r="B11"/>
  <c r="B12" s="1"/>
  <c r="A3"/>
  <c r="H150" i="137"/>
  <c r="F150"/>
  <c r="B150"/>
  <c r="J149"/>
  <c r="L149" s="1"/>
  <c r="J148"/>
  <c r="L148" s="1"/>
  <c r="D150"/>
  <c r="J146"/>
  <c r="L146" s="1"/>
  <c r="J145"/>
  <c r="L145" s="1"/>
  <c r="J144"/>
  <c r="L144" s="1"/>
  <c r="H141"/>
  <c r="F141"/>
  <c r="B141"/>
  <c r="J140"/>
  <c r="L140" s="1"/>
  <c r="J139"/>
  <c r="L139" s="1"/>
  <c r="J138"/>
  <c r="L138" s="1"/>
  <c r="J137"/>
  <c r="L137" s="1"/>
  <c r="D141"/>
  <c r="H133"/>
  <c r="F133"/>
  <c r="B133"/>
  <c r="J132"/>
  <c r="L132" s="1"/>
  <c r="J131"/>
  <c r="L131" s="1"/>
  <c r="J130"/>
  <c r="L130" s="1"/>
  <c r="J129"/>
  <c r="L129" s="1"/>
  <c r="J128"/>
  <c r="D133"/>
  <c r="H125"/>
  <c r="F125"/>
  <c r="B125"/>
  <c r="D125"/>
  <c r="J123"/>
  <c r="L123" s="1"/>
  <c r="J122"/>
  <c r="L122" s="1"/>
  <c r="J121"/>
  <c r="L121" s="1"/>
  <c r="J120"/>
  <c r="J115"/>
  <c r="L115" s="1"/>
  <c r="J114"/>
  <c r="H111"/>
  <c r="F111"/>
  <c r="B111"/>
  <c r="J110"/>
  <c r="L110" s="1"/>
  <c r="J109"/>
  <c r="L109" s="1"/>
  <c r="J108"/>
  <c r="L108" s="1"/>
  <c r="J107"/>
  <c r="L107" s="1"/>
  <c r="J106"/>
  <c r="L106" s="1"/>
  <c r="J105"/>
  <c r="L105" s="1"/>
  <c r="J104"/>
  <c r="L104" s="1"/>
  <c r="J103"/>
  <c r="L103" s="1"/>
  <c r="J102"/>
  <c r="L102" s="1"/>
  <c r="J101"/>
  <c r="L101" s="1"/>
  <c r="J100"/>
  <c r="D111"/>
  <c r="D93"/>
  <c r="B93"/>
  <c r="J92"/>
  <c r="L92" s="1"/>
  <c r="H93"/>
  <c r="J90"/>
  <c r="L90" s="1"/>
  <c r="J89"/>
  <c r="L89" s="1"/>
  <c r="J88"/>
  <c r="L88" s="1"/>
  <c r="J87"/>
  <c r="L87" s="1"/>
  <c r="J86"/>
  <c r="L86" s="1"/>
  <c r="J85"/>
  <c r="L85" s="1"/>
  <c r="J84"/>
  <c r="L84" s="1"/>
  <c r="F93"/>
  <c r="J82"/>
  <c r="L82" s="1"/>
  <c r="J81"/>
  <c r="L81" s="1"/>
  <c r="B78"/>
  <c r="H78"/>
  <c r="D78"/>
  <c r="J76"/>
  <c r="L76" s="1"/>
  <c r="J75"/>
  <c r="L75" s="1"/>
  <c r="J74"/>
  <c r="L74" s="1"/>
  <c r="J73"/>
  <c r="L73" s="1"/>
  <c r="J72"/>
  <c r="L72" s="1"/>
  <c r="J71"/>
  <c r="L71" s="1"/>
  <c r="J70"/>
  <c r="L70" s="1"/>
  <c r="F78"/>
  <c r="J67"/>
  <c r="L67" s="1"/>
  <c r="F64"/>
  <c r="B64"/>
  <c r="H64"/>
  <c r="J62"/>
  <c r="L62" s="1"/>
  <c r="J61"/>
  <c r="L61" s="1"/>
  <c r="J60"/>
  <c r="L60" s="1"/>
  <c r="J59"/>
  <c r="L59" s="1"/>
  <c r="D64"/>
  <c r="J57"/>
  <c r="L57" s="1"/>
  <c r="J56"/>
  <c r="L56" s="1"/>
  <c r="J55"/>
  <c r="H52"/>
  <c r="F52"/>
  <c r="D52"/>
  <c r="B52"/>
  <c r="J51"/>
  <c r="L51" s="1"/>
  <c r="J50"/>
  <c r="F47"/>
  <c r="B47"/>
  <c r="H47"/>
  <c r="J46"/>
  <c r="L46" s="1"/>
  <c r="J45"/>
  <c r="L45" s="1"/>
  <c r="J44"/>
  <c r="L44" s="1"/>
  <c r="J43"/>
  <c r="L43" s="1"/>
  <c r="J42"/>
  <c r="L42" s="1"/>
  <c r="J41"/>
  <c r="L41" s="1"/>
  <c r="J40"/>
  <c r="L40" s="1"/>
  <c r="J39"/>
  <c r="H36"/>
  <c r="F36"/>
  <c r="B36"/>
  <c r="J35"/>
  <c r="L35" s="1"/>
  <c r="J34"/>
  <c r="L34" s="1"/>
  <c r="J33"/>
  <c r="L33" s="1"/>
  <c r="J32"/>
  <c r="L32" s="1"/>
  <c r="J31"/>
  <c r="L31" s="1"/>
  <c r="D36"/>
  <c r="B27"/>
  <c r="H27"/>
  <c r="L25"/>
  <c r="J24"/>
  <c r="L24" s="1"/>
  <c r="J23"/>
  <c r="L23" s="1"/>
  <c r="J22"/>
  <c r="L22" s="1"/>
  <c r="J21"/>
  <c r="L21" s="1"/>
  <c r="J20"/>
  <c r="L20" s="1"/>
  <c r="J19"/>
  <c r="L19" s="1"/>
  <c r="J18"/>
  <c r="L18" s="1"/>
  <c r="J17"/>
  <c r="L17" s="1"/>
  <c r="J16"/>
  <c r="L16" s="1"/>
  <c r="J15"/>
  <c r="L15" s="1"/>
  <c r="J14"/>
  <c r="L14" s="1"/>
  <c r="J13"/>
  <c r="L13" s="1"/>
  <c r="F27"/>
  <c r="D27"/>
  <c r="J11"/>
  <c r="L11" s="1"/>
  <c r="A3"/>
  <c r="H92" i="136"/>
  <c r="F92"/>
  <c r="D92"/>
  <c r="B92"/>
  <c r="H91"/>
  <c r="F91"/>
  <c r="D91"/>
  <c r="B91"/>
  <c r="H90"/>
  <c r="F90"/>
  <c r="D90"/>
  <c r="B90"/>
  <c r="H89"/>
  <c r="F89"/>
  <c r="D89"/>
  <c r="B89"/>
  <c r="F88"/>
  <c r="D88"/>
  <c r="B88"/>
  <c r="F87"/>
  <c r="D87"/>
  <c r="B87"/>
  <c r="F86"/>
  <c r="D86"/>
  <c r="H85"/>
  <c r="F85"/>
  <c r="D85"/>
  <c r="B85"/>
  <c r="F84"/>
  <c r="D84"/>
  <c r="B84"/>
  <c r="H83"/>
  <c r="F83"/>
  <c r="D83"/>
  <c r="B83"/>
  <c r="H82"/>
  <c r="F82"/>
  <c r="D82"/>
  <c r="B82"/>
  <c r="H81"/>
  <c r="F81"/>
  <c r="D81"/>
  <c r="B81"/>
  <c r="H77"/>
  <c r="F77"/>
  <c r="D77"/>
  <c r="B77"/>
  <c r="F76"/>
  <c r="D76"/>
  <c r="B76"/>
  <c r="H75"/>
  <c r="F75"/>
  <c r="D75"/>
  <c r="B75"/>
  <c r="F74"/>
  <c r="D74"/>
  <c r="B74"/>
  <c r="F73"/>
  <c r="D73"/>
  <c r="B73"/>
  <c r="H72"/>
  <c r="F72"/>
  <c r="D72"/>
  <c r="B72"/>
  <c r="F71"/>
  <c r="D71"/>
  <c r="B71"/>
  <c r="H69"/>
  <c r="F69"/>
  <c r="D69"/>
  <c r="B69"/>
  <c r="H67"/>
  <c r="F67"/>
  <c r="D67"/>
  <c r="B67"/>
  <c r="H63"/>
  <c r="F63"/>
  <c r="D63"/>
  <c r="B63"/>
  <c r="H62"/>
  <c r="F62"/>
  <c r="D62"/>
  <c r="B62"/>
  <c r="H61"/>
  <c r="F61"/>
  <c r="D61"/>
  <c r="B61"/>
  <c r="H60"/>
  <c r="F60"/>
  <c r="D60"/>
  <c r="B60"/>
  <c r="H59"/>
  <c r="F59"/>
  <c r="D59"/>
  <c r="B59"/>
  <c r="H58"/>
  <c r="F58"/>
  <c r="D58"/>
  <c r="B58"/>
  <c r="H57"/>
  <c r="F57"/>
  <c r="D57"/>
  <c r="B57"/>
  <c r="H56"/>
  <c r="F56"/>
  <c r="D56"/>
  <c r="B56"/>
  <c r="H55"/>
  <c r="F55"/>
  <c r="D55"/>
  <c r="B55"/>
  <c r="N50"/>
  <c r="H46"/>
  <c r="F46"/>
  <c r="D46"/>
  <c r="B46"/>
  <c r="H45"/>
  <c r="F45"/>
  <c r="D45"/>
  <c r="B45"/>
  <c r="H44"/>
  <c r="F44"/>
  <c r="D44"/>
  <c r="B44"/>
  <c r="F43"/>
  <c r="D43"/>
  <c r="B43"/>
  <c r="F42"/>
  <c r="D42"/>
  <c r="B42"/>
  <c r="F41"/>
  <c r="D41"/>
  <c r="B41"/>
  <c r="F40"/>
  <c r="D40"/>
  <c r="B40"/>
  <c r="H39"/>
  <c r="F39"/>
  <c r="D39"/>
  <c r="B39"/>
  <c r="F34"/>
  <c r="D34"/>
  <c r="B34"/>
  <c r="F33"/>
  <c r="D33"/>
  <c r="B33"/>
  <c r="F32"/>
  <c r="D32"/>
  <c r="B32"/>
  <c r="F31"/>
  <c r="D31"/>
  <c r="B31"/>
  <c r="F30"/>
  <c r="D30"/>
  <c r="B30"/>
  <c r="H24"/>
  <c r="F24"/>
  <c r="D24"/>
  <c r="B24"/>
  <c r="F23"/>
  <c r="D23"/>
  <c r="B23"/>
  <c r="F22"/>
  <c r="D22"/>
  <c r="B22"/>
  <c r="H21"/>
  <c r="F21"/>
  <c r="D21"/>
  <c r="B21"/>
  <c r="H20"/>
  <c r="F20"/>
  <c r="D20"/>
  <c r="B20"/>
  <c r="F19"/>
  <c r="D19"/>
  <c r="B19"/>
  <c r="F18"/>
  <c r="D18"/>
  <c r="B18"/>
  <c r="F17"/>
  <c r="D17"/>
  <c r="B17"/>
  <c r="F16"/>
  <c r="D16"/>
  <c r="B16"/>
  <c r="F15"/>
  <c r="D15"/>
  <c r="B15"/>
  <c r="F14"/>
  <c r="D14"/>
  <c r="B14"/>
  <c r="F13"/>
  <c r="D13"/>
  <c r="B13"/>
  <c r="H12"/>
  <c r="F12"/>
  <c r="D12"/>
  <c r="B12"/>
  <c r="H11"/>
  <c r="F11"/>
  <c r="D11"/>
  <c r="B11"/>
  <c r="A3"/>
  <c r="F148" i="135"/>
  <c r="D148"/>
  <c r="H146"/>
  <c r="F146"/>
  <c r="D146"/>
  <c r="B146"/>
  <c r="H145"/>
  <c r="F145"/>
  <c r="D145"/>
  <c r="B145"/>
  <c r="H141"/>
  <c r="F141"/>
  <c r="D141"/>
  <c r="B141"/>
  <c r="H140"/>
  <c r="F140"/>
  <c r="D140"/>
  <c r="B140"/>
  <c r="H139"/>
  <c r="F139"/>
  <c r="D139"/>
  <c r="B139"/>
  <c r="H138"/>
  <c r="F138"/>
  <c r="D138"/>
  <c r="B138"/>
  <c r="H136"/>
  <c r="F136"/>
  <c r="F142" s="1"/>
  <c r="D136"/>
  <c r="D142" s="1"/>
  <c r="B136"/>
  <c r="B142" s="1"/>
  <c r="H133"/>
  <c r="F133"/>
  <c r="D133"/>
  <c r="B133"/>
  <c r="H132"/>
  <c r="F132"/>
  <c r="D132"/>
  <c r="H131"/>
  <c r="F131"/>
  <c r="D131"/>
  <c r="B131"/>
  <c r="H130"/>
  <c r="F130"/>
  <c r="D130"/>
  <c r="B130"/>
  <c r="D129"/>
  <c r="F125"/>
  <c r="D125"/>
  <c r="F124"/>
  <c r="H123"/>
  <c r="F123"/>
  <c r="D123"/>
  <c r="B123"/>
  <c r="H122"/>
  <c r="F122"/>
  <c r="D122"/>
  <c r="B122"/>
  <c r="H121"/>
  <c r="F121"/>
  <c r="D121"/>
  <c r="B121"/>
  <c r="B126" s="1"/>
  <c r="H116"/>
  <c r="F116"/>
  <c r="D116"/>
  <c r="B116"/>
  <c r="H115"/>
  <c r="H118" s="1"/>
  <c r="F115"/>
  <c r="F118" s="1"/>
  <c r="D115"/>
  <c r="B115"/>
  <c r="B118" s="1"/>
  <c r="H111"/>
  <c r="F111"/>
  <c r="D111"/>
  <c r="B111"/>
  <c r="H110"/>
  <c r="F110"/>
  <c r="D110"/>
  <c r="B110"/>
  <c r="H109"/>
  <c r="F109"/>
  <c r="D109"/>
  <c r="H108"/>
  <c r="F108"/>
  <c r="D108"/>
  <c r="B108"/>
  <c r="H107"/>
  <c r="F107"/>
  <c r="D107"/>
  <c r="B107"/>
  <c r="H106"/>
  <c r="F106"/>
  <c r="D106"/>
  <c r="B106"/>
  <c r="H105"/>
  <c r="F105"/>
  <c r="D105"/>
  <c r="B105"/>
  <c r="H104"/>
  <c r="F104"/>
  <c r="D104"/>
  <c r="B104"/>
  <c r="H103"/>
  <c r="F103"/>
  <c r="D103"/>
  <c r="B103"/>
  <c r="H102"/>
  <c r="F102"/>
  <c r="D102"/>
  <c r="B102"/>
  <c r="H101"/>
  <c r="F101"/>
  <c r="D101"/>
  <c r="B101"/>
  <c r="H92"/>
  <c r="F92"/>
  <c r="D92"/>
  <c r="B92"/>
  <c r="H91"/>
  <c r="F91"/>
  <c r="D91"/>
  <c r="B91"/>
  <c r="H90"/>
  <c r="F90"/>
  <c r="D90"/>
  <c r="B90"/>
  <c r="H89"/>
  <c r="F89"/>
  <c r="D89"/>
  <c r="B89"/>
  <c r="H88"/>
  <c r="F88"/>
  <c r="D88"/>
  <c r="B88"/>
  <c r="H87"/>
  <c r="F87"/>
  <c r="D87"/>
  <c r="B87"/>
  <c r="H86"/>
  <c r="F86"/>
  <c r="D86"/>
  <c r="B86"/>
  <c r="H85"/>
  <c r="F85"/>
  <c r="D85"/>
  <c r="B85"/>
  <c r="H84"/>
  <c r="F84"/>
  <c r="D84"/>
  <c r="B84"/>
  <c r="H83"/>
  <c r="F83"/>
  <c r="D83"/>
  <c r="B83"/>
  <c r="H82"/>
  <c r="F82"/>
  <c r="D82"/>
  <c r="B82"/>
  <c r="H81"/>
  <c r="H93" s="1"/>
  <c r="F81"/>
  <c r="D81"/>
  <c r="B81"/>
  <c r="H77"/>
  <c r="F77"/>
  <c r="D77"/>
  <c r="B77"/>
  <c r="H76"/>
  <c r="F76"/>
  <c r="D76"/>
  <c r="B76"/>
  <c r="H75"/>
  <c r="F75"/>
  <c r="D75"/>
  <c r="B75"/>
  <c r="H74"/>
  <c r="F74"/>
  <c r="D74"/>
  <c r="B74"/>
  <c r="H73"/>
  <c r="F73"/>
  <c r="D73"/>
  <c r="B73"/>
  <c r="H72"/>
  <c r="F72"/>
  <c r="D72"/>
  <c r="B72"/>
  <c r="H71"/>
  <c r="F71"/>
  <c r="D71"/>
  <c r="B71"/>
  <c r="H70"/>
  <c r="F70"/>
  <c r="D70"/>
  <c r="B70"/>
  <c r="H69"/>
  <c r="F69"/>
  <c r="D69"/>
  <c r="B69"/>
  <c r="H67"/>
  <c r="F67"/>
  <c r="D67"/>
  <c r="B67"/>
  <c r="H63"/>
  <c r="F63"/>
  <c r="D63"/>
  <c r="B63"/>
  <c r="H62"/>
  <c r="F62"/>
  <c r="D62"/>
  <c r="B62"/>
  <c r="H61"/>
  <c r="F61"/>
  <c r="D61"/>
  <c r="B61"/>
  <c r="H60"/>
  <c r="F60"/>
  <c r="D60"/>
  <c r="B60"/>
  <c r="H59"/>
  <c r="F59"/>
  <c r="D59"/>
  <c r="B59"/>
  <c r="H58"/>
  <c r="F58"/>
  <c r="D58"/>
  <c r="B58"/>
  <c r="H57"/>
  <c r="F57"/>
  <c r="D57"/>
  <c r="B57"/>
  <c r="H56"/>
  <c r="F56"/>
  <c r="D56"/>
  <c r="B56"/>
  <c r="H55"/>
  <c r="H64" s="1"/>
  <c r="F55"/>
  <c r="F64" s="1"/>
  <c r="D55"/>
  <c r="B55"/>
  <c r="H51"/>
  <c r="F51"/>
  <c r="D51"/>
  <c r="B51"/>
  <c r="H50"/>
  <c r="H52" s="1"/>
  <c r="F50"/>
  <c r="F52" s="1"/>
  <c r="D50"/>
  <c r="D52" s="1"/>
  <c r="B50"/>
  <c r="H46"/>
  <c r="F46"/>
  <c r="D46"/>
  <c r="B46"/>
  <c r="H45"/>
  <c r="F45"/>
  <c r="D45"/>
  <c r="B45"/>
  <c r="H44"/>
  <c r="F44"/>
  <c r="D44"/>
  <c r="B44"/>
  <c r="H43"/>
  <c r="F43"/>
  <c r="D43"/>
  <c r="B43"/>
  <c r="H42"/>
  <c r="F42"/>
  <c r="D42"/>
  <c r="B42"/>
  <c r="H41"/>
  <c r="F41"/>
  <c r="D41"/>
  <c r="B41"/>
  <c r="H40"/>
  <c r="F40"/>
  <c r="D40"/>
  <c r="B40"/>
  <c r="H39"/>
  <c r="H47" s="1"/>
  <c r="F39"/>
  <c r="F47" s="1"/>
  <c r="D39"/>
  <c r="D47" s="1"/>
  <c r="B39"/>
  <c r="H35"/>
  <c r="F35"/>
  <c r="D35"/>
  <c r="B35"/>
  <c r="H34"/>
  <c r="F34"/>
  <c r="D34"/>
  <c r="B34"/>
  <c r="H33"/>
  <c r="F33"/>
  <c r="D33"/>
  <c r="B33"/>
  <c r="H32"/>
  <c r="F32"/>
  <c r="D32"/>
  <c r="B32"/>
  <c r="H31"/>
  <c r="F31"/>
  <c r="D31"/>
  <c r="B31"/>
  <c r="H30"/>
  <c r="H36" s="1"/>
  <c r="F30"/>
  <c r="F36" s="1"/>
  <c r="D30"/>
  <c r="D36" s="1"/>
  <c r="B30"/>
  <c r="H24"/>
  <c r="F24"/>
  <c r="D24"/>
  <c r="B24"/>
  <c r="H23"/>
  <c r="F23"/>
  <c r="D23"/>
  <c r="B23"/>
  <c r="H22"/>
  <c r="F22"/>
  <c r="D22"/>
  <c r="B22"/>
  <c r="H21"/>
  <c r="F21"/>
  <c r="D21"/>
  <c r="B21"/>
  <c r="H20"/>
  <c r="F20"/>
  <c r="D20"/>
  <c r="B20"/>
  <c r="H19"/>
  <c r="F19"/>
  <c r="D19"/>
  <c r="B19"/>
  <c r="H18"/>
  <c r="F18"/>
  <c r="D18"/>
  <c r="B18"/>
  <c r="H17"/>
  <c r="F17"/>
  <c r="D17"/>
  <c r="B17"/>
  <c r="H16"/>
  <c r="F16"/>
  <c r="D16"/>
  <c r="B16"/>
  <c r="H15"/>
  <c r="F15"/>
  <c r="D15"/>
  <c r="B15"/>
  <c r="H14"/>
  <c r="F14"/>
  <c r="D14"/>
  <c r="B14"/>
  <c r="H13"/>
  <c r="F13"/>
  <c r="D13"/>
  <c r="B13"/>
  <c r="H12"/>
  <c r="F12"/>
  <c r="D12"/>
  <c r="B12"/>
  <c r="H11"/>
  <c r="H27" s="1"/>
  <c r="F11"/>
  <c r="D11"/>
  <c r="D27" s="1"/>
  <c r="B11"/>
  <c r="B27" s="1"/>
  <c r="A3"/>
  <c r="H92" i="134"/>
  <c r="F92"/>
  <c r="D92"/>
  <c r="B92"/>
  <c r="H91"/>
  <c r="F91"/>
  <c r="D91"/>
  <c r="B91"/>
  <c r="H90"/>
  <c r="F90"/>
  <c r="D90"/>
  <c r="B90"/>
  <c r="H89"/>
  <c r="F89"/>
  <c r="D89"/>
  <c r="B89"/>
  <c r="H85"/>
  <c r="F85"/>
  <c r="D85"/>
  <c r="B85"/>
  <c r="F84"/>
  <c r="B84"/>
  <c r="H82"/>
  <c r="F82"/>
  <c r="D82"/>
  <c r="H77"/>
  <c r="F77"/>
  <c r="D77"/>
  <c r="B77"/>
  <c r="F76"/>
  <c r="D76"/>
  <c r="B76"/>
  <c r="H75"/>
  <c r="F75"/>
  <c r="D75"/>
  <c r="B75"/>
  <c r="F74"/>
  <c r="D74"/>
  <c r="B74"/>
  <c r="F73"/>
  <c r="D73"/>
  <c r="B73"/>
  <c r="H72"/>
  <c r="F72"/>
  <c r="D72"/>
  <c r="B72"/>
  <c r="F71"/>
  <c r="D71"/>
  <c r="B71"/>
  <c r="F69"/>
  <c r="D69"/>
  <c r="B69"/>
  <c r="H67"/>
  <c r="F67"/>
  <c r="D67"/>
  <c r="B67"/>
  <c r="H63"/>
  <c r="F63"/>
  <c r="D63"/>
  <c r="B63"/>
  <c r="H62"/>
  <c r="F62"/>
  <c r="D62"/>
  <c r="B62"/>
  <c r="H61"/>
  <c r="F61"/>
  <c r="D61"/>
  <c r="B61"/>
  <c r="H60"/>
  <c r="F60"/>
  <c r="D60"/>
  <c r="B60"/>
  <c r="H59"/>
  <c r="F59"/>
  <c r="D59"/>
  <c r="B59"/>
  <c r="H58"/>
  <c r="F58"/>
  <c r="D58"/>
  <c r="B58"/>
  <c r="H57"/>
  <c r="F57"/>
  <c r="D57"/>
  <c r="B57"/>
  <c r="H56"/>
  <c r="F56"/>
  <c r="D56"/>
  <c r="B56"/>
  <c r="H55"/>
  <c r="F55"/>
  <c r="D55"/>
  <c r="B55"/>
  <c r="N50"/>
  <c r="H46"/>
  <c r="F46"/>
  <c r="D46"/>
  <c r="B46"/>
  <c r="H45"/>
  <c r="F45"/>
  <c r="D45"/>
  <c r="B45"/>
  <c r="H44"/>
  <c r="F44"/>
  <c r="D44"/>
  <c r="B44"/>
  <c r="F43"/>
  <c r="D43"/>
  <c r="B43"/>
  <c r="F42"/>
  <c r="D42"/>
  <c r="B42"/>
  <c r="F41"/>
  <c r="D41"/>
  <c r="B41"/>
  <c r="F40"/>
  <c r="D40"/>
  <c r="B40"/>
  <c r="H39"/>
  <c r="F39"/>
  <c r="D39"/>
  <c r="B39"/>
  <c r="F34"/>
  <c r="D34"/>
  <c r="B34"/>
  <c r="F33"/>
  <c r="D33"/>
  <c r="B33"/>
  <c r="F32"/>
  <c r="D32"/>
  <c r="B32"/>
  <c r="F31"/>
  <c r="D31"/>
  <c r="B31"/>
  <c r="F30"/>
  <c r="D30"/>
  <c r="B30"/>
  <c r="H24"/>
  <c r="F24"/>
  <c r="D24"/>
  <c r="B24"/>
  <c r="F23"/>
  <c r="D23"/>
  <c r="B23"/>
  <c r="F22"/>
  <c r="D22"/>
  <c r="B22"/>
  <c r="H21"/>
  <c r="F21"/>
  <c r="D21"/>
  <c r="B21"/>
  <c r="H20"/>
  <c r="F20"/>
  <c r="D20"/>
  <c r="B20"/>
  <c r="F19"/>
  <c r="D19"/>
  <c r="B19"/>
  <c r="F18"/>
  <c r="D18"/>
  <c r="B18"/>
  <c r="F17"/>
  <c r="D17"/>
  <c r="B17"/>
  <c r="F16"/>
  <c r="D16"/>
  <c r="B16"/>
  <c r="F15"/>
  <c r="D15"/>
  <c r="B15"/>
  <c r="F14"/>
  <c r="D14"/>
  <c r="B14"/>
  <c r="D13"/>
  <c r="H12"/>
  <c r="F12"/>
  <c r="D12"/>
  <c r="B12"/>
  <c r="H11"/>
  <c r="F11"/>
  <c r="D11"/>
  <c r="B11"/>
  <c r="A3"/>
  <c r="H11" i="133"/>
  <c r="H14" s="1"/>
  <c r="H25" s="1"/>
  <c r="F11"/>
  <c r="F14" s="1"/>
  <c r="F25" s="1"/>
  <c r="D11"/>
  <c r="D14" s="1"/>
  <c r="D25" s="1"/>
  <c r="B11"/>
  <c r="B14" s="1"/>
  <c r="B25" s="1"/>
  <c r="J10"/>
  <c r="L10" s="1"/>
  <c r="L11" s="1"/>
  <c r="L14" s="1"/>
  <c r="L25" s="1"/>
  <c r="A3"/>
  <c r="J11" i="132"/>
  <c r="J14" s="1"/>
  <c r="H11"/>
  <c r="H14" s="1"/>
  <c r="F11"/>
  <c r="F14" s="1"/>
  <c r="D11"/>
  <c r="D14" s="1"/>
  <c r="B11"/>
  <c r="B14" s="1"/>
  <c r="A3"/>
  <c r="H63" i="131"/>
  <c r="H66" s="1"/>
  <c r="F63"/>
  <c r="F66" s="1"/>
  <c r="B63"/>
  <c r="B66" s="1"/>
  <c r="D63"/>
  <c r="D66" s="1"/>
  <c r="B40"/>
  <c r="B43" s="1"/>
  <c r="H40"/>
  <c r="H43" s="1"/>
  <c r="F40"/>
  <c r="F43" s="1"/>
  <c r="D40"/>
  <c r="D43" s="1"/>
  <c r="J11"/>
  <c r="L11" s="1"/>
  <c r="A3"/>
  <c r="H39" i="130"/>
  <c r="F39"/>
  <c r="D39"/>
  <c r="B39"/>
  <c r="F38"/>
  <c r="D38"/>
  <c r="F37"/>
  <c r="D37"/>
  <c r="B37"/>
  <c r="H36"/>
  <c r="F36"/>
  <c r="D36"/>
  <c r="B36"/>
  <c r="H35"/>
  <c r="F35"/>
  <c r="D35"/>
  <c r="B35"/>
  <c r="H34"/>
  <c r="F34"/>
  <c r="D34"/>
  <c r="B34"/>
  <c r="H33"/>
  <c r="F33"/>
  <c r="D33"/>
  <c r="B33"/>
  <c r="H32"/>
  <c r="F32"/>
  <c r="D32"/>
  <c r="B32"/>
  <c r="F31"/>
  <c r="D31"/>
  <c r="B31"/>
  <c r="H30"/>
  <c r="F30"/>
  <c r="D30"/>
  <c r="B30"/>
  <c r="H29"/>
  <c r="F29"/>
  <c r="D29"/>
  <c r="B29"/>
  <c r="H28"/>
  <c r="F28"/>
  <c r="D28"/>
  <c r="B28"/>
  <c r="H27"/>
  <c r="F27"/>
  <c r="D27"/>
  <c r="B27"/>
  <c r="H26"/>
  <c r="F26"/>
  <c r="D26"/>
  <c r="H25"/>
  <c r="F25"/>
  <c r="D25"/>
  <c r="B25"/>
  <c r="H24"/>
  <c r="F24"/>
  <c r="D24"/>
  <c r="B24"/>
  <c r="H23"/>
  <c r="F23"/>
  <c r="D23"/>
  <c r="B23"/>
  <c r="H21"/>
  <c r="F21"/>
  <c r="D21"/>
  <c r="B21"/>
  <c r="F20"/>
  <c r="D20"/>
  <c r="B20"/>
  <c r="H19"/>
  <c r="F19"/>
  <c r="D19"/>
  <c r="B19"/>
  <c r="H18"/>
  <c r="F18"/>
  <c r="D18"/>
  <c r="B18"/>
  <c r="H16"/>
  <c r="F16"/>
  <c r="D16"/>
  <c r="B16"/>
  <c r="H15"/>
  <c r="F15"/>
  <c r="D15"/>
  <c r="B15"/>
  <c r="H14"/>
  <c r="F14"/>
  <c r="D14"/>
  <c r="B14"/>
  <c r="H13"/>
  <c r="F13"/>
  <c r="D13"/>
  <c r="B13"/>
  <c r="H12"/>
  <c r="F12"/>
  <c r="D12"/>
  <c r="B12"/>
  <c r="H11"/>
  <c r="F11"/>
  <c r="D11"/>
  <c r="B11"/>
  <c r="A3"/>
  <c r="J73" i="129"/>
  <c r="L73" s="1"/>
  <c r="D72"/>
  <c r="J72" s="1"/>
  <c r="L72" s="1"/>
  <c r="F71"/>
  <c r="D71"/>
  <c r="B71"/>
  <c r="J70"/>
  <c r="L70" s="1"/>
  <c r="J69"/>
  <c r="L69" s="1"/>
  <c r="J68"/>
  <c r="L68" s="1"/>
  <c r="D67"/>
  <c r="J67" s="1"/>
  <c r="L67" s="1"/>
  <c r="J66"/>
  <c r="J64"/>
  <c r="L64" s="1"/>
  <c r="J63"/>
  <c r="L63" s="1"/>
  <c r="J62"/>
  <c r="L62" s="1"/>
  <c r="H61"/>
  <c r="F61"/>
  <c r="D61"/>
  <c r="B61"/>
  <c r="D60"/>
  <c r="J60" s="1"/>
  <c r="L60" s="1"/>
  <c r="D59"/>
  <c r="J59" s="1"/>
  <c r="L59" s="1"/>
  <c r="J58"/>
  <c r="L58" s="1"/>
  <c r="D57"/>
  <c r="J57" s="1"/>
  <c r="B57"/>
  <c r="H56"/>
  <c r="F56"/>
  <c r="D56"/>
  <c r="B56"/>
  <c r="H55"/>
  <c r="F55"/>
  <c r="D55"/>
  <c r="B55"/>
  <c r="D54"/>
  <c r="J54" s="1"/>
  <c r="B54"/>
  <c r="D53"/>
  <c r="J53" s="1"/>
  <c r="B53"/>
  <c r="J52"/>
  <c r="L52" s="1"/>
  <c r="J51"/>
  <c r="L51" s="1"/>
  <c r="J50"/>
  <c r="L50" s="1"/>
  <c r="J49"/>
  <c r="L49" s="1"/>
  <c r="D48"/>
  <c r="J48" s="1"/>
  <c r="B48"/>
  <c r="J47"/>
  <c r="L47" s="1"/>
  <c r="J46"/>
  <c r="H39"/>
  <c r="F39"/>
  <c r="D39"/>
  <c r="B39"/>
  <c r="H38"/>
  <c r="F38"/>
  <c r="D38"/>
  <c r="B38"/>
  <c r="H37"/>
  <c r="F37"/>
  <c r="D37"/>
  <c r="B37"/>
  <c r="H36"/>
  <c r="F36"/>
  <c r="D36"/>
  <c r="B36"/>
  <c r="H35"/>
  <c r="F35"/>
  <c r="D35"/>
  <c r="B35"/>
  <c r="H34"/>
  <c r="F34"/>
  <c r="D34"/>
  <c r="B34"/>
  <c r="H33"/>
  <c r="F33"/>
  <c r="D33"/>
  <c r="B33"/>
  <c r="H32"/>
  <c r="F32"/>
  <c r="D32"/>
  <c r="B32"/>
  <c r="H31"/>
  <c r="F31"/>
  <c r="D31"/>
  <c r="B31"/>
  <c r="H30"/>
  <c r="F30"/>
  <c r="D30"/>
  <c r="B30"/>
  <c r="H29"/>
  <c r="F29"/>
  <c r="D29"/>
  <c r="B29"/>
  <c r="H28"/>
  <c r="F28"/>
  <c r="D28"/>
  <c r="B28"/>
  <c r="H27"/>
  <c r="F27"/>
  <c r="D27"/>
  <c r="B27"/>
  <c r="H26"/>
  <c r="F26"/>
  <c r="D26"/>
  <c r="B26"/>
  <c r="H25"/>
  <c r="F25"/>
  <c r="D25"/>
  <c r="B25"/>
  <c r="H24"/>
  <c r="F24"/>
  <c r="D24"/>
  <c r="B24"/>
  <c r="H23"/>
  <c r="F23"/>
  <c r="D23"/>
  <c r="B23"/>
  <c r="H21"/>
  <c r="F21"/>
  <c r="D21"/>
  <c r="B21"/>
  <c r="H20"/>
  <c r="F20"/>
  <c r="D20"/>
  <c r="B20"/>
  <c r="H19"/>
  <c r="F19"/>
  <c r="D19"/>
  <c r="B19"/>
  <c r="H18"/>
  <c r="F18"/>
  <c r="D18"/>
  <c r="B18"/>
  <c r="H17"/>
  <c r="F17"/>
  <c r="D17"/>
  <c r="B17"/>
  <c r="H16"/>
  <c r="F16"/>
  <c r="D16"/>
  <c r="B16"/>
  <c r="H15"/>
  <c r="F15"/>
  <c r="D15"/>
  <c r="B15"/>
  <c r="H14"/>
  <c r="F14"/>
  <c r="D14"/>
  <c r="B14"/>
  <c r="H13"/>
  <c r="F13"/>
  <c r="D13"/>
  <c r="B13"/>
  <c r="H12"/>
  <c r="F12"/>
  <c r="D12"/>
  <c r="B12"/>
  <c r="H11"/>
  <c r="H40" s="1"/>
  <c r="F11"/>
  <c r="D11"/>
  <c r="B11"/>
  <c r="B40" s="1"/>
  <c r="A3"/>
  <c r="H39" i="128"/>
  <c r="F39"/>
  <c r="D39"/>
  <c r="B39"/>
  <c r="F38"/>
  <c r="D38"/>
  <c r="F37"/>
  <c r="D37"/>
  <c r="B37"/>
  <c r="H36"/>
  <c r="J131" i="154" s="1"/>
  <c r="J168" s="1"/>
  <c r="F36" i="128"/>
  <c r="H131" i="154" s="1"/>
  <c r="H168" s="1"/>
  <c r="D36" i="128"/>
  <c r="F131" i="154" s="1"/>
  <c r="F168" s="1"/>
  <c r="B36" i="128"/>
  <c r="D131" i="154" s="1"/>
  <c r="D168" s="1"/>
  <c r="H35" i="128"/>
  <c r="F35"/>
  <c r="D35"/>
  <c r="B35"/>
  <c r="H34"/>
  <c r="F34"/>
  <c r="D34"/>
  <c r="B34"/>
  <c r="H33"/>
  <c r="F33"/>
  <c r="D33"/>
  <c r="B33"/>
  <c r="H32"/>
  <c r="F32"/>
  <c r="D32"/>
  <c r="B32"/>
  <c r="F31"/>
  <c r="B31"/>
  <c r="H30"/>
  <c r="F30"/>
  <c r="D30"/>
  <c r="B30"/>
  <c r="H29"/>
  <c r="F29"/>
  <c r="D29"/>
  <c r="B29"/>
  <c r="H28"/>
  <c r="F28"/>
  <c r="D28"/>
  <c r="B28"/>
  <c r="H27"/>
  <c r="F27"/>
  <c r="D27"/>
  <c r="B27"/>
  <c r="H26"/>
  <c r="F26"/>
  <c r="D26"/>
  <c r="H25"/>
  <c r="F25"/>
  <c r="D25"/>
  <c r="B25"/>
  <c r="H24"/>
  <c r="F24"/>
  <c r="D24"/>
  <c r="B24"/>
  <c r="H23"/>
  <c r="F23"/>
  <c r="D23"/>
  <c r="B23"/>
  <c r="H21"/>
  <c r="F21"/>
  <c r="D21"/>
  <c r="B21"/>
  <c r="F20"/>
  <c r="D20"/>
  <c r="B20"/>
  <c r="H19"/>
  <c r="F19"/>
  <c r="D19"/>
  <c r="B19"/>
  <c r="H18"/>
  <c r="F18"/>
  <c r="D18"/>
  <c r="B18"/>
  <c r="H16"/>
  <c r="F16"/>
  <c r="D16"/>
  <c r="B16"/>
  <c r="H15"/>
  <c r="F15"/>
  <c r="D15"/>
  <c r="B15"/>
  <c r="H14"/>
  <c r="F14"/>
  <c r="D14"/>
  <c r="B14"/>
  <c r="H13"/>
  <c r="F13"/>
  <c r="D13"/>
  <c r="B13"/>
  <c r="H12"/>
  <c r="J125" i="154" s="1"/>
  <c r="F12" i="128"/>
  <c r="H125" i="154" s="1"/>
  <c r="H162" s="1"/>
  <c r="D12" i="128"/>
  <c r="F125" i="154" s="1"/>
  <c r="F162" s="1"/>
  <c r="B12" i="128"/>
  <c r="D125" i="154" s="1"/>
  <c r="H11" i="128"/>
  <c r="F11"/>
  <c r="D11"/>
  <c r="B11"/>
  <c r="A3"/>
  <c r="Q45" i="127"/>
  <c r="O45"/>
  <c r="M45"/>
  <c r="K45"/>
  <c r="I45"/>
  <c r="G45"/>
  <c r="E45"/>
  <c r="E26"/>
  <c r="E13"/>
  <c r="A3"/>
  <c r="M13" i="126"/>
  <c r="K11"/>
  <c r="M11" s="1"/>
  <c r="I11"/>
  <c r="E11"/>
  <c r="M9"/>
  <c r="M8"/>
  <c r="O187" i="125"/>
  <c r="M187"/>
  <c r="K187"/>
  <c r="I187"/>
  <c r="G187"/>
  <c r="E187"/>
  <c r="C187"/>
  <c r="O179"/>
  <c r="K179"/>
  <c r="I179"/>
  <c r="G179"/>
  <c r="E179"/>
  <c r="C179"/>
  <c r="M179"/>
  <c r="O172"/>
  <c r="M172"/>
  <c r="K172"/>
  <c r="I172"/>
  <c r="E172"/>
  <c r="C172"/>
  <c r="O171"/>
  <c r="M171"/>
  <c r="K171"/>
  <c r="I171"/>
  <c r="G171"/>
  <c r="E171"/>
  <c r="C171"/>
  <c r="O170"/>
  <c r="M170"/>
  <c r="K170"/>
  <c r="I170"/>
  <c r="E170"/>
  <c r="C170"/>
  <c r="C167"/>
  <c r="C151"/>
  <c r="C135"/>
  <c r="AO128"/>
  <c r="AO120"/>
  <c r="AO117"/>
  <c r="AO106"/>
  <c r="O106"/>
  <c r="M106"/>
  <c r="O95"/>
  <c r="O97" s="1"/>
  <c r="M95"/>
  <c r="M97" s="1"/>
  <c r="O87"/>
  <c r="O89" s="1"/>
  <c r="M87"/>
  <c r="M89" s="1"/>
  <c r="AO86"/>
  <c r="AO87" s="1"/>
  <c r="AO89" s="1"/>
  <c r="AO77"/>
  <c r="AO75"/>
  <c r="AO74"/>
  <c r="AO73"/>
  <c r="AO72"/>
  <c r="AO64"/>
  <c r="AO63"/>
  <c r="O59"/>
  <c r="O80" s="1"/>
  <c r="M59"/>
  <c r="M80" s="1"/>
  <c r="K59"/>
  <c r="K80" s="1"/>
  <c r="I59"/>
  <c r="I80" s="1"/>
  <c r="G59"/>
  <c r="G80" s="1"/>
  <c r="E59"/>
  <c r="E80" s="1"/>
  <c r="C59"/>
  <c r="C80" s="1"/>
  <c r="AO58"/>
  <c r="AO57"/>
  <c r="O48"/>
  <c r="O50" s="1"/>
  <c r="M48"/>
  <c r="M50" s="1"/>
  <c r="K48"/>
  <c r="K50" s="1"/>
  <c r="I48"/>
  <c r="I50" s="1"/>
  <c r="G48"/>
  <c r="G50" s="1"/>
  <c r="E48"/>
  <c r="E50" s="1"/>
  <c r="C48"/>
  <c r="C50" s="1"/>
  <c r="AO47"/>
  <c r="AO46"/>
  <c r="O39"/>
  <c r="O41" s="1"/>
  <c r="M39"/>
  <c r="M41" s="1"/>
  <c r="K39"/>
  <c r="K41" s="1"/>
  <c r="I39"/>
  <c r="I41" s="1"/>
  <c r="G39"/>
  <c r="G41" s="1"/>
  <c r="E39"/>
  <c r="E41" s="1"/>
  <c r="C39"/>
  <c r="C41" s="1"/>
  <c r="AO38"/>
  <c r="AO39" s="1"/>
  <c r="AO41" s="1"/>
  <c r="C31"/>
  <c r="E23"/>
  <c r="C23"/>
  <c r="O33"/>
  <c r="I33"/>
  <c r="E33"/>
  <c r="C13"/>
  <c r="AO12"/>
  <c r="A3"/>
  <c r="U30" i="123"/>
  <c r="V287" i="154"/>
  <c r="G14" i="123"/>
  <c r="E14"/>
  <c r="A3"/>
  <c r="G76" i="122"/>
  <c r="E76"/>
  <c r="C76"/>
  <c r="C67"/>
  <c r="S64"/>
  <c r="O64"/>
  <c r="M64"/>
  <c r="I64"/>
  <c r="G64"/>
  <c r="C64"/>
  <c r="U63"/>
  <c r="U61"/>
  <c r="U60"/>
  <c r="U59"/>
  <c r="U58"/>
  <c r="U55"/>
  <c r="U54"/>
  <c r="U51"/>
  <c r="S48"/>
  <c r="Q48"/>
  <c r="M48"/>
  <c r="I48"/>
  <c r="C48"/>
  <c r="U47"/>
  <c r="U46"/>
  <c r="U45"/>
  <c r="U44"/>
  <c r="U43"/>
  <c r="U42"/>
  <c r="U39"/>
  <c r="U38"/>
  <c r="U37"/>
  <c r="C34" i="127"/>
  <c r="S34" s="1"/>
  <c r="C173" i="155" s="1"/>
  <c r="I173" s="1"/>
  <c r="K173" s="1"/>
  <c r="C28" i="127"/>
  <c r="C24"/>
  <c r="S24" s="1"/>
  <c r="C163" i="155" s="1"/>
  <c r="I163" s="1"/>
  <c r="C22" i="127"/>
  <c r="S22" s="1"/>
  <c r="C161" i="155" s="1"/>
  <c r="I161" s="1"/>
  <c r="C15" i="127"/>
  <c r="C11"/>
  <c r="A3" i="122"/>
  <c r="J109" i="121"/>
  <c r="H109"/>
  <c r="D109"/>
  <c r="L108"/>
  <c r="N108" s="1"/>
  <c r="L106"/>
  <c r="D98"/>
  <c r="D100" s="1"/>
  <c r="J90"/>
  <c r="J92" s="1"/>
  <c r="H90"/>
  <c r="H92" s="1"/>
  <c r="F90"/>
  <c r="F92" s="1"/>
  <c r="D90"/>
  <c r="D92" s="1"/>
  <c r="L89"/>
  <c r="L90" s="1"/>
  <c r="L92" s="1"/>
  <c r="H82"/>
  <c r="D82"/>
  <c r="L79"/>
  <c r="N79" s="1"/>
  <c r="L78"/>
  <c r="N78" s="1"/>
  <c r="H74"/>
  <c r="D74"/>
  <c r="L70"/>
  <c r="N70" s="1"/>
  <c r="J64"/>
  <c r="H64"/>
  <c r="D64"/>
  <c r="L63"/>
  <c r="N63" s="1"/>
  <c r="F57"/>
  <c r="D55"/>
  <c r="D57" s="1"/>
  <c r="L54"/>
  <c r="L53"/>
  <c r="H46"/>
  <c r="H48" s="1"/>
  <c r="F46"/>
  <c r="F48" s="1"/>
  <c r="D46"/>
  <c r="D48" s="1"/>
  <c r="J38"/>
  <c r="J40" s="1"/>
  <c r="H38"/>
  <c r="H40" s="1"/>
  <c r="F38"/>
  <c r="F40" s="1"/>
  <c r="D38"/>
  <c r="D40" s="1"/>
  <c r="L37"/>
  <c r="L38" s="1"/>
  <c r="L40" s="1"/>
  <c r="H46" i="120"/>
  <c r="B46"/>
  <c r="R43"/>
  <c r="R46" s="1"/>
  <c r="B36"/>
  <c r="B39" s="1"/>
  <c r="R35"/>
  <c r="R34"/>
  <c r="N17" i="111" s="1"/>
  <c r="R33" i="120"/>
  <c r="N16" i="111" s="1"/>
  <c r="H39" i="120"/>
  <c r="R31"/>
  <c r="N14" i="111" s="1"/>
  <c r="R30" i="120"/>
  <c r="N13" i="111" s="1"/>
  <c r="R29" i="120"/>
  <c r="N12" i="111" s="1"/>
  <c r="H22" i="120"/>
  <c r="B22"/>
  <c r="R21"/>
  <c r="N21" i="105" s="1"/>
  <c r="R20" i="120"/>
  <c r="R19"/>
  <c r="R18"/>
  <c r="N18" i="105" s="1"/>
  <c r="R17" i="120"/>
  <c r="N17" i="105" s="1"/>
  <c r="R16" i="120"/>
  <c r="R15"/>
  <c r="H11"/>
  <c r="B11"/>
  <c r="R10"/>
  <c r="R11" s="1"/>
  <c r="A3"/>
  <c r="H450" i="119"/>
  <c r="B450"/>
  <c r="B453" s="1"/>
  <c r="R449"/>
  <c r="N39" i="95" s="1"/>
  <c r="R448" i="119"/>
  <c r="N38" i="97" s="1"/>
  <c r="R446" i="119"/>
  <c r="N36" i="97" s="1"/>
  <c r="R445" i="119"/>
  <c r="N35" i="97" s="1"/>
  <c r="H438" i="119"/>
  <c r="I29" i="156" s="1"/>
  <c r="R437" i="119"/>
  <c r="R436"/>
  <c r="B438"/>
  <c r="R434"/>
  <c r="R430"/>
  <c r="N34" i="97" s="1"/>
  <c r="R429" i="119"/>
  <c r="N33" i="95" s="1"/>
  <c r="R428" i="119"/>
  <c r="N32" i="95" s="1"/>
  <c r="R427" i="119"/>
  <c r="N31" i="97" s="1"/>
  <c r="R426" i="119"/>
  <c r="N30" i="95" s="1"/>
  <c r="R425" i="119"/>
  <c r="N29" i="97" s="1"/>
  <c r="R424" i="119"/>
  <c r="N28" i="95" s="1"/>
  <c r="R423" i="119"/>
  <c r="N27" i="97" s="1"/>
  <c r="R422" i="119"/>
  <c r="N26" i="97" s="1"/>
  <c r="R421" i="119"/>
  <c r="N25" i="97" s="1"/>
  <c r="R420" i="119"/>
  <c r="N24" i="97" s="1"/>
  <c r="R419" i="119"/>
  <c r="N23" i="97" s="1"/>
  <c r="R417" i="119"/>
  <c r="N21" i="97" s="1"/>
  <c r="R415" i="119"/>
  <c r="N19" i="95" s="1"/>
  <c r="R414" i="119"/>
  <c r="N18" i="95" s="1"/>
  <c r="R413" i="119"/>
  <c r="N17" i="97" s="1"/>
  <c r="R412" i="119"/>
  <c r="N16" i="95" s="1"/>
  <c r="R411" i="119"/>
  <c r="N15" i="95" s="1"/>
  <c r="R410" i="119"/>
  <c r="N14" i="95" s="1"/>
  <c r="R409" i="119"/>
  <c r="R405"/>
  <c r="R408"/>
  <c r="R404"/>
  <c r="N12" i="95" s="1"/>
  <c r="R403" i="119"/>
  <c r="N11" i="95" s="1"/>
  <c r="H396" i="119"/>
  <c r="B396"/>
  <c r="B399" s="1"/>
  <c r="J201" i="91"/>
  <c r="R386" i="119"/>
  <c r="R380"/>
  <c r="R379"/>
  <c r="N56" i="109" s="1"/>
  <c r="R378" i="119"/>
  <c r="R377"/>
  <c r="R376"/>
  <c r="R375"/>
  <c r="N52" i="109" s="1"/>
  <c r="H382" i="119"/>
  <c r="J198" i="91" s="1"/>
  <c r="R374" i="119"/>
  <c r="N51" i="109" s="1"/>
  <c r="R373" i="119"/>
  <c r="N50" i="109" s="1"/>
  <c r="R372" i="119"/>
  <c r="N49" i="109" s="1"/>
  <c r="R371" i="119"/>
  <c r="R370"/>
  <c r="R369"/>
  <c r="R368"/>
  <c r="N45" i="109" s="1"/>
  <c r="R367" i="119"/>
  <c r="N44" i="109" s="1"/>
  <c r="R365" i="119"/>
  <c r="R364"/>
  <c r="B360"/>
  <c r="R359"/>
  <c r="R358"/>
  <c r="R357"/>
  <c r="H360"/>
  <c r="R356"/>
  <c r="R355"/>
  <c r="B351"/>
  <c r="R350"/>
  <c r="H351"/>
  <c r="R349"/>
  <c r="R348"/>
  <c r="R347"/>
  <c r="R346"/>
  <c r="R345"/>
  <c r="R344"/>
  <c r="R343"/>
  <c r="R342"/>
  <c r="R341"/>
  <c r="R340"/>
  <c r="R339"/>
  <c r="R337"/>
  <c r="H329"/>
  <c r="R328"/>
  <c r="N50" i="101" s="1"/>
  <c r="B320" i="119"/>
  <c r="R319"/>
  <c r="H320"/>
  <c r="I21" i="122" s="1"/>
  <c r="R318" i="119"/>
  <c r="R317"/>
  <c r="R316"/>
  <c r="R315"/>
  <c r="N86" i="103" s="1"/>
  <c r="R314" i="119"/>
  <c r="N85" i="103" s="1"/>
  <c r="R313" i="119"/>
  <c r="N84" i="103" s="1"/>
  <c r="R312" i="119"/>
  <c r="R311"/>
  <c r="R310"/>
  <c r="R309"/>
  <c r="R308"/>
  <c r="R307"/>
  <c r="R306"/>
  <c r="R305"/>
  <c r="R304"/>
  <c r="N80" i="103" s="1"/>
  <c r="B298" i="119"/>
  <c r="R297"/>
  <c r="R296"/>
  <c r="R295"/>
  <c r="R294"/>
  <c r="R293"/>
  <c r="R292"/>
  <c r="R291"/>
  <c r="R290"/>
  <c r="R289"/>
  <c r="R288"/>
  <c r="R287"/>
  <c r="R285"/>
  <c r="R284"/>
  <c r="B283"/>
  <c r="R282"/>
  <c r="R281"/>
  <c r="R280"/>
  <c r="R279"/>
  <c r="R278"/>
  <c r="R277"/>
  <c r="R276"/>
  <c r="B274"/>
  <c r="R271"/>
  <c r="R272"/>
  <c r="R269"/>
  <c r="R268"/>
  <c r="R267"/>
  <c r="R266"/>
  <c r="R265"/>
  <c r="R264"/>
  <c r="R263"/>
  <c r="R262"/>
  <c r="R261"/>
  <c r="R260"/>
  <c r="R259"/>
  <c r="R258"/>
  <c r="R257"/>
  <c r="R256"/>
  <c r="R255"/>
  <c r="R254"/>
  <c r="R253"/>
  <c r="R252"/>
  <c r="B251"/>
  <c r="R250"/>
  <c r="R248"/>
  <c r="R247"/>
  <c r="R246"/>
  <c r="R245"/>
  <c r="R244"/>
  <c r="R243"/>
  <c r="R242"/>
  <c r="R240"/>
  <c r="R239"/>
  <c r="R238"/>
  <c r="B237"/>
  <c r="R236"/>
  <c r="B234"/>
  <c r="R226"/>
  <c r="R227"/>
  <c r="R224"/>
  <c r="R217"/>
  <c r="R214"/>
  <c r="R223"/>
  <c r="R212"/>
  <c r="R222"/>
  <c r="R210"/>
  <c r="R221"/>
  <c r="R208"/>
  <c r="R220"/>
  <c r="R219"/>
  <c r="R207"/>
  <c r="R205"/>
  <c r="R203"/>
  <c r="R198"/>
  <c r="R201"/>
  <c r="R197"/>
  <c r="R199"/>
  <c r="R196"/>
  <c r="R195"/>
  <c r="R194"/>
  <c r="R193"/>
  <c r="R192"/>
  <c r="B191"/>
  <c r="R190"/>
  <c r="R189"/>
  <c r="R186"/>
  <c r="R185"/>
  <c r="R184"/>
  <c r="R183"/>
  <c r="R181"/>
  <c r="B180"/>
  <c r="R179"/>
  <c r="R173"/>
  <c r="R164"/>
  <c r="R172"/>
  <c r="R171"/>
  <c r="R170"/>
  <c r="R169"/>
  <c r="R168"/>
  <c r="R167"/>
  <c r="R166"/>
  <c r="R162"/>
  <c r="R161"/>
  <c r="R160"/>
  <c r="R159"/>
  <c r="R158"/>
  <c r="R156"/>
  <c r="R155"/>
  <c r="R154"/>
  <c r="R146"/>
  <c r="H145"/>
  <c r="R144"/>
  <c r="R143"/>
  <c r="R142"/>
  <c r="R141"/>
  <c r="R140"/>
  <c r="R139"/>
  <c r="R138"/>
  <c r="R137"/>
  <c r="R136"/>
  <c r="R135"/>
  <c r="R134"/>
  <c r="R133"/>
  <c r="H131"/>
  <c r="R130"/>
  <c r="R129"/>
  <c r="R128"/>
  <c r="R127"/>
  <c r="R126"/>
  <c r="R125"/>
  <c r="R124"/>
  <c r="R123"/>
  <c r="R122"/>
  <c r="R121"/>
  <c r="R120"/>
  <c r="R119"/>
  <c r="R118"/>
  <c r="R117"/>
  <c r="R114"/>
  <c r="R113"/>
  <c r="R112"/>
  <c r="R111"/>
  <c r="R110"/>
  <c r="R109"/>
  <c r="R108"/>
  <c r="R107"/>
  <c r="R106"/>
  <c r="R105"/>
  <c r="R104"/>
  <c r="R103"/>
  <c r="R102"/>
  <c r="R101"/>
  <c r="H99"/>
  <c r="R98"/>
  <c r="R97"/>
  <c r="R96"/>
  <c r="R95"/>
  <c r="R94"/>
  <c r="R93"/>
  <c r="R92"/>
  <c r="R91"/>
  <c r="R90"/>
  <c r="R89"/>
  <c r="R88"/>
  <c r="H87"/>
  <c r="R86"/>
  <c r="R85"/>
  <c r="R84"/>
  <c r="R83"/>
  <c r="R82"/>
  <c r="R81"/>
  <c r="R80"/>
  <c r="R79"/>
  <c r="R78"/>
  <c r="R77"/>
  <c r="R76"/>
  <c r="R75"/>
  <c r="R74"/>
  <c r="R73"/>
  <c r="R72"/>
  <c r="R71"/>
  <c r="H70"/>
  <c r="R69"/>
  <c r="R68"/>
  <c r="R67"/>
  <c r="R66"/>
  <c r="R65"/>
  <c r="R64"/>
  <c r="R63"/>
  <c r="R62"/>
  <c r="R61"/>
  <c r="R60"/>
  <c r="R59"/>
  <c r="R58"/>
  <c r="R57"/>
  <c r="R56"/>
  <c r="R55"/>
  <c r="R54"/>
  <c r="B51"/>
  <c r="H51"/>
  <c r="J187" i="91" s="1"/>
  <c r="R50" i="119"/>
  <c r="R49"/>
  <c r="R48"/>
  <c r="R47"/>
  <c r="R46"/>
  <c r="R45"/>
  <c r="R44"/>
  <c r="R43"/>
  <c r="R42"/>
  <c r="R41"/>
  <c r="R40"/>
  <c r="R39"/>
  <c r="H36"/>
  <c r="B36"/>
  <c r="R35"/>
  <c r="R34"/>
  <c r="R33"/>
  <c r="R32"/>
  <c r="R31"/>
  <c r="R30"/>
  <c r="B27"/>
  <c r="H27"/>
  <c r="R26"/>
  <c r="R25"/>
  <c r="R24"/>
  <c r="R23"/>
  <c r="R22"/>
  <c r="R21"/>
  <c r="R20"/>
  <c r="R19"/>
  <c r="R18"/>
  <c r="R17"/>
  <c r="R16"/>
  <c r="R15"/>
  <c r="R14"/>
  <c r="R13"/>
  <c r="R11"/>
  <c r="R10"/>
  <c r="A3"/>
  <c r="L11" i="118"/>
  <c r="J11"/>
  <c r="H11"/>
  <c r="F11"/>
  <c r="B11"/>
  <c r="D10"/>
  <c r="D11" s="1"/>
  <c r="A3"/>
  <c r="L14" i="117"/>
  <c r="J14"/>
  <c r="H14"/>
  <c r="J97" i="88" s="1"/>
  <c r="C93" i="92" s="1"/>
  <c r="AO94" i="125" s="1"/>
  <c r="AO95" s="1"/>
  <c r="AO97" s="1"/>
  <c r="F14" i="117"/>
  <c r="H97" i="88" s="1"/>
  <c r="H97" i="121" s="1"/>
  <c r="H142" i="154" s="1"/>
  <c r="H143" s="1"/>
  <c r="H145" s="1"/>
  <c r="H147" s="1"/>
  <c r="D14" i="117"/>
  <c r="F97" i="88" s="1"/>
  <c r="F97" i="121" s="1"/>
  <c r="F142" i="154" s="1"/>
  <c r="F143" s="1"/>
  <c r="F145" s="1"/>
  <c r="F147" s="1"/>
  <c r="B14" i="117"/>
  <c r="A3"/>
  <c r="D20" i="116"/>
  <c r="B20"/>
  <c r="J19"/>
  <c r="L19" s="1"/>
  <c r="J18"/>
  <c r="L18" s="1"/>
  <c r="J17"/>
  <c r="L17" s="1"/>
  <c r="J16"/>
  <c r="D13"/>
  <c r="B13"/>
  <c r="J12"/>
  <c r="L12" s="1"/>
  <c r="J11"/>
  <c r="A3"/>
  <c r="H11" i="115"/>
  <c r="F11"/>
  <c r="D11"/>
  <c r="B11"/>
  <c r="J10"/>
  <c r="L10" s="1"/>
  <c r="L11" s="1"/>
  <c r="A3"/>
  <c r="H11" i="114"/>
  <c r="F11"/>
  <c r="D11"/>
  <c r="B11"/>
  <c r="J10"/>
  <c r="J11" s="1"/>
  <c r="A3"/>
  <c r="L11" i="113"/>
  <c r="J11"/>
  <c r="H11"/>
  <c r="F11"/>
  <c r="D11"/>
  <c r="B11"/>
  <c r="A3"/>
  <c r="H28" i="112"/>
  <c r="F28"/>
  <c r="B28"/>
  <c r="J27"/>
  <c r="L27" s="1"/>
  <c r="J26"/>
  <c r="B19"/>
  <c r="B22" s="1"/>
  <c r="J18"/>
  <c r="L18" s="1"/>
  <c r="J17"/>
  <c r="L17" s="1"/>
  <c r="F19"/>
  <c r="J16"/>
  <c r="L16" s="1"/>
  <c r="H19"/>
  <c r="J15"/>
  <c r="L15" s="1"/>
  <c r="D19"/>
  <c r="D22" s="1"/>
  <c r="J13"/>
  <c r="L13" s="1"/>
  <c r="J12"/>
  <c r="L12" s="1"/>
  <c r="J11"/>
  <c r="A3"/>
  <c r="N18" i="111"/>
  <c r="H18"/>
  <c r="F18"/>
  <c r="D18"/>
  <c r="D56" i="107" s="1"/>
  <c r="B18" i="111"/>
  <c r="H17"/>
  <c r="F17"/>
  <c r="D17"/>
  <c r="B17"/>
  <c r="H16"/>
  <c r="F16"/>
  <c r="D16"/>
  <c r="B16"/>
  <c r="N15"/>
  <c r="H15"/>
  <c r="F15"/>
  <c r="D15"/>
  <c r="B15"/>
  <c r="B51" i="107" s="1"/>
  <c r="H14" i="111"/>
  <c r="F14"/>
  <c r="D14"/>
  <c r="B14"/>
  <c r="H13"/>
  <c r="F13"/>
  <c r="D13"/>
  <c r="B13"/>
  <c r="H12"/>
  <c r="F12"/>
  <c r="D12"/>
  <c r="B12"/>
  <c r="H11"/>
  <c r="F11"/>
  <c r="D11"/>
  <c r="B11"/>
  <c r="B41" i="107" s="1"/>
  <c r="A3" i="111"/>
  <c r="H107" i="110"/>
  <c r="J97" i="91" s="1"/>
  <c r="B107" i="110"/>
  <c r="B103"/>
  <c r="J102"/>
  <c r="L102" s="1"/>
  <c r="J101"/>
  <c r="L101" s="1"/>
  <c r="J100"/>
  <c r="L100" s="1"/>
  <c r="J99"/>
  <c r="L99" s="1"/>
  <c r="J98"/>
  <c r="L98" s="1"/>
  <c r="J97"/>
  <c r="L97" s="1"/>
  <c r="J96"/>
  <c r="L96" s="1"/>
  <c r="B92"/>
  <c r="J91"/>
  <c r="L91" s="1"/>
  <c r="J90"/>
  <c r="L90" s="1"/>
  <c r="J89"/>
  <c r="L89" s="1"/>
  <c r="J88"/>
  <c r="L88" s="1"/>
  <c r="J87"/>
  <c r="J86"/>
  <c r="L86" s="1"/>
  <c r="J93" i="91"/>
  <c r="J82" i="110"/>
  <c r="J81"/>
  <c r="L81" s="1"/>
  <c r="J80"/>
  <c r="L80" s="1"/>
  <c r="J79"/>
  <c r="L79" s="1"/>
  <c r="J78"/>
  <c r="L78" s="1"/>
  <c r="J77"/>
  <c r="L77" s="1"/>
  <c r="J76"/>
  <c r="L76" s="1"/>
  <c r="J75"/>
  <c r="J74"/>
  <c r="L74" s="1"/>
  <c r="J45" i="91"/>
  <c r="J63" i="110"/>
  <c r="J62"/>
  <c r="J58"/>
  <c r="L58" s="1"/>
  <c r="J57"/>
  <c r="L57" s="1"/>
  <c r="J56"/>
  <c r="L56" s="1"/>
  <c r="J55"/>
  <c r="L55" s="1"/>
  <c r="J54"/>
  <c r="L54" s="1"/>
  <c r="J53"/>
  <c r="L53" s="1"/>
  <c r="B59"/>
  <c r="J52"/>
  <c r="L52" s="1"/>
  <c r="H59"/>
  <c r="J50"/>
  <c r="L50" s="1"/>
  <c r="J49"/>
  <c r="L49" s="1"/>
  <c r="J48"/>
  <c r="L48" s="1"/>
  <c r="J47"/>
  <c r="L47" s="1"/>
  <c r="J46"/>
  <c r="L46" s="1"/>
  <c r="J45"/>
  <c r="L45" s="1"/>
  <c r="J44"/>
  <c r="L44" s="1"/>
  <c r="J43"/>
  <c r="L43" s="1"/>
  <c r="J42"/>
  <c r="L42" s="1"/>
  <c r="J41"/>
  <c r="H38"/>
  <c r="L27" i="88" s="1"/>
  <c r="N27" s="1"/>
  <c r="B38" i="110"/>
  <c r="J37"/>
  <c r="J38" s="1"/>
  <c r="H34"/>
  <c r="B34"/>
  <c r="J33"/>
  <c r="L33" s="1"/>
  <c r="J32"/>
  <c r="L32" s="1"/>
  <c r="J31"/>
  <c r="L31" s="1"/>
  <c r="J30"/>
  <c r="L30" s="1"/>
  <c r="J29"/>
  <c r="L29" s="1"/>
  <c r="J28"/>
  <c r="B25"/>
  <c r="J24"/>
  <c r="L24" s="1"/>
  <c r="H25"/>
  <c r="J23"/>
  <c r="L23" s="1"/>
  <c r="J22"/>
  <c r="L22" s="1"/>
  <c r="J21"/>
  <c r="L21" s="1"/>
  <c r="J20"/>
  <c r="L20" s="1"/>
  <c r="J19"/>
  <c r="L19" s="1"/>
  <c r="J18"/>
  <c r="L18" s="1"/>
  <c r="J17"/>
  <c r="L17" s="1"/>
  <c r="J16"/>
  <c r="L16" s="1"/>
  <c r="J15"/>
  <c r="L15" s="1"/>
  <c r="J14"/>
  <c r="L14" s="1"/>
  <c r="J13"/>
  <c r="L13" s="1"/>
  <c r="J12"/>
  <c r="L12" s="1"/>
  <c r="J11"/>
  <c r="A3"/>
  <c r="H63" i="109"/>
  <c r="F63"/>
  <c r="D63"/>
  <c r="B63"/>
  <c r="H62"/>
  <c r="H65" s="1"/>
  <c r="F62"/>
  <c r="D62"/>
  <c r="D65" s="1"/>
  <c r="B62"/>
  <c r="B65" s="1"/>
  <c r="H58"/>
  <c r="F58"/>
  <c r="D58"/>
  <c r="B58"/>
  <c r="H57"/>
  <c r="F57"/>
  <c r="D57"/>
  <c r="B57"/>
  <c r="H56"/>
  <c r="F56"/>
  <c r="D56"/>
  <c r="B56"/>
  <c r="F55"/>
  <c r="D55"/>
  <c r="B55"/>
  <c r="F54"/>
  <c r="D54"/>
  <c r="B54"/>
  <c r="F53"/>
  <c r="D53"/>
  <c r="B53"/>
  <c r="H52"/>
  <c r="F52"/>
  <c r="D52"/>
  <c r="B52"/>
  <c r="F51"/>
  <c r="D51"/>
  <c r="F50"/>
  <c r="D50"/>
  <c r="B50"/>
  <c r="H49"/>
  <c r="F49"/>
  <c r="D49"/>
  <c r="B49"/>
  <c r="H48"/>
  <c r="F48"/>
  <c r="D48"/>
  <c r="B48"/>
  <c r="H47"/>
  <c r="F47"/>
  <c r="D47"/>
  <c r="B47"/>
  <c r="H46"/>
  <c r="F46"/>
  <c r="D46"/>
  <c r="B46"/>
  <c r="F45"/>
  <c r="D45"/>
  <c r="B45"/>
  <c r="H44"/>
  <c r="F44"/>
  <c r="D44"/>
  <c r="B44"/>
  <c r="F43"/>
  <c r="D43"/>
  <c r="B43"/>
  <c r="H42"/>
  <c r="F42"/>
  <c r="D42"/>
  <c r="B42"/>
  <c r="H41"/>
  <c r="F41"/>
  <c r="D41"/>
  <c r="B41"/>
  <c r="H37"/>
  <c r="F37"/>
  <c r="F38" s="1"/>
  <c r="D37"/>
  <c r="D38" s="1"/>
  <c r="B37"/>
  <c r="B38" s="1"/>
  <c r="H33"/>
  <c r="F33"/>
  <c r="D33"/>
  <c r="B33"/>
  <c r="H32"/>
  <c r="F32"/>
  <c r="D32"/>
  <c r="B32"/>
  <c r="H31"/>
  <c r="F31"/>
  <c r="D31"/>
  <c r="B31"/>
  <c r="F30"/>
  <c r="D30"/>
  <c r="B30"/>
  <c r="H29"/>
  <c r="F29"/>
  <c r="D29"/>
  <c r="B29"/>
  <c r="H28"/>
  <c r="F28"/>
  <c r="D28"/>
  <c r="B28"/>
  <c r="H24"/>
  <c r="F24"/>
  <c r="D24"/>
  <c r="B24"/>
  <c r="H23"/>
  <c r="F23"/>
  <c r="D23"/>
  <c r="B23"/>
  <c r="F22"/>
  <c r="D22"/>
  <c r="B22"/>
  <c r="F21"/>
  <c r="D21"/>
  <c r="B21"/>
  <c r="F20"/>
  <c r="D20"/>
  <c r="B20"/>
  <c r="F19"/>
  <c r="D19"/>
  <c r="B19"/>
  <c r="F18"/>
  <c r="D18"/>
  <c r="B18"/>
  <c r="F17"/>
  <c r="D17"/>
  <c r="B17"/>
  <c r="H16"/>
  <c r="F16"/>
  <c r="D16"/>
  <c r="B16"/>
  <c r="F15"/>
  <c r="D15"/>
  <c r="B15"/>
  <c r="F14"/>
  <c r="D14"/>
  <c r="B14"/>
  <c r="F13"/>
  <c r="D13"/>
  <c r="B13"/>
  <c r="H12"/>
  <c r="F12"/>
  <c r="D12"/>
  <c r="B12"/>
  <c r="H11"/>
  <c r="F11"/>
  <c r="D11"/>
  <c r="B11"/>
  <c r="A3"/>
  <c r="H107" i="108"/>
  <c r="F107"/>
  <c r="D106"/>
  <c r="D107" s="1"/>
  <c r="B106"/>
  <c r="B107" s="1"/>
  <c r="F103"/>
  <c r="J102"/>
  <c r="J101"/>
  <c r="L101" s="1"/>
  <c r="J100"/>
  <c r="J99"/>
  <c r="J98"/>
  <c r="J97"/>
  <c r="J96"/>
  <c r="B103"/>
  <c r="H92"/>
  <c r="F92"/>
  <c r="J91"/>
  <c r="J90"/>
  <c r="J89"/>
  <c r="J88"/>
  <c r="J87"/>
  <c r="H83"/>
  <c r="F83"/>
  <c r="J81"/>
  <c r="J80"/>
  <c r="J79"/>
  <c r="J78"/>
  <c r="J77"/>
  <c r="J76"/>
  <c r="L76" s="1"/>
  <c r="J75"/>
  <c r="J74"/>
  <c r="L74" s="1"/>
  <c r="H63"/>
  <c r="F63"/>
  <c r="D63"/>
  <c r="B63"/>
  <c r="H62"/>
  <c r="H65" s="1"/>
  <c r="F62"/>
  <c r="D62"/>
  <c r="D65" s="1"/>
  <c r="B62"/>
  <c r="B65" s="1"/>
  <c r="H58"/>
  <c r="F58"/>
  <c r="D58"/>
  <c r="B58"/>
  <c r="H57"/>
  <c r="F57"/>
  <c r="D57"/>
  <c r="B57"/>
  <c r="H56"/>
  <c r="F56"/>
  <c r="D56"/>
  <c r="B56"/>
  <c r="F55"/>
  <c r="D55"/>
  <c r="B55"/>
  <c r="F54"/>
  <c r="D54"/>
  <c r="B54"/>
  <c r="F53"/>
  <c r="D53"/>
  <c r="B53"/>
  <c r="F52"/>
  <c r="D52"/>
  <c r="B52"/>
  <c r="F51"/>
  <c r="D51"/>
  <c r="F50"/>
  <c r="D50"/>
  <c r="B50"/>
  <c r="H49"/>
  <c r="F49"/>
  <c r="D49"/>
  <c r="B49"/>
  <c r="H48"/>
  <c r="F48"/>
  <c r="D48"/>
  <c r="B48"/>
  <c r="H47"/>
  <c r="F47"/>
  <c r="D47"/>
  <c r="B47"/>
  <c r="H46"/>
  <c r="F46"/>
  <c r="D46"/>
  <c r="B46"/>
  <c r="H45"/>
  <c r="F45"/>
  <c r="D45"/>
  <c r="B45"/>
  <c r="H44"/>
  <c r="F44"/>
  <c r="D44"/>
  <c r="B44"/>
  <c r="F43"/>
  <c r="D43"/>
  <c r="B43"/>
  <c r="H42"/>
  <c r="F42"/>
  <c r="D42"/>
  <c r="B42"/>
  <c r="H41"/>
  <c r="F41"/>
  <c r="D41"/>
  <c r="B41"/>
  <c r="H37"/>
  <c r="H38" s="1"/>
  <c r="F37"/>
  <c r="F38" s="1"/>
  <c r="D37"/>
  <c r="D38" s="1"/>
  <c r="B37"/>
  <c r="B38" s="1"/>
  <c r="H33"/>
  <c r="F33"/>
  <c r="D33"/>
  <c r="B33"/>
  <c r="H32"/>
  <c r="F32"/>
  <c r="D32"/>
  <c r="B32"/>
  <c r="H31"/>
  <c r="F31"/>
  <c r="D31"/>
  <c r="B31"/>
  <c r="F30"/>
  <c r="D30"/>
  <c r="B30"/>
  <c r="H29"/>
  <c r="F29"/>
  <c r="D29"/>
  <c r="B29"/>
  <c r="H28"/>
  <c r="F28"/>
  <c r="D28"/>
  <c r="B28"/>
  <c r="H24"/>
  <c r="F24"/>
  <c r="D24"/>
  <c r="B24"/>
  <c r="H23"/>
  <c r="F23"/>
  <c r="D23"/>
  <c r="B23"/>
  <c r="H22"/>
  <c r="F22"/>
  <c r="D22"/>
  <c r="B22"/>
  <c r="F21"/>
  <c r="D21"/>
  <c r="B21"/>
  <c r="F20"/>
  <c r="D20"/>
  <c r="B20"/>
  <c r="H19"/>
  <c r="F19"/>
  <c r="D19"/>
  <c r="B19"/>
  <c r="F18"/>
  <c r="D18"/>
  <c r="B18"/>
  <c r="H17"/>
  <c r="F17"/>
  <c r="D17"/>
  <c r="B17"/>
  <c r="H16"/>
  <c r="F16"/>
  <c r="D16"/>
  <c r="B16"/>
  <c r="F15"/>
  <c r="D15"/>
  <c r="B15"/>
  <c r="H14"/>
  <c r="F14"/>
  <c r="D14"/>
  <c r="B14"/>
  <c r="H13"/>
  <c r="F13"/>
  <c r="D13"/>
  <c r="B13"/>
  <c r="H12"/>
  <c r="F12"/>
  <c r="D12"/>
  <c r="B12"/>
  <c r="H11"/>
  <c r="F11"/>
  <c r="D11"/>
  <c r="B11"/>
  <c r="A3"/>
  <c r="H63" i="107"/>
  <c r="F63"/>
  <c r="D63"/>
  <c r="B63"/>
  <c r="H62"/>
  <c r="H65" s="1"/>
  <c r="F62"/>
  <c r="H29" i="121" s="1"/>
  <c r="H57" i="154" s="1"/>
  <c r="D62" i="107"/>
  <c r="B62"/>
  <c r="D117" i="91" s="1"/>
  <c r="D154" s="1"/>
  <c r="H58" i="107"/>
  <c r="F58"/>
  <c r="D58"/>
  <c r="B58"/>
  <c r="H57"/>
  <c r="F57"/>
  <c r="D57"/>
  <c r="B57"/>
  <c r="F55"/>
  <c r="D55"/>
  <c r="B55"/>
  <c r="F54"/>
  <c r="D54"/>
  <c r="B54"/>
  <c r="F53"/>
  <c r="D53"/>
  <c r="B53"/>
  <c r="F51"/>
  <c r="D51"/>
  <c r="D50"/>
  <c r="H48"/>
  <c r="F48"/>
  <c r="D48"/>
  <c r="B48"/>
  <c r="H47"/>
  <c r="F47"/>
  <c r="D47"/>
  <c r="B47"/>
  <c r="H46"/>
  <c r="J116" i="91" s="1"/>
  <c r="J153" s="1"/>
  <c r="F46" i="107"/>
  <c r="H116" i="91" s="1"/>
  <c r="H153" s="1"/>
  <c r="D46" i="107"/>
  <c r="F116" i="91" s="1"/>
  <c r="F153" s="1"/>
  <c r="B46" i="107"/>
  <c r="D116" i="91" s="1"/>
  <c r="D153" s="1"/>
  <c r="D45" i="107"/>
  <c r="H44"/>
  <c r="F44"/>
  <c r="D44"/>
  <c r="B44"/>
  <c r="F43"/>
  <c r="D43"/>
  <c r="B43"/>
  <c r="H42"/>
  <c r="J114" i="91" s="1"/>
  <c r="J151" s="1"/>
  <c r="F42" i="107"/>
  <c r="H114" i="91" s="1"/>
  <c r="H151" s="1"/>
  <c r="D42" i="107"/>
  <c r="F114" i="91" s="1"/>
  <c r="F151" s="1"/>
  <c r="B42" i="107"/>
  <c r="D114" i="91" s="1"/>
  <c r="D151" s="1"/>
  <c r="H37" i="107"/>
  <c r="H38" s="1"/>
  <c r="F37"/>
  <c r="F38" s="1"/>
  <c r="H27" i="121" s="1"/>
  <c r="H55" i="154" s="1"/>
  <c r="D37" i="107"/>
  <c r="D38" s="1"/>
  <c r="F27" i="121" s="1"/>
  <c r="F55" i="154" s="1"/>
  <c r="B37" i="107"/>
  <c r="B38" s="1"/>
  <c r="D27" i="121" s="1"/>
  <c r="D55" i="154" s="1"/>
  <c r="H33" i="107"/>
  <c r="F33"/>
  <c r="D33"/>
  <c r="B33"/>
  <c r="H32"/>
  <c r="F32"/>
  <c r="D32"/>
  <c r="B32"/>
  <c r="H31"/>
  <c r="F31"/>
  <c r="D31"/>
  <c r="B31"/>
  <c r="F30"/>
  <c r="D30"/>
  <c r="B30"/>
  <c r="H29"/>
  <c r="F29"/>
  <c r="D29"/>
  <c r="B29"/>
  <c r="H28"/>
  <c r="F28"/>
  <c r="D28"/>
  <c r="B28"/>
  <c r="H24"/>
  <c r="F24"/>
  <c r="D24"/>
  <c r="B24"/>
  <c r="H23"/>
  <c r="F23"/>
  <c r="D23"/>
  <c r="B23"/>
  <c r="F22"/>
  <c r="D22"/>
  <c r="B22"/>
  <c r="F21"/>
  <c r="D21"/>
  <c r="B21"/>
  <c r="F20"/>
  <c r="D20"/>
  <c r="B20"/>
  <c r="H19"/>
  <c r="F19"/>
  <c r="D19"/>
  <c r="B19"/>
  <c r="F18"/>
  <c r="D18"/>
  <c r="B18"/>
  <c r="F17"/>
  <c r="D17"/>
  <c r="B17"/>
  <c r="H16"/>
  <c r="F16"/>
  <c r="D16"/>
  <c r="B16"/>
  <c r="F15"/>
  <c r="D15"/>
  <c r="B15"/>
  <c r="F14"/>
  <c r="D14"/>
  <c r="B14"/>
  <c r="F13"/>
  <c r="D13"/>
  <c r="B13"/>
  <c r="H12"/>
  <c r="J115" i="91" s="1"/>
  <c r="J152" s="1"/>
  <c r="F12" i="107"/>
  <c r="H115" i="91" s="1"/>
  <c r="H152" s="1"/>
  <c r="D12" i="107"/>
  <c r="F115" i="91" s="1"/>
  <c r="F152" s="1"/>
  <c r="B12" i="107"/>
  <c r="D115" i="91" s="1"/>
  <c r="D152" s="1"/>
  <c r="H11" i="107"/>
  <c r="F11"/>
  <c r="D11"/>
  <c r="B11"/>
  <c r="A3"/>
  <c r="H31" i="106"/>
  <c r="B31"/>
  <c r="J30"/>
  <c r="J31" s="1"/>
  <c r="H27"/>
  <c r="H34" s="1"/>
  <c r="B27"/>
  <c r="J26"/>
  <c r="J27" s="1"/>
  <c r="J34" s="1"/>
  <c r="H18"/>
  <c r="B18"/>
  <c r="B21" s="1"/>
  <c r="J17"/>
  <c r="L17" s="1"/>
  <c r="J16"/>
  <c r="L16" s="1"/>
  <c r="J15"/>
  <c r="L15" s="1"/>
  <c r="J14"/>
  <c r="J13"/>
  <c r="L13" s="1"/>
  <c r="J12"/>
  <c r="L12" s="1"/>
  <c r="J11"/>
  <c r="L11" s="1"/>
  <c r="A3"/>
  <c r="H21" i="105"/>
  <c r="F21"/>
  <c r="D21"/>
  <c r="B21"/>
  <c r="N20"/>
  <c r="H20"/>
  <c r="F20"/>
  <c r="D20"/>
  <c r="B20"/>
  <c r="N19"/>
  <c r="H19"/>
  <c r="F19"/>
  <c r="D19"/>
  <c r="B19"/>
  <c r="H18"/>
  <c r="F18"/>
  <c r="D18"/>
  <c r="B18"/>
  <c r="H17"/>
  <c r="F17"/>
  <c r="D17"/>
  <c r="B17"/>
  <c r="N16"/>
  <c r="H16"/>
  <c r="F16"/>
  <c r="D16"/>
  <c r="B16"/>
  <c r="N15"/>
  <c r="H15"/>
  <c r="F15"/>
  <c r="D15"/>
  <c r="B15"/>
  <c r="N11"/>
  <c r="N12" s="1"/>
  <c r="H11"/>
  <c r="H12" s="1"/>
  <c r="F11"/>
  <c r="F12" s="1"/>
  <c r="D11"/>
  <c r="D12" s="1"/>
  <c r="B11"/>
  <c r="B12" s="1"/>
  <c r="A3"/>
  <c r="H147" i="104"/>
  <c r="I96" i="156" s="1"/>
  <c r="B147" i="104"/>
  <c r="J146"/>
  <c r="L146" s="1"/>
  <c r="J145"/>
  <c r="L145" s="1"/>
  <c r="J143"/>
  <c r="L143" s="1"/>
  <c r="J142"/>
  <c r="L142" s="1"/>
  <c r="J141"/>
  <c r="L141" s="1"/>
  <c r="H138"/>
  <c r="I95" i="156" s="1"/>
  <c r="B138" i="104"/>
  <c r="J137"/>
  <c r="L137" s="1"/>
  <c r="J136"/>
  <c r="L136" s="1"/>
  <c r="J135"/>
  <c r="L135" s="1"/>
  <c r="J134"/>
  <c r="L134" s="1"/>
  <c r="H131"/>
  <c r="I94" i="156" s="1"/>
  <c r="K94" s="1"/>
  <c r="M94" s="1"/>
  <c r="B131" i="104"/>
  <c r="J130"/>
  <c r="L130" s="1"/>
  <c r="J129"/>
  <c r="L129" s="1"/>
  <c r="J128"/>
  <c r="L128" s="1"/>
  <c r="J127"/>
  <c r="L127" s="1"/>
  <c r="J126"/>
  <c r="J131" s="1"/>
  <c r="H123"/>
  <c r="I92" i="156" s="1"/>
  <c r="K92" s="1"/>
  <c r="M92" s="1"/>
  <c r="B123" i="104"/>
  <c r="J121"/>
  <c r="L121" s="1"/>
  <c r="J120"/>
  <c r="L120" s="1"/>
  <c r="J119"/>
  <c r="L119" s="1"/>
  <c r="J118"/>
  <c r="H115"/>
  <c r="I91" i="156" s="1"/>
  <c r="K91" s="1"/>
  <c r="M91" s="1"/>
  <c r="B115" i="104"/>
  <c r="J114"/>
  <c r="L114" s="1"/>
  <c r="J113"/>
  <c r="H110"/>
  <c r="I90" i="156" s="1"/>
  <c r="B110" i="104"/>
  <c r="J109"/>
  <c r="L109" s="1"/>
  <c r="J108"/>
  <c r="L108" s="1"/>
  <c r="J107"/>
  <c r="L107" s="1"/>
  <c r="J106"/>
  <c r="L106" s="1"/>
  <c r="J105"/>
  <c r="L105" s="1"/>
  <c r="J104"/>
  <c r="L104" s="1"/>
  <c r="J103"/>
  <c r="L103" s="1"/>
  <c r="J102"/>
  <c r="L102" s="1"/>
  <c r="J101"/>
  <c r="L101" s="1"/>
  <c r="J100"/>
  <c r="L100" s="1"/>
  <c r="J99"/>
  <c r="B92"/>
  <c r="J91"/>
  <c r="L91" s="1"/>
  <c r="H92"/>
  <c r="J89"/>
  <c r="L89" s="1"/>
  <c r="J88"/>
  <c r="L88" s="1"/>
  <c r="J87"/>
  <c r="L87" s="1"/>
  <c r="J86"/>
  <c r="L86" s="1"/>
  <c r="J85"/>
  <c r="L85" s="1"/>
  <c r="J84"/>
  <c r="L84" s="1"/>
  <c r="J83"/>
  <c r="L83" s="1"/>
  <c r="J81"/>
  <c r="L81" s="1"/>
  <c r="J80"/>
  <c r="L80" s="1"/>
  <c r="B77"/>
  <c r="H77"/>
  <c r="J75"/>
  <c r="L75" s="1"/>
  <c r="J74"/>
  <c r="L74" s="1"/>
  <c r="J73"/>
  <c r="L73" s="1"/>
  <c r="J72"/>
  <c r="L72" s="1"/>
  <c r="J71"/>
  <c r="L71" s="1"/>
  <c r="J70"/>
  <c r="L70" s="1"/>
  <c r="J69"/>
  <c r="L69" s="1"/>
  <c r="J66"/>
  <c r="L66" s="1"/>
  <c r="B63"/>
  <c r="H63"/>
  <c r="I78" i="156" s="1"/>
  <c r="J61" i="104"/>
  <c r="L61" s="1"/>
  <c r="J60"/>
  <c r="L60" s="1"/>
  <c r="J59"/>
  <c r="L59" s="1"/>
  <c r="J58"/>
  <c r="L58" s="1"/>
  <c r="J56"/>
  <c r="L56" s="1"/>
  <c r="J55"/>
  <c r="L55" s="1"/>
  <c r="J54"/>
  <c r="H51"/>
  <c r="I77" i="156" s="1"/>
  <c r="B51" i="104"/>
  <c r="J50"/>
  <c r="L50" s="1"/>
  <c r="J49"/>
  <c r="B46"/>
  <c r="H46"/>
  <c r="I76" i="156" s="1"/>
  <c r="J45" i="104"/>
  <c r="L45" s="1"/>
  <c r="J44"/>
  <c r="L44" s="1"/>
  <c r="J43"/>
  <c r="L43" s="1"/>
  <c r="J42"/>
  <c r="L42" s="1"/>
  <c r="J41"/>
  <c r="L41" s="1"/>
  <c r="J40"/>
  <c r="L40" s="1"/>
  <c r="J39"/>
  <c r="L39" s="1"/>
  <c r="J38"/>
  <c r="H35"/>
  <c r="I75" i="156" s="1"/>
  <c r="B35" i="104"/>
  <c r="J34"/>
  <c r="L34" s="1"/>
  <c r="J33"/>
  <c r="L33" s="1"/>
  <c r="J32"/>
  <c r="L32" s="1"/>
  <c r="J31"/>
  <c r="L31" s="1"/>
  <c r="J30"/>
  <c r="L30" s="1"/>
  <c r="B26"/>
  <c r="H26"/>
  <c r="J25"/>
  <c r="L25" s="1"/>
  <c r="J24"/>
  <c r="L24" s="1"/>
  <c r="J23"/>
  <c r="L23" s="1"/>
  <c r="J22"/>
  <c r="L22" s="1"/>
  <c r="J21"/>
  <c r="L21" s="1"/>
  <c r="J20"/>
  <c r="L20" s="1"/>
  <c r="J19"/>
  <c r="L19" s="1"/>
  <c r="J18"/>
  <c r="L18" s="1"/>
  <c r="J17"/>
  <c r="L17" s="1"/>
  <c r="J16"/>
  <c r="L16" s="1"/>
  <c r="J15"/>
  <c r="L15" s="1"/>
  <c r="J14"/>
  <c r="L14" s="1"/>
  <c r="J13"/>
  <c r="L13" s="1"/>
  <c r="J11"/>
  <c r="L11" s="1"/>
  <c r="A3"/>
  <c r="H90" i="103"/>
  <c r="F90"/>
  <c r="D90"/>
  <c r="B90"/>
  <c r="H89"/>
  <c r="F89"/>
  <c r="D89"/>
  <c r="B89"/>
  <c r="H88"/>
  <c r="F88"/>
  <c r="D88"/>
  <c r="B88"/>
  <c r="H87"/>
  <c r="F87"/>
  <c r="D87"/>
  <c r="B87"/>
  <c r="F86"/>
  <c r="D86"/>
  <c r="B86"/>
  <c r="F85"/>
  <c r="D85"/>
  <c r="B85"/>
  <c r="F84"/>
  <c r="D84"/>
  <c r="H83"/>
  <c r="F83"/>
  <c r="D83"/>
  <c r="B83"/>
  <c r="F82"/>
  <c r="D82"/>
  <c r="B82"/>
  <c r="H81"/>
  <c r="F81"/>
  <c r="D81"/>
  <c r="B81"/>
  <c r="H80"/>
  <c r="F80"/>
  <c r="D80"/>
  <c r="B80"/>
  <c r="H79"/>
  <c r="F79"/>
  <c r="D79"/>
  <c r="B79"/>
  <c r="H75"/>
  <c r="F75"/>
  <c r="D75"/>
  <c r="B75"/>
  <c r="F74"/>
  <c r="D74"/>
  <c r="B74"/>
  <c r="H73"/>
  <c r="F73"/>
  <c r="D73"/>
  <c r="B73"/>
  <c r="F72"/>
  <c r="D72"/>
  <c r="B72"/>
  <c r="F71"/>
  <c r="D71"/>
  <c r="B71"/>
  <c r="H70"/>
  <c r="F70"/>
  <c r="D70"/>
  <c r="B70"/>
  <c r="F69"/>
  <c r="D69"/>
  <c r="B69"/>
  <c r="H68"/>
  <c r="F68"/>
  <c r="D68"/>
  <c r="B68"/>
  <c r="F67"/>
  <c r="D67"/>
  <c r="B67"/>
  <c r="H66"/>
  <c r="F66"/>
  <c r="D66"/>
  <c r="B66"/>
  <c r="H62"/>
  <c r="F62"/>
  <c r="D62"/>
  <c r="B62"/>
  <c r="H61"/>
  <c r="F61"/>
  <c r="D61"/>
  <c r="B61"/>
  <c r="H60"/>
  <c r="F60"/>
  <c r="D60"/>
  <c r="B60"/>
  <c r="H59"/>
  <c r="F59"/>
  <c r="D59"/>
  <c r="B59"/>
  <c r="H58"/>
  <c r="F58"/>
  <c r="D58"/>
  <c r="B58"/>
  <c r="H57"/>
  <c r="F57"/>
  <c r="D57"/>
  <c r="B57"/>
  <c r="H56"/>
  <c r="F56"/>
  <c r="D56"/>
  <c r="B56"/>
  <c r="H55"/>
  <c r="F55"/>
  <c r="D55"/>
  <c r="B55"/>
  <c r="H54"/>
  <c r="F54"/>
  <c r="D54"/>
  <c r="B54"/>
  <c r="H51"/>
  <c r="F51"/>
  <c r="D51"/>
  <c r="B51"/>
  <c r="N49"/>
  <c r="H45"/>
  <c r="F45"/>
  <c r="D45"/>
  <c r="B45"/>
  <c r="H44"/>
  <c r="F44"/>
  <c r="D44"/>
  <c r="B44"/>
  <c r="H43"/>
  <c r="F43"/>
  <c r="D43"/>
  <c r="B43"/>
  <c r="F42"/>
  <c r="D42"/>
  <c r="B42"/>
  <c r="F41"/>
  <c r="D41"/>
  <c r="B41"/>
  <c r="F40"/>
  <c r="D40"/>
  <c r="B40"/>
  <c r="F39"/>
  <c r="D39"/>
  <c r="B39"/>
  <c r="H38"/>
  <c r="F38"/>
  <c r="D38"/>
  <c r="B38"/>
  <c r="F34"/>
  <c r="D34"/>
  <c r="B34"/>
  <c r="F33"/>
  <c r="D33"/>
  <c r="B33"/>
  <c r="F32"/>
  <c r="D32"/>
  <c r="B32"/>
  <c r="F31"/>
  <c r="D31"/>
  <c r="B31"/>
  <c r="H30"/>
  <c r="H35" s="1"/>
  <c r="F30"/>
  <c r="D30"/>
  <c r="B30"/>
  <c r="F29"/>
  <c r="D29"/>
  <c r="B29"/>
  <c r="H25"/>
  <c r="F25"/>
  <c r="D25"/>
  <c r="B25"/>
  <c r="H24"/>
  <c r="F24"/>
  <c r="D24"/>
  <c r="B24"/>
  <c r="F23"/>
  <c r="D23"/>
  <c r="B23"/>
  <c r="F22"/>
  <c r="D22"/>
  <c r="B22"/>
  <c r="H21"/>
  <c r="F21"/>
  <c r="D21"/>
  <c r="B21"/>
  <c r="H20"/>
  <c r="F20"/>
  <c r="D20"/>
  <c r="B20"/>
  <c r="F19"/>
  <c r="D19"/>
  <c r="B19"/>
  <c r="F18"/>
  <c r="D18"/>
  <c r="B18"/>
  <c r="F17"/>
  <c r="D17"/>
  <c r="B17"/>
  <c r="F16"/>
  <c r="D16"/>
  <c r="B16"/>
  <c r="F15"/>
  <c r="D15"/>
  <c r="B15"/>
  <c r="F14"/>
  <c r="D14"/>
  <c r="B14"/>
  <c r="F13"/>
  <c r="D13"/>
  <c r="B13"/>
  <c r="H12"/>
  <c r="F12"/>
  <c r="D12"/>
  <c r="B12"/>
  <c r="H11"/>
  <c r="F11"/>
  <c r="D11"/>
  <c r="B11"/>
  <c r="A3"/>
  <c r="H146" i="102"/>
  <c r="F146"/>
  <c r="D146"/>
  <c r="B146"/>
  <c r="H145"/>
  <c r="F145"/>
  <c r="D145"/>
  <c r="B145"/>
  <c r="F144"/>
  <c r="D144"/>
  <c r="H143"/>
  <c r="F143"/>
  <c r="D143"/>
  <c r="B143"/>
  <c r="H142"/>
  <c r="F142"/>
  <c r="D142"/>
  <c r="B142"/>
  <c r="H141"/>
  <c r="F141"/>
  <c r="D141"/>
  <c r="B141"/>
  <c r="H137"/>
  <c r="F137"/>
  <c r="D137"/>
  <c r="B137"/>
  <c r="H136"/>
  <c r="F136"/>
  <c r="D136"/>
  <c r="B136"/>
  <c r="H135"/>
  <c r="F135"/>
  <c r="D135"/>
  <c r="B135"/>
  <c r="H134"/>
  <c r="F134"/>
  <c r="D134"/>
  <c r="B134"/>
  <c r="H133"/>
  <c r="F133"/>
  <c r="F138" s="1"/>
  <c r="D133"/>
  <c r="B133"/>
  <c r="B138" s="1"/>
  <c r="H130"/>
  <c r="F130"/>
  <c r="D130"/>
  <c r="B130"/>
  <c r="H129"/>
  <c r="F129"/>
  <c r="D129"/>
  <c r="H128"/>
  <c r="F128"/>
  <c r="D128"/>
  <c r="B128"/>
  <c r="H127"/>
  <c r="F127"/>
  <c r="D127"/>
  <c r="B127"/>
  <c r="D126"/>
  <c r="F122"/>
  <c r="D122"/>
  <c r="F121"/>
  <c r="H120"/>
  <c r="F120"/>
  <c r="D120"/>
  <c r="B120"/>
  <c r="H119"/>
  <c r="F119"/>
  <c r="D119"/>
  <c r="B119"/>
  <c r="H118"/>
  <c r="F118"/>
  <c r="D118"/>
  <c r="B118"/>
  <c r="B123" s="1"/>
  <c r="H114"/>
  <c r="F114"/>
  <c r="D114"/>
  <c r="B114"/>
  <c r="H113"/>
  <c r="H115" s="1"/>
  <c r="F113"/>
  <c r="F115" s="1"/>
  <c r="D113"/>
  <c r="B113"/>
  <c r="B115" s="1"/>
  <c r="H109"/>
  <c r="F109"/>
  <c r="D109"/>
  <c r="B109"/>
  <c r="H108"/>
  <c r="F108"/>
  <c r="D108"/>
  <c r="B108"/>
  <c r="H107"/>
  <c r="F107"/>
  <c r="D107"/>
  <c r="H106"/>
  <c r="F106"/>
  <c r="D106"/>
  <c r="B106"/>
  <c r="H105"/>
  <c r="F105"/>
  <c r="D105"/>
  <c r="B105"/>
  <c r="H104"/>
  <c r="F104"/>
  <c r="D104"/>
  <c r="B104"/>
  <c r="H103"/>
  <c r="F103"/>
  <c r="D103"/>
  <c r="B103"/>
  <c r="H102"/>
  <c r="F102"/>
  <c r="D102"/>
  <c r="B102"/>
  <c r="H101"/>
  <c r="F101"/>
  <c r="D101"/>
  <c r="B101"/>
  <c r="H100"/>
  <c r="F100"/>
  <c r="D100"/>
  <c r="B100"/>
  <c r="H99"/>
  <c r="F99"/>
  <c r="D99"/>
  <c r="B99"/>
  <c r="H90"/>
  <c r="F90"/>
  <c r="D90"/>
  <c r="B90"/>
  <c r="H89"/>
  <c r="F89"/>
  <c r="D89"/>
  <c r="B89"/>
  <c r="H88"/>
  <c r="F88"/>
  <c r="D88"/>
  <c r="B88"/>
  <c r="H87"/>
  <c r="F87"/>
  <c r="D87"/>
  <c r="B87"/>
  <c r="F86"/>
  <c r="D86"/>
  <c r="B86"/>
  <c r="F85"/>
  <c r="D85"/>
  <c r="B85"/>
  <c r="F84"/>
  <c r="D84"/>
  <c r="B84"/>
  <c r="H83"/>
  <c r="F83"/>
  <c r="D83"/>
  <c r="B83"/>
  <c r="F82"/>
  <c r="D82"/>
  <c r="B82"/>
  <c r="H81"/>
  <c r="F81"/>
  <c r="D81"/>
  <c r="B81"/>
  <c r="H80"/>
  <c r="F80"/>
  <c r="D80"/>
  <c r="B80"/>
  <c r="H79"/>
  <c r="F79"/>
  <c r="D79"/>
  <c r="B79"/>
  <c r="H75"/>
  <c r="F75"/>
  <c r="D75"/>
  <c r="B75"/>
  <c r="F74"/>
  <c r="D74"/>
  <c r="B74"/>
  <c r="H73"/>
  <c r="F73"/>
  <c r="D73"/>
  <c r="B73"/>
  <c r="F72"/>
  <c r="D72"/>
  <c r="B72"/>
  <c r="F71"/>
  <c r="D71"/>
  <c r="B71"/>
  <c r="H70"/>
  <c r="F70"/>
  <c r="D70"/>
  <c r="B70"/>
  <c r="F69"/>
  <c r="D69"/>
  <c r="B69"/>
  <c r="H68"/>
  <c r="F68"/>
  <c r="D68"/>
  <c r="B68"/>
  <c r="F67"/>
  <c r="D67"/>
  <c r="B67"/>
  <c r="H66"/>
  <c r="F66"/>
  <c r="D66"/>
  <c r="B66"/>
  <c r="H62"/>
  <c r="F62"/>
  <c r="D62"/>
  <c r="B62"/>
  <c r="H61"/>
  <c r="F61"/>
  <c r="D61"/>
  <c r="B61"/>
  <c r="H60"/>
  <c r="F60"/>
  <c r="D60"/>
  <c r="B60"/>
  <c r="H59"/>
  <c r="F59"/>
  <c r="D59"/>
  <c r="B59"/>
  <c r="H58"/>
  <c r="F58"/>
  <c r="D58"/>
  <c r="B58"/>
  <c r="H57"/>
  <c r="F57"/>
  <c r="D57"/>
  <c r="B57"/>
  <c r="H56"/>
  <c r="F56"/>
  <c r="D56"/>
  <c r="B56"/>
  <c r="H55"/>
  <c r="F55"/>
  <c r="D55"/>
  <c r="B55"/>
  <c r="H54"/>
  <c r="F54"/>
  <c r="D54"/>
  <c r="D63" s="1"/>
  <c r="B54"/>
  <c r="H50"/>
  <c r="F50"/>
  <c r="D50"/>
  <c r="B50"/>
  <c r="H49"/>
  <c r="H51" s="1"/>
  <c r="F49"/>
  <c r="F51" s="1"/>
  <c r="D49"/>
  <c r="D51" s="1"/>
  <c r="B49"/>
  <c r="H45"/>
  <c r="F45"/>
  <c r="D45"/>
  <c r="B45"/>
  <c r="H44"/>
  <c r="F44"/>
  <c r="D44"/>
  <c r="B44"/>
  <c r="H43"/>
  <c r="F43"/>
  <c r="D43"/>
  <c r="B43"/>
  <c r="F42"/>
  <c r="D42"/>
  <c r="B42"/>
  <c r="F41"/>
  <c r="D41"/>
  <c r="B41"/>
  <c r="F40"/>
  <c r="D40"/>
  <c r="B40"/>
  <c r="F39"/>
  <c r="D39"/>
  <c r="B39"/>
  <c r="H38"/>
  <c r="H46" s="1"/>
  <c r="F38"/>
  <c r="D38"/>
  <c r="B38"/>
  <c r="H34"/>
  <c r="F34"/>
  <c r="D34"/>
  <c r="B34"/>
  <c r="H33"/>
  <c r="F33"/>
  <c r="D33"/>
  <c r="B33"/>
  <c r="H32"/>
  <c r="F32"/>
  <c r="D32"/>
  <c r="B32"/>
  <c r="H31"/>
  <c r="F31"/>
  <c r="D31"/>
  <c r="B31"/>
  <c r="H30"/>
  <c r="F30"/>
  <c r="D30"/>
  <c r="B30"/>
  <c r="H29"/>
  <c r="H35" s="1"/>
  <c r="F29"/>
  <c r="F35" s="1"/>
  <c r="D29"/>
  <c r="D35" s="1"/>
  <c r="B29"/>
  <c r="B35" s="1"/>
  <c r="H25"/>
  <c r="F25"/>
  <c r="D25"/>
  <c r="B25"/>
  <c r="H24"/>
  <c r="F24"/>
  <c r="D24"/>
  <c r="B24"/>
  <c r="F23"/>
  <c r="D23"/>
  <c r="B23"/>
  <c r="F22"/>
  <c r="D22"/>
  <c r="B22"/>
  <c r="H21"/>
  <c r="F21"/>
  <c r="D21"/>
  <c r="B21"/>
  <c r="H20"/>
  <c r="F20"/>
  <c r="D20"/>
  <c r="B20"/>
  <c r="F19"/>
  <c r="D19"/>
  <c r="B19"/>
  <c r="F18"/>
  <c r="D18"/>
  <c r="B18"/>
  <c r="F17"/>
  <c r="D17"/>
  <c r="B17"/>
  <c r="F16"/>
  <c r="D16"/>
  <c r="B16"/>
  <c r="F15"/>
  <c r="D15"/>
  <c r="B15"/>
  <c r="F14"/>
  <c r="D14"/>
  <c r="B14"/>
  <c r="F13"/>
  <c r="D13"/>
  <c r="B13"/>
  <c r="H12"/>
  <c r="F12"/>
  <c r="D12"/>
  <c r="B12"/>
  <c r="H11"/>
  <c r="F11"/>
  <c r="D11"/>
  <c r="B11"/>
  <c r="A3"/>
  <c r="H90" i="101"/>
  <c r="F90"/>
  <c r="D90"/>
  <c r="B90"/>
  <c r="H89"/>
  <c r="F89"/>
  <c r="D89"/>
  <c r="B89"/>
  <c r="H88"/>
  <c r="F88"/>
  <c r="D88"/>
  <c r="B88"/>
  <c r="H87"/>
  <c r="F87"/>
  <c r="D87"/>
  <c r="B87"/>
  <c r="H83"/>
  <c r="F83"/>
  <c r="D83"/>
  <c r="B83"/>
  <c r="H80"/>
  <c r="F80"/>
  <c r="D80"/>
  <c r="H75"/>
  <c r="F75"/>
  <c r="D75"/>
  <c r="B75"/>
  <c r="F74"/>
  <c r="D74"/>
  <c r="B74"/>
  <c r="H73"/>
  <c r="F73"/>
  <c r="D73"/>
  <c r="B73"/>
  <c r="F72"/>
  <c r="D72"/>
  <c r="B72"/>
  <c r="F71"/>
  <c r="D71"/>
  <c r="B71"/>
  <c r="H70"/>
  <c r="F70"/>
  <c r="D70"/>
  <c r="B70"/>
  <c r="F69"/>
  <c r="D69"/>
  <c r="B69"/>
  <c r="H68"/>
  <c r="F68"/>
  <c r="D68"/>
  <c r="B68"/>
  <c r="F67"/>
  <c r="D67"/>
  <c r="B67"/>
  <c r="H66"/>
  <c r="F66"/>
  <c r="D66"/>
  <c r="B66"/>
  <c r="H62"/>
  <c r="F62"/>
  <c r="D62"/>
  <c r="B62"/>
  <c r="H61"/>
  <c r="F61"/>
  <c r="D61"/>
  <c r="B61"/>
  <c r="H60"/>
  <c r="F60"/>
  <c r="D60"/>
  <c r="B60"/>
  <c r="H59"/>
  <c r="F59"/>
  <c r="D59"/>
  <c r="B59"/>
  <c r="H58"/>
  <c r="F58"/>
  <c r="D58"/>
  <c r="B58"/>
  <c r="H57"/>
  <c r="F57"/>
  <c r="D57"/>
  <c r="B57"/>
  <c r="H56"/>
  <c r="F56"/>
  <c r="D56"/>
  <c r="B56"/>
  <c r="H55"/>
  <c r="F55"/>
  <c r="D55"/>
  <c r="B55"/>
  <c r="H54"/>
  <c r="F54"/>
  <c r="D54"/>
  <c r="B54"/>
  <c r="H51"/>
  <c r="J34" i="91" s="1"/>
  <c r="F51" i="101"/>
  <c r="H18" i="121" s="1"/>
  <c r="D51" i="101"/>
  <c r="F18" i="121" s="1"/>
  <c r="B51" i="101"/>
  <c r="D18" i="121" s="1"/>
  <c r="J50" i="101"/>
  <c r="L50" s="1"/>
  <c r="T120" i="91" s="1"/>
  <c r="T157" s="1"/>
  <c r="N49" i="101"/>
  <c r="J49"/>
  <c r="H45"/>
  <c r="F45"/>
  <c r="D45"/>
  <c r="B45"/>
  <c r="H44"/>
  <c r="F44"/>
  <c r="D44"/>
  <c r="B44"/>
  <c r="H43"/>
  <c r="F43"/>
  <c r="D43"/>
  <c r="B43"/>
  <c r="F42"/>
  <c r="D42"/>
  <c r="B42"/>
  <c r="F41"/>
  <c r="D41"/>
  <c r="B41"/>
  <c r="F40"/>
  <c r="D40"/>
  <c r="B40"/>
  <c r="F39"/>
  <c r="D39"/>
  <c r="B39"/>
  <c r="H38"/>
  <c r="F38"/>
  <c r="D38"/>
  <c r="B38"/>
  <c r="F34"/>
  <c r="D34"/>
  <c r="B34"/>
  <c r="F33"/>
  <c r="D33"/>
  <c r="B33"/>
  <c r="F32"/>
  <c r="D32"/>
  <c r="B32"/>
  <c r="F31"/>
  <c r="D31"/>
  <c r="B31"/>
  <c r="H30"/>
  <c r="H35" s="1"/>
  <c r="J32" i="91" s="1"/>
  <c r="F30" i="101"/>
  <c r="D30"/>
  <c r="B30"/>
  <c r="F29"/>
  <c r="D29"/>
  <c r="B29"/>
  <c r="H25"/>
  <c r="F25"/>
  <c r="D25"/>
  <c r="B25"/>
  <c r="H24"/>
  <c r="F24"/>
  <c r="D24"/>
  <c r="B24"/>
  <c r="F23"/>
  <c r="D23"/>
  <c r="B23"/>
  <c r="F22"/>
  <c r="D22"/>
  <c r="B22"/>
  <c r="H21"/>
  <c r="F21"/>
  <c r="D21"/>
  <c r="B21"/>
  <c r="H20"/>
  <c r="F20"/>
  <c r="D20"/>
  <c r="B20"/>
  <c r="F19"/>
  <c r="D19"/>
  <c r="B19"/>
  <c r="F18"/>
  <c r="D18"/>
  <c r="B18"/>
  <c r="F17"/>
  <c r="D17"/>
  <c r="B17"/>
  <c r="F16"/>
  <c r="D16"/>
  <c r="B16"/>
  <c r="F15"/>
  <c r="D15"/>
  <c r="B15"/>
  <c r="F14"/>
  <c r="D14"/>
  <c r="B14"/>
  <c r="H12"/>
  <c r="F12"/>
  <c r="D12"/>
  <c r="B12"/>
  <c r="H11"/>
  <c r="F11"/>
  <c r="D11"/>
  <c r="B11"/>
  <c r="A3"/>
  <c r="H11" i="100"/>
  <c r="F11"/>
  <c r="D11"/>
  <c r="B11"/>
  <c r="B14" s="1"/>
  <c r="J10"/>
  <c r="J11" s="1"/>
  <c r="J14" s="1"/>
  <c r="A3"/>
  <c r="N10" i="99"/>
  <c r="N11" s="1"/>
  <c r="N14" s="1"/>
  <c r="H10"/>
  <c r="H11" s="1"/>
  <c r="H14" s="1"/>
  <c r="F10"/>
  <c r="F11" s="1"/>
  <c r="F14" s="1"/>
  <c r="D10"/>
  <c r="D11" s="1"/>
  <c r="D14" s="1"/>
  <c r="B10"/>
  <c r="B11" s="1"/>
  <c r="B14" s="1"/>
  <c r="A3"/>
  <c r="H62" i="98"/>
  <c r="H65" s="1"/>
  <c r="F62"/>
  <c r="F65" s="1"/>
  <c r="B62"/>
  <c r="B65" s="1"/>
  <c r="J61"/>
  <c r="L61" s="1"/>
  <c r="J60"/>
  <c r="L60" s="1"/>
  <c r="J59"/>
  <c r="L59" s="1"/>
  <c r="J58"/>
  <c r="L58" s="1"/>
  <c r="J57"/>
  <c r="L57" s="1"/>
  <c r="J56"/>
  <c r="L56" s="1"/>
  <c r="J55"/>
  <c r="L55" s="1"/>
  <c r="J54"/>
  <c r="L54" s="1"/>
  <c r="J53"/>
  <c r="L53" s="1"/>
  <c r="J52"/>
  <c r="L52" s="1"/>
  <c r="J51"/>
  <c r="L51" s="1"/>
  <c r="J50"/>
  <c r="L50" s="1"/>
  <c r="J49"/>
  <c r="L49" s="1"/>
  <c r="J48"/>
  <c r="D62"/>
  <c r="D65" s="1"/>
  <c r="B40"/>
  <c r="B43" s="1"/>
  <c r="B68" s="1"/>
  <c r="J39"/>
  <c r="L39" s="1"/>
  <c r="J38"/>
  <c r="L38" s="1"/>
  <c r="J37"/>
  <c r="L37" s="1"/>
  <c r="J36"/>
  <c r="L36" s="1"/>
  <c r="J35"/>
  <c r="L35" s="1"/>
  <c r="H40"/>
  <c r="H43" s="1"/>
  <c r="J34"/>
  <c r="L34" s="1"/>
  <c r="J33"/>
  <c r="L33" s="1"/>
  <c r="J32"/>
  <c r="L32" s="1"/>
  <c r="J31"/>
  <c r="L31" s="1"/>
  <c r="J30"/>
  <c r="L30" s="1"/>
  <c r="J29"/>
  <c r="L29" s="1"/>
  <c r="J28"/>
  <c r="L28" s="1"/>
  <c r="J27"/>
  <c r="L27" s="1"/>
  <c r="J26"/>
  <c r="L26" s="1"/>
  <c r="J25"/>
  <c r="L25" s="1"/>
  <c r="J24"/>
  <c r="L24" s="1"/>
  <c r="J23"/>
  <c r="L23" s="1"/>
  <c r="J21"/>
  <c r="L21" s="1"/>
  <c r="J20"/>
  <c r="L20" s="1"/>
  <c r="J19"/>
  <c r="L19" s="1"/>
  <c r="J18"/>
  <c r="L18" s="1"/>
  <c r="J17"/>
  <c r="L17" s="1"/>
  <c r="J16"/>
  <c r="L16" s="1"/>
  <c r="J15"/>
  <c r="L15" s="1"/>
  <c r="J14"/>
  <c r="L14" s="1"/>
  <c r="F40"/>
  <c r="F43" s="1"/>
  <c r="D40"/>
  <c r="D43" s="1"/>
  <c r="J12"/>
  <c r="L12" s="1"/>
  <c r="J11"/>
  <c r="L11" s="1"/>
  <c r="A3"/>
  <c r="H39" i="97"/>
  <c r="F39"/>
  <c r="D39"/>
  <c r="B39"/>
  <c r="F38"/>
  <c r="D38"/>
  <c r="F37"/>
  <c r="D37"/>
  <c r="B37"/>
  <c r="H36"/>
  <c r="F36"/>
  <c r="D36"/>
  <c r="B36"/>
  <c r="H35"/>
  <c r="F35"/>
  <c r="D35"/>
  <c r="B35"/>
  <c r="H34"/>
  <c r="F34"/>
  <c r="D34"/>
  <c r="B34"/>
  <c r="H33"/>
  <c r="F33"/>
  <c r="D33"/>
  <c r="B33"/>
  <c r="H32"/>
  <c r="F32"/>
  <c r="D32"/>
  <c r="B32"/>
  <c r="F31"/>
  <c r="D31"/>
  <c r="H30"/>
  <c r="F30"/>
  <c r="D30"/>
  <c r="B30"/>
  <c r="H29"/>
  <c r="F29"/>
  <c r="D29"/>
  <c r="B29"/>
  <c r="H28"/>
  <c r="F28"/>
  <c r="D28"/>
  <c r="B28"/>
  <c r="H27"/>
  <c r="F27"/>
  <c r="D27"/>
  <c r="B27"/>
  <c r="H26"/>
  <c r="F26"/>
  <c r="D26"/>
  <c r="B26"/>
  <c r="H25"/>
  <c r="F25"/>
  <c r="D25"/>
  <c r="B25"/>
  <c r="H24"/>
  <c r="F24"/>
  <c r="D24"/>
  <c r="B24"/>
  <c r="H23"/>
  <c r="F23"/>
  <c r="D23"/>
  <c r="B23"/>
  <c r="H21"/>
  <c r="F21"/>
  <c r="D21"/>
  <c r="B21"/>
  <c r="F20"/>
  <c r="D20"/>
  <c r="B20"/>
  <c r="H19"/>
  <c r="F19"/>
  <c r="D19"/>
  <c r="B19"/>
  <c r="H18"/>
  <c r="F18"/>
  <c r="D18"/>
  <c r="B18"/>
  <c r="H17"/>
  <c r="F17"/>
  <c r="D17"/>
  <c r="B17"/>
  <c r="H16"/>
  <c r="F16"/>
  <c r="D16"/>
  <c r="B16"/>
  <c r="H15"/>
  <c r="F15"/>
  <c r="D15"/>
  <c r="B15"/>
  <c r="H14"/>
  <c r="F14"/>
  <c r="D14"/>
  <c r="B14"/>
  <c r="H13"/>
  <c r="F13"/>
  <c r="D13"/>
  <c r="B13"/>
  <c r="H12"/>
  <c r="F12"/>
  <c r="D12"/>
  <c r="H11"/>
  <c r="F11"/>
  <c r="D11"/>
  <c r="B11"/>
  <c r="A3"/>
  <c r="J73" i="96"/>
  <c r="L73" s="1"/>
  <c r="D72"/>
  <c r="J72" s="1"/>
  <c r="L72" s="1"/>
  <c r="H71"/>
  <c r="F71"/>
  <c r="D71"/>
  <c r="B71"/>
  <c r="J70"/>
  <c r="L70" s="1"/>
  <c r="J69"/>
  <c r="L69" s="1"/>
  <c r="J68"/>
  <c r="L68" s="1"/>
  <c r="D67"/>
  <c r="J67" s="1"/>
  <c r="L67" s="1"/>
  <c r="J66"/>
  <c r="B66"/>
  <c r="H65"/>
  <c r="F65"/>
  <c r="D65"/>
  <c r="B65"/>
  <c r="J64"/>
  <c r="L64" s="1"/>
  <c r="J63"/>
  <c r="L63" s="1"/>
  <c r="J62"/>
  <c r="L62" s="1"/>
  <c r="H61"/>
  <c r="F61"/>
  <c r="D61"/>
  <c r="B61"/>
  <c r="D60"/>
  <c r="J60" s="1"/>
  <c r="L60" s="1"/>
  <c r="D59"/>
  <c r="J59" s="1"/>
  <c r="L59" s="1"/>
  <c r="J58"/>
  <c r="L58" s="1"/>
  <c r="D57"/>
  <c r="J57" s="1"/>
  <c r="B57"/>
  <c r="H56"/>
  <c r="F56"/>
  <c r="D56"/>
  <c r="B56"/>
  <c r="H55"/>
  <c r="F55"/>
  <c r="D55"/>
  <c r="B55"/>
  <c r="D54"/>
  <c r="J54" s="1"/>
  <c r="B54"/>
  <c r="D53"/>
  <c r="J53" s="1"/>
  <c r="B53"/>
  <c r="J52"/>
  <c r="L52" s="1"/>
  <c r="J51"/>
  <c r="L51" s="1"/>
  <c r="J50"/>
  <c r="L50" s="1"/>
  <c r="J49"/>
  <c r="L49" s="1"/>
  <c r="D48"/>
  <c r="B48"/>
  <c r="J47"/>
  <c r="L47" s="1"/>
  <c r="J46"/>
  <c r="H39"/>
  <c r="F39"/>
  <c r="D39"/>
  <c r="B39"/>
  <c r="F38"/>
  <c r="D38"/>
  <c r="B38"/>
  <c r="F37"/>
  <c r="D37"/>
  <c r="B37"/>
  <c r="H36"/>
  <c r="F36"/>
  <c r="D36"/>
  <c r="B36"/>
  <c r="H35"/>
  <c r="F35"/>
  <c r="D35"/>
  <c r="B35"/>
  <c r="H34"/>
  <c r="F34"/>
  <c r="D34"/>
  <c r="B34"/>
  <c r="H33"/>
  <c r="F33"/>
  <c r="D33"/>
  <c r="B33"/>
  <c r="H32"/>
  <c r="F32"/>
  <c r="D32"/>
  <c r="B32"/>
  <c r="F31"/>
  <c r="D31"/>
  <c r="B31"/>
  <c r="H30"/>
  <c r="F30"/>
  <c r="D30"/>
  <c r="B30"/>
  <c r="H29"/>
  <c r="F29"/>
  <c r="D29"/>
  <c r="B29"/>
  <c r="H28"/>
  <c r="F28"/>
  <c r="D28"/>
  <c r="B28"/>
  <c r="H27"/>
  <c r="F27"/>
  <c r="D27"/>
  <c r="B27"/>
  <c r="H26"/>
  <c r="F26"/>
  <c r="D26"/>
  <c r="B26"/>
  <c r="H25"/>
  <c r="F25"/>
  <c r="D25"/>
  <c r="B25"/>
  <c r="H24"/>
  <c r="F24"/>
  <c r="D24"/>
  <c r="B24"/>
  <c r="H23"/>
  <c r="F23"/>
  <c r="D23"/>
  <c r="B23"/>
  <c r="H21"/>
  <c r="F21"/>
  <c r="D21"/>
  <c r="B21"/>
  <c r="F20"/>
  <c r="D20"/>
  <c r="B20"/>
  <c r="H19"/>
  <c r="F19"/>
  <c r="D19"/>
  <c r="B19"/>
  <c r="H18"/>
  <c r="F18"/>
  <c r="D18"/>
  <c r="B18"/>
  <c r="H17"/>
  <c r="F17"/>
  <c r="D17"/>
  <c r="B17"/>
  <c r="H16"/>
  <c r="F16"/>
  <c r="D16"/>
  <c r="B16"/>
  <c r="H15"/>
  <c r="F15"/>
  <c r="D15"/>
  <c r="B15"/>
  <c r="H14"/>
  <c r="F14"/>
  <c r="D14"/>
  <c r="B14"/>
  <c r="H13"/>
  <c r="F13"/>
  <c r="D13"/>
  <c r="B13"/>
  <c r="H12"/>
  <c r="F12"/>
  <c r="D12"/>
  <c r="B12"/>
  <c r="H11"/>
  <c r="F11"/>
  <c r="D11"/>
  <c r="B11"/>
  <c r="A3"/>
  <c r="H39" i="95"/>
  <c r="F39"/>
  <c r="D39"/>
  <c r="B39"/>
  <c r="F38"/>
  <c r="D38"/>
  <c r="F37"/>
  <c r="D37"/>
  <c r="B37"/>
  <c r="H36"/>
  <c r="J119" i="91" s="1"/>
  <c r="J156" s="1"/>
  <c r="F36" i="95"/>
  <c r="H119" i="91" s="1"/>
  <c r="H156" s="1"/>
  <c r="D36" i="95"/>
  <c r="F119" i="91" s="1"/>
  <c r="F156" s="1"/>
  <c r="B36" i="95"/>
  <c r="D119" i="91" s="1"/>
  <c r="D156" s="1"/>
  <c r="H35" i="95"/>
  <c r="F35"/>
  <c r="D35"/>
  <c r="B35"/>
  <c r="H34"/>
  <c r="F34"/>
  <c r="D34"/>
  <c r="B34"/>
  <c r="H33"/>
  <c r="F33"/>
  <c r="D33"/>
  <c r="B33"/>
  <c r="H32"/>
  <c r="F32"/>
  <c r="D32"/>
  <c r="B32"/>
  <c r="F31"/>
  <c r="D31"/>
  <c r="B31"/>
  <c r="H30"/>
  <c r="F30"/>
  <c r="D30"/>
  <c r="B30"/>
  <c r="H29"/>
  <c r="F29"/>
  <c r="D29"/>
  <c r="B29"/>
  <c r="H28"/>
  <c r="F28"/>
  <c r="D28"/>
  <c r="B28"/>
  <c r="H27"/>
  <c r="F27"/>
  <c r="D27"/>
  <c r="B27"/>
  <c r="H26"/>
  <c r="F26"/>
  <c r="D26"/>
  <c r="B26"/>
  <c r="H25"/>
  <c r="F25"/>
  <c r="D25"/>
  <c r="B25"/>
  <c r="H24"/>
  <c r="F24"/>
  <c r="D24"/>
  <c r="B24"/>
  <c r="H23"/>
  <c r="F23"/>
  <c r="D23"/>
  <c r="B23"/>
  <c r="H21"/>
  <c r="F21"/>
  <c r="D21"/>
  <c r="B21"/>
  <c r="F20"/>
  <c r="D20"/>
  <c r="B20"/>
  <c r="H19"/>
  <c r="F19"/>
  <c r="D19"/>
  <c r="B19"/>
  <c r="H18"/>
  <c r="F18"/>
  <c r="D18"/>
  <c r="B18"/>
  <c r="H17"/>
  <c r="F17"/>
  <c r="D17"/>
  <c r="B17"/>
  <c r="H16"/>
  <c r="F16"/>
  <c r="D16"/>
  <c r="B16"/>
  <c r="H15"/>
  <c r="F15"/>
  <c r="D15"/>
  <c r="B15"/>
  <c r="H14"/>
  <c r="F14"/>
  <c r="D14"/>
  <c r="B14"/>
  <c r="H13"/>
  <c r="F13"/>
  <c r="D13"/>
  <c r="B13"/>
  <c r="H12"/>
  <c r="J113" i="91" s="1"/>
  <c r="F12" i="95"/>
  <c r="H113" i="91" s="1"/>
  <c r="H150" s="1"/>
  <c r="D12" i="95"/>
  <c r="F113" i="91" s="1"/>
  <c r="B12" i="95"/>
  <c r="D113" i="91" s="1"/>
  <c r="D150" s="1"/>
  <c r="H11" i="95"/>
  <c r="F11"/>
  <c r="D11"/>
  <c r="B11"/>
  <c r="A3"/>
  <c r="Q45" i="94"/>
  <c r="O45"/>
  <c r="M45"/>
  <c r="K45"/>
  <c r="I45"/>
  <c r="G45"/>
  <c r="E45"/>
  <c r="C44"/>
  <c r="S44" s="1"/>
  <c r="C179" i="156" s="1"/>
  <c r="C43" i="94"/>
  <c r="S43" s="1"/>
  <c r="C178" i="156" s="1"/>
  <c r="Q38" i="94"/>
  <c r="C33"/>
  <c r="S33" s="1"/>
  <c r="C172" i="156" s="1"/>
  <c r="I172" s="1"/>
  <c r="K172" s="1"/>
  <c r="Q26" i="94"/>
  <c r="O26"/>
  <c r="I26"/>
  <c r="G26"/>
  <c r="E26"/>
  <c r="K26"/>
  <c r="M26"/>
  <c r="Q13"/>
  <c r="O13"/>
  <c r="K13"/>
  <c r="I13"/>
  <c r="G13"/>
  <c r="E13"/>
  <c r="M13"/>
  <c r="A3"/>
  <c r="M13" i="93"/>
  <c r="K11"/>
  <c r="M11" s="1"/>
  <c r="I11"/>
  <c r="E11"/>
  <c r="M9"/>
  <c r="M8"/>
  <c r="Q186" i="92"/>
  <c r="O186"/>
  <c r="K186"/>
  <c r="I186"/>
  <c r="G186"/>
  <c r="E186"/>
  <c r="O178"/>
  <c r="K178"/>
  <c r="I178"/>
  <c r="G178"/>
  <c r="E178"/>
  <c r="C178"/>
  <c r="Q178"/>
  <c r="S178"/>
  <c r="Q171"/>
  <c r="O171"/>
  <c r="K171"/>
  <c r="I171"/>
  <c r="G171"/>
  <c r="E171"/>
  <c r="Q170"/>
  <c r="O170"/>
  <c r="K170"/>
  <c r="I170"/>
  <c r="G170"/>
  <c r="E170"/>
  <c r="Q169"/>
  <c r="Q172" s="1"/>
  <c r="Q180" s="1"/>
  <c r="Q189" s="1"/>
  <c r="O169"/>
  <c r="K169"/>
  <c r="I169"/>
  <c r="G169"/>
  <c r="G172" s="1"/>
  <c r="G180" s="1"/>
  <c r="G189" s="1"/>
  <c r="E169"/>
  <c r="Q166"/>
  <c r="O166"/>
  <c r="K166"/>
  <c r="I166"/>
  <c r="G166"/>
  <c r="E166"/>
  <c r="C166"/>
  <c r="S166"/>
  <c r="Q150"/>
  <c r="O150"/>
  <c r="K150"/>
  <c r="I150"/>
  <c r="G150"/>
  <c r="E150"/>
  <c r="C150"/>
  <c r="S150"/>
  <c r="Q134"/>
  <c r="O134"/>
  <c r="K134"/>
  <c r="I134"/>
  <c r="G134"/>
  <c r="E134"/>
  <c r="S105"/>
  <c r="Q105"/>
  <c r="O105"/>
  <c r="K105"/>
  <c r="I105"/>
  <c r="G105"/>
  <c r="E105"/>
  <c r="C105"/>
  <c r="Q94"/>
  <c r="Q96" s="1"/>
  <c r="O94"/>
  <c r="O96" s="1"/>
  <c r="K94"/>
  <c r="K96" s="1"/>
  <c r="I94"/>
  <c r="I96" s="1"/>
  <c r="G94"/>
  <c r="G96" s="1"/>
  <c r="E94"/>
  <c r="E96" s="1"/>
  <c r="Q86"/>
  <c r="Q88" s="1"/>
  <c r="O86"/>
  <c r="O88" s="1"/>
  <c r="K86"/>
  <c r="K88" s="1"/>
  <c r="I86"/>
  <c r="I88" s="1"/>
  <c r="G86"/>
  <c r="G88" s="1"/>
  <c r="E86"/>
  <c r="E88" s="1"/>
  <c r="C86"/>
  <c r="C88" s="1"/>
  <c r="S85"/>
  <c r="S86" s="1"/>
  <c r="S88" s="1"/>
  <c r="Q78"/>
  <c r="O78"/>
  <c r="K78"/>
  <c r="I78"/>
  <c r="G78"/>
  <c r="E78"/>
  <c r="C78"/>
  <c r="S77"/>
  <c r="S76"/>
  <c r="S75"/>
  <c r="S74"/>
  <c r="S73"/>
  <c r="Q70"/>
  <c r="O70"/>
  <c r="K70"/>
  <c r="I70"/>
  <c r="G70"/>
  <c r="E70"/>
  <c r="C70"/>
  <c r="S69"/>
  <c r="S68"/>
  <c r="S67"/>
  <c r="S66"/>
  <c r="S65"/>
  <c r="S64"/>
  <c r="S63"/>
  <c r="Q59"/>
  <c r="O59"/>
  <c r="O80" s="1"/>
  <c r="K59"/>
  <c r="K80" s="1"/>
  <c r="I59"/>
  <c r="I80" s="1"/>
  <c r="G59"/>
  <c r="E59"/>
  <c r="E80" s="1"/>
  <c r="C59"/>
  <c r="C80" s="1"/>
  <c r="S58"/>
  <c r="S57"/>
  <c r="Q48"/>
  <c r="Q50" s="1"/>
  <c r="O48"/>
  <c r="O50" s="1"/>
  <c r="K48"/>
  <c r="K50" s="1"/>
  <c r="I48"/>
  <c r="I50" s="1"/>
  <c r="G48"/>
  <c r="G50" s="1"/>
  <c r="E48"/>
  <c r="E50" s="1"/>
  <c r="C48"/>
  <c r="C50" s="1"/>
  <c r="S47"/>
  <c r="S46"/>
  <c r="Q39"/>
  <c r="Q41" s="1"/>
  <c r="O39"/>
  <c r="O41" s="1"/>
  <c r="K39"/>
  <c r="K41" s="1"/>
  <c r="I39"/>
  <c r="I41" s="1"/>
  <c r="G39"/>
  <c r="G41" s="1"/>
  <c r="E39"/>
  <c r="E41" s="1"/>
  <c r="C39"/>
  <c r="C41" s="1"/>
  <c r="S38"/>
  <c r="S39" s="1"/>
  <c r="S41" s="1"/>
  <c r="Q31"/>
  <c r="Q23"/>
  <c r="Q13"/>
  <c r="S12"/>
  <c r="A3"/>
  <c r="R282" i="91"/>
  <c r="P282"/>
  <c r="N282"/>
  <c r="L282"/>
  <c r="J282"/>
  <c r="H282"/>
  <c r="F282"/>
  <c r="D282"/>
  <c r="N281"/>
  <c r="N280"/>
  <c r="R277"/>
  <c r="P277"/>
  <c r="N277"/>
  <c r="L277"/>
  <c r="H277"/>
  <c r="F277"/>
  <c r="D277"/>
  <c r="T276"/>
  <c r="T275"/>
  <c r="J274"/>
  <c r="Z287" s="1"/>
  <c r="H270"/>
  <c r="F270"/>
  <c r="D270"/>
  <c r="H269"/>
  <c r="F269"/>
  <c r="D269"/>
  <c r="R268"/>
  <c r="H268"/>
  <c r="F268"/>
  <c r="D268"/>
  <c r="R264"/>
  <c r="P264"/>
  <c r="N264"/>
  <c r="L264"/>
  <c r="J264"/>
  <c r="H264"/>
  <c r="F264"/>
  <c r="D264"/>
  <c r="R263"/>
  <c r="P263"/>
  <c r="N263"/>
  <c r="L263"/>
  <c r="J263"/>
  <c r="H263"/>
  <c r="D263"/>
  <c r="R262"/>
  <c r="P262"/>
  <c r="N262"/>
  <c r="L262"/>
  <c r="J262"/>
  <c r="H262"/>
  <c r="F262"/>
  <c r="D262"/>
  <c r="R261"/>
  <c r="P261"/>
  <c r="N261"/>
  <c r="L261"/>
  <c r="J261"/>
  <c r="H261"/>
  <c r="D261"/>
  <c r="R260"/>
  <c r="P260"/>
  <c r="N260"/>
  <c r="L260"/>
  <c r="J260"/>
  <c r="H260"/>
  <c r="D260"/>
  <c r="R259"/>
  <c r="P259"/>
  <c r="N259"/>
  <c r="L259"/>
  <c r="J259"/>
  <c r="H259"/>
  <c r="D259"/>
  <c r="R258"/>
  <c r="N258"/>
  <c r="L258"/>
  <c r="J258"/>
  <c r="H258"/>
  <c r="D258"/>
  <c r="R257"/>
  <c r="P257"/>
  <c r="N257"/>
  <c r="L257"/>
  <c r="J257"/>
  <c r="H257"/>
  <c r="D257"/>
  <c r="R256"/>
  <c r="P256"/>
  <c r="N256"/>
  <c r="L256"/>
  <c r="J256"/>
  <c r="H256"/>
  <c r="F256"/>
  <c r="D256"/>
  <c r="R255"/>
  <c r="P255"/>
  <c r="N255"/>
  <c r="L255"/>
  <c r="J255"/>
  <c r="H255"/>
  <c r="F255"/>
  <c r="D255"/>
  <c r="R254"/>
  <c r="P254"/>
  <c r="N254"/>
  <c r="L254"/>
  <c r="J254"/>
  <c r="H254"/>
  <c r="D254"/>
  <c r="R253"/>
  <c r="N253"/>
  <c r="L253"/>
  <c r="J253"/>
  <c r="H253"/>
  <c r="D253"/>
  <c r="R252"/>
  <c r="P252"/>
  <c r="N252"/>
  <c r="L252"/>
  <c r="J252"/>
  <c r="H252"/>
  <c r="D252"/>
  <c r="R248"/>
  <c r="P248"/>
  <c r="N248"/>
  <c r="L248"/>
  <c r="J248"/>
  <c r="H248"/>
  <c r="F248"/>
  <c r="D248"/>
  <c r="R247"/>
  <c r="P247"/>
  <c r="L247"/>
  <c r="J247"/>
  <c r="H247"/>
  <c r="D247"/>
  <c r="R246"/>
  <c r="P246"/>
  <c r="N246"/>
  <c r="L246"/>
  <c r="J246"/>
  <c r="H246"/>
  <c r="F246"/>
  <c r="D246"/>
  <c r="R245"/>
  <c r="P245"/>
  <c r="L245"/>
  <c r="J245"/>
  <c r="H245"/>
  <c r="D245"/>
  <c r="R244"/>
  <c r="P244"/>
  <c r="N244"/>
  <c r="L244"/>
  <c r="J244"/>
  <c r="H244"/>
  <c r="F244"/>
  <c r="D244"/>
  <c r="R243"/>
  <c r="P243"/>
  <c r="L243"/>
  <c r="J243"/>
  <c r="H243"/>
  <c r="D243"/>
  <c r="R242"/>
  <c r="P242"/>
  <c r="L242"/>
  <c r="J242"/>
  <c r="H242"/>
  <c r="D242"/>
  <c r="R241"/>
  <c r="P241"/>
  <c r="L241"/>
  <c r="J241"/>
  <c r="D241"/>
  <c r="R240"/>
  <c r="P240"/>
  <c r="N240"/>
  <c r="L240"/>
  <c r="J240"/>
  <c r="H240"/>
  <c r="D240"/>
  <c r="R239"/>
  <c r="P239"/>
  <c r="N239"/>
  <c r="L239"/>
  <c r="J239"/>
  <c r="H239"/>
  <c r="D239"/>
  <c r="R238"/>
  <c r="P238"/>
  <c r="N238"/>
  <c r="L238"/>
  <c r="J238"/>
  <c r="H238"/>
  <c r="F238"/>
  <c r="D238"/>
  <c r="R237"/>
  <c r="P237"/>
  <c r="L237"/>
  <c r="J237"/>
  <c r="H237"/>
  <c r="D237"/>
  <c r="R236"/>
  <c r="P236"/>
  <c r="L236"/>
  <c r="J236"/>
  <c r="H236"/>
  <c r="D236"/>
  <c r="D215"/>
  <c r="R214"/>
  <c r="R215" s="1"/>
  <c r="P214"/>
  <c r="N214"/>
  <c r="N215" s="1"/>
  <c r="L214"/>
  <c r="J214"/>
  <c r="J215" s="1"/>
  <c r="H214"/>
  <c r="F214"/>
  <c r="F215" s="1"/>
  <c r="R213"/>
  <c r="P213"/>
  <c r="N213"/>
  <c r="L213"/>
  <c r="J213"/>
  <c r="H213"/>
  <c r="F213"/>
  <c r="R212"/>
  <c r="P212"/>
  <c r="T212" s="1"/>
  <c r="T215" s="1"/>
  <c r="N212"/>
  <c r="L212"/>
  <c r="L215" s="1"/>
  <c r="J212"/>
  <c r="H212"/>
  <c r="H215" s="1"/>
  <c r="F212"/>
  <c r="R208"/>
  <c r="P208"/>
  <c r="N208"/>
  <c r="L208"/>
  <c r="H208"/>
  <c r="F208"/>
  <c r="D208"/>
  <c r="R207"/>
  <c r="P207"/>
  <c r="N207"/>
  <c r="L207"/>
  <c r="H207"/>
  <c r="F207"/>
  <c r="D207"/>
  <c r="R206"/>
  <c r="P206"/>
  <c r="N206"/>
  <c r="L206"/>
  <c r="D206"/>
  <c r="R202"/>
  <c r="P202"/>
  <c r="N202"/>
  <c r="L202"/>
  <c r="H202"/>
  <c r="F202"/>
  <c r="D202"/>
  <c r="R201"/>
  <c r="P201"/>
  <c r="N201"/>
  <c r="L201"/>
  <c r="D201"/>
  <c r="R200"/>
  <c r="P200"/>
  <c r="N200"/>
  <c r="L200"/>
  <c r="J200"/>
  <c r="H200"/>
  <c r="F200"/>
  <c r="D200"/>
  <c r="R199"/>
  <c r="P199"/>
  <c r="N199"/>
  <c r="L199"/>
  <c r="H199"/>
  <c r="D199"/>
  <c r="R198"/>
  <c r="P198"/>
  <c r="N198"/>
  <c r="L198"/>
  <c r="D198"/>
  <c r="R197"/>
  <c r="P197"/>
  <c r="N197"/>
  <c r="L197"/>
  <c r="J197"/>
  <c r="D197"/>
  <c r="R196"/>
  <c r="P196"/>
  <c r="N196"/>
  <c r="L196"/>
  <c r="H196"/>
  <c r="D196"/>
  <c r="R195"/>
  <c r="P195"/>
  <c r="N195"/>
  <c r="L195"/>
  <c r="J195"/>
  <c r="D195"/>
  <c r="R194"/>
  <c r="P194"/>
  <c r="N194"/>
  <c r="L194"/>
  <c r="H194"/>
  <c r="D194"/>
  <c r="R193"/>
  <c r="P193"/>
  <c r="N193"/>
  <c r="L193"/>
  <c r="J193"/>
  <c r="D193"/>
  <c r="R192"/>
  <c r="P192"/>
  <c r="N192"/>
  <c r="L192"/>
  <c r="D192"/>
  <c r="R191"/>
  <c r="P191"/>
  <c r="N191"/>
  <c r="L191"/>
  <c r="R190"/>
  <c r="P190"/>
  <c r="N190"/>
  <c r="L190"/>
  <c r="H190"/>
  <c r="D190"/>
  <c r="R189"/>
  <c r="P189"/>
  <c r="N189"/>
  <c r="L189"/>
  <c r="H189"/>
  <c r="R188"/>
  <c r="P188"/>
  <c r="N188"/>
  <c r="L188"/>
  <c r="H188"/>
  <c r="D188"/>
  <c r="R187"/>
  <c r="P187"/>
  <c r="N187"/>
  <c r="L187"/>
  <c r="H187"/>
  <c r="D187"/>
  <c r="R186"/>
  <c r="P186"/>
  <c r="N186"/>
  <c r="L186"/>
  <c r="D186"/>
  <c r="R185"/>
  <c r="P185"/>
  <c r="N185"/>
  <c r="L185"/>
  <c r="H185"/>
  <c r="D185"/>
  <c r="R184"/>
  <c r="P184"/>
  <c r="N184"/>
  <c r="L184"/>
  <c r="J184"/>
  <c r="D184"/>
  <c r="R183"/>
  <c r="P183"/>
  <c r="N183"/>
  <c r="L183"/>
  <c r="H183"/>
  <c r="D183"/>
  <c r="R182"/>
  <c r="P182"/>
  <c r="N182"/>
  <c r="L182"/>
  <c r="D182"/>
  <c r="R172"/>
  <c r="R226" s="1"/>
  <c r="P172"/>
  <c r="P226" s="1"/>
  <c r="N172"/>
  <c r="N226" s="1"/>
  <c r="L172"/>
  <c r="L226" s="1"/>
  <c r="J172"/>
  <c r="J226" s="1"/>
  <c r="H172"/>
  <c r="H226" s="1"/>
  <c r="F172"/>
  <c r="F226" s="1"/>
  <c r="D172"/>
  <c r="D226" s="1"/>
  <c r="R171"/>
  <c r="R225" s="1"/>
  <c r="P171"/>
  <c r="P225" s="1"/>
  <c r="N171"/>
  <c r="N225" s="1"/>
  <c r="L171"/>
  <c r="L225" s="1"/>
  <c r="J171"/>
  <c r="J225" s="1"/>
  <c r="H171"/>
  <c r="H225" s="1"/>
  <c r="F171"/>
  <c r="F225" s="1"/>
  <c r="D171"/>
  <c r="D225" s="1"/>
  <c r="R170"/>
  <c r="R224" s="1"/>
  <c r="P170"/>
  <c r="P224" s="1"/>
  <c r="N170"/>
  <c r="N224" s="1"/>
  <c r="L170"/>
  <c r="L224" s="1"/>
  <c r="J170"/>
  <c r="J224" s="1"/>
  <c r="H170"/>
  <c r="H224" s="1"/>
  <c r="F170"/>
  <c r="F224" s="1"/>
  <c r="D170"/>
  <c r="D224" s="1"/>
  <c r="R169"/>
  <c r="R223" s="1"/>
  <c r="P169"/>
  <c r="P223" s="1"/>
  <c r="N169"/>
  <c r="N223" s="1"/>
  <c r="L169"/>
  <c r="L223" s="1"/>
  <c r="J169"/>
  <c r="J223" s="1"/>
  <c r="H169"/>
  <c r="H223" s="1"/>
  <c r="F169"/>
  <c r="F223" s="1"/>
  <c r="D169"/>
  <c r="D223" s="1"/>
  <c r="R168"/>
  <c r="R222" s="1"/>
  <c r="P168"/>
  <c r="P222" s="1"/>
  <c r="N168"/>
  <c r="N222" s="1"/>
  <c r="L168"/>
  <c r="L222" s="1"/>
  <c r="J168"/>
  <c r="J222" s="1"/>
  <c r="H168"/>
  <c r="H222" s="1"/>
  <c r="F168"/>
  <c r="F222" s="1"/>
  <c r="D168"/>
  <c r="D222" s="1"/>
  <c r="R167"/>
  <c r="R221" s="1"/>
  <c r="P167"/>
  <c r="P221" s="1"/>
  <c r="N167"/>
  <c r="N221" s="1"/>
  <c r="L167"/>
  <c r="L221" s="1"/>
  <c r="J167"/>
  <c r="J221" s="1"/>
  <c r="H167"/>
  <c r="H221" s="1"/>
  <c r="F167"/>
  <c r="F221" s="1"/>
  <c r="D167"/>
  <c r="D221" s="1"/>
  <c r="R166"/>
  <c r="R220" s="1"/>
  <c r="P166"/>
  <c r="P220" s="1"/>
  <c r="N166"/>
  <c r="N220" s="1"/>
  <c r="L166"/>
  <c r="L220" s="1"/>
  <c r="J166"/>
  <c r="J220" s="1"/>
  <c r="H166"/>
  <c r="H220" s="1"/>
  <c r="F166"/>
  <c r="F220" s="1"/>
  <c r="D166"/>
  <c r="D220" s="1"/>
  <c r="R165"/>
  <c r="R219" s="1"/>
  <c r="P165"/>
  <c r="P219" s="1"/>
  <c r="N165"/>
  <c r="N219" s="1"/>
  <c r="L165"/>
  <c r="L219" s="1"/>
  <c r="J165"/>
  <c r="J219" s="1"/>
  <c r="H165"/>
  <c r="H219" s="1"/>
  <c r="F165"/>
  <c r="F219" s="1"/>
  <c r="D165"/>
  <c r="D219" s="1"/>
  <c r="R164"/>
  <c r="R218" s="1"/>
  <c r="P164"/>
  <c r="P218" s="1"/>
  <c r="N164"/>
  <c r="N218" s="1"/>
  <c r="L164"/>
  <c r="L218" s="1"/>
  <c r="J164"/>
  <c r="J218" s="1"/>
  <c r="H164"/>
  <c r="H218" s="1"/>
  <c r="F164"/>
  <c r="F218" s="1"/>
  <c r="D164"/>
  <c r="D218" s="1"/>
  <c r="R158"/>
  <c r="P158"/>
  <c r="N158"/>
  <c r="R157"/>
  <c r="P157"/>
  <c r="N157"/>
  <c r="R156"/>
  <c r="P156"/>
  <c r="N156"/>
  <c r="R155"/>
  <c r="P155"/>
  <c r="N155"/>
  <c r="R154"/>
  <c r="P154"/>
  <c r="N154"/>
  <c r="R153"/>
  <c r="P153"/>
  <c r="N153"/>
  <c r="R152"/>
  <c r="P152"/>
  <c r="N152"/>
  <c r="R151"/>
  <c r="P151"/>
  <c r="N151"/>
  <c r="R150"/>
  <c r="R159" s="1"/>
  <c r="P150"/>
  <c r="P159" s="1"/>
  <c r="N150"/>
  <c r="N159" s="1"/>
  <c r="J142"/>
  <c r="H142"/>
  <c r="D142"/>
  <c r="J141"/>
  <c r="H141"/>
  <c r="D141"/>
  <c r="J140"/>
  <c r="H140"/>
  <c r="D140"/>
  <c r="AD135"/>
  <c r="D130"/>
  <c r="D131" s="1"/>
  <c r="D133" s="1"/>
  <c r="D135" s="1"/>
  <c r="R125"/>
  <c r="P125"/>
  <c r="N125"/>
  <c r="J120"/>
  <c r="J157" s="1"/>
  <c r="H120"/>
  <c r="H157" s="1"/>
  <c r="F120"/>
  <c r="F157" s="1"/>
  <c r="D120"/>
  <c r="D157" s="1"/>
  <c r="J105"/>
  <c r="J106" s="1"/>
  <c r="J108" s="1"/>
  <c r="H105"/>
  <c r="H106" s="1"/>
  <c r="H108" s="1"/>
  <c r="F105"/>
  <c r="F106" s="1"/>
  <c r="F108" s="1"/>
  <c r="D105"/>
  <c r="D106" s="1"/>
  <c r="D108" s="1"/>
  <c r="H97"/>
  <c r="D97"/>
  <c r="J96"/>
  <c r="H96"/>
  <c r="D96"/>
  <c r="J95"/>
  <c r="H95"/>
  <c r="F95"/>
  <c r="D95"/>
  <c r="J94"/>
  <c r="H94"/>
  <c r="D94"/>
  <c r="H93"/>
  <c r="D93"/>
  <c r="H89"/>
  <c r="D89"/>
  <c r="H88"/>
  <c r="D88"/>
  <c r="H87"/>
  <c r="F87"/>
  <c r="D87"/>
  <c r="J86"/>
  <c r="H86"/>
  <c r="F86"/>
  <c r="D86"/>
  <c r="H85"/>
  <c r="D85"/>
  <c r="H84"/>
  <c r="F84"/>
  <c r="D84"/>
  <c r="H83"/>
  <c r="D83"/>
  <c r="J79"/>
  <c r="H79"/>
  <c r="D79"/>
  <c r="J78"/>
  <c r="H78"/>
  <c r="D78"/>
  <c r="J70"/>
  <c r="J71" s="1"/>
  <c r="J73" s="1"/>
  <c r="H70"/>
  <c r="H71" s="1"/>
  <c r="H73" s="1"/>
  <c r="F70"/>
  <c r="D70"/>
  <c r="J69"/>
  <c r="H69"/>
  <c r="F69"/>
  <c r="D69"/>
  <c r="D71" s="1"/>
  <c r="D73" s="1"/>
  <c r="H61"/>
  <c r="H62" s="1"/>
  <c r="H64" s="1"/>
  <c r="F61"/>
  <c r="F62" s="1"/>
  <c r="F64" s="1"/>
  <c r="D61"/>
  <c r="J53"/>
  <c r="J54" s="1"/>
  <c r="J56" s="1"/>
  <c r="H53"/>
  <c r="H54" s="1"/>
  <c r="H56" s="1"/>
  <c r="F53"/>
  <c r="F54" s="1"/>
  <c r="F56" s="1"/>
  <c r="D53"/>
  <c r="D45"/>
  <c r="H43"/>
  <c r="F43"/>
  <c r="D43"/>
  <c r="D42"/>
  <c r="H34"/>
  <c r="D34"/>
  <c r="J27"/>
  <c r="D27"/>
  <c r="AB15"/>
  <c r="Z15"/>
  <c r="W15"/>
  <c r="AB14"/>
  <c r="AA14"/>
  <c r="Z14"/>
  <c r="Y14"/>
  <c r="X14"/>
  <c r="AA13"/>
  <c r="Z13"/>
  <c r="Y13"/>
  <c r="X13"/>
  <c r="V13"/>
  <c r="AB12"/>
  <c r="W12"/>
  <c r="T12"/>
  <c r="AB11"/>
  <c r="AA11"/>
  <c r="Z11"/>
  <c r="Y11"/>
  <c r="X11"/>
  <c r="W11"/>
  <c r="V11"/>
  <c r="AD11" s="1"/>
  <c r="AE11" s="1"/>
  <c r="AB10"/>
  <c r="AA10"/>
  <c r="Z10"/>
  <c r="V10"/>
  <c r="A3"/>
  <c r="S30" i="90"/>
  <c r="T281" i="91"/>
  <c r="T280"/>
  <c r="S17" i="90"/>
  <c r="T274" i="91" s="1"/>
  <c r="G14" i="90"/>
  <c r="E14"/>
  <c r="C13"/>
  <c r="C12"/>
  <c r="Q11"/>
  <c r="C11"/>
  <c r="A3"/>
  <c r="Q84" i="89"/>
  <c r="O84"/>
  <c r="M84"/>
  <c r="K84"/>
  <c r="C84"/>
  <c r="G84"/>
  <c r="C42" i="94"/>
  <c r="G76" i="89"/>
  <c r="E76"/>
  <c r="C76"/>
  <c r="R270" i="91"/>
  <c r="P270"/>
  <c r="N270"/>
  <c r="L270"/>
  <c r="J270"/>
  <c r="R269"/>
  <c r="P269"/>
  <c r="N269"/>
  <c r="L269"/>
  <c r="J269"/>
  <c r="P268"/>
  <c r="N268"/>
  <c r="L268"/>
  <c r="J268"/>
  <c r="Q69" i="89"/>
  <c r="O69"/>
  <c r="K69"/>
  <c r="C69"/>
  <c r="Q68"/>
  <c r="K68"/>
  <c r="Q67"/>
  <c r="O67"/>
  <c r="K67"/>
  <c r="C67"/>
  <c r="G64"/>
  <c r="C64"/>
  <c r="S63"/>
  <c r="F263" i="91"/>
  <c r="S61" i="89"/>
  <c r="S60"/>
  <c r="F261" i="91"/>
  <c r="S59" i="89"/>
  <c r="F260" i="91"/>
  <c r="S58" i="89"/>
  <c r="F259" i="91"/>
  <c r="P258"/>
  <c r="F258"/>
  <c r="F257"/>
  <c r="S55" i="89"/>
  <c r="S54"/>
  <c r="F254" i="91"/>
  <c r="P253"/>
  <c r="F253"/>
  <c r="S51" i="89"/>
  <c r="F252" i="91"/>
  <c r="C48" i="89"/>
  <c r="S47"/>
  <c r="N247" i="91"/>
  <c r="S46" i="89"/>
  <c r="S45"/>
  <c r="N245" i="91"/>
  <c r="S44" i="89"/>
  <c r="S43"/>
  <c r="N243" i="91"/>
  <c r="S42" i="89"/>
  <c r="N242" i="91"/>
  <c r="F242"/>
  <c r="N241"/>
  <c r="H241"/>
  <c r="F241"/>
  <c r="S39" i="89"/>
  <c r="F240" i="91"/>
  <c r="S38" i="89"/>
  <c r="F239" i="91"/>
  <c r="S37" i="89"/>
  <c r="M68"/>
  <c r="F237" i="91"/>
  <c r="N236"/>
  <c r="F236"/>
  <c r="Q32" i="89"/>
  <c r="O32"/>
  <c r="M32"/>
  <c r="K32"/>
  <c r="H201" i="91"/>
  <c r="C34" i="94"/>
  <c r="S34" s="1"/>
  <c r="C173" i="156" s="1"/>
  <c r="I173" s="1"/>
  <c r="K173" s="1"/>
  <c r="S28" i="89"/>
  <c r="S27" i="156" s="1"/>
  <c r="J199" i="91"/>
  <c r="C32" i="94"/>
  <c r="S32" s="1"/>
  <c r="C171" i="156" s="1"/>
  <c r="I171" s="1"/>
  <c r="H198" i="91"/>
  <c r="C31" i="94"/>
  <c r="S31" s="1"/>
  <c r="C170" i="156" s="1"/>
  <c r="I170" s="1"/>
  <c r="H197" i="91"/>
  <c r="C30" i="94"/>
  <c r="S30" s="1"/>
  <c r="C169" i="156" s="1"/>
  <c r="I169" s="1"/>
  <c r="K169" s="1"/>
  <c r="J196" i="91"/>
  <c r="C29" i="94"/>
  <c r="S29" s="1"/>
  <c r="C168" i="156" s="1"/>
  <c r="I168" s="1"/>
  <c r="H195" i="91"/>
  <c r="C28" i="94"/>
  <c r="J194" i="91"/>
  <c r="C25" i="94"/>
  <c r="S25" s="1"/>
  <c r="C164" i="156" s="1"/>
  <c r="I164" s="1"/>
  <c r="H193" i="91"/>
  <c r="C24" i="94"/>
  <c r="S24" s="1"/>
  <c r="C163" i="156" s="1"/>
  <c r="I163" s="1"/>
  <c r="J192" i="91"/>
  <c r="S20" i="89"/>
  <c r="S19" i="156" s="1"/>
  <c r="C23" i="94"/>
  <c r="S23" s="1"/>
  <c r="C162" i="156" s="1"/>
  <c r="I162" s="1"/>
  <c r="H191" i="91"/>
  <c r="C22" i="94"/>
  <c r="S22" s="1"/>
  <c r="C161" i="156" s="1"/>
  <c r="I161" s="1"/>
  <c r="J190" i="91"/>
  <c r="C21" i="94"/>
  <c r="S21" s="1"/>
  <c r="C160" i="156" s="1"/>
  <c r="I160" s="1"/>
  <c r="C20" i="94"/>
  <c r="S20" s="1"/>
  <c r="C159" i="156" s="1"/>
  <c r="I159" s="1"/>
  <c r="J188" i="91"/>
  <c r="C19" i="94"/>
  <c r="S19" s="1"/>
  <c r="C158" i="156" s="1"/>
  <c r="I158" s="1"/>
  <c r="C18" i="94"/>
  <c r="S18" s="1"/>
  <c r="C157" i="156" s="1"/>
  <c r="I157" s="1"/>
  <c r="H186" i="91"/>
  <c r="C17" i="94"/>
  <c r="S17" s="1"/>
  <c r="C156" i="156" s="1"/>
  <c r="I156" s="1"/>
  <c r="K156" s="1"/>
  <c r="C16" i="94"/>
  <c r="S16" s="1"/>
  <c r="C155" i="156" s="1"/>
  <c r="I155" s="1"/>
  <c r="H184" i="91"/>
  <c r="C15" i="94"/>
  <c r="C12"/>
  <c r="S12" s="1"/>
  <c r="C149" i="156" s="1"/>
  <c r="G67" i="89"/>
  <c r="C11" i="94"/>
  <c r="A3" i="89"/>
  <c r="J109" i="88"/>
  <c r="H109"/>
  <c r="D109"/>
  <c r="L108"/>
  <c r="N108" s="1"/>
  <c r="F142" i="91"/>
  <c r="F141"/>
  <c r="L106" i="88"/>
  <c r="F140" i="91"/>
  <c r="D98" i="88"/>
  <c r="D100" s="1"/>
  <c r="J90"/>
  <c r="J92" s="1"/>
  <c r="H90"/>
  <c r="H92" s="1"/>
  <c r="F90"/>
  <c r="F92" s="1"/>
  <c r="D90"/>
  <c r="D92" s="1"/>
  <c r="L89"/>
  <c r="L90" s="1"/>
  <c r="L92" s="1"/>
  <c r="H82"/>
  <c r="D82"/>
  <c r="F96" i="91"/>
  <c r="L79" i="88"/>
  <c r="N79" s="1"/>
  <c r="L78"/>
  <c r="F94" i="91"/>
  <c r="F93"/>
  <c r="H74" i="88"/>
  <c r="D74"/>
  <c r="F89" i="91"/>
  <c r="F88"/>
  <c r="L70" i="88"/>
  <c r="F85" i="91"/>
  <c r="F83"/>
  <c r="J64" i="88"/>
  <c r="H64"/>
  <c r="D64"/>
  <c r="N63"/>
  <c r="F79" i="91"/>
  <c r="F78"/>
  <c r="J55" i="88"/>
  <c r="H55"/>
  <c r="H57" s="1"/>
  <c r="F55"/>
  <c r="F57" s="1"/>
  <c r="D55"/>
  <c r="D57" s="1"/>
  <c r="L54"/>
  <c r="L53"/>
  <c r="H46"/>
  <c r="H48" s="1"/>
  <c r="F46"/>
  <c r="F48" s="1"/>
  <c r="D46"/>
  <c r="D48" s="1"/>
  <c r="J61" i="91"/>
  <c r="J62" s="1"/>
  <c r="J64" s="1"/>
  <c r="J38" i="88"/>
  <c r="J40" s="1"/>
  <c r="H38"/>
  <c r="H40" s="1"/>
  <c r="F38"/>
  <c r="F40" s="1"/>
  <c r="D38"/>
  <c r="D40" s="1"/>
  <c r="L37"/>
  <c r="L38" s="1"/>
  <c r="L40" s="1"/>
  <c r="H45" i="91"/>
  <c r="F45"/>
  <c r="F44"/>
  <c r="J41"/>
  <c r="F41"/>
  <c r="L18" i="88"/>
  <c r="N18" s="1"/>
  <c r="H27" i="91"/>
  <c r="F27"/>
  <c r="A3" i="86"/>
  <c r="N284"/>
  <c r="T285"/>
  <c r="T284"/>
  <c r="J278"/>
  <c r="J216"/>
  <c r="D30"/>
  <c r="T280"/>
  <c r="T279"/>
  <c r="R274"/>
  <c r="R273"/>
  <c r="R272"/>
  <c r="R268"/>
  <c r="R267"/>
  <c r="R266"/>
  <c r="R265"/>
  <c r="R264"/>
  <c r="R263"/>
  <c r="R262"/>
  <c r="R261"/>
  <c r="R260"/>
  <c r="R259"/>
  <c r="R258"/>
  <c r="R257"/>
  <c r="R256"/>
  <c r="R252"/>
  <c r="R251"/>
  <c r="R250"/>
  <c r="R249"/>
  <c r="R248"/>
  <c r="R247"/>
  <c r="R246"/>
  <c r="R245"/>
  <c r="R244"/>
  <c r="R243"/>
  <c r="R242"/>
  <c r="R241"/>
  <c r="R240"/>
  <c r="R212"/>
  <c r="R211"/>
  <c r="R210"/>
  <c r="R206"/>
  <c r="R205"/>
  <c r="R204"/>
  <c r="R203"/>
  <c r="R202"/>
  <c r="R201"/>
  <c r="R200"/>
  <c r="R199"/>
  <c r="R198"/>
  <c r="R197"/>
  <c r="R196"/>
  <c r="R195"/>
  <c r="R194"/>
  <c r="R193"/>
  <c r="R192"/>
  <c r="R191"/>
  <c r="R190"/>
  <c r="R189"/>
  <c r="R188"/>
  <c r="R187"/>
  <c r="R186"/>
  <c r="R176"/>
  <c r="R230" s="1"/>
  <c r="R175"/>
  <c r="R229" s="1"/>
  <c r="R174"/>
  <c r="R228" s="1"/>
  <c r="R173"/>
  <c r="R227" s="1"/>
  <c r="R172"/>
  <c r="R226" s="1"/>
  <c r="R171"/>
  <c r="R225" s="1"/>
  <c r="R170"/>
  <c r="R224" s="1"/>
  <c r="R169"/>
  <c r="R223" s="1"/>
  <c r="R168"/>
  <c r="R222" s="1"/>
  <c r="P274"/>
  <c r="P273"/>
  <c r="P272"/>
  <c r="P268"/>
  <c r="P267"/>
  <c r="P266"/>
  <c r="P265"/>
  <c r="P264"/>
  <c r="P263"/>
  <c r="P262"/>
  <c r="P261"/>
  <c r="P260"/>
  <c r="P259"/>
  <c r="P258"/>
  <c r="P257"/>
  <c r="P256"/>
  <c r="P252"/>
  <c r="P251"/>
  <c r="P250"/>
  <c r="P249"/>
  <c r="P248"/>
  <c r="P247"/>
  <c r="P246"/>
  <c r="P245"/>
  <c r="P244"/>
  <c r="P243"/>
  <c r="P242"/>
  <c r="P241"/>
  <c r="P240"/>
  <c r="P212"/>
  <c r="P211"/>
  <c r="P210"/>
  <c r="P206"/>
  <c r="P205"/>
  <c r="P204"/>
  <c r="P203"/>
  <c r="P202"/>
  <c r="P201"/>
  <c r="P200"/>
  <c r="P199"/>
  <c r="P198"/>
  <c r="P197"/>
  <c r="P196"/>
  <c r="P195"/>
  <c r="P194"/>
  <c r="P193"/>
  <c r="P192"/>
  <c r="P191"/>
  <c r="P190"/>
  <c r="P189"/>
  <c r="P188"/>
  <c r="P187"/>
  <c r="P186"/>
  <c r="P176"/>
  <c r="P230" s="1"/>
  <c r="P175"/>
  <c r="P229" s="1"/>
  <c r="P174"/>
  <c r="P228" s="1"/>
  <c r="P173"/>
  <c r="P227" s="1"/>
  <c r="P172"/>
  <c r="P226" s="1"/>
  <c r="P171"/>
  <c r="P225" s="1"/>
  <c r="P170"/>
  <c r="P224" s="1"/>
  <c r="P169"/>
  <c r="P223" s="1"/>
  <c r="P168"/>
  <c r="N274"/>
  <c r="N273"/>
  <c r="N272"/>
  <c r="N268"/>
  <c r="N267"/>
  <c r="N266"/>
  <c r="N265"/>
  <c r="N264"/>
  <c r="N263"/>
  <c r="N262"/>
  <c r="N261"/>
  <c r="N260"/>
  <c r="N259"/>
  <c r="N258"/>
  <c r="N257"/>
  <c r="N256"/>
  <c r="N252"/>
  <c r="N251"/>
  <c r="N250"/>
  <c r="N249"/>
  <c r="N248"/>
  <c r="N247"/>
  <c r="N246"/>
  <c r="N245"/>
  <c r="N244"/>
  <c r="N243"/>
  <c r="N242"/>
  <c r="N241"/>
  <c r="N240"/>
  <c r="N212"/>
  <c r="N211"/>
  <c r="N210"/>
  <c r="N206"/>
  <c r="N205"/>
  <c r="N204"/>
  <c r="N203"/>
  <c r="N202"/>
  <c r="N201"/>
  <c r="N200"/>
  <c r="N199"/>
  <c r="N198"/>
  <c r="N197"/>
  <c r="N196"/>
  <c r="N195"/>
  <c r="N194"/>
  <c r="N193"/>
  <c r="N192"/>
  <c r="N191"/>
  <c r="N190"/>
  <c r="N189"/>
  <c r="N188"/>
  <c r="N187"/>
  <c r="N186"/>
  <c r="N176"/>
  <c r="N230" s="1"/>
  <c r="N175"/>
  <c r="N229" s="1"/>
  <c r="N174"/>
  <c r="N228" s="1"/>
  <c r="N173"/>
  <c r="N227" s="1"/>
  <c r="N172"/>
  <c r="N226" s="1"/>
  <c r="N171"/>
  <c r="N225" s="1"/>
  <c r="N170"/>
  <c r="N224" s="1"/>
  <c r="N169"/>
  <c r="N223" s="1"/>
  <c r="N168"/>
  <c r="N222" s="1"/>
  <c r="L274"/>
  <c r="L273"/>
  <c r="L272"/>
  <c r="L268"/>
  <c r="L267"/>
  <c r="L266"/>
  <c r="L265"/>
  <c r="L264"/>
  <c r="L263"/>
  <c r="L262"/>
  <c r="L261"/>
  <c r="L260"/>
  <c r="L259"/>
  <c r="L258"/>
  <c r="L257"/>
  <c r="L256"/>
  <c r="L252"/>
  <c r="L251"/>
  <c r="L250"/>
  <c r="L249"/>
  <c r="L248"/>
  <c r="L247"/>
  <c r="L246"/>
  <c r="L245"/>
  <c r="L244"/>
  <c r="L243"/>
  <c r="L242"/>
  <c r="L241"/>
  <c r="L240"/>
  <c r="L212"/>
  <c r="L211"/>
  <c r="L210"/>
  <c r="L206"/>
  <c r="L205"/>
  <c r="L204"/>
  <c r="L203"/>
  <c r="L202"/>
  <c r="L201"/>
  <c r="L200"/>
  <c r="L199"/>
  <c r="L198"/>
  <c r="L197"/>
  <c r="L196"/>
  <c r="L195"/>
  <c r="L194"/>
  <c r="L193"/>
  <c r="L192"/>
  <c r="L191"/>
  <c r="L190"/>
  <c r="L189"/>
  <c r="L188"/>
  <c r="L187"/>
  <c r="L186"/>
  <c r="L176"/>
  <c r="L230" s="1"/>
  <c r="L175"/>
  <c r="L229" s="1"/>
  <c r="L174"/>
  <c r="L228" s="1"/>
  <c r="L173"/>
  <c r="L227" s="1"/>
  <c r="L172"/>
  <c r="L226" s="1"/>
  <c r="L171"/>
  <c r="L225" s="1"/>
  <c r="L170"/>
  <c r="L224" s="1"/>
  <c r="L169"/>
  <c r="L223" s="1"/>
  <c r="L168"/>
  <c r="J274"/>
  <c r="J273"/>
  <c r="J272"/>
  <c r="J268"/>
  <c r="J267"/>
  <c r="J266"/>
  <c r="J265"/>
  <c r="J264"/>
  <c r="J263"/>
  <c r="J262"/>
  <c r="J261"/>
  <c r="J260"/>
  <c r="J259"/>
  <c r="J258"/>
  <c r="J257"/>
  <c r="J256"/>
  <c r="J252"/>
  <c r="J251"/>
  <c r="J250"/>
  <c r="J249"/>
  <c r="J248"/>
  <c r="J247"/>
  <c r="J246"/>
  <c r="J245"/>
  <c r="J244"/>
  <c r="J243"/>
  <c r="J242"/>
  <c r="J241"/>
  <c r="J240"/>
  <c r="J212"/>
  <c r="J211"/>
  <c r="J210"/>
  <c r="J206"/>
  <c r="J205"/>
  <c r="J204"/>
  <c r="J203"/>
  <c r="J202"/>
  <c r="J201"/>
  <c r="J200"/>
  <c r="J199"/>
  <c r="J198"/>
  <c r="J197"/>
  <c r="J196"/>
  <c r="J195"/>
  <c r="J194"/>
  <c r="J193"/>
  <c r="J192"/>
  <c r="J191"/>
  <c r="J190"/>
  <c r="J189"/>
  <c r="J188"/>
  <c r="J187"/>
  <c r="J186"/>
  <c r="J176"/>
  <c r="J230" s="1"/>
  <c r="J175"/>
  <c r="J229" s="1"/>
  <c r="J174"/>
  <c r="J228" s="1"/>
  <c r="J173"/>
  <c r="J227" s="1"/>
  <c r="J172"/>
  <c r="J226" s="1"/>
  <c r="J171"/>
  <c r="J225" s="1"/>
  <c r="J170"/>
  <c r="J224" s="1"/>
  <c r="J169"/>
  <c r="J223" s="1"/>
  <c r="J168"/>
  <c r="J222" s="1"/>
  <c r="J146"/>
  <c r="J145"/>
  <c r="J144"/>
  <c r="J134"/>
  <c r="J124"/>
  <c r="J161" s="1"/>
  <c r="J109"/>
  <c r="J110" s="1"/>
  <c r="J112" s="1"/>
  <c r="J101"/>
  <c r="J100"/>
  <c r="J99"/>
  <c r="J98"/>
  <c r="J97"/>
  <c r="J93"/>
  <c r="J92"/>
  <c r="J91"/>
  <c r="J90"/>
  <c r="J89"/>
  <c r="J88"/>
  <c r="J87"/>
  <c r="J83"/>
  <c r="J82"/>
  <c r="J74"/>
  <c r="J75" s="1"/>
  <c r="J77" s="1"/>
  <c r="J73"/>
  <c r="J65"/>
  <c r="J66" s="1"/>
  <c r="J68" s="1"/>
  <c r="J57"/>
  <c r="J58" s="1"/>
  <c r="J60" s="1"/>
  <c r="J49"/>
  <c r="J48"/>
  <c r="J47"/>
  <c r="J46"/>
  <c r="J45"/>
  <c r="J41"/>
  <c r="J40"/>
  <c r="J39"/>
  <c r="J38"/>
  <c r="J37"/>
  <c r="J36"/>
  <c r="J35"/>
  <c r="J31"/>
  <c r="J30"/>
  <c r="H274"/>
  <c r="H273"/>
  <c r="H272"/>
  <c r="H268"/>
  <c r="H267"/>
  <c r="H266"/>
  <c r="H265"/>
  <c r="H264"/>
  <c r="H263"/>
  <c r="H262"/>
  <c r="H261"/>
  <c r="H260"/>
  <c r="H259"/>
  <c r="H258"/>
  <c r="H257"/>
  <c r="H256"/>
  <c r="H252"/>
  <c r="H251"/>
  <c r="H250"/>
  <c r="H249"/>
  <c r="H248"/>
  <c r="H247"/>
  <c r="H246"/>
  <c r="H245"/>
  <c r="H244"/>
  <c r="H243"/>
  <c r="H242"/>
  <c r="H241"/>
  <c r="H240"/>
  <c r="H212"/>
  <c r="H211"/>
  <c r="H210"/>
  <c r="H206"/>
  <c r="H205"/>
  <c r="H204"/>
  <c r="H203"/>
  <c r="H202"/>
  <c r="H201"/>
  <c r="H200"/>
  <c r="H199"/>
  <c r="H198"/>
  <c r="H197"/>
  <c r="H196"/>
  <c r="H195"/>
  <c r="H194"/>
  <c r="H193"/>
  <c r="H192"/>
  <c r="H191"/>
  <c r="H190"/>
  <c r="H189"/>
  <c r="H188"/>
  <c r="H187"/>
  <c r="H186"/>
  <c r="H176"/>
  <c r="H230" s="1"/>
  <c r="H175"/>
  <c r="H229" s="1"/>
  <c r="H174"/>
  <c r="H228" s="1"/>
  <c r="H173"/>
  <c r="H227" s="1"/>
  <c r="H172"/>
  <c r="H226" s="1"/>
  <c r="H171"/>
  <c r="H170"/>
  <c r="H224" s="1"/>
  <c r="H169"/>
  <c r="H223" s="1"/>
  <c r="H168"/>
  <c r="H146"/>
  <c r="H145"/>
  <c r="H144"/>
  <c r="H134"/>
  <c r="H135" s="1"/>
  <c r="H137" s="1"/>
  <c r="H139" s="1"/>
  <c r="H124"/>
  <c r="H161" s="1"/>
  <c r="H109"/>
  <c r="H110" s="1"/>
  <c r="H112" s="1"/>
  <c r="H101"/>
  <c r="H100"/>
  <c r="H99"/>
  <c r="H98"/>
  <c r="H97"/>
  <c r="H93"/>
  <c r="H92"/>
  <c r="H91"/>
  <c r="H90"/>
  <c r="H89"/>
  <c r="H88"/>
  <c r="H87"/>
  <c r="H83"/>
  <c r="H82"/>
  <c r="H74"/>
  <c r="H75" s="1"/>
  <c r="H77" s="1"/>
  <c r="H73"/>
  <c r="H65"/>
  <c r="H66" s="1"/>
  <c r="H68" s="1"/>
  <c r="H57"/>
  <c r="H58" s="1"/>
  <c r="H60" s="1"/>
  <c r="H49"/>
  <c r="H48"/>
  <c r="H47"/>
  <c r="H46"/>
  <c r="H45"/>
  <c r="H41"/>
  <c r="H40"/>
  <c r="H39"/>
  <c r="H38"/>
  <c r="H37"/>
  <c r="H36"/>
  <c r="H35"/>
  <c r="H31"/>
  <c r="H30"/>
  <c r="F274"/>
  <c r="F273"/>
  <c r="F272"/>
  <c r="F268"/>
  <c r="F267"/>
  <c r="F266"/>
  <c r="F265"/>
  <c r="F264"/>
  <c r="F263"/>
  <c r="F262"/>
  <c r="F261"/>
  <c r="F260"/>
  <c r="F259"/>
  <c r="F258"/>
  <c r="F257"/>
  <c r="F256"/>
  <c r="F252"/>
  <c r="F251"/>
  <c r="F250"/>
  <c r="F249"/>
  <c r="F248"/>
  <c r="F247"/>
  <c r="F246"/>
  <c r="F245"/>
  <c r="F244"/>
  <c r="F243"/>
  <c r="F242"/>
  <c r="F241"/>
  <c r="F240"/>
  <c r="F212"/>
  <c r="F211"/>
  <c r="F210"/>
  <c r="F206"/>
  <c r="F205"/>
  <c r="F204"/>
  <c r="F203"/>
  <c r="F202"/>
  <c r="F201"/>
  <c r="F200"/>
  <c r="F199"/>
  <c r="F198"/>
  <c r="F197"/>
  <c r="F196"/>
  <c r="F195"/>
  <c r="F194"/>
  <c r="F193"/>
  <c r="F192"/>
  <c r="F191"/>
  <c r="F190"/>
  <c r="F189"/>
  <c r="F188"/>
  <c r="F187"/>
  <c r="F186"/>
  <c r="F176"/>
  <c r="F230" s="1"/>
  <c r="F175"/>
  <c r="F229" s="1"/>
  <c r="F174"/>
  <c r="F228" s="1"/>
  <c r="F173"/>
  <c r="F227" s="1"/>
  <c r="F172"/>
  <c r="F226" s="1"/>
  <c r="F171"/>
  <c r="F225" s="1"/>
  <c r="F170"/>
  <c r="F224" s="1"/>
  <c r="F169"/>
  <c r="F223" s="1"/>
  <c r="F168"/>
  <c r="F222" s="1"/>
  <c r="F146"/>
  <c r="L146" s="1"/>
  <c r="F145"/>
  <c r="L145" s="1"/>
  <c r="F144"/>
  <c r="L144" s="1"/>
  <c r="F134"/>
  <c r="L134" s="1"/>
  <c r="L135" s="1"/>
  <c r="L137" s="1"/>
  <c r="L139" s="1"/>
  <c r="F124"/>
  <c r="F161" s="1"/>
  <c r="F109"/>
  <c r="L109" s="1"/>
  <c r="L110" s="1"/>
  <c r="L112" s="1"/>
  <c r="F101"/>
  <c r="L101" s="1"/>
  <c r="F100"/>
  <c r="L100" s="1"/>
  <c r="F99"/>
  <c r="F98"/>
  <c r="L98" s="1"/>
  <c r="F97"/>
  <c r="F93"/>
  <c r="L93" s="1"/>
  <c r="F92"/>
  <c r="L92" s="1"/>
  <c r="F91"/>
  <c r="L91" s="1"/>
  <c r="F90"/>
  <c r="L90" s="1"/>
  <c r="F89"/>
  <c r="L89" s="1"/>
  <c r="F88"/>
  <c r="L88" s="1"/>
  <c r="F87"/>
  <c r="F83"/>
  <c r="L83" s="1"/>
  <c r="F82"/>
  <c r="F74"/>
  <c r="F75" s="1"/>
  <c r="F77" s="1"/>
  <c r="F73"/>
  <c r="L73" s="1"/>
  <c r="F65"/>
  <c r="L65" s="1"/>
  <c r="L66" s="1"/>
  <c r="L68" s="1"/>
  <c r="F57"/>
  <c r="L57" s="1"/>
  <c r="L58" s="1"/>
  <c r="L60" s="1"/>
  <c r="F49"/>
  <c r="F48"/>
  <c r="F47"/>
  <c r="F46"/>
  <c r="L46" s="1"/>
  <c r="F45"/>
  <c r="F41"/>
  <c r="F40"/>
  <c r="F39"/>
  <c r="F38"/>
  <c r="L38" s="1"/>
  <c r="F37"/>
  <c r="L37" s="1"/>
  <c r="F36"/>
  <c r="F35"/>
  <c r="F31"/>
  <c r="L31" s="1"/>
  <c r="F30"/>
  <c r="D274"/>
  <c r="D273"/>
  <c r="D272"/>
  <c r="D268"/>
  <c r="D267"/>
  <c r="D266"/>
  <c r="D265"/>
  <c r="D264"/>
  <c r="D263"/>
  <c r="D262"/>
  <c r="D261"/>
  <c r="D260"/>
  <c r="D259"/>
  <c r="D258"/>
  <c r="D257"/>
  <c r="D256"/>
  <c r="D252"/>
  <c r="D251"/>
  <c r="D250"/>
  <c r="D249"/>
  <c r="D248"/>
  <c r="D247"/>
  <c r="D246"/>
  <c r="D245"/>
  <c r="D244"/>
  <c r="D243"/>
  <c r="D242"/>
  <c r="D241"/>
  <c r="D240"/>
  <c r="D212"/>
  <c r="D211"/>
  <c r="D210"/>
  <c r="D206"/>
  <c r="D205"/>
  <c r="D204"/>
  <c r="D203"/>
  <c r="D202"/>
  <c r="D201"/>
  <c r="D200"/>
  <c r="D199"/>
  <c r="D198"/>
  <c r="D197"/>
  <c r="D196"/>
  <c r="D195"/>
  <c r="D194"/>
  <c r="D193"/>
  <c r="D192"/>
  <c r="D191"/>
  <c r="D190"/>
  <c r="D189"/>
  <c r="D188"/>
  <c r="D187"/>
  <c r="D186"/>
  <c r="D174"/>
  <c r="D228" s="1"/>
  <c r="D173"/>
  <c r="D227" s="1"/>
  <c r="D172"/>
  <c r="D226" s="1"/>
  <c r="D171"/>
  <c r="D225" s="1"/>
  <c r="D170"/>
  <c r="D224" s="1"/>
  <c r="D169"/>
  <c r="D223" s="1"/>
  <c r="D168"/>
  <c r="D146"/>
  <c r="D145"/>
  <c r="D144"/>
  <c r="D134"/>
  <c r="D135" s="1"/>
  <c r="D137" s="1"/>
  <c r="D139" s="1"/>
  <c r="D124"/>
  <c r="D109"/>
  <c r="D110" s="1"/>
  <c r="D112" s="1"/>
  <c r="D101"/>
  <c r="D100"/>
  <c r="D99"/>
  <c r="D98"/>
  <c r="D97"/>
  <c r="D93"/>
  <c r="D92"/>
  <c r="D91"/>
  <c r="D90"/>
  <c r="D89"/>
  <c r="D88"/>
  <c r="D87"/>
  <c r="D83"/>
  <c r="D82"/>
  <c r="D74"/>
  <c r="D73"/>
  <c r="D65"/>
  <c r="D66" s="1"/>
  <c r="D68" s="1"/>
  <c r="D57"/>
  <c r="D58" s="1"/>
  <c r="D60" s="1"/>
  <c r="D49"/>
  <c r="D48"/>
  <c r="D47"/>
  <c r="D46"/>
  <c r="D45"/>
  <c r="D41"/>
  <c r="D40"/>
  <c r="D39"/>
  <c r="D38"/>
  <c r="D37"/>
  <c r="D36"/>
  <c r="D35"/>
  <c r="D31"/>
  <c r="R286"/>
  <c r="P286"/>
  <c r="L286"/>
  <c r="J286"/>
  <c r="H286"/>
  <c r="F286"/>
  <c r="D286"/>
  <c r="N286"/>
  <c r="R281"/>
  <c r="P281"/>
  <c r="N281"/>
  <c r="L281"/>
  <c r="H281"/>
  <c r="F281"/>
  <c r="D281"/>
  <c r="D219"/>
  <c r="R218"/>
  <c r="P218"/>
  <c r="N218"/>
  <c r="L218"/>
  <c r="J218"/>
  <c r="H218"/>
  <c r="F218"/>
  <c r="R217"/>
  <c r="P217"/>
  <c r="N217"/>
  <c r="L217"/>
  <c r="J217"/>
  <c r="H217"/>
  <c r="F217"/>
  <c r="R216"/>
  <c r="P216"/>
  <c r="N216"/>
  <c r="L216"/>
  <c r="L219" s="1"/>
  <c r="H216"/>
  <c r="H219" s="1"/>
  <c r="F216"/>
  <c r="R162"/>
  <c r="P162"/>
  <c r="N162"/>
  <c r="R161"/>
  <c r="P161"/>
  <c r="N161"/>
  <c r="R160"/>
  <c r="P160"/>
  <c r="N160"/>
  <c r="R159"/>
  <c r="P159"/>
  <c r="N159"/>
  <c r="R158"/>
  <c r="P158"/>
  <c r="N158"/>
  <c r="R157"/>
  <c r="P157"/>
  <c r="N157"/>
  <c r="R156"/>
  <c r="P156"/>
  <c r="N156"/>
  <c r="R155"/>
  <c r="P155"/>
  <c r="N155"/>
  <c r="R154"/>
  <c r="P154"/>
  <c r="P163" s="1"/>
  <c r="N154"/>
  <c r="AL139"/>
  <c r="J135"/>
  <c r="J137" s="1"/>
  <c r="J139" s="1"/>
  <c r="R129"/>
  <c r="P129"/>
  <c r="N129"/>
  <c r="AJ15"/>
  <c r="Y15"/>
  <c r="AJ14"/>
  <c r="AI14"/>
  <c r="AH14"/>
  <c r="AG14"/>
  <c r="Z14"/>
  <c r="AI13"/>
  <c r="AH13"/>
  <c r="AG13"/>
  <c r="Z13"/>
  <c r="V13"/>
  <c r="AJ12"/>
  <c r="Y12"/>
  <c r="AJ11"/>
  <c r="AI11"/>
  <c r="AH11"/>
  <c r="AG11"/>
  <c r="Z11"/>
  <c r="Y11"/>
  <c r="V11"/>
  <c r="AJ10"/>
  <c r="AI10"/>
  <c r="AH10"/>
  <c r="V10"/>
  <c r="J30" i="145" l="1"/>
  <c r="L55" i="121"/>
  <c r="L57" s="1"/>
  <c r="N81" i="154"/>
  <c r="J83"/>
  <c r="J85" s="1"/>
  <c r="E173" i="125"/>
  <c r="E181" s="1"/>
  <c r="E190" s="1"/>
  <c r="D65" i="140"/>
  <c r="F40" i="129"/>
  <c r="L49" i="86"/>
  <c r="T49" s="1"/>
  <c r="N13" i="97"/>
  <c r="N13" i="95"/>
  <c r="H63" i="102"/>
  <c r="F65" i="141"/>
  <c r="L75" i="110"/>
  <c r="J83"/>
  <c r="Q33" i="92"/>
  <c r="G80"/>
  <c r="Q80"/>
  <c r="I172"/>
  <c r="I180" s="1"/>
  <c r="I189" s="1"/>
  <c r="E172"/>
  <c r="E180" s="1"/>
  <c r="E189" s="1"/>
  <c r="N53" i="88"/>
  <c r="D65" i="142"/>
  <c r="D93" i="135"/>
  <c r="D64"/>
  <c r="D118"/>
  <c r="J121" i="91"/>
  <c r="J158" s="1"/>
  <c r="J84" i="86"/>
  <c r="F86" i="101"/>
  <c r="J83" i="91"/>
  <c r="L83" s="1"/>
  <c r="J84"/>
  <c r="L84" s="1"/>
  <c r="T84" s="1"/>
  <c r="L47" i="86"/>
  <c r="T47" s="1"/>
  <c r="N25" i="134"/>
  <c r="N25" i="136"/>
  <c r="K173" i="125"/>
  <c r="K181" s="1"/>
  <c r="K190" s="1"/>
  <c r="AM173"/>
  <c r="AM181" s="1"/>
  <c r="AM190" s="1"/>
  <c r="V182" i="154"/>
  <c r="V237" s="1"/>
  <c r="H84" i="86"/>
  <c r="F85" i="101"/>
  <c r="C42" i="127"/>
  <c r="S42" s="1"/>
  <c r="C43"/>
  <c r="S43" s="1"/>
  <c r="C178" i="155" s="1"/>
  <c r="N27" i="95"/>
  <c r="V176" i="154"/>
  <c r="V231" s="1"/>
  <c r="N11" i="97"/>
  <c r="C44" i="127"/>
  <c r="S44" s="1"/>
  <c r="C179" i="155" s="1"/>
  <c r="V177" i="154"/>
  <c r="V179"/>
  <c r="V234" s="1"/>
  <c r="V178"/>
  <c r="J240"/>
  <c r="O172" i="92"/>
  <c r="O180" s="1"/>
  <c r="O189" s="1"/>
  <c r="N16" i="103"/>
  <c r="N13" i="109"/>
  <c r="J95" i="141"/>
  <c r="D105"/>
  <c r="D29" i="121"/>
  <c r="D57" i="154" s="1"/>
  <c r="B65" i="107"/>
  <c r="D65"/>
  <c r="L39" i="86"/>
  <c r="T39" s="1"/>
  <c r="B13" i="101"/>
  <c r="B26" s="1"/>
  <c r="F65" i="109"/>
  <c r="B105" i="141"/>
  <c r="F105"/>
  <c r="F113" s="1"/>
  <c r="H105"/>
  <c r="H113" s="1"/>
  <c r="B82" i="101"/>
  <c r="D102" i="154"/>
  <c r="D112" s="1"/>
  <c r="L68" i="88"/>
  <c r="N68" s="1"/>
  <c r="C36" i="94"/>
  <c r="H79" i="101"/>
  <c r="J118" i="91" s="1"/>
  <c r="J155" s="1"/>
  <c r="D81" i="101"/>
  <c r="F65" i="107"/>
  <c r="F65" i="108"/>
  <c r="R213" i="86"/>
  <c r="V272" i="154"/>
  <c r="E69" i="122"/>
  <c r="O69"/>
  <c r="G69"/>
  <c r="V261" i="154"/>
  <c r="F262"/>
  <c r="N24" i="109"/>
  <c r="N88" i="101"/>
  <c r="H240" i="154"/>
  <c r="K172" i="92"/>
  <c r="K180" s="1"/>
  <c r="K189" s="1"/>
  <c r="B34" i="141"/>
  <c r="B25"/>
  <c r="N20" i="103"/>
  <c r="N21" i="107"/>
  <c r="R185" i="154"/>
  <c r="R187" s="1"/>
  <c r="J185"/>
  <c r="N24" i="103"/>
  <c r="R240" i="154"/>
  <c r="N33" i="101"/>
  <c r="S69" i="122"/>
  <c r="Q69"/>
  <c r="M69"/>
  <c r="I23" i="155"/>
  <c r="L63" i="110"/>
  <c r="J65"/>
  <c r="D138" i="102"/>
  <c r="F63"/>
  <c r="F27" i="135"/>
  <c r="V258" i="154"/>
  <c r="P185"/>
  <c r="P187" s="1"/>
  <c r="V180"/>
  <c r="N185"/>
  <c r="N187" s="1"/>
  <c r="T185"/>
  <c r="T187" s="1"/>
  <c r="H185"/>
  <c r="N240"/>
  <c r="P240"/>
  <c r="C36" i="127"/>
  <c r="F65" i="142"/>
  <c r="F93" i="135"/>
  <c r="F64" i="136"/>
  <c r="L36" i="86"/>
  <c r="T36" s="1"/>
  <c r="L40"/>
  <c r="T40" s="1"/>
  <c r="L35"/>
  <c r="T35" s="1"/>
  <c r="K162" i="156"/>
  <c r="F29" i="121"/>
  <c r="F57" i="154" s="1"/>
  <c r="H121" i="91"/>
  <c r="H158" s="1"/>
  <c r="L81" i="88"/>
  <c r="N81" s="1"/>
  <c r="L141" i="91"/>
  <c r="T141" s="1"/>
  <c r="L120"/>
  <c r="L157" s="1"/>
  <c r="D49" i="107"/>
  <c r="F13" i="101"/>
  <c r="F26" s="1"/>
  <c r="H15" i="121" s="1"/>
  <c r="B34" i="140"/>
  <c r="L94" i="91"/>
  <c r="T94" s="1"/>
  <c r="J43"/>
  <c r="L43" s="1"/>
  <c r="T43" s="1"/>
  <c r="J117"/>
  <c r="J154" s="1"/>
  <c r="B34" i="108"/>
  <c r="C84" i="122"/>
  <c r="N50" i="103"/>
  <c r="P50" s="1"/>
  <c r="J80" i="91"/>
  <c r="J130"/>
  <c r="J131" s="1"/>
  <c r="J133" s="1"/>
  <c r="J135" s="1"/>
  <c r="D13" i="101"/>
  <c r="D26" s="1"/>
  <c r="F41" i="107"/>
  <c r="L14" i="150"/>
  <c r="O173" i="125"/>
  <c r="O181" s="1"/>
  <c r="O190" s="1"/>
  <c r="T46" i="86"/>
  <c r="J51" i="101"/>
  <c r="D84"/>
  <c r="B56" i="107"/>
  <c r="G67" i="122"/>
  <c r="N36" i="95"/>
  <c r="T240" i="154"/>
  <c r="V181"/>
  <c r="V236" s="1"/>
  <c r="T284"/>
  <c r="T304" s="1"/>
  <c r="N30" i="97"/>
  <c r="F185" i="154"/>
  <c r="X187" s="1"/>
  <c r="X14" s="1"/>
  <c r="F240"/>
  <c r="J50" i="134"/>
  <c r="L50" s="1"/>
  <c r="P50" s="1"/>
  <c r="H138" i="102"/>
  <c r="B131"/>
  <c r="D40" i="129"/>
  <c r="L41" i="86"/>
  <c r="T41" s="1"/>
  <c r="N20" i="97"/>
  <c r="R431" i="119"/>
  <c r="Q67" i="122"/>
  <c r="J195" i="154"/>
  <c r="J211"/>
  <c r="S67" i="122"/>
  <c r="N14" i="101"/>
  <c r="N19" i="107"/>
  <c r="N38" i="95"/>
  <c r="N18" i="97"/>
  <c r="N47" i="107"/>
  <c r="N24" i="95"/>
  <c r="T171" i="91"/>
  <c r="T225" s="1"/>
  <c r="N15" i="97"/>
  <c r="N42" i="101"/>
  <c r="N54" i="107"/>
  <c r="N22" i="109"/>
  <c r="N39" i="103"/>
  <c r="N54"/>
  <c r="N83"/>
  <c r="U28" i="122"/>
  <c r="S27" i="155" s="1"/>
  <c r="L71" i="88"/>
  <c r="N71" s="1"/>
  <c r="F81" i="101"/>
  <c r="D147" i="102"/>
  <c r="B50" i="107"/>
  <c r="F52"/>
  <c r="N11" i="138"/>
  <c r="N12" s="1"/>
  <c r="T170" i="91"/>
  <c r="T224" s="1"/>
  <c r="N17" i="101"/>
  <c r="N17" i="103"/>
  <c r="N21"/>
  <c r="N25"/>
  <c r="N18" i="109"/>
  <c r="N57"/>
  <c r="T169" i="91"/>
  <c r="T223" s="1"/>
  <c r="N23" i="95"/>
  <c r="N14" i="97"/>
  <c r="N89" i="101"/>
  <c r="N82" i="103"/>
  <c r="N12" i="97"/>
  <c r="N44" i="101"/>
  <c r="N53" i="109"/>
  <c r="M67" i="122"/>
  <c r="N19" i="97"/>
  <c r="N28"/>
  <c r="N32"/>
  <c r="N14" i="103"/>
  <c r="N23" i="107"/>
  <c r="N16" i="109"/>
  <c r="N29"/>
  <c r="N42"/>
  <c r="N92" i="134"/>
  <c r="N33" i="97"/>
  <c r="N18" i="101"/>
  <c r="N31"/>
  <c r="N18" i="103"/>
  <c r="N19" i="109"/>
  <c r="N20"/>
  <c r="T286" i="86"/>
  <c r="T287" s="1"/>
  <c r="N14" i="130"/>
  <c r="D78" i="135"/>
  <c r="L30" i="86"/>
  <c r="L32" s="1"/>
  <c r="F78" i="135"/>
  <c r="Q32" i="122"/>
  <c r="L97" i="88"/>
  <c r="L98" s="1"/>
  <c r="L100" s="1"/>
  <c r="F82" i="101"/>
  <c r="J98" i="91"/>
  <c r="H102" i="154"/>
  <c r="H112" s="1"/>
  <c r="L73" i="88"/>
  <c r="N73" s="1"/>
  <c r="N18" i="128"/>
  <c r="N27"/>
  <c r="J147" i="86"/>
  <c r="J150" s="1"/>
  <c r="L253"/>
  <c r="L269"/>
  <c r="T199"/>
  <c r="L69" i="88"/>
  <c r="N69" s="1"/>
  <c r="D82" i="101"/>
  <c r="F56" i="107"/>
  <c r="J21" i="108"/>
  <c r="L21" s="1"/>
  <c r="J82" i="88"/>
  <c r="N35" i="128"/>
  <c r="N18" i="134"/>
  <c r="N34" i="136"/>
  <c r="N41" i="140"/>
  <c r="N44"/>
  <c r="N47"/>
  <c r="N54"/>
  <c r="B59" i="141"/>
  <c r="N31" i="142"/>
  <c r="J443" i="152"/>
  <c r="B80" i="101"/>
  <c r="N23" i="128"/>
  <c r="H142" i="135"/>
  <c r="N46" i="136"/>
  <c r="N85"/>
  <c r="J85" i="91"/>
  <c r="L85" s="1"/>
  <c r="T85" s="1"/>
  <c r="J87"/>
  <c r="L87" s="1"/>
  <c r="T87" s="1"/>
  <c r="B79" i="101"/>
  <c r="D118" i="91" s="1"/>
  <c r="D155" s="1"/>
  <c r="B85" i="101"/>
  <c r="F45" i="107"/>
  <c r="H52"/>
  <c r="N13" i="140"/>
  <c r="N58" i="142"/>
  <c r="J11" i="146"/>
  <c r="H25" i="153"/>
  <c r="H50" s="1"/>
  <c r="P25"/>
  <c r="P50" s="1"/>
  <c r="G84" i="122"/>
  <c r="M84"/>
  <c r="Q84"/>
  <c r="V98" i="154"/>
  <c r="T37" i="86"/>
  <c r="T190"/>
  <c r="T259"/>
  <c r="T267"/>
  <c r="H98" i="88"/>
  <c r="H100" s="1"/>
  <c r="J129" i="102"/>
  <c r="L129" s="1"/>
  <c r="J135"/>
  <c r="L135" s="1"/>
  <c r="J137"/>
  <c r="L137" s="1"/>
  <c r="H49" i="107"/>
  <c r="S68" i="122"/>
  <c r="F98" i="88"/>
  <c r="F100" s="1"/>
  <c r="K171" i="156"/>
  <c r="H117" i="91"/>
  <c r="H154" s="1"/>
  <c r="F121"/>
  <c r="F158" s="1"/>
  <c r="H130"/>
  <c r="H131" s="1"/>
  <c r="H133" s="1"/>
  <c r="H135" s="1"/>
  <c r="D79" i="101"/>
  <c r="F118" i="91" s="1"/>
  <c r="F155" s="1"/>
  <c r="B147" i="102"/>
  <c r="F49" i="107"/>
  <c r="F50"/>
  <c r="N56"/>
  <c r="J117" i="137"/>
  <c r="J98" i="141"/>
  <c r="L98" s="1"/>
  <c r="D52" i="136"/>
  <c r="F52"/>
  <c r="N73" i="154"/>
  <c r="N74" s="1"/>
  <c r="N76" s="1"/>
  <c r="L48" i="86"/>
  <c r="T48" s="1"/>
  <c r="T194"/>
  <c r="T206"/>
  <c r="T263"/>
  <c r="R275"/>
  <c r="J130" i="102"/>
  <c r="L130" s="1"/>
  <c r="J134"/>
  <c r="L134" s="1"/>
  <c r="J136"/>
  <c r="L136" s="1"/>
  <c r="F102" i="154"/>
  <c r="F112" s="1"/>
  <c r="D32" i="86"/>
  <c r="D50"/>
  <c r="T188"/>
  <c r="T192"/>
  <c r="T204"/>
  <c r="D213"/>
  <c r="T257"/>
  <c r="T261"/>
  <c r="T265"/>
  <c r="D275"/>
  <c r="F213"/>
  <c r="F275"/>
  <c r="H32"/>
  <c r="H94"/>
  <c r="H213"/>
  <c r="H253"/>
  <c r="H269"/>
  <c r="H275"/>
  <c r="J32"/>
  <c r="J42"/>
  <c r="J50"/>
  <c r="J94"/>
  <c r="J102"/>
  <c r="J213"/>
  <c r="J269"/>
  <c r="N207"/>
  <c r="N213"/>
  <c r="N269"/>
  <c r="T212"/>
  <c r="P253"/>
  <c r="P269"/>
  <c r="P275"/>
  <c r="R207"/>
  <c r="R253"/>
  <c r="R269"/>
  <c r="D80" i="91"/>
  <c r="J89"/>
  <c r="L89" s="1"/>
  <c r="T89" s="1"/>
  <c r="F117"/>
  <c r="F154" s="1"/>
  <c r="D121"/>
  <c r="D158" s="1"/>
  <c r="F130"/>
  <c r="F131" s="1"/>
  <c r="F133" s="1"/>
  <c r="F135" s="1"/>
  <c r="H82" i="101"/>
  <c r="D86"/>
  <c r="F131" i="102"/>
  <c r="H41" i="107"/>
  <c r="B45"/>
  <c r="B52"/>
  <c r="H56"/>
  <c r="B36" i="136"/>
  <c r="J19" i="138"/>
  <c r="L19" s="1"/>
  <c r="P19" s="1"/>
  <c r="N13" i="107"/>
  <c r="N21" i="109"/>
  <c r="N26" i="95"/>
  <c r="N35"/>
  <c r="N16" i="101"/>
  <c r="N19"/>
  <c r="N40"/>
  <c r="N54"/>
  <c r="N88" i="103"/>
  <c r="N52" i="107"/>
  <c r="N17" i="95"/>
  <c r="N21"/>
  <c r="N13" i="101"/>
  <c r="N33" i="103"/>
  <c r="N17" i="109"/>
  <c r="N43" i="101"/>
  <c r="O68" i="122"/>
  <c r="M68"/>
  <c r="M32"/>
  <c r="O32"/>
  <c r="S31" i="89"/>
  <c r="N34" i="95"/>
  <c r="N24" i="101"/>
  <c r="N29"/>
  <c r="N13" i="103"/>
  <c r="N29"/>
  <c r="N40"/>
  <c r="N17" i="107"/>
  <c r="N24"/>
  <c r="N82" i="101"/>
  <c r="S32" i="122"/>
  <c r="N20" i="128"/>
  <c r="L177" i="86"/>
  <c r="N32" i="109"/>
  <c r="N15" i="107"/>
  <c r="N15" i="109"/>
  <c r="N17" i="134"/>
  <c r="N15" i="101"/>
  <c r="N66"/>
  <c r="N87"/>
  <c r="N45" i="103"/>
  <c r="N54" i="109"/>
  <c r="N55"/>
  <c r="N63"/>
  <c r="N21" i="142"/>
  <c r="N24"/>
  <c r="N19" i="103"/>
  <c r="N35" i="134"/>
  <c r="T165" i="91"/>
  <c r="T219" s="1"/>
  <c r="N20" i="95"/>
  <c r="N25"/>
  <c r="N29"/>
  <c r="N16" i="97"/>
  <c r="N39"/>
  <c r="N61" i="101"/>
  <c r="N80"/>
  <c r="N31" i="103"/>
  <c r="N42"/>
  <c r="N61"/>
  <c r="N29" i="107"/>
  <c r="N32"/>
  <c r="N42"/>
  <c r="N51"/>
  <c r="N58"/>
  <c r="N23" i="109"/>
  <c r="N47"/>
  <c r="N58"/>
  <c r="N82" i="134"/>
  <c r="N32" i="136"/>
  <c r="N11" i="142"/>
  <c r="J197" i="154"/>
  <c r="N22" i="103"/>
  <c r="N22" i="134"/>
  <c r="N23" i="103"/>
  <c r="N22" i="101"/>
  <c r="N15" i="103"/>
  <c r="D34" i="109"/>
  <c r="F91" i="103"/>
  <c r="F40" i="96"/>
  <c r="N19" i="140"/>
  <c r="N89" i="134"/>
  <c r="N87"/>
  <c r="N30" i="136"/>
  <c r="N16" i="128"/>
  <c r="N37" i="130"/>
  <c r="N17" i="140"/>
  <c r="N30"/>
  <c r="N15" i="142"/>
  <c r="H177" i="86"/>
  <c r="P177"/>
  <c r="P179" s="1"/>
  <c r="N25" i="128"/>
  <c r="N33" i="130"/>
  <c r="N42" i="134"/>
  <c r="N91"/>
  <c r="N33" i="142"/>
  <c r="F443" i="152"/>
  <c r="N29" i="130"/>
  <c r="N275" i="86"/>
  <c r="F269"/>
  <c r="T201"/>
  <c r="H207"/>
  <c r="E68" i="122"/>
  <c r="C20" i="127"/>
  <c r="S20" s="1"/>
  <c r="C159" i="155" s="1"/>
  <c r="I159" s="1"/>
  <c r="K160" s="1"/>
  <c r="H52" i="134"/>
  <c r="B52"/>
  <c r="J50" i="136"/>
  <c r="L50" s="1"/>
  <c r="P50" s="1"/>
  <c r="H36"/>
  <c r="B93"/>
  <c r="B151" i="135"/>
  <c r="H47" i="136"/>
  <c r="H52"/>
  <c r="B52"/>
  <c r="B78" i="134"/>
  <c r="D112" i="135"/>
  <c r="H13" i="134"/>
  <c r="F13"/>
  <c r="F27" s="1"/>
  <c r="F86"/>
  <c r="J86" s="1"/>
  <c r="L86" s="1"/>
  <c r="J17" i="138"/>
  <c r="L17" s="1"/>
  <c r="P17" s="1"/>
  <c r="F102" i="86"/>
  <c r="L45"/>
  <c r="L99"/>
  <c r="T99" s="1"/>
  <c r="H225"/>
  <c r="T243"/>
  <c r="T247"/>
  <c r="T251"/>
  <c r="J98" i="88"/>
  <c r="J100" s="1"/>
  <c r="H13" i="101"/>
  <c r="D85"/>
  <c r="B91" i="103"/>
  <c r="F25" i="108"/>
  <c r="F34"/>
  <c r="H59"/>
  <c r="D52" i="134"/>
  <c r="H112" i="135"/>
  <c r="J51" i="136"/>
  <c r="L51" s="1"/>
  <c r="J82" i="141"/>
  <c r="J99"/>
  <c r="L99" s="1"/>
  <c r="L103"/>
  <c r="C94" i="92"/>
  <c r="C96" s="1"/>
  <c r="F79" i="101"/>
  <c r="H118" i="91" s="1"/>
  <c r="H155" s="1"/>
  <c r="F84" i="101"/>
  <c r="B86"/>
  <c r="D41" i="107"/>
  <c r="B25" i="108"/>
  <c r="D59"/>
  <c r="B40" i="128"/>
  <c r="B43" s="1"/>
  <c r="F83" i="134"/>
  <c r="J83" s="1"/>
  <c r="L83" s="1"/>
  <c r="B27" i="136"/>
  <c r="T241" i="86"/>
  <c r="D207"/>
  <c r="D253"/>
  <c r="F207"/>
  <c r="H102"/>
  <c r="H147"/>
  <c r="H150" s="1"/>
  <c r="J253"/>
  <c r="L207"/>
  <c r="L213"/>
  <c r="P207"/>
  <c r="P213"/>
  <c r="L79" i="91"/>
  <c r="T79" s="1"/>
  <c r="J74" i="88"/>
  <c r="K164" i="156"/>
  <c r="D90" i="91"/>
  <c r="J88"/>
  <c r="D98"/>
  <c r="D227"/>
  <c r="J202"/>
  <c r="T202" s="1"/>
  <c r="S93" i="92"/>
  <c r="S94" s="1"/>
  <c r="S96" s="1"/>
  <c r="B40" i="96"/>
  <c r="B81" i="101"/>
  <c r="N86"/>
  <c r="H147" i="102"/>
  <c r="B49" i="107"/>
  <c r="N49"/>
  <c r="D52"/>
  <c r="B13" i="134"/>
  <c r="B27" s="1"/>
  <c r="N19"/>
  <c r="H36"/>
  <c r="J51"/>
  <c r="N132" i="154" s="1"/>
  <c r="N169" s="1"/>
  <c r="F52" i="134"/>
  <c r="F93" i="136"/>
  <c r="N20" i="140"/>
  <c r="B92" i="141"/>
  <c r="N83" i="136"/>
  <c r="N84"/>
  <c r="L25" i="153"/>
  <c r="L50" s="1"/>
  <c r="V283" i="154"/>
  <c r="V282"/>
  <c r="V281"/>
  <c r="N30" i="101"/>
  <c r="N32"/>
  <c r="N34"/>
  <c r="N39"/>
  <c r="N41"/>
  <c r="N43" i="103"/>
  <c r="N90"/>
  <c r="N16" i="107"/>
  <c r="N18"/>
  <c r="N30"/>
  <c r="N41"/>
  <c r="N46"/>
  <c r="N48"/>
  <c r="N31" i="109"/>
  <c r="N33"/>
  <c r="N14" i="134"/>
  <c r="N15"/>
  <c r="N85"/>
  <c r="N23" i="136"/>
  <c r="N41"/>
  <c r="N43"/>
  <c r="N90"/>
  <c r="N14" i="142"/>
  <c r="N16"/>
  <c r="N42"/>
  <c r="J142" i="102"/>
  <c r="L142" s="1"/>
  <c r="J143"/>
  <c r="L143" s="1"/>
  <c r="J12" i="129"/>
  <c r="L12" s="1"/>
  <c r="J14"/>
  <c r="L14" s="1"/>
  <c r="J15"/>
  <c r="L15" s="1"/>
  <c r="J16"/>
  <c r="L16" s="1"/>
  <c r="F74"/>
  <c r="D147" i="86"/>
  <c r="N16" i="134"/>
  <c r="K160" i="156"/>
  <c r="N253" i="86"/>
  <c r="K171" i="155"/>
  <c r="K158"/>
  <c r="D46" i="154"/>
  <c r="C77" i="155"/>
  <c r="C103" s="1"/>
  <c r="H46" i="154"/>
  <c r="G77" i="155"/>
  <c r="G103" s="1"/>
  <c r="I101" i="156"/>
  <c r="K101" s="1"/>
  <c r="M101" s="1"/>
  <c r="F274" i="157" s="1"/>
  <c r="D274" s="1"/>
  <c r="K75" i="156"/>
  <c r="I81"/>
  <c r="I103"/>
  <c r="K103" s="1"/>
  <c r="M103" s="1"/>
  <c r="F152" i="157" s="1"/>
  <c r="D152" s="1"/>
  <c r="K77" i="156"/>
  <c r="M77" s="1"/>
  <c r="I104"/>
  <c r="K104" s="1"/>
  <c r="M104" s="1"/>
  <c r="F214" i="157" s="1"/>
  <c r="D214" s="1"/>
  <c r="K78" i="156"/>
  <c r="M78" s="1"/>
  <c r="I97"/>
  <c r="I100"/>
  <c r="K90"/>
  <c r="I106"/>
  <c r="K106" s="1"/>
  <c r="M106" s="1"/>
  <c r="F234" i="157" s="1"/>
  <c r="D234" s="1"/>
  <c r="K96" i="156"/>
  <c r="M96" s="1"/>
  <c r="I15" i="122"/>
  <c r="U15" s="1"/>
  <c r="S14" i="155" s="1"/>
  <c r="I14" i="156"/>
  <c r="J205" i="154"/>
  <c r="I20" i="155"/>
  <c r="I25" i="122"/>
  <c r="J209" i="154" s="1"/>
  <c r="I24" i="156"/>
  <c r="E149" i="155"/>
  <c r="E150"/>
  <c r="I150" s="1"/>
  <c r="G151"/>
  <c r="I151" s="1"/>
  <c r="G149"/>
  <c r="T213" i="154"/>
  <c r="Q28" i="155"/>
  <c r="T211" i="154"/>
  <c r="Q26" i="155"/>
  <c r="T209" i="154"/>
  <c r="Q24" i="155"/>
  <c r="T207" i="154"/>
  <c r="Q22" i="155"/>
  <c r="T205" i="154"/>
  <c r="Q20" i="155"/>
  <c r="T203" i="154"/>
  <c r="Q18" i="155"/>
  <c r="T201" i="154"/>
  <c r="Q16" i="155"/>
  <c r="T199" i="154"/>
  <c r="Q14" i="155"/>
  <c r="T197" i="154"/>
  <c r="Q12" i="155"/>
  <c r="T195" i="154"/>
  <c r="Q10" i="155"/>
  <c r="R215" i="154"/>
  <c r="O29" i="155"/>
  <c r="R212" i="154"/>
  <c r="O27" i="155"/>
  <c r="R210" i="154"/>
  <c r="O25" i="155"/>
  <c r="R208" i="154"/>
  <c r="O23" i="155"/>
  <c r="R206" i="154"/>
  <c r="O21" i="155"/>
  <c r="R204" i="154"/>
  <c r="O19" i="155"/>
  <c r="R202" i="154"/>
  <c r="O17" i="155"/>
  <c r="R200" i="154"/>
  <c r="O15" i="155"/>
  <c r="R198" i="154"/>
  <c r="O13" i="155"/>
  <c r="R196" i="154"/>
  <c r="O11" i="155"/>
  <c r="R194" i="154"/>
  <c r="O9" i="155"/>
  <c r="P213" i="154"/>
  <c r="M28" i="155"/>
  <c r="P211" i="154"/>
  <c r="M26" i="155"/>
  <c r="P209" i="154"/>
  <c r="M24" i="155"/>
  <c r="P207" i="154"/>
  <c r="M22" i="155"/>
  <c r="P205" i="154"/>
  <c r="M20" i="155"/>
  <c r="P203" i="154"/>
  <c r="M18" i="155"/>
  <c r="P201" i="154"/>
  <c r="M16" i="155"/>
  <c r="P199" i="154"/>
  <c r="M14" i="155"/>
  <c r="P197" i="154"/>
  <c r="M12" i="155"/>
  <c r="P195" i="154"/>
  <c r="M10" i="155"/>
  <c r="N215" i="154"/>
  <c r="K29" i="155"/>
  <c r="N212" i="154"/>
  <c r="K27" i="155"/>
  <c r="N210" i="154"/>
  <c r="K25" i="155"/>
  <c r="N208" i="154"/>
  <c r="K23" i="155"/>
  <c r="N206" i="154"/>
  <c r="K21" i="155"/>
  <c r="N204" i="154"/>
  <c r="K19" i="155"/>
  <c r="N202" i="154"/>
  <c r="K17" i="155"/>
  <c r="N200" i="154"/>
  <c r="K15" i="155"/>
  <c r="N198" i="154"/>
  <c r="K13" i="155"/>
  <c r="N196" i="154"/>
  <c r="K11" i="155"/>
  <c r="N194" i="154"/>
  <c r="K9" i="155"/>
  <c r="H215" i="154"/>
  <c r="G29" i="155"/>
  <c r="H212" i="154"/>
  <c r="G27" i="155"/>
  <c r="H210" i="154"/>
  <c r="G25" i="155"/>
  <c r="E30" i="156"/>
  <c r="E34"/>
  <c r="T215" i="154"/>
  <c r="Q29" i="155"/>
  <c r="T212" i="154"/>
  <c r="Q27" i="155"/>
  <c r="T210" i="154"/>
  <c r="Q25" i="155"/>
  <c r="T208" i="154"/>
  <c r="Q23" i="155"/>
  <c r="T206" i="154"/>
  <c r="Q21" i="155"/>
  <c r="T204" i="154"/>
  <c r="Q19" i="155"/>
  <c r="T202" i="154"/>
  <c r="Q17" i="155"/>
  <c r="T200" i="154"/>
  <c r="Q15" i="155"/>
  <c r="T198" i="154"/>
  <c r="Q13" i="155"/>
  <c r="T196" i="154"/>
  <c r="Q11" i="155"/>
  <c r="T194" i="154"/>
  <c r="Q9" i="155"/>
  <c r="R213" i="154"/>
  <c r="O28" i="155"/>
  <c r="R211" i="154"/>
  <c r="O26" i="155"/>
  <c r="R209" i="154"/>
  <c r="O24" i="155"/>
  <c r="R207" i="154"/>
  <c r="O22" i="155"/>
  <c r="R205" i="154"/>
  <c r="O20" i="155"/>
  <c r="R203" i="154"/>
  <c r="O18" i="155"/>
  <c r="R201" i="154"/>
  <c r="O16" i="155"/>
  <c r="R199" i="154"/>
  <c r="O14" i="155"/>
  <c r="R197" i="154"/>
  <c r="O12" i="155"/>
  <c r="R195" i="154"/>
  <c r="O10" i="155"/>
  <c r="P215" i="154"/>
  <c r="M29" i="155"/>
  <c r="P212" i="154"/>
  <c r="M27" i="155"/>
  <c r="P210" i="154"/>
  <c r="M25" i="155"/>
  <c r="P208" i="154"/>
  <c r="M23" i="155"/>
  <c r="P206" i="154"/>
  <c r="M21" i="155"/>
  <c r="P204" i="154"/>
  <c r="M19" i="155"/>
  <c r="P202" i="154"/>
  <c r="M17" i="155"/>
  <c r="P200" i="154"/>
  <c r="M15" i="155"/>
  <c r="P198" i="154"/>
  <c r="M13" i="155"/>
  <c r="P196" i="154"/>
  <c r="M11" i="155"/>
  <c r="P194" i="154"/>
  <c r="M9" i="155"/>
  <c r="N213" i="154"/>
  <c r="K28" i="155"/>
  <c r="N211" i="154"/>
  <c r="K26" i="155"/>
  <c r="N209" i="154"/>
  <c r="K24" i="155"/>
  <c r="N207" i="154"/>
  <c r="K22" i="155"/>
  <c r="N205" i="154"/>
  <c r="K20" i="155"/>
  <c r="N203" i="154"/>
  <c r="K18" i="155"/>
  <c r="N201" i="154"/>
  <c r="K16" i="155"/>
  <c r="N199" i="154"/>
  <c r="K14" i="155"/>
  <c r="N197" i="154"/>
  <c r="K12" i="155"/>
  <c r="N195" i="154"/>
  <c r="K10" i="155"/>
  <c r="H211" i="154"/>
  <c r="G26" i="155"/>
  <c r="H203" i="154"/>
  <c r="G18" i="155"/>
  <c r="H201" i="154"/>
  <c r="G16" i="155"/>
  <c r="H199" i="154"/>
  <c r="G14" i="155"/>
  <c r="G34" i="156"/>
  <c r="G30"/>
  <c r="H195" i="154"/>
  <c r="G10" i="155"/>
  <c r="F215" i="154"/>
  <c r="E29" i="155"/>
  <c r="F212" i="154"/>
  <c r="E27" i="155"/>
  <c r="F210" i="154"/>
  <c r="E25" i="155"/>
  <c r="F208" i="154"/>
  <c r="E23" i="155"/>
  <c r="F206" i="154"/>
  <c r="E21" i="155"/>
  <c r="F204" i="154"/>
  <c r="E19" i="155"/>
  <c r="F202" i="154"/>
  <c r="E17" i="155"/>
  <c r="F200" i="154"/>
  <c r="E15" i="155"/>
  <c r="F198" i="154"/>
  <c r="E13" i="155"/>
  <c r="K162"/>
  <c r="K164"/>
  <c r="J17" i="129"/>
  <c r="L17" s="1"/>
  <c r="J23"/>
  <c r="L23" s="1"/>
  <c r="J24"/>
  <c r="L24" s="1"/>
  <c r="J102" i="135"/>
  <c r="L102" s="1"/>
  <c r="J103"/>
  <c r="L103" s="1"/>
  <c r="J104"/>
  <c r="L104" s="1"/>
  <c r="J105"/>
  <c r="L105" s="1"/>
  <c r="J106"/>
  <c r="L106" s="1"/>
  <c r="J107"/>
  <c r="L107" s="1"/>
  <c r="H27" i="136"/>
  <c r="J92" i="154"/>
  <c r="R284"/>
  <c r="R304" s="1"/>
  <c r="N284"/>
  <c r="N304" s="1"/>
  <c r="H284"/>
  <c r="H304" s="1"/>
  <c r="AE304" s="1"/>
  <c r="AE15" s="1"/>
  <c r="D284"/>
  <c r="D304" s="1"/>
  <c r="D305" s="1"/>
  <c r="G36" i="156"/>
  <c r="E35"/>
  <c r="P284" i="154"/>
  <c r="P304" s="1"/>
  <c r="F284"/>
  <c r="G35" i="156"/>
  <c r="G151"/>
  <c r="I151" s="1"/>
  <c r="E150"/>
  <c r="I150" s="1"/>
  <c r="E149"/>
  <c r="G149"/>
  <c r="F46" i="154"/>
  <c r="E77" i="155"/>
  <c r="I102" i="156"/>
  <c r="K102" s="1"/>
  <c r="M102" s="1"/>
  <c r="F192" i="157" s="1"/>
  <c r="D192" s="1"/>
  <c r="K76" i="156"/>
  <c r="M76" s="1"/>
  <c r="I105"/>
  <c r="K105" s="1"/>
  <c r="M105" s="1"/>
  <c r="F172" i="157" s="1"/>
  <c r="D172" s="1"/>
  <c r="K95" i="156"/>
  <c r="M95" s="1"/>
  <c r="J186" i="91"/>
  <c r="I13" i="156"/>
  <c r="I23" i="122"/>
  <c r="U23" s="1"/>
  <c r="S22" i="155" s="1"/>
  <c r="I22" i="156"/>
  <c r="I25"/>
  <c r="I29" i="122"/>
  <c r="J213" i="154" s="1"/>
  <c r="I28" i="156"/>
  <c r="U20" i="122"/>
  <c r="S19" i="155" s="1"/>
  <c r="I19"/>
  <c r="C97"/>
  <c r="O34" i="156"/>
  <c r="O30"/>
  <c r="K34"/>
  <c r="K30"/>
  <c r="H208" i="154"/>
  <c r="G23" i="155"/>
  <c r="H206" i="154"/>
  <c r="G21" i="155"/>
  <c r="H204" i="154"/>
  <c r="G19" i="155"/>
  <c r="H202" i="154"/>
  <c r="G17" i="155"/>
  <c r="H200" i="154"/>
  <c r="G15" i="155"/>
  <c r="F211" i="154"/>
  <c r="E26" i="155"/>
  <c r="F209" i="154"/>
  <c r="E24" i="155"/>
  <c r="F201" i="154"/>
  <c r="E16" i="155"/>
  <c r="F199" i="154"/>
  <c r="E14" i="155"/>
  <c r="F197" i="154"/>
  <c r="E12" i="155"/>
  <c r="F195" i="154"/>
  <c r="E10" i="155"/>
  <c r="Q43"/>
  <c r="S40"/>
  <c r="E97"/>
  <c r="E86"/>
  <c r="K85"/>
  <c r="Q30" i="156"/>
  <c r="Q34"/>
  <c r="M30"/>
  <c r="M34"/>
  <c r="H197" i="154"/>
  <c r="G12" i="155"/>
  <c r="C34"/>
  <c r="K158" i="156"/>
  <c r="O43" i="155"/>
  <c r="K43"/>
  <c r="G43"/>
  <c r="C43"/>
  <c r="G97"/>
  <c r="Q36" i="156"/>
  <c r="O35"/>
  <c r="M36"/>
  <c r="K35"/>
  <c r="S42" i="155"/>
  <c r="S41"/>
  <c r="M43"/>
  <c r="E43"/>
  <c r="M93"/>
  <c r="Q35" i="156"/>
  <c r="O36"/>
  <c r="M35"/>
  <c r="K36"/>
  <c r="E36"/>
  <c r="C36" i="155"/>
  <c r="T197" i="86"/>
  <c r="I38" i="94"/>
  <c r="G173" i="125"/>
  <c r="G181" s="1"/>
  <c r="G190" s="1"/>
  <c r="R181" i="152"/>
  <c r="N40" i="134"/>
  <c r="F40" i="128"/>
  <c r="F43" s="1"/>
  <c r="L275" i="86"/>
  <c r="D42"/>
  <c r="N44" i="134"/>
  <c r="H26" i="102"/>
  <c r="F46"/>
  <c r="D91"/>
  <c r="D110"/>
  <c r="F147"/>
  <c r="J108" i="135"/>
  <c r="L108" s="1"/>
  <c r="L91" i="141"/>
  <c r="B34" i="142"/>
  <c r="F34"/>
  <c r="J53" i="108"/>
  <c r="L53" s="1"/>
  <c r="D47" i="134"/>
  <c r="H47"/>
  <c r="B84" i="101"/>
  <c r="T31" i="86"/>
  <c r="D269"/>
  <c r="T245"/>
  <c r="T249"/>
  <c r="F76" i="102"/>
  <c r="H91"/>
  <c r="N85" i="101"/>
  <c r="N50" i="107"/>
  <c r="H93" i="136"/>
  <c r="M173" i="125"/>
  <c r="M181" s="1"/>
  <c r="M190" s="1"/>
  <c r="I173"/>
  <c r="I181" s="1"/>
  <c r="I190" s="1"/>
  <c r="F151" i="135"/>
  <c r="B22" i="138"/>
  <c r="B25" s="1"/>
  <c r="F22"/>
  <c r="F25" s="1"/>
  <c r="L66" i="129"/>
  <c r="N11" i="128"/>
  <c r="N21"/>
  <c r="N24"/>
  <c r="N30"/>
  <c r="N32"/>
  <c r="N34"/>
  <c r="N36"/>
  <c r="N12" i="130"/>
  <c r="N15"/>
  <c r="N17"/>
  <c r="N19"/>
  <c r="N26"/>
  <c r="N36"/>
  <c r="N62" i="134"/>
  <c r="N83"/>
  <c r="N42" i="140"/>
  <c r="N53"/>
  <c r="N57"/>
  <c r="N45" i="136"/>
  <c r="N55"/>
  <c r="O84" i="122"/>
  <c r="S84"/>
  <c r="T167" i="91"/>
  <c r="T221" s="1"/>
  <c r="N209"/>
  <c r="R209"/>
  <c r="N31" i="95"/>
  <c r="N21" i="101"/>
  <c r="N23"/>
  <c r="N25"/>
  <c r="N45"/>
  <c r="N51"/>
  <c r="N83"/>
  <c r="N90"/>
  <c r="N30" i="103"/>
  <c r="N32"/>
  <c r="N34"/>
  <c r="N41"/>
  <c r="N44"/>
  <c r="N66"/>
  <c r="N87"/>
  <c r="N89"/>
  <c r="N11" i="107"/>
  <c r="N14"/>
  <c r="N20"/>
  <c r="N22"/>
  <c r="N31"/>
  <c r="N33"/>
  <c r="N53"/>
  <c r="N55"/>
  <c r="N57"/>
  <c r="N63"/>
  <c r="N11" i="109"/>
  <c r="N14"/>
  <c r="N30"/>
  <c r="N41"/>
  <c r="N46"/>
  <c r="N48"/>
  <c r="N12" i="128"/>
  <c r="N28"/>
  <c r="N39"/>
  <c r="N21" i="134"/>
  <c r="N31"/>
  <c r="N33"/>
  <c r="N45"/>
  <c r="N55"/>
  <c r="N84"/>
  <c r="N86"/>
  <c r="N88"/>
  <c r="N18" i="140"/>
  <c r="N22"/>
  <c r="N46"/>
  <c r="N48"/>
  <c r="N63"/>
  <c r="N50"/>
  <c r="N20" i="101"/>
  <c r="F25" i="109"/>
  <c r="D26" i="102"/>
  <c r="F84" i="86"/>
  <c r="H50"/>
  <c r="H42"/>
  <c r="AK20" i="154"/>
  <c r="J28" i="129"/>
  <c r="L28" s="1"/>
  <c r="J29"/>
  <c r="L29" s="1"/>
  <c r="J27"/>
  <c r="L27" s="1"/>
  <c r="J21"/>
  <c r="L21" s="1"/>
  <c r="J20"/>
  <c r="L20" s="1"/>
  <c r="J19"/>
  <c r="L19" s="1"/>
  <c r="J18"/>
  <c r="L18" s="1"/>
  <c r="J13"/>
  <c r="L13" s="1"/>
  <c r="F36" i="136"/>
  <c r="J33"/>
  <c r="L33" s="1"/>
  <c r="P33" s="1"/>
  <c r="B37" i="139"/>
  <c r="B40" s="1"/>
  <c r="D59" i="141"/>
  <c r="D68" s="1"/>
  <c r="N44" i="136"/>
  <c r="N40"/>
  <c r="N20" i="134"/>
  <c r="N24"/>
  <c r="N49" i="140"/>
  <c r="N52"/>
  <c r="N56"/>
  <c r="N51"/>
  <c r="F253" i="86"/>
  <c r="L147"/>
  <c r="L150" s="1"/>
  <c r="N155" i="154"/>
  <c r="N158" s="1"/>
  <c r="F94" i="86"/>
  <c r="H14" i="100"/>
  <c r="F14"/>
  <c r="D14"/>
  <c r="J73" i="121"/>
  <c r="I96" i="155" s="1"/>
  <c r="K96" s="1"/>
  <c r="M96" s="1"/>
  <c r="J72" i="121"/>
  <c r="I95" i="155" s="1"/>
  <c r="K95" s="1"/>
  <c r="M95" s="1"/>
  <c r="J71" i="121"/>
  <c r="I94" i="155" s="1"/>
  <c r="K94" s="1"/>
  <c r="M94" s="1"/>
  <c r="J69" i="121"/>
  <c r="I92" i="155" s="1"/>
  <c r="K92" s="1"/>
  <c r="M92" s="1"/>
  <c r="D47" i="136"/>
  <c r="J68" i="121"/>
  <c r="I91" i="155" s="1"/>
  <c r="K91" s="1"/>
  <c r="M91" s="1"/>
  <c r="J67" i="121"/>
  <c r="I90" i="155" s="1"/>
  <c r="J110" i="104"/>
  <c r="J92" i="136"/>
  <c r="L92" s="1"/>
  <c r="P92" s="1"/>
  <c r="B64"/>
  <c r="J52" i="137"/>
  <c r="J35" i="136"/>
  <c r="L35" s="1"/>
  <c r="P35" s="1"/>
  <c r="H21" i="106"/>
  <c r="H81" i="101"/>
  <c r="J81" i="121"/>
  <c r="D34" i="142"/>
  <c r="J77" i="121"/>
  <c r="L77" s="1"/>
  <c r="B83" i="141"/>
  <c r="J56" i="142"/>
  <c r="L56" s="1"/>
  <c r="P56" s="1"/>
  <c r="H22" i="112"/>
  <c r="J44" i="91"/>
  <c r="F22" i="112"/>
  <c r="J13" i="116"/>
  <c r="J20"/>
  <c r="J20" i="149"/>
  <c r="J97" i="121"/>
  <c r="J98" s="1"/>
  <c r="J100" s="1"/>
  <c r="H98"/>
  <c r="H100" s="1"/>
  <c r="F98"/>
  <c r="F100" s="1"/>
  <c r="R329" i="119"/>
  <c r="R331" s="1"/>
  <c r="N44" i="107"/>
  <c r="H399" i="119"/>
  <c r="H453"/>
  <c r="F132" i="157"/>
  <c r="D132" s="1"/>
  <c r="H331" i="119"/>
  <c r="AO118" i="125"/>
  <c r="I14" i="122"/>
  <c r="I12"/>
  <c r="J196" i="154" s="1"/>
  <c r="I67" i="89"/>
  <c r="H85" i="101"/>
  <c r="H45" i="107"/>
  <c r="H50"/>
  <c r="T38" i="86"/>
  <c r="T198"/>
  <c r="T200"/>
  <c r="T202"/>
  <c r="T211"/>
  <c r="T242"/>
  <c r="T244"/>
  <c r="T246"/>
  <c r="T248"/>
  <c r="T250"/>
  <c r="T252"/>
  <c r="T187"/>
  <c r="T189"/>
  <c r="T191"/>
  <c r="T193"/>
  <c r="T195"/>
  <c r="T205"/>
  <c r="T258"/>
  <c r="T260"/>
  <c r="T262"/>
  <c r="T264"/>
  <c r="T266"/>
  <c r="T268"/>
  <c r="J29" i="103"/>
  <c r="L29" s="1"/>
  <c r="D151" i="135"/>
  <c r="H151"/>
  <c r="B47" i="136"/>
  <c r="D64"/>
  <c r="B78"/>
  <c r="D93"/>
  <c r="H59" i="140"/>
  <c r="H84" i="101"/>
  <c r="H86"/>
  <c r="L271" i="91"/>
  <c r="T282"/>
  <c r="T283" s="1"/>
  <c r="D40" i="96"/>
  <c r="H40"/>
  <c r="J90" i="103"/>
  <c r="L90" s="1"/>
  <c r="D25" i="107"/>
  <c r="F25" i="121" s="1"/>
  <c r="F53" i="154" s="1"/>
  <c r="H25" i="107"/>
  <c r="B34"/>
  <c r="D26" i="121" s="1"/>
  <c r="D54" i="154" s="1"/>
  <c r="J54" i="107"/>
  <c r="L54" s="1"/>
  <c r="J58"/>
  <c r="L58" s="1"/>
  <c r="H78" i="135"/>
  <c r="H96" s="1"/>
  <c r="D25" i="108"/>
  <c r="H25"/>
  <c r="D34"/>
  <c r="H34"/>
  <c r="AO78" i="125"/>
  <c r="B26" i="102"/>
  <c r="F26"/>
  <c r="D46"/>
  <c r="D76"/>
  <c r="H76"/>
  <c r="F91"/>
  <c r="N78" i="88"/>
  <c r="N70"/>
  <c r="H84"/>
  <c r="D84"/>
  <c r="J46" i="104"/>
  <c r="N55" i="140"/>
  <c r="H78" i="136"/>
  <c r="J22" i="108"/>
  <c r="L22" s="1"/>
  <c r="J23"/>
  <c r="L23" s="1"/>
  <c r="H59" i="141"/>
  <c r="H68" s="1"/>
  <c r="H111" i="110"/>
  <c r="H68" i="98"/>
  <c r="S48" i="92"/>
  <c r="S50" s="1"/>
  <c r="L55" i="88"/>
  <c r="L57" s="1"/>
  <c r="D161" i="86"/>
  <c r="L96" i="91"/>
  <c r="T96" s="1"/>
  <c r="L142"/>
  <c r="T142" s="1"/>
  <c r="F34"/>
  <c r="L34" s="1"/>
  <c r="T34" s="1"/>
  <c r="H143"/>
  <c r="H146" s="1"/>
  <c r="F227"/>
  <c r="J227"/>
  <c r="N227"/>
  <c r="R227"/>
  <c r="L203"/>
  <c r="P203"/>
  <c r="R249"/>
  <c r="D265"/>
  <c r="N265"/>
  <c r="R265"/>
  <c r="D46" i="101"/>
  <c r="P50"/>
  <c r="J62"/>
  <c r="L62" s="1"/>
  <c r="J87"/>
  <c r="L87" s="1"/>
  <c r="B25" i="142"/>
  <c r="AI20" i="154"/>
  <c r="H64" i="136"/>
  <c r="N84" i="101"/>
  <c r="B19" i="111"/>
  <c r="B22" s="1"/>
  <c r="J18"/>
  <c r="L18" s="1"/>
  <c r="P18" s="1"/>
  <c r="N53" i="121"/>
  <c r="D143" i="91"/>
  <c r="J143"/>
  <c r="J146" s="1"/>
  <c r="H227"/>
  <c r="L227"/>
  <c r="P227"/>
  <c r="R203"/>
  <c r="J249"/>
  <c r="L265"/>
  <c r="D271"/>
  <c r="H271"/>
  <c r="D40" i="95"/>
  <c r="D43" s="1"/>
  <c r="D74" i="96"/>
  <c r="D26" i="103"/>
  <c r="F35"/>
  <c r="D46"/>
  <c r="B59" i="108"/>
  <c r="F59"/>
  <c r="B83"/>
  <c r="B92"/>
  <c r="L88"/>
  <c r="L89"/>
  <c r="B34" i="109"/>
  <c r="H40" i="130"/>
  <c r="H43" s="1"/>
  <c r="J12" i="144"/>
  <c r="L12" s="1"/>
  <c r="J271" i="91"/>
  <c r="N271"/>
  <c r="C14" i="90"/>
  <c r="H90" i="91"/>
  <c r="J121" i="135"/>
  <c r="L121" s="1"/>
  <c r="J125"/>
  <c r="L125" s="1"/>
  <c r="B134"/>
  <c r="F134"/>
  <c r="J132"/>
  <c r="L132" s="1"/>
  <c r="J133"/>
  <c r="L133" s="1"/>
  <c r="D37" i="139"/>
  <c r="D40" s="1"/>
  <c r="H37"/>
  <c r="H40" s="1"/>
  <c r="D25" i="140"/>
  <c r="H25"/>
  <c r="H59" i="142"/>
  <c r="J57" i="88"/>
  <c r="T273" i="86"/>
  <c r="T196"/>
  <c r="T274"/>
  <c r="V117" i="154"/>
  <c r="V118" s="1"/>
  <c r="V120" s="1"/>
  <c r="V65"/>
  <c r="V66" s="1"/>
  <c r="V68" s="1"/>
  <c r="P219" i="86"/>
  <c r="AO48" i="125"/>
  <c r="AO50" s="1"/>
  <c r="J207" i="86"/>
  <c r="J275"/>
  <c r="N23" i="140"/>
  <c r="T203" i="86"/>
  <c r="T216"/>
  <c r="T218"/>
  <c r="T217"/>
  <c r="N29" i="140"/>
  <c r="N32" i="142"/>
  <c r="N46"/>
  <c r="V152" i="154"/>
  <c r="V155" s="1"/>
  <c r="V158" s="1"/>
  <c r="J12" i="130"/>
  <c r="L12" s="1"/>
  <c r="J15"/>
  <c r="L15" s="1"/>
  <c r="J17"/>
  <c r="L17" s="1"/>
  <c r="J24"/>
  <c r="L24" s="1"/>
  <c r="P24" s="1"/>
  <c r="J25" i="129"/>
  <c r="L25" s="1"/>
  <c r="J26"/>
  <c r="L26" s="1"/>
  <c r="J28" i="130"/>
  <c r="L28" s="1"/>
  <c r="P28" s="1"/>
  <c r="J30"/>
  <c r="L30" s="1"/>
  <c r="P30" s="1"/>
  <c r="J32" i="129"/>
  <c r="L32" s="1"/>
  <c r="J34" i="130"/>
  <c r="L34" s="1"/>
  <c r="P34" s="1"/>
  <c r="J36"/>
  <c r="L36" s="1"/>
  <c r="J39"/>
  <c r="L39" s="1"/>
  <c r="P39" s="1"/>
  <c r="F68" i="98"/>
  <c r="I26" i="122"/>
  <c r="J16" i="121"/>
  <c r="I75" i="155" s="1"/>
  <c r="J18" i="121"/>
  <c r="I77" i="155" s="1"/>
  <c r="I103" s="1"/>
  <c r="H84" i="121"/>
  <c r="D162" i="154"/>
  <c r="H69" i="131"/>
  <c r="H38" i="140"/>
  <c r="J133" i="154"/>
  <c r="J170" s="1"/>
  <c r="D129"/>
  <c r="D166" s="1"/>
  <c r="D221"/>
  <c r="D219"/>
  <c r="J212"/>
  <c r="J208"/>
  <c r="J204"/>
  <c r="J200"/>
  <c r="L70" i="91"/>
  <c r="L71" s="1"/>
  <c r="L73" s="1"/>
  <c r="H80"/>
  <c r="F271"/>
  <c r="H74" i="96"/>
  <c r="F40" i="97"/>
  <c r="F43" s="1"/>
  <c r="J32"/>
  <c r="L32" s="1"/>
  <c r="J34"/>
  <c r="L34" s="1"/>
  <c r="P34" s="1"/>
  <c r="J36"/>
  <c r="L36" s="1"/>
  <c r="P36" s="1"/>
  <c r="J39"/>
  <c r="L39" s="1"/>
  <c r="J29" i="101"/>
  <c r="L29" s="1"/>
  <c r="B110" i="102"/>
  <c r="B22" i="105"/>
  <c r="B25" s="1"/>
  <c r="F22"/>
  <c r="F25" s="1"/>
  <c r="J17"/>
  <c r="L17" s="1"/>
  <c r="P17" s="1"/>
  <c r="J21"/>
  <c r="L21" s="1"/>
  <c r="P21" s="1"/>
  <c r="B59" i="109"/>
  <c r="F59"/>
  <c r="J14" i="111"/>
  <c r="L14" s="1"/>
  <c r="P14" s="1"/>
  <c r="J16"/>
  <c r="L16" s="1"/>
  <c r="P16" s="1"/>
  <c r="D64" i="134"/>
  <c r="H64"/>
  <c r="F37" i="139"/>
  <c r="F40" s="1"/>
  <c r="H25" i="142"/>
  <c r="N92" i="154"/>
  <c r="N82"/>
  <c r="H40" i="95"/>
  <c r="H43" s="1"/>
  <c r="J25" i="121"/>
  <c r="J27"/>
  <c r="J29"/>
  <c r="I31" i="122"/>
  <c r="I29" i="155" s="1"/>
  <c r="J57" i="121"/>
  <c r="D84"/>
  <c r="J162" i="154"/>
  <c r="B69" i="131"/>
  <c r="H93" i="134"/>
  <c r="J130" i="154"/>
  <c r="J167" s="1"/>
  <c r="B38" i="140"/>
  <c r="D133" i="154"/>
  <c r="D170" s="1"/>
  <c r="J129"/>
  <c r="J166" s="1"/>
  <c r="D220"/>
  <c r="C171" i="92"/>
  <c r="S171" s="1"/>
  <c r="J206" i="154"/>
  <c r="J202"/>
  <c r="J144" i="102"/>
  <c r="L144" s="1"/>
  <c r="J145"/>
  <c r="L145" s="1"/>
  <c r="J138" i="135"/>
  <c r="L138" s="1"/>
  <c r="J139"/>
  <c r="L139" s="1"/>
  <c r="J148"/>
  <c r="L148" s="1"/>
  <c r="J13" i="149"/>
  <c r="L16"/>
  <c r="L20" s="1"/>
  <c r="V92" i="154"/>
  <c r="J284"/>
  <c r="N203" i="91"/>
  <c r="R36" i="120"/>
  <c r="R39" s="1"/>
  <c r="T221" i="154"/>
  <c r="T220"/>
  <c r="T219"/>
  <c r="R220"/>
  <c r="R221"/>
  <c r="R219"/>
  <c r="P221"/>
  <c r="P220"/>
  <c r="P219"/>
  <c r="N221"/>
  <c r="N219"/>
  <c r="R88" i="152"/>
  <c r="R192"/>
  <c r="N220" i="154"/>
  <c r="H219"/>
  <c r="N81" i="103"/>
  <c r="R52" i="152"/>
  <c r="H221" i="154"/>
  <c r="H220"/>
  <c r="F221"/>
  <c r="F219"/>
  <c r="F220"/>
  <c r="H129"/>
  <c r="H166" s="1"/>
  <c r="F38" i="140"/>
  <c r="H133" i="154"/>
  <c r="H170" s="1"/>
  <c r="F34" i="107"/>
  <c r="F34" i="109"/>
  <c r="F34" i="140"/>
  <c r="F25" i="142"/>
  <c r="D38" i="140"/>
  <c r="F133" i="154"/>
  <c r="F170" s="1"/>
  <c r="D25" i="109"/>
  <c r="D59"/>
  <c r="J57" i="140"/>
  <c r="L57" s="1"/>
  <c r="J12" i="141"/>
  <c r="L12" s="1"/>
  <c r="J13"/>
  <c r="L13" s="1"/>
  <c r="J14"/>
  <c r="L14" s="1"/>
  <c r="J15"/>
  <c r="L15" s="1"/>
  <c r="J16"/>
  <c r="L16" s="1"/>
  <c r="J17"/>
  <c r="L17" s="1"/>
  <c r="J18"/>
  <c r="L18" s="1"/>
  <c r="J19"/>
  <c r="L19" s="1"/>
  <c r="J20"/>
  <c r="L20" s="1"/>
  <c r="J21"/>
  <c r="L21" s="1"/>
  <c r="J22"/>
  <c r="L22" s="1"/>
  <c r="J23"/>
  <c r="L23" s="1"/>
  <c r="J24"/>
  <c r="L24" s="1"/>
  <c r="J29"/>
  <c r="L29" s="1"/>
  <c r="J30"/>
  <c r="L30" s="1"/>
  <c r="J58" i="142"/>
  <c r="L58" s="1"/>
  <c r="F129" i="154"/>
  <c r="F166" s="1"/>
  <c r="J55" i="108"/>
  <c r="L55" s="1"/>
  <c r="J57"/>
  <c r="L57" s="1"/>
  <c r="D25" i="142"/>
  <c r="L80" i="108"/>
  <c r="L97"/>
  <c r="J108" i="141"/>
  <c r="J109" s="1"/>
  <c r="F112" i="143"/>
  <c r="J63" i="140"/>
  <c r="L63" s="1"/>
  <c r="J31" i="101"/>
  <c r="L31" s="1"/>
  <c r="J32"/>
  <c r="L32" s="1"/>
  <c r="J33"/>
  <c r="L33" s="1"/>
  <c r="J34"/>
  <c r="L34" s="1"/>
  <c r="F63"/>
  <c r="F76"/>
  <c r="J146" i="102"/>
  <c r="L146" s="1"/>
  <c r="J30" i="134"/>
  <c r="L30" s="1"/>
  <c r="F78"/>
  <c r="J140" i="135"/>
  <c r="L140" s="1"/>
  <c r="J141"/>
  <c r="L141" s="1"/>
  <c r="J146"/>
  <c r="L146" s="1"/>
  <c r="J147"/>
  <c r="L147" s="1"/>
  <c r="J149"/>
  <c r="L149" s="1"/>
  <c r="J150"/>
  <c r="L150" s="1"/>
  <c r="F78" i="136"/>
  <c r="H130" i="154"/>
  <c r="F110" i="102"/>
  <c r="J34" i="103"/>
  <c r="L34" s="1"/>
  <c r="F63"/>
  <c r="F76"/>
  <c r="D93" i="134"/>
  <c r="F130" i="154"/>
  <c r="D27" i="136"/>
  <c r="J11"/>
  <c r="L11" s="1"/>
  <c r="J12" i="101"/>
  <c r="L12" s="1"/>
  <c r="J15"/>
  <c r="L15" s="1"/>
  <c r="J17"/>
  <c r="L17" s="1"/>
  <c r="J25"/>
  <c r="L25" s="1"/>
  <c r="J45"/>
  <c r="L45" s="1"/>
  <c r="J57"/>
  <c r="L57" s="1"/>
  <c r="J70"/>
  <c r="L70" s="1"/>
  <c r="J71"/>
  <c r="L71" s="1"/>
  <c r="J72"/>
  <c r="L72" s="1"/>
  <c r="J83"/>
  <c r="L83" s="1"/>
  <c r="D91" i="103"/>
  <c r="J34" i="134"/>
  <c r="L34" s="1"/>
  <c r="P34" s="1"/>
  <c r="J12" i="135"/>
  <c r="L12" s="1"/>
  <c r="D78" i="136"/>
  <c r="J83"/>
  <c r="L83" s="1"/>
  <c r="J85"/>
  <c r="L85" s="1"/>
  <c r="J19" i="101"/>
  <c r="L19" s="1"/>
  <c r="J21"/>
  <c r="L21" s="1"/>
  <c r="J23"/>
  <c r="L23" s="1"/>
  <c r="J107" i="102"/>
  <c r="L107" s="1"/>
  <c r="J108"/>
  <c r="L108" s="1"/>
  <c r="J109"/>
  <c r="L109" s="1"/>
  <c r="J113"/>
  <c r="L113" s="1"/>
  <c r="J114"/>
  <c r="L114" s="1"/>
  <c r="D123"/>
  <c r="H123"/>
  <c r="J119"/>
  <c r="L119" s="1"/>
  <c r="J120"/>
  <c r="L120" s="1"/>
  <c r="J121"/>
  <c r="L121" s="1"/>
  <c r="D131"/>
  <c r="J115" i="104"/>
  <c r="B63" i="101"/>
  <c r="B76"/>
  <c r="D76" i="103"/>
  <c r="D27" i="134"/>
  <c r="J32"/>
  <c r="L32" s="1"/>
  <c r="P32" s="1"/>
  <c r="B47"/>
  <c r="B93"/>
  <c r="B112" i="135"/>
  <c r="F112"/>
  <c r="B74" i="129"/>
  <c r="L53"/>
  <c r="L66" i="96"/>
  <c r="S78" i="92"/>
  <c r="S59"/>
  <c r="AO179" i="125"/>
  <c r="K70" i="89"/>
  <c r="AO151" i="125"/>
  <c r="J278" i="154"/>
  <c r="J262"/>
  <c r="J265" i="91"/>
  <c r="V249" i="154"/>
  <c r="V265"/>
  <c r="H265" i="91"/>
  <c r="H74" i="129"/>
  <c r="L57"/>
  <c r="J61"/>
  <c r="L61" s="1"/>
  <c r="D40" i="130"/>
  <c r="D43" s="1"/>
  <c r="J19"/>
  <c r="L19" s="1"/>
  <c r="J21"/>
  <c r="L21" s="1"/>
  <c r="P21" s="1"/>
  <c r="J26"/>
  <c r="L26" s="1"/>
  <c r="J32"/>
  <c r="L32" s="1"/>
  <c r="P32" s="1"/>
  <c r="J38"/>
  <c r="L38" s="1"/>
  <c r="F69" i="131"/>
  <c r="J30" i="129"/>
  <c r="L30" s="1"/>
  <c r="J33"/>
  <c r="L33" s="1"/>
  <c r="J34"/>
  <c r="L34" s="1"/>
  <c r="J35"/>
  <c r="L35" s="1"/>
  <c r="J36"/>
  <c r="L36" s="1"/>
  <c r="J37"/>
  <c r="L37" s="1"/>
  <c r="J38"/>
  <c r="L38" s="1"/>
  <c r="J39"/>
  <c r="L39" s="1"/>
  <c r="J31"/>
  <c r="L31" s="1"/>
  <c r="M33" i="125"/>
  <c r="C33"/>
  <c r="G33"/>
  <c r="K33"/>
  <c r="AO167"/>
  <c r="AO59"/>
  <c r="N89" i="121"/>
  <c r="N90" s="1"/>
  <c r="F153" i="137"/>
  <c r="B153"/>
  <c r="H153"/>
  <c r="J89" i="136"/>
  <c r="L89" s="1"/>
  <c r="P89" s="1"/>
  <c r="J39" i="134"/>
  <c r="J30" i="136"/>
  <c r="L30" s="1"/>
  <c r="F36" i="134"/>
  <c r="B96" i="137"/>
  <c r="D22" i="138"/>
  <c r="D25" s="1"/>
  <c r="H22"/>
  <c r="H25" s="1"/>
  <c r="J18" i="139"/>
  <c r="J21" s="1"/>
  <c r="D59" i="140"/>
  <c r="J53"/>
  <c r="L53" s="1"/>
  <c r="J55"/>
  <c r="L55" s="1"/>
  <c r="L96" i="141"/>
  <c r="L101"/>
  <c r="D59" i="142"/>
  <c r="J52"/>
  <c r="L52" s="1"/>
  <c r="P52" s="1"/>
  <c r="J54"/>
  <c r="L54" s="1"/>
  <c r="P54" s="1"/>
  <c r="L87" i="141"/>
  <c r="B112" i="143"/>
  <c r="L89" i="141"/>
  <c r="L76"/>
  <c r="L80"/>
  <c r="H112" i="143"/>
  <c r="L78" i="141"/>
  <c r="L37" i="143"/>
  <c r="L38" s="1"/>
  <c r="D19" i="144"/>
  <c r="D22" s="1"/>
  <c r="H19"/>
  <c r="H22" s="1"/>
  <c r="L11" i="149"/>
  <c r="L13" s="1"/>
  <c r="H23"/>
  <c r="F23"/>
  <c r="D23"/>
  <c r="B23"/>
  <c r="N22" i="138"/>
  <c r="N25" i="153"/>
  <c r="N50" s="1"/>
  <c r="J25"/>
  <c r="J50" s="1"/>
  <c r="F25"/>
  <c r="F50" s="1"/>
  <c r="D25"/>
  <c r="D50" s="1"/>
  <c r="B25"/>
  <c r="B50" s="1"/>
  <c r="N443" i="152"/>
  <c r="P443"/>
  <c r="N393"/>
  <c r="P393"/>
  <c r="L393"/>
  <c r="J393"/>
  <c r="J14" i="144"/>
  <c r="L14" s="1"/>
  <c r="P14" s="1"/>
  <c r="J16"/>
  <c r="L16" s="1"/>
  <c r="P16" s="1"/>
  <c r="J18"/>
  <c r="L18" s="1"/>
  <c r="P18" s="1"/>
  <c r="B19"/>
  <c r="B22" s="1"/>
  <c r="J13"/>
  <c r="L13" s="1"/>
  <c r="P13" s="1"/>
  <c r="J15"/>
  <c r="L15" s="1"/>
  <c r="P15" s="1"/>
  <c r="J17"/>
  <c r="L17" s="1"/>
  <c r="P17" s="1"/>
  <c r="J14" i="140"/>
  <c r="L14" s="1"/>
  <c r="P14" s="1"/>
  <c r="J16"/>
  <c r="L16" s="1"/>
  <c r="P16" s="1"/>
  <c r="J18"/>
  <c r="L18" s="1"/>
  <c r="J20"/>
  <c r="L20" s="1"/>
  <c r="J22"/>
  <c r="L22" s="1"/>
  <c r="J24"/>
  <c r="L24" s="1"/>
  <c r="P24" s="1"/>
  <c r="J30"/>
  <c r="L30" s="1"/>
  <c r="J32"/>
  <c r="L32" s="1"/>
  <c r="P32" s="1"/>
  <c r="J43"/>
  <c r="L43" s="1"/>
  <c r="J44"/>
  <c r="L44" s="1"/>
  <c r="J47"/>
  <c r="L47" s="1"/>
  <c r="J49"/>
  <c r="L49" s="1"/>
  <c r="F59"/>
  <c r="J31" i="141"/>
  <c r="L31" s="1"/>
  <c r="J32"/>
  <c r="L32" s="1"/>
  <c r="J33"/>
  <c r="L33" s="1"/>
  <c r="J41"/>
  <c r="L41" s="1"/>
  <c r="J42"/>
  <c r="L42" s="1"/>
  <c r="J51"/>
  <c r="L51" s="1"/>
  <c r="J52"/>
  <c r="L52" s="1"/>
  <c r="J53"/>
  <c r="L53" s="1"/>
  <c r="J54"/>
  <c r="L54" s="1"/>
  <c r="J55"/>
  <c r="L55" s="1"/>
  <c r="J56"/>
  <c r="L56" s="1"/>
  <c r="J57"/>
  <c r="L57" s="1"/>
  <c r="J58"/>
  <c r="L58" s="1"/>
  <c r="J63"/>
  <c r="L63" s="1"/>
  <c r="D83"/>
  <c r="D92"/>
  <c r="J14" i="142"/>
  <c r="L14" s="1"/>
  <c r="J16"/>
  <c r="L16" s="1"/>
  <c r="J18"/>
  <c r="L18" s="1"/>
  <c r="P18" s="1"/>
  <c r="J20"/>
  <c r="L20" s="1"/>
  <c r="P20" s="1"/>
  <c r="J22"/>
  <c r="L22" s="1"/>
  <c r="P22" s="1"/>
  <c r="J24"/>
  <c r="L24" s="1"/>
  <c r="J30"/>
  <c r="L30" s="1"/>
  <c r="P30" s="1"/>
  <c r="J32"/>
  <c r="L32" s="1"/>
  <c r="J43"/>
  <c r="L43" s="1"/>
  <c r="J44"/>
  <c r="L44" s="1"/>
  <c r="P44" s="1"/>
  <c r="J46"/>
  <c r="L46" s="1"/>
  <c r="J48"/>
  <c r="L48" s="1"/>
  <c r="P48" s="1"/>
  <c r="J50"/>
  <c r="L50" s="1"/>
  <c r="P50" s="1"/>
  <c r="B25" i="140"/>
  <c r="F25"/>
  <c r="J12"/>
  <c r="N127" i="154" s="1"/>
  <c r="N164" s="1"/>
  <c r="J13" i="140"/>
  <c r="L13" s="1"/>
  <c r="J15"/>
  <c r="L15" s="1"/>
  <c r="J17"/>
  <c r="L17" s="1"/>
  <c r="J19"/>
  <c r="L19" s="1"/>
  <c r="J21"/>
  <c r="L21" s="1"/>
  <c r="J23"/>
  <c r="L23" s="1"/>
  <c r="D34"/>
  <c r="H34"/>
  <c r="J29"/>
  <c r="L29" s="1"/>
  <c r="J31"/>
  <c r="L31" s="1"/>
  <c r="P31" s="1"/>
  <c r="J33"/>
  <c r="L33" s="1"/>
  <c r="P33" s="1"/>
  <c r="J42"/>
  <c r="N126" i="154" s="1"/>
  <c r="N163" s="1"/>
  <c r="J45" i="140"/>
  <c r="L45" s="1"/>
  <c r="J46"/>
  <c r="N128" i="154" s="1"/>
  <c r="N165" s="1"/>
  <c r="J48" i="140"/>
  <c r="L48" s="1"/>
  <c r="J50"/>
  <c r="L50" s="1"/>
  <c r="B59"/>
  <c r="J52"/>
  <c r="L52" s="1"/>
  <c r="J54"/>
  <c r="L54" s="1"/>
  <c r="J56"/>
  <c r="L56" s="1"/>
  <c r="J58"/>
  <c r="L58" s="1"/>
  <c r="P58" s="1"/>
  <c r="J43" i="141"/>
  <c r="L43" s="1"/>
  <c r="J44"/>
  <c r="L44" s="1"/>
  <c r="J45"/>
  <c r="L45" s="1"/>
  <c r="J46"/>
  <c r="L46" s="1"/>
  <c r="J47"/>
  <c r="L47" s="1"/>
  <c r="J48"/>
  <c r="L48" s="1"/>
  <c r="J49"/>
  <c r="L49" s="1"/>
  <c r="J50"/>
  <c r="L50" s="1"/>
  <c r="L75"/>
  <c r="L77"/>
  <c r="L79"/>
  <c r="L81"/>
  <c r="J92"/>
  <c r="L88"/>
  <c r="L90"/>
  <c r="L100"/>
  <c r="L102"/>
  <c r="J12" i="142"/>
  <c r="L12" s="1"/>
  <c r="J13"/>
  <c r="L13" s="1"/>
  <c r="P13" s="1"/>
  <c r="J15"/>
  <c r="L15" s="1"/>
  <c r="J17"/>
  <c r="L17" s="1"/>
  <c r="P17" s="1"/>
  <c r="J19"/>
  <c r="L19" s="1"/>
  <c r="P19" s="1"/>
  <c r="J21"/>
  <c r="L21" s="1"/>
  <c r="J23"/>
  <c r="L23" s="1"/>
  <c r="P23" s="1"/>
  <c r="J29"/>
  <c r="L29" s="1"/>
  <c r="P29" s="1"/>
  <c r="J31"/>
  <c r="L31" s="1"/>
  <c r="J33"/>
  <c r="L33" s="1"/>
  <c r="B59"/>
  <c r="F59"/>
  <c r="J42"/>
  <c r="L42" s="1"/>
  <c r="J45"/>
  <c r="L45" s="1"/>
  <c r="P45" s="1"/>
  <c r="J47"/>
  <c r="L47" s="1"/>
  <c r="P47" s="1"/>
  <c r="J49"/>
  <c r="L49" s="1"/>
  <c r="P49" s="1"/>
  <c r="J51"/>
  <c r="L51" s="1"/>
  <c r="P51" s="1"/>
  <c r="J53"/>
  <c r="L53" s="1"/>
  <c r="P53" s="1"/>
  <c r="J55"/>
  <c r="L55" s="1"/>
  <c r="P55" s="1"/>
  <c r="J57"/>
  <c r="L57" s="1"/>
  <c r="P57" s="1"/>
  <c r="J63"/>
  <c r="L63" s="1"/>
  <c r="P63" s="1"/>
  <c r="J21" i="138"/>
  <c r="L21" s="1"/>
  <c r="P21" s="1"/>
  <c r="J16"/>
  <c r="L16" s="1"/>
  <c r="P16" s="1"/>
  <c r="J18"/>
  <c r="L18" s="1"/>
  <c r="P18" s="1"/>
  <c r="J20"/>
  <c r="L20" s="1"/>
  <c r="P20" s="1"/>
  <c r="J11" i="134"/>
  <c r="L11" s="1"/>
  <c r="J14"/>
  <c r="L14" s="1"/>
  <c r="J16"/>
  <c r="L16" s="1"/>
  <c r="J18"/>
  <c r="L18" s="1"/>
  <c r="J20"/>
  <c r="L20" s="1"/>
  <c r="J22"/>
  <c r="L22" s="1"/>
  <c r="J24"/>
  <c r="L24" s="1"/>
  <c r="J41"/>
  <c r="L41" s="1"/>
  <c r="P41" s="1"/>
  <c r="J43"/>
  <c r="L43" s="1"/>
  <c r="P43" s="1"/>
  <c r="J45"/>
  <c r="L45" s="1"/>
  <c r="J58"/>
  <c r="L58" s="1"/>
  <c r="J59"/>
  <c r="L59" s="1"/>
  <c r="J60"/>
  <c r="L60" s="1"/>
  <c r="J61"/>
  <c r="L61" s="1"/>
  <c r="J62"/>
  <c r="L62" s="1"/>
  <c r="J69"/>
  <c r="L69" s="1"/>
  <c r="J70"/>
  <c r="L70" s="1"/>
  <c r="J71"/>
  <c r="L71" s="1"/>
  <c r="J72"/>
  <c r="L72" s="1"/>
  <c r="J73"/>
  <c r="L73" s="1"/>
  <c r="J74"/>
  <c r="L74" s="1"/>
  <c r="J75"/>
  <c r="L75" s="1"/>
  <c r="J76"/>
  <c r="L76" s="1"/>
  <c r="J77"/>
  <c r="L77" s="1"/>
  <c r="J82"/>
  <c r="L82" s="1"/>
  <c r="J84"/>
  <c r="L84" s="1"/>
  <c r="J88"/>
  <c r="L88" s="1"/>
  <c r="J90"/>
  <c r="L90" s="1"/>
  <c r="P90" s="1"/>
  <c r="J92"/>
  <c r="L92" s="1"/>
  <c r="J20" i="135"/>
  <c r="L20" s="1"/>
  <c r="J21"/>
  <c r="L21" s="1"/>
  <c r="J22"/>
  <c r="L22" s="1"/>
  <c r="J23"/>
  <c r="L23" s="1"/>
  <c r="J24"/>
  <c r="L24" s="1"/>
  <c r="J25"/>
  <c r="L25" s="1"/>
  <c r="J35"/>
  <c r="L35" s="1"/>
  <c r="J40"/>
  <c r="L40" s="1"/>
  <c r="J41"/>
  <c r="L41" s="1"/>
  <c r="J42"/>
  <c r="L42" s="1"/>
  <c r="J43"/>
  <c r="L43" s="1"/>
  <c r="J44"/>
  <c r="L44" s="1"/>
  <c r="J45"/>
  <c r="L45" s="1"/>
  <c r="J46"/>
  <c r="L46" s="1"/>
  <c r="J51"/>
  <c r="L51" s="1"/>
  <c r="J56"/>
  <c r="L56" s="1"/>
  <c r="J57"/>
  <c r="L57" s="1"/>
  <c r="J58"/>
  <c r="L58" s="1"/>
  <c r="J59"/>
  <c r="L59" s="1"/>
  <c r="J60"/>
  <c r="L60" s="1"/>
  <c r="J61"/>
  <c r="L61" s="1"/>
  <c r="J62"/>
  <c r="L62" s="1"/>
  <c r="J63"/>
  <c r="L63" s="1"/>
  <c r="J69"/>
  <c r="L69" s="1"/>
  <c r="J70"/>
  <c r="L70" s="1"/>
  <c r="J71"/>
  <c r="L71" s="1"/>
  <c r="J72"/>
  <c r="L72" s="1"/>
  <c r="J73"/>
  <c r="L73" s="1"/>
  <c r="J74"/>
  <c r="L74" s="1"/>
  <c r="J75"/>
  <c r="L75" s="1"/>
  <c r="J76"/>
  <c r="L76" s="1"/>
  <c r="J77"/>
  <c r="L77" s="1"/>
  <c r="J82"/>
  <c r="L82" s="1"/>
  <c r="J83"/>
  <c r="L83" s="1"/>
  <c r="J84"/>
  <c r="L84" s="1"/>
  <c r="J85"/>
  <c r="L85" s="1"/>
  <c r="J86"/>
  <c r="L86" s="1"/>
  <c r="J87"/>
  <c r="L87" s="1"/>
  <c r="J88"/>
  <c r="L88" s="1"/>
  <c r="J89"/>
  <c r="L89" s="1"/>
  <c r="J90"/>
  <c r="L90" s="1"/>
  <c r="J91"/>
  <c r="L91" s="1"/>
  <c r="J92"/>
  <c r="L92" s="1"/>
  <c r="J14" i="136"/>
  <c r="L14" s="1"/>
  <c r="P14" s="1"/>
  <c r="J16"/>
  <c r="L16" s="1"/>
  <c r="P16" s="1"/>
  <c r="J18"/>
  <c r="L18" s="1"/>
  <c r="P18" s="1"/>
  <c r="J20"/>
  <c r="L20" s="1"/>
  <c r="P20" s="1"/>
  <c r="J22"/>
  <c r="L22" s="1"/>
  <c r="P22" s="1"/>
  <c r="J24"/>
  <c r="L24" s="1"/>
  <c r="P24" s="1"/>
  <c r="J32"/>
  <c r="L32" s="1"/>
  <c r="J34"/>
  <c r="L34" s="1"/>
  <c r="J39"/>
  <c r="L39" s="1"/>
  <c r="J41"/>
  <c r="L41" s="1"/>
  <c r="J43"/>
  <c r="L43" s="1"/>
  <c r="J45"/>
  <c r="L45" s="1"/>
  <c r="J58"/>
  <c r="L58" s="1"/>
  <c r="J59"/>
  <c r="L59" s="1"/>
  <c r="J60"/>
  <c r="L60" s="1"/>
  <c r="J61"/>
  <c r="L61" s="1"/>
  <c r="J62"/>
  <c r="L62" s="1"/>
  <c r="P62" s="1"/>
  <c r="J69"/>
  <c r="L69" s="1"/>
  <c r="J70"/>
  <c r="L70" s="1"/>
  <c r="J71"/>
  <c r="L71" s="1"/>
  <c r="J72"/>
  <c r="L72" s="1"/>
  <c r="J73"/>
  <c r="L73" s="1"/>
  <c r="J74"/>
  <c r="L74" s="1"/>
  <c r="J75"/>
  <c r="L75" s="1"/>
  <c r="J76"/>
  <c r="L76" s="1"/>
  <c r="J77"/>
  <c r="L77" s="1"/>
  <c r="J82"/>
  <c r="L82" s="1"/>
  <c r="P82" s="1"/>
  <c r="J84"/>
  <c r="L84" s="1"/>
  <c r="J86"/>
  <c r="L86" s="1"/>
  <c r="P86" s="1"/>
  <c r="J88"/>
  <c r="L88" s="1"/>
  <c r="P88" s="1"/>
  <c r="J90"/>
  <c r="L90" s="1"/>
  <c r="J12" i="134"/>
  <c r="L12" s="1"/>
  <c r="J15"/>
  <c r="L15" s="1"/>
  <c r="J17"/>
  <c r="L17" s="1"/>
  <c r="J19"/>
  <c r="L19" s="1"/>
  <c r="J21"/>
  <c r="L21" s="1"/>
  <c r="J23"/>
  <c r="L23" s="1"/>
  <c r="P23" s="1"/>
  <c r="L25"/>
  <c r="B36"/>
  <c r="J31"/>
  <c r="L31" s="1"/>
  <c r="J33"/>
  <c r="L33" s="1"/>
  <c r="J35"/>
  <c r="L35" s="1"/>
  <c r="J40"/>
  <c r="L40" s="1"/>
  <c r="J42"/>
  <c r="L42" s="1"/>
  <c r="J44"/>
  <c r="L44" s="1"/>
  <c r="J46"/>
  <c r="L46" s="1"/>
  <c r="P46" s="1"/>
  <c r="B64"/>
  <c r="F64"/>
  <c r="J56"/>
  <c r="L56" s="1"/>
  <c r="J57"/>
  <c r="L57" s="1"/>
  <c r="J63"/>
  <c r="L63" s="1"/>
  <c r="D78"/>
  <c r="H78"/>
  <c r="J85"/>
  <c r="L85" s="1"/>
  <c r="J87"/>
  <c r="L87" s="1"/>
  <c r="J89"/>
  <c r="L89" s="1"/>
  <c r="J91"/>
  <c r="L91" s="1"/>
  <c r="J13" i="135"/>
  <c r="L13" s="1"/>
  <c r="J14"/>
  <c r="L14" s="1"/>
  <c r="J15"/>
  <c r="L15" s="1"/>
  <c r="J16"/>
  <c r="L16" s="1"/>
  <c r="J17"/>
  <c r="L17" s="1"/>
  <c r="J18"/>
  <c r="L18" s="1"/>
  <c r="J31"/>
  <c r="L31" s="1"/>
  <c r="J32"/>
  <c r="L32" s="1"/>
  <c r="J33"/>
  <c r="L33" s="1"/>
  <c r="J34"/>
  <c r="L34" s="1"/>
  <c r="J109"/>
  <c r="L109" s="1"/>
  <c r="J110"/>
  <c r="L110" s="1"/>
  <c r="J111"/>
  <c r="L111" s="1"/>
  <c r="J115"/>
  <c r="J116"/>
  <c r="L116" s="1"/>
  <c r="D126"/>
  <c r="H126"/>
  <c r="J122"/>
  <c r="L122" s="1"/>
  <c r="J123"/>
  <c r="L123" s="1"/>
  <c r="J124"/>
  <c r="L124" s="1"/>
  <c r="D134"/>
  <c r="J130"/>
  <c r="L130" s="1"/>
  <c r="H134"/>
  <c r="J131"/>
  <c r="L131" s="1"/>
  <c r="J145"/>
  <c r="L145" s="1"/>
  <c r="J12" i="136"/>
  <c r="L12" s="1"/>
  <c r="J13"/>
  <c r="L13" s="1"/>
  <c r="P13" s="1"/>
  <c r="J15"/>
  <c r="L15" s="1"/>
  <c r="P15" s="1"/>
  <c r="J17"/>
  <c r="L17" s="1"/>
  <c r="P17" s="1"/>
  <c r="J19"/>
  <c r="L19" s="1"/>
  <c r="P19" s="1"/>
  <c r="J21"/>
  <c r="L21" s="1"/>
  <c r="P21" s="1"/>
  <c r="J23"/>
  <c r="L23" s="1"/>
  <c r="L25"/>
  <c r="J31"/>
  <c r="L31" s="1"/>
  <c r="P31" s="1"/>
  <c r="J40"/>
  <c r="L40" s="1"/>
  <c r="J42"/>
  <c r="L42" s="1"/>
  <c r="P42" s="1"/>
  <c r="J44"/>
  <c r="L44" s="1"/>
  <c r="J46"/>
  <c r="L46" s="1"/>
  <c r="J56"/>
  <c r="L56" s="1"/>
  <c r="J57"/>
  <c r="L57" s="1"/>
  <c r="J63"/>
  <c r="L63" s="1"/>
  <c r="J87"/>
  <c r="L87" s="1"/>
  <c r="P87" s="1"/>
  <c r="J91"/>
  <c r="L91" s="1"/>
  <c r="P91" s="1"/>
  <c r="J12" i="128"/>
  <c r="N125" i="154" s="1"/>
  <c r="N162" s="1"/>
  <c r="J15" i="128"/>
  <c r="L15" s="1"/>
  <c r="P15" s="1"/>
  <c r="J17"/>
  <c r="L17" s="1"/>
  <c r="P17" s="1"/>
  <c r="J19"/>
  <c r="L19" s="1"/>
  <c r="P19" s="1"/>
  <c r="J21"/>
  <c r="L21" s="1"/>
  <c r="J24"/>
  <c r="L24" s="1"/>
  <c r="J26"/>
  <c r="L26" s="1"/>
  <c r="P26" s="1"/>
  <c r="J28"/>
  <c r="L28" s="1"/>
  <c r="J30"/>
  <c r="L30" s="1"/>
  <c r="J33"/>
  <c r="L33" s="1"/>
  <c r="P33" s="1"/>
  <c r="J35"/>
  <c r="L35" s="1"/>
  <c r="J37"/>
  <c r="L37" s="1"/>
  <c r="P37" s="1"/>
  <c r="L48" i="129"/>
  <c r="L54"/>
  <c r="D40" i="128"/>
  <c r="D43" s="1"/>
  <c r="J11"/>
  <c r="L11" s="1"/>
  <c r="J13"/>
  <c r="L13" s="1"/>
  <c r="J14"/>
  <c r="L14" s="1"/>
  <c r="P14" s="1"/>
  <c r="J16"/>
  <c r="L16" s="1"/>
  <c r="J18"/>
  <c r="L18" s="1"/>
  <c r="J20"/>
  <c r="L20" s="1"/>
  <c r="J23"/>
  <c r="L23" s="1"/>
  <c r="J25"/>
  <c r="L25" s="1"/>
  <c r="J27"/>
  <c r="L27" s="1"/>
  <c r="J29"/>
  <c r="L29" s="1"/>
  <c r="P29" s="1"/>
  <c r="J31"/>
  <c r="L31" s="1"/>
  <c r="J32"/>
  <c r="L32" s="1"/>
  <c r="J34"/>
  <c r="L34" s="1"/>
  <c r="J36"/>
  <c r="N131" i="154" s="1"/>
  <c r="N168" s="1"/>
  <c r="J38" i="128"/>
  <c r="L38" s="1"/>
  <c r="J39"/>
  <c r="L39" s="1"/>
  <c r="D74" i="129"/>
  <c r="J56"/>
  <c r="L56" s="1"/>
  <c r="J65"/>
  <c r="L65" s="1"/>
  <c r="J71"/>
  <c r="L71" s="1"/>
  <c r="B40" i="130"/>
  <c r="B43" s="1"/>
  <c r="F40"/>
  <c r="F43" s="1"/>
  <c r="J13"/>
  <c r="L13" s="1"/>
  <c r="J14"/>
  <c r="L14" s="1"/>
  <c r="J16"/>
  <c r="L16" s="1"/>
  <c r="P16" s="1"/>
  <c r="J18"/>
  <c r="L18" s="1"/>
  <c r="P18" s="1"/>
  <c r="J20"/>
  <c r="L20" s="1"/>
  <c r="P20" s="1"/>
  <c r="J23"/>
  <c r="L23" s="1"/>
  <c r="P23" s="1"/>
  <c r="J25"/>
  <c r="L25" s="1"/>
  <c r="P25" s="1"/>
  <c r="J27"/>
  <c r="L27" s="1"/>
  <c r="P27" s="1"/>
  <c r="J29"/>
  <c r="L29" s="1"/>
  <c r="J31"/>
  <c r="L31" s="1"/>
  <c r="P31" s="1"/>
  <c r="J33"/>
  <c r="L33" s="1"/>
  <c r="J35"/>
  <c r="L35" s="1"/>
  <c r="P35" s="1"/>
  <c r="J37"/>
  <c r="L37" s="1"/>
  <c r="Q70" i="89"/>
  <c r="L45" i="91"/>
  <c r="T45" s="1"/>
  <c r="L27"/>
  <c r="T27" s="1"/>
  <c r="J30" i="97"/>
  <c r="L30" s="1"/>
  <c r="J28"/>
  <c r="L28" s="1"/>
  <c r="J26"/>
  <c r="L26" s="1"/>
  <c r="P26" s="1"/>
  <c r="J24"/>
  <c r="L24" s="1"/>
  <c r="P24" s="1"/>
  <c r="B40"/>
  <c r="B43" s="1"/>
  <c r="J23" i="109"/>
  <c r="L23" s="1"/>
  <c r="B25"/>
  <c r="J56" i="108"/>
  <c r="L56" s="1"/>
  <c r="J54"/>
  <c r="L54" s="1"/>
  <c r="J52"/>
  <c r="L52" s="1"/>
  <c r="J51"/>
  <c r="L51" s="1"/>
  <c r="H59" i="109"/>
  <c r="N45" i="107"/>
  <c r="B35" i="103"/>
  <c r="H26"/>
  <c r="B26"/>
  <c r="J89" i="101"/>
  <c r="L89" s="1"/>
  <c r="H91" i="103"/>
  <c r="J83"/>
  <c r="L83" s="1"/>
  <c r="B34" i="106"/>
  <c r="B37" s="1"/>
  <c r="N81" i="101"/>
  <c r="N19" i="111"/>
  <c r="N22" s="1"/>
  <c r="N22" i="105"/>
  <c r="N25" s="1"/>
  <c r="R87" i="119"/>
  <c r="R99"/>
  <c r="H46" i="101"/>
  <c r="H46" i="103"/>
  <c r="B46"/>
  <c r="R51" i="119"/>
  <c r="R274"/>
  <c r="R234"/>
  <c r="B76" i="103"/>
  <c r="H76"/>
  <c r="B63"/>
  <c r="J51" i="104"/>
  <c r="N89" i="88"/>
  <c r="N90" s="1"/>
  <c r="N92" s="1"/>
  <c r="L69" i="91"/>
  <c r="T69" s="1"/>
  <c r="S70" i="92"/>
  <c r="J51" i="103"/>
  <c r="L51"/>
  <c r="B150" i="104"/>
  <c r="H150"/>
  <c r="J81" i="103"/>
  <c r="L81" s="1"/>
  <c r="J87"/>
  <c r="L87" s="1"/>
  <c r="D63" i="101"/>
  <c r="F35"/>
  <c r="J31" i="103"/>
  <c r="L31" s="1"/>
  <c r="B95" i="104"/>
  <c r="J19" i="105"/>
  <c r="L19" s="1"/>
  <c r="P19" s="1"/>
  <c r="D22"/>
  <c r="H22"/>
  <c r="H25" s="1"/>
  <c r="J18" i="106"/>
  <c r="J21" s="1"/>
  <c r="J37" s="1"/>
  <c r="J106" i="108"/>
  <c r="L106" s="1"/>
  <c r="L107" s="1"/>
  <c r="L99"/>
  <c r="D92"/>
  <c r="L78"/>
  <c r="B111" i="110"/>
  <c r="D103" i="108"/>
  <c r="J13" i="111"/>
  <c r="L13" s="1"/>
  <c r="P13" s="1"/>
  <c r="J15"/>
  <c r="L15" s="1"/>
  <c r="P15" s="1"/>
  <c r="B23" i="116"/>
  <c r="F23"/>
  <c r="D23"/>
  <c r="H23"/>
  <c r="B300" i="119"/>
  <c r="B148"/>
  <c r="H148"/>
  <c r="I16" i="156" s="1"/>
  <c r="R191" i="119"/>
  <c r="H300"/>
  <c r="B441"/>
  <c r="B25" i="120"/>
  <c r="H25"/>
  <c r="H50" s="1"/>
  <c r="D19" i="111"/>
  <c r="D22" s="1"/>
  <c r="H19"/>
  <c r="H22" s="1"/>
  <c r="J11"/>
  <c r="L11" s="1"/>
  <c r="J17"/>
  <c r="L17" s="1"/>
  <c r="P17" s="1"/>
  <c r="B25" i="107"/>
  <c r="F25"/>
  <c r="H25" i="121" s="1"/>
  <c r="H53" i="154" s="1"/>
  <c r="J12" i="107"/>
  <c r="J13"/>
  <c r="L13" s="1"/>
  <c r="J15"/>
  <c r="L15" s="1"/>
  <c r="J17"/>
  <c r="L17" s="1"/>
  <c r="J19"/>
  <c r="L19" s="1"/>
  <c r="J21"/>
  <c r="L21" s="1"/>
  <c r="J23"/>
  <c r="L23" s="1"/>
  <c r="D34"/>
  <c r="H34"/>
  <c r="J29"/>
  <c r="L29" s="1"/>
  <c r="J31"/>
  <c r="L31" s="1"/>
  <c r="J33"/>
  <c r="L33" s="1"/>
  <c r="J42"/>
  <c r="J47"/>
  <c r="L47" s="1"/>
  <c r="J53"/>
  <c r="L53" s="1"/>
  <c r="J55"/>
  <c r="L55" s="1"/>
  <c r="J57"/>
  <c r="L57" s="1"/>
  <c r="J63"/>
  <c r="J42" i="108"/>
  <c r="L42" s="1"/>
  <c r="J58"/>
  <c r="L58" s="1"/>
  <c r="J62"/>
  <c r="L62" s="1"/>
  <c r="J63"/>
  <c r="D83"/>
  <c r="L87"/>
  <c r="L90"/>
  <c r="L91"/>
  <c r="L98"/>
  <c r="L100"/>
  <c r="J12" i="109"/>
  <c r="L12" s="1"/>
  <c r="J13"/>
  <c r="L13" s="1"/>
  <c r="J15"/>
  <c r="L15" s="1"/>
  <c r="J17"/>
  <c r="L17" s="1"/>
  <c r="J19"/>
  <c r="L19" s="1"/>
  <c r="J21"/>
  <c r="L21" s="1"/>
  <c r="J22"/>
  <c r="L22" s="1"/>
  <c r="J28"/>
  <c r="L28" s="1"/>
  <c r="J29"/>
  <c r="L29" s="1"/>
  <c r="J31"/>
  <c r="L31" s="1"/>
  <c r="J33"/>
  <c r="L33" s="1"/>
  <c r="J42"/>
  <c r="L42" s="1"/>
  <c r="J45"/>
  <c r="L45" s="1"/>
  <c r="P45" s="1"/>
  <c r="J47"/>
  <c r="L47" s="1"/>
  <c r="J50"/>
  <c r="L50" s="1"/>
  <c r="P50" s="1"/>
  <c r="J52"/>
  <c r="L52" s="1"/>
  <c r="P52" s="1"/>
  <c r="J54"/>
  <c r="L54" s="1"/>
  <c r="J56"/>
  <c r="L56" s="1"/>
  <c r="P56" s="1"/>
  <c r="J58"/>
  <c r="L58" s="1"/>
  <c r="J14" i="107"/>
  <c r="L14" s="1"/>
  <c r="J16"/>
  <c r="L16" s="1"/>
  <c r="J18"/>
  <c r="L18" s="1"/>
  <c r="J20"/>
  <c r="L20" s="1"/>
  <c r="J22"/>
  <c r="L22" s="1"/>
  <c r="J24"/>
  <c r="L24" s="1"/>
  <c r="J30"/>
  <c r="L30" s="1"/>
  <c r="J32"/>
  <c r="L32" s="1"/>
  <c r="J43"/>
  <c r="L43" s="1"/>
  <c r="J44"/>
  <c r="L44" s="1"/>
  <c r="J46"/>
  <c r="J48"/>
  <c r="L48" s="1"/>
  <c r="J12" i="108"/>
  <c r="L12" s="1"/>
  <c r="J13"/>
  <c r="L13" s="1"/>
  <c r="J14"/>
  <c r="L14" s="1"/>
  <c r="J15"/>
  <c r="L15" s="1"/>
  <c r="J16"/>
  <c r="L16" s="1"/>
  <c r="J17"/>
  <c r="L17" s="1"/>
  <c r="J18"/>
  <c r="L18" s="1"/>
  <c r="J19"/>
  <c r="L19" s="1"/>
  <c r="J20"/>
  <c r="L20" s="1"/>
  <c r="J24"/>
  <c r="L24" s="1"/>
  <c r="J29"/>
  <c r="L29" s="1"/>
  <c r="J30"/>
  <c r="L30" s="1"/>
  <c r="J32"/>
  <c r="L32" s="1"/>
  <c r="J33"/>
  <c r="L33" s="1"/>
  <c r="J43"/>
  <c r="L43" s="1"/>
  <c r="J44"/>
  <c r="L44" s="1"/>
  <c r="J45"/>
  <c r="L45" s="1"/>
  <c r="J46"/>
  <c r="L46" s="1"/>
  <c r="J47"/>
  <c r="L47" s="1"/>
  <c r="J48"/>
  <c r="L48" s="1"/>
  <c r="J49"/>
  <c r="L49" s="1"/>
  <c r="J50"/>
  <c r="L50" s="1"/>
  <c r="L75"/>
  <c r="L77"/>
  <c r="L79"/>
  <c r="L81"/>
  <c r="L96"/>
  <c r="L102"/>
  <c r="J11" i="109"/>
  <c r="L11" s="1"/>
  <c r="J14"/>
  <c r="L14" s="1"/>
  <c r="J16"/>
  <c r="L16" s="1"/>
  <c r="J18"/>
  <c r="L18" s="1"/>
  <c r="J20"/>
  <c r="L20" s="1"/>
  <c r="J24"/>
  <c r="L24" s="1"/>
  <c r="J30"/>
  <c r="L30" s="1"/>
  <c r="J32"/>
  <c r="L32" s="1"/>
  <c r="J37"/>
  <c r="L37" s="1"/>
  <c r="J43"/>
  <c r="L43" s="1"/>
  <c r="J44"/>
  <c r="L44" s="1"/>
  <c r="P44" s="1"/>
  <c r="J46"/>
  <c r="L46" s="1"/>
  <c r="J48"/>
  <c r="L48" s="1"/>
  <c r="J49"/>
  <c r="L49" s="1"/>
  <c r="P49" s="1"/>
  <c r="J51"/>
  <c r="L51" s="1"/>
  <c r="P51" s="1"/>
  <c r="J53"/>
  <c r="L53" s="1"/>
  <c r="J55"/>
  <c r="L55" s="1"/>
  <c r="J57"/>
  <c r="L57" s="1"/>
  <c r="J63"/>
  <c r="J16" i="105"/>
  <c r="L16" s="1"/>
  <c r="P16" s="1"/>
  <c r="J18"/>
  <c r="L18" s="1"/>
  <c r="P18" s="1"/>
  <c r="J20"/>
  <c r="L20" s="1"/>
  <c r="P20" s="1"/>
  <c r="D35" i="101"/>
  <c r="B46"/>
  <c r="F46"/>
  <c r="J41"/>
  <c r="L41" s="1"/>
  <c r="J43"/>
  <c r="L43" s="1"/>
  <c r="H63"/>
  <c r="J55"/>
  <c r="L55" s="1"/>
  <c r="J56"/>
  <c r="L56" s="1"/>
  <c r="J58"/>
  <c r="L58" s="1"/>
  <c r="J59"/>
  <c r="L59" s="1"/>
  <c r="J60"/>
  <c r="L60" s="1"/>
  <c r="J61"/>
  <c r="L61" s="1"/>
  <c r="D76"/>
  <c r="H76"/>
  <c r="L20" i="88" s="1"/>
  <c r="N20" s="1"/>
  <c r="J67" i="101"/>
  <c r="L67" s="1"/>
  <c r="J68"/>
  <c r="L68" s="1"/>
  <c r="J69"/>
  <c r="L69" s="1"/>
  <c r="J73"/>
  <c r="L73" s="1"/>
  <c r="J74"/>
  <c r="L74" s="1"/>
  <c r="J75"/>
  <c r="L75" s="1"/>
  <c r="J80"/>
  <c r="J88"/>
  <c r="L88" s="1"/>
  <c r="J90"/>
  <c r="L90" s="1"/>
  <c r="J11" i="103"/>
  <c r="L11" s="1"/>
  <c r="J14"/>
  <c r="L14" s="1"/>
  <c r="J16"/>
  <c r="L16" s="1"/>
  <c r="J18"/>
  <c r="L18" s="1"/>
  <c r="J20"/>
  <c r="L20" s="1"/>
  <c r="J22"/>
  <c r="L22" s="1"/>
  <c r="J24"/>
  <c r="L24" s="1"/>
  <c r="J33"/>
  <c r="L33" s="1"/>
  <c r="J38"/>
  <c r="L38" s="1"/>
  <c r="J40"/>
  <c r="L40" s="1"/>
  <c r="J42"/>
  <c r="L42" s="1"/>
  <c r="J44"/>
  <c r="L44" s="1"/>
  <c r="D63"/>
  <c r="H63"/>
  <c r="J57"/>
  <c r="L57" s="1"/>
  <c r="J62"/>
  <c r="L62" s="1"/>
  <c r="J70"/>
  <c r="L70" s="1"/>
  <c r="J71"/>
  <c r="L71" s="1"/>
  <c r="J72"/>
  <c r="L72" s="1"/>
  <c r="J85"/>
  <c r="L85" s="1"/>
  <c r="P85" s="1"/>
  <c r="J89"/>
  <c r="L89" s="1"/>
  <c r="J14" i="101"/>
  <c r="L14" s="1"/>
  <c r="J16"/>
  <c r="L16" s="1"/>
  <c r="J18"/>
  <c r="L18" s="1"/>
  <c r="J20"/>
  <c r="L20" s="1"/>
  <c r="J22"/>
  <c r="L22" s="1"/>
  <c r="J24"/>
  <c r="L24" s="1"/>
  <c r="J40"/>
  <c r="L40" s="1"/>
  <c r="J42"/>
  <c r="L42" s="1"/>
  <c r="J44"/>
  <c r="L44" s="1"/>
  <c r="J12" i="102"/>
  <c r="L12" s="1"/>
  <c r="J13"/>
  <c r="L13" s="1"/>
  <c r="J14"/>
  <c r="L14" s="1"/>
  <c r="J15"/>
  <c r="L15" s="1"/>
  <c r="J16"/>
  <c r="L16" s="1"/>
  <c r="J17"/>
  <c r="L17" s="1"/>
  <c r="J18"/>
  <c r="L18" s="1"/>
  <c r="J19"/>
  <c r="L19" s="1"/>
  <c r="J20"/>
  <c r="L20" s="1"/>
  <c r="J21"/>
  <c r="L21" s="1"/>
  <c r="J22"/>
  <c r="L22" s="1"/>
  <c r="J23"/>
  <c r="L23" s="1"/>
  <c r="J24"/>
  <c r="L24" s="1"/>
  <c r="J25"/>
  <c r="L25" s="1"/>
  <c r="J30"/>
  <c r="L30" s="1"/>
  <c r="J31"/>
  <c r="L31" s="1"/>
  <c r="J32"/>
  <c r="L32" s="1"/>
  <c r="J33"/>
  <c r="L33" s="1"/>
  <c r="J39"/>
  <c r="L39" s="1"/>
  <c r="J40"/>
  <c r="L40" s="1"/>
  <c r="J41"/>
  <c r="L41" s="1"/>
  <c r="J42"/>
  <c r="L42" s="1"/>
  <c r="J43"/>
  <c r="L43" s="1"/>
  <c r="J44"/>
  <c r="L44" s="1"/>
  <c r="J45"/>
  <c r="L45" s="1"/>
  <c r="J50"/>
  <c r="L50" s="1"/>
  <c r="J55"/>
  <c r="L55" s="1"/>
  <c r="J56"/>
  <c r="L56" s="1"/>
  <c r="J57"/>
  <c r="L57" s="1"/>
  <c r="J58"/>
  <c r="L58" s="1"/>
  <c r="J59"/>
  <c r="L59" s="1"/>
  <c r="J60"/>
  <c r="L60" s="1"/>
  <c r="J61"/>
  <c r="L61" s="1"/>
  <c r="J62"/>
  <c r="L62" s="1"/>
  <c r="J67"/>
  <c r="L67" s="1"/>
  <c r="J68"/>
  <c r="L68" s="1"/>
  <c r="J69"/>
  <c r="L69" s="1"/>
  <c r="J70"/>
  <c r="L70" s="1"/>
  <c r="J71"/>
  <c r="L71" s="1"/>
  <c r="J72"/>
  <c r="L72" s="1"/>
  <c r="J73"/>
  <c r="L73" s="1"/>
  <c r="J74"/>
  <c r="L74" s="1"/>
  <c r="J75"/>
  <c r="L75" s="1"/>
  <c r="J80"/>
  <c r="L80" s="1"/>
  <c r="J81"/>
  <c r="L81" s="1"/>
  <c r="J82"/>
  <c r="L82" s="1"/>
  <c r="J83"/>
  <c r="L83" s="1"/>
  <c r="J84"/>
  <c r="L84" s="1"/>
  <c r="J85"/>
  <c r="L85" s="1"/>
  <c r="J86"/>
  <c r="L86" s="1"/>
  <c r="J87"/>
  <c r="L87" s="1"/>
  <c r="J88"/>
  <c r="L88" s="1"/>
  <c r="J89"/>
  <c r="L89" s="1"/>
  <c r="J90"/>
  <c r="L90" s="1"/>
  <c r="H110"/>
  <c r="J100"/>
  <c r="L100" s="1"/>
  <c r="J101"/>
  <c r="L101" s="1"/>
  <c r="J102"/>
  <c r="L102" s="1"/>
  <c r="J103"/>
  <c r="L103" s="1"/>
  <c r="J104"/>
  <c r="L104" s="1"/>
  <c r="J105"/>
  <c r="L105" s="1"/>
  <c r="J106"/>
  <c r="L106" s="1"/>
  <c r="F123"/>
  <c r="J122"/>
  <c r="L122" s="1"/>
  <c r="J126"/>
  <c r="L126" s="1"/>
  <c r="J127"/>
  <c r="L127" s="1"/>
  <c r="H131"/>
  <c r="J128"/>
  <c r="L128" s="1"/>
  <c r="J12" i="103"/>
  <c r="L12" s="1"/>
  <c r="J13"/>
  <c r="L13" s="1"/>
  <c r="J15"/>
  <c r="L15" s="1"/>
  <c r="J17"/>
  <c r="L17" s="1"/>
  <c r="J19"/>
  <c r="L19" s="1"/>
  <c r="J21"/>
  <c r="L21" s="1"/>
  <c r="J23"/>
  <c r="L23" s="1"/>
  <c r="J25"/>
  <c r="L25" s="1"/>
  <c r="J30"/>
  <c r="L30" s="1"/>
  <c r="J32"/>
  <c r="L32" s="1"/>
  <c r="J39"/>
  <c r="L39" s="1"/>
  <c r="J41"/>
  <c r="L41" s="1"/>
  <c r="J43"/>
  <c r="L43" s="1"/>
  <c r="J45"/>
  <c r="L45" s="1"/>
  <c r="J55"/>
  <c r="L55" s="1"/>
  <c r="J56"/>
  <c r="L56" s="1"/>
  <c r="J58"/>
  <c r="L58" s="1"/>
  <c r="J59"/>
  <c r="L59" s="1"/>
  <c r="J60"/>
  <c r="L60" s="1"/>
  <c r="J61"/>
  <c r="L61" s="1"/>
  <c r="J67"/>
  <c r="L67" s="1"/>
  <c r="J68"/>
  <c r="L68" s="1"/>
  <c r="J69"/>
  <c r="L69" s="1"/>
  <c r="J73"/>
  <c r="L73" s="1"/>
  <c r="J74"/>
  <c r="L74" s="1"/>
  <c r="J75"/>
  <c r="L75" s="1"/>
  <c r="J80"/>
  <c r="L80" s="1"/>
  <c r="P80" s="1"/>
  <c r="J82"/>
  <c r="L82" s="1"/>
  <c r="J84"/>
  <c r="L84" s="1"/>
  <c r="P84" s="1"/>
  <c r="J86"/>
  <c r="L86" s="1"/>
  <c r="P86" s="1"/>
  <c r="J88"/>
  <c r="L88" s="1"/>
  <c r="B40" i="95"/>
  <c r="B43" s="1"/>
  <c r="F40"/>
  <c r="F43" s="1"/>
  <c r="J12" i="96"/>
  <c r="L12" s="1"/>
  <c r="J13"/>
  <c r="L13" s="1"/>
  <c r="J14"/>
  <c r="L14" s="1"/>
  <c r="J15"/>
  <c r="L15" s="1"/>
  <c r="J16"/>
  <c r="L16" s="1"/>
  <c r="B74"/>
  <c r="J48"/>
  <c r="L48" s="1"/>
  <c r="L53"/>
  <c r="J56"/>
  <c r="L56" s="1"/>
  <c r="L54"/>
  <c r="L57"/>
  <c r="J61"/>
  <c r="L61" s="1"/>
  <c r="J55"/>
  <c r="L55" s="1"/>
  <c r="J65"/>
  <c r="L65" s="1"/>
  <c r="J71"/>
  <c r="L71" s="1"/>
  <c r="J12" i="95"/>
  <c r="J14"/>
  <c r="L14" s="1"/>
  <c r="P14" s="1"/>
  <c r="J16"/>
  <c r="L16" s="1"/>
  <c r="P16" s="1"/>
  <c r="J18"/>
  <c r="L18" s="1"/>
  <c r="P18" s="1"/>
  <c r="J20"/>
  <c r="L20" s="1"/>
  <c r="J23"/>
  <c r="L23" s="1"/>
  <c r="J25"/>
  <c r="L25" s="1"/>
  <c r="J27"/>
  <c r="L27" s="1"/>
  <c r="J29"/>
  <c r="L29" s="1"/>
  <c r="J31"/>
  <c r="L31" s="1"/>
  <c r="J33"/>
  <c r="L33" s="1"/>
  <c r="P33" s="1"/>
  <c r="J35"/>
  <c r="L35" s="1"/>
  <c r="J37"/>
  <c r="L37" s="1"/>
  <c r="J38"/>
  <c r="L38" s="1"/>
  <c r="J17" i="96"/>
  <c r="L17" s="1"/>
  <c r="J18"/>
  <c r="L18" s="1"/>
  <c r="J19"/>
  <c r="L19" s="1"/>
  <c r="J20"/>
  <c r="L20" s="1"/>
  <c r="J21"/>
  <c r="L21" s="1"/>
  <c r="J23"/>
  <c r="L23" s="1"/>
  <c r="J24"/>
  <c r="L24" s="1"/>
  <c r="J25"/>
  <c r="L25" s="1"/>
  <c r="J26"/>
  <c r="L26" s="1"/>
  <c r="J27"/>
  <c r="L27" s="1"/>
  <c r="J28"/>
  <c r="L28" s="1"/>
  <c r="J29"/>
  <c r="L29" s="1"/>
  <c r="J38"/>
  <c r="L38" s="1"/>
  <c r="D40" i="97"/>
  <c r="D43" s="1"/>
  <c r="J11"/>
  <c r="L11" s="1"/>
  <c r="J13"/>
  <c r="L13" s="1"/>
  <c r="J15"/>
  <c r="L15" s="1"/>
  <c r="J17"/>
  <c r="L17" s="1"/>
  <c r="P17" s="1"/>
  <c r="J19"/>
  <c r="L19" s="1"/>
  <c r="J21"/>
  <c r="L21" s="1"/>
  <c r="P21" s="1"/>
  <c r="J25"/>
  <c r="L25" s="1"/>
  <c r="P25" s="1"/>
  <c r="J27"/>
  <c r="L27" s="1"/>
  <c r="P27" s="1"/>
  <c r="J29"/>
  <c r="L29" s="1"/>
  <c r="P29" s="1"/>
  <c r="J31"/>
  <c r="L31" s="1"/>
  <c r="P31" s="1"/>
  <c r="J33"/>
  <c r="L33" s="1"/>
  <c r="J35"/>
  <c r="L35" s="1"/>
  <c r="P35" s="1"/>
  <c r="J37"/>
  <c r="L37" s="1"/>
  <c r="J38"/>
  <c r="L38" s="1"/>
  <c r="P38" s="1"/>
  <c r="J13" i="95"/>
  <c r="L13" s="1"/>
  <c r="J15"/>
  <c r="L15" s="1"/>
  <c r="P15" s="1"/>
  <c r="J17"/>
  <c r="L17" s="1"/>
  <c r="J19"/>
  <c r="L19" s="1"/>
  <c r="P19" s="1"/>
  <c r="J21"/>
  <c r="L21" s="1"/>
  <c r="J24"/>
  <c r="L24" s="1"/>
  <c r="J26"/>
  <c r="L26" s="1"/>
  <c r="J28"/>
  <c r="L28" s="1"/>
  <c r="P28" s="1"/>
  <c r="J30"/>
  <c r="L30" s="1"/>
  <c r="P30" s="1"/>
  <c r="J32"/>
  <c r="L32" s="1"/>
  <c r="P32" s="1"/>
  <c r="J34"/>
  <c r="L34" s="1"/>
  <c r="J36"/>
  <c r="J39"/>
  <c r="L39" s="1"/>
  <c r="P39" s="1"/>
  <c r="J30" i="96"/>
  <c r="L30" s="1"/>
  <c r="J31"/>
  <c r="L31" s="1"/>
  <c r="J32"/>
  <c r="L32" s="1"/>
  <c r="J33"/>
  <c r="L33" s="1"/>
  <c r="J34"/>
  <c r="L34" s="1"/>
  <c r="J35"/>
  <c r="L35" s="1"/>
  <c r="J36"/>
  <c r="L36" s="1"/>
  <c r="J37"/>
  <c r="L37" s="1"/>
  <c r="J39"/>
  <c r="L39" s="1"/>
  <c r="J12" i="97"/>
  <c r="L12" s="1"/>
  <c r="J14"/>
  <c r="L14" s="1"/>
  <c r="J16"/>
  <c r="L16" s="1"/>
  <c r="J18"/>
  <c r="L18" s="1"/>
  <c r="J20"/>
  <c r="L20" s="1"/>
  <c r="J23"/>
  <c r="L23" s="1"/>
  <c r="P23" s="1"/>
  <c r="D209" i="91"/>
  <c r="L209"/>
  <c r="P209"/>
  <c r="D249"/>
  <c r="P249"/>
  <c r="T244"/>
  <c r="T246"/>
  <c r="T248"/>
  <c r="T255"/>
  <c r="T264"/>
  <c r="T200"/>
  <c r="L249"/>
  <c r="T238"/>
  <c r="T256"/>
  <c r="T262"/>
  <c r="L95"/>
  <c r="T95" s="1"/>
  <c r="L86"/>
  <c r="T86" s="1"/>
  <c r="H98"/>
  <c r="C13" i="127"/>
  <c r="S11"/>
  <c r="S15"/>
  <c r="S28"/>
  <c r="S36" s="1"/>
  <c r="N37" i="121"/>
  <c r="N38" s="1"/>
  <c r="N40" s="1"/>
  <c r="L45"/>
  <c r="N54"/>
  <c r="L62"/>
  <c r="F64"/>
  <c r="F74"/>
  <c r="L80"/>
  <c r="N80" s="1"/>
  <c r="F82"/>
  <c r="N106"/>
  <c r="L107"/>
  <c r="N107" s="1"/>
  <c r="F109"/>
  <c r="U18" i="122"/>
  <c r="S17" i="155" s="1"/>
  <c r="U21" i="122"/>
  <c r="U27"/>
  <c r="S26" i="155" s="1"/>
  <c r="G32" i="122"/>
  <c r="U36"/>
  <c r="U41"/>
  <c r="E48"/>
  <c r="O48"/>
  <c r="U52"/>
  <c r="U53"/>
  <c r="U56"/>
  <c r="U62"/>
  <c r="Q64"/>
  <c r="E67"/>
  <c r="O67"/>
  <c r="G68"/>
  <c r="Q68"/>
  <c r="M76"/>
  <c r="Q76"/>
  <c r="E84"/>
  <c r="U20" i="123"/>
  <c r="V290" i="154" s="1"/>
  <c r="D69" i="131"/>
  <c r="L63"/>
  <c r="L66" s="1"/>
  <c r="L11" i="121"/>
  <c r="N11" s="1"/>
  <c r="J46"/>
  <c r="J48" s="1"/>
  <c r="U11" i="122"/>
  <c r="S10" i="155" s="1"/>
  <c r="U13" i="122"/>
  <c r="S12" i="155" s="1"/>
  <c r="U16" i="122"/>
  <c r="S15" i="155" s="1"/>
  <c r="U22" i="122"/>
  <c r="S21" i="155" s="1"/>
  <c r="U24" i="122"/>
  <c r="S23" i="155" s="1"/>
  <c r="E32" i="122"/>
  <c r="U35"/>
  <c r="U40"/>
  <c r="G48"/>
  <c r="U57"/>
  <c r="E64"/>
  <c r="C120" i="155"/>
  <c r="C122"/>
  <c r="G122" s="1"/>
  <c r="K122" s="1"/>
  <c r="I76" i="122"/>
  <c r="O76"/>
  <c r="S76"/>
  <c r="U25" i="123"/>
  <c r="E38" i="127"/>
  <c r="C173" i="125"/>
  <c r="C181" s="1"/>
  <c r="C190" s="1"/>
  <c r="H40" i="128"/>
  <c r="H43" s="1"/>
  <c r="J11" i="129"/>
  <c r="J55"/>
  <c r="L55" s="1"/>
  <c r="J11" i="130"/>
  <c r="J63" i="131"/>
  <c r="J66" s="1"/>
  <c r="L10" i="132"/>
  <c r="J11" i="133"/>
  <c r="D36" i="134"/>
  <c r="F47"/>
  <c r="J55"/>
  <c r="J67"/>
  <c r="J81"/>
  <c r="N130" i="154" s="1"/>
  <c r="J19" i="135"/>
  <c r="L19" s="1"/>
  <c r="J47" i="137"/>
  <c r="F96"/>
  <c r="H96"/>
  <c r="J111"/>
  <c r="J133"/>
  <c r="J37" i="139"/>
  <c r="AO115" i="125"/>
  <c r="L46" i="129"/>
  <c r="L40" i="131"/>
  <c r="L43" s="1"/>
  <c r="J11" i="135"/>
  <c r="D153" i="137"/>
  <c r="J30" i="135"/>
  <c r="B36"/>
  <c r="J39"/>
  <c r="B47"/>
  <c r="J50"/>
  <c r="B52"/>
  <c r="J55"/>
  <c r="B64"/>
  <c r="J67"/>
  <c r="B78"/>
  <c r="J81"/>
  <c r="B93"/>
  <c r="J101"/>
  <c r="F126"/>
  <c r="J136"/>
  <c r="F27" i="136"/>
  <c r="D36"/>
  <c r="F47"/>
  <c r="J55"/>
  <c r="J67"/>
  <c r="J81"/>
  <c r="J12" i="137"/>
  <c r="J30"/>
  <c r="L39"/>
  <c r="L47" s="1"/>
  <c r="D47"/>
  <c r="D96" s="1"/>
  <c r="L50"/>
  <c r="L52" s="1"/>
  <c r="L55"/>
  <c r="J58"/>
  <c r="L58" s="1"/>
  <c r="J63"/>
  <c r="L63" s="1"/>
  <c r="J69"/>
  <c r="L69" s="1"/>
  <c r="J77"/>
  <c r="L77" s="1"/>
  <c r="J83"/>
  <c r="L83" s="1"/>
  <c r="J91"/>
  <c r="L91" s="1"/>
  <c r="L100"/>
  <c r="L111" s="1"/>
  <c r="L114"/>
  <c r="L117" s="1"/>
  <c r="L120"/>
  <c r="J124"/>
  <c r="L124" s="1"/>
  <c r="L128"/>
  <c r="L133" s="1"/>
  <c r="J135"/>
  <c r="J147"/>
  <c r="L147" s="1"/>
  <c r="L150" s="1"/>
  <c r="L14" i="139"/>
  <c r="L18" s="1"/>
  <c r="L26"/>
  <c r="L27" s="1"/>
  <c r="L31"/>
  <c r="L34" s="1"/>
  <c r="J11" i="140"/>
  <c r="J28"/>
  <c r="J37"/>
  <c r="N133" i="154" s="1"/>
  <c r="N170" s="1"/>
  <c r="J41" i="140"/>
  <c r="B68" i="143"/>
  <c r="H68"/>
  <c r="J83"/>
  <c r="D112"/>
  <c r="J129" i="135"/>
  <c r="J11" i="138"/>
  <c r="J15"/>
  <c r="J51" i="140"/>
  <c r="L51" s="1"/>
  <c r="J62"/>
  <c r="F68" i="143"/>
  <c r="D68"/>
  <c r="D19" i="145"/>
  <c r="D22" s="1"/>
  <c r="D32" s="1"/>
  <c r="J14"/>
  <c r="L14" s="1"/>
  <c r="F59" i="141"/>
  <c r="J62"/>
  <c r="J73"/>
  <c r="L86"/>
  <c r="J11" i="142"/>
  <c r="J28"/>
  <c r="J37"/>
  <c r="J41"/>
  <c r="J15" i="143"/>
  <c r="L15" s="1"/>
  <c r="J23"/>
  <c r="L23" s="1"/>
  <c r="J28"/>
  <c r="J30"/>
  <c r="L30" s="1"/>
  <c r="J43"/>
  <c r="L43" s="1"/>
  <c r="J52"/>
  <c r="L52" s="1"/>
  <c r="J63"/>
  <c r="L73"/>
  <c r="L83" s="1"/>
  <c r="L86"/>
  <c r="J87"/>
  <c r="L87" s="1"/>
  <c r="L95"/>
  <c r="J96"/>
  <c r="L96" s="1"/>
  <c r="L107"/>
  <c r="L108" s="1"/>
  <c r="F19" i="144"/>
  <c r="F22" s="1"/>
  <c r="J11"/>
  <c r="B32" i="145"/>
  <c r="H32"/>
  <c r="R37" i="152"/>
  <c r="R71"/>
  <c r="R100"/>
  <c r="R235"/>
  <c r="D393"/>
  <c r="D443"/>
  <c r="H443"/>
  <c r="L443"/>
  <c r="R22" i="153"/>
  <c r="R25" s="1"/>
  <c r="L11" i="145"/>
  <c r="J11" i="141"/>
  <c r="J28"/>
  <c r="J37"/>
  <c r="J62" i="142"/>
  <c r="J19" i="143"/>
  <c r="L19" s="1"/>
  <c r="H393" i="152"/>
  <c r="F393"/>
  <c r="F19" i="145"/>
  <c r="F22" s="1"/>
  <c r="F32" s="1"/>
  <c r="L27"/>
  <c r="L30" s="1"/>
  <c r="L10" i="147"/>
  <c r="L11" s="1"/>
  <c r="J11" i="148"/>
  <c r="R12" i="152"/>
  <c r="D37"/>
  <c r="D52"/>
  <c r="R101"/>
  <c r="R116" s="1"/>
  <c r="R117"/>
  <c r="R132" s="1"/>
  <c r="R133"/>
  <c r="R146" s="1"/>
  <c r="R276"/>
  <c r="R284" s="1"/>
  <c r="R301"/>
  <c r="R340"/>
  <c r="R356"/>
  <c r="B384"/>
  <c r="B393" s="1"/>
  <c r="R387"/>
  <c r="R450"/>
  <c r="R29" i="153"/>
  <c r="R43"/>
  <c r="R148" i="152"/>
  <c r="R183"/>
  <c r="R189" s="1"/>
  <c r="R236"/>
  <c r="R238" s="1"/>
  <c r="R242"/>
  <c r="R252" s="1"/>
  <c r="R256"/>
  <c r="R275" s="1"/>
  <c r="R287"/>
  <c r="R300" s="1"/>
  <c r="R305"/>
  <c r="R368"/>
  <c r="R384" s="1"/>
  <c r="R410"/>
  <c r="L93" i="91"/>
  <c r="T93" s="1"/>
  <c r="T242"/>
  <c r="L78"/>
  <c r="F80"/>
  <c r="F90"/>
  <c r="F143"/>
  <c r="F146" s="1"/>
  <c r="L140"/>
  <c r="H249"/>
  <c r="T239"/>
  <c r="T240"/>
  <c r="T241"/>
  <c r="S11" i="94"/>
  <c r="C13"/>
  <c r="C26"/>
  <c r="S15"/>
  <c r="S28"/>
  <c r="S36" s="1"/>
  <c r="P271" i="91"/>
  <c r="T268"/>
  <c r="S42" i="94"/>
  <c r="C45"/>
  <c r="P265" i="91"/>
  <c r="T252"/>
  <c r="F12" i="88"/>
  <c r="J12"/>
  <c r="L16"/>
  <c r="L25"/>
  <c r="L26"/>
  <c r="N26" s="1"/>
  <c r="F30"/>
  <c r="N37"/>
  <c r="N38" s="1"/>
  <c r="N40" s="1"/>
  <c r="L45"/>
  <c r="N54"/>
  <c r="N55" s="1"/>
  <c r="F64"/>
  <c r="L67"/>
  <c r="L72"/>
  <c r="N72" s="1"/>
  <c r="F74"/>
  <c r="L77"/>
  <c r="L80"/>
  <c r="N80" s="1"/>
  <c r="F82"/>
  <c r="N106"/>
  <c r="L107"/>
  <c r="N107" s="1"/>
  <c r="F109"/>
  <c r="AD158" i="154" s="1"/>
  <c r="AD13" s="1"/>
  <c r="S12" i="89"/>
  <c r="S14"/>
  <c r="S13" i="156" s="1"/>
  <c r="S70" s="1"/>
  <c r="V70" s="1"/>
  <c r="F284" i="157" s="1"/>
  <c r="D284" s="1"/>
  <c r="S15" i="89"/>
  <c r="S14" i="156" s="1"/>
  <c r="S18" i="89"/>
  <c r="S17" i="156" s="1"/>
  <c r="S21" i="89"/>
  <c r="S20" i="156" s="1"/>
  <c r="S23" i="89"/>
  <c r="S25"/>
  <c r="S27"/>
  <c r="S26" i="156" s="1"/>
  <c r="S29" i="89"/>
  <c r="G32"/>
  <c r="S36"/>
  <c r="S41"/>
  <c r="E48"/>
  <c r="F265" i="91"/>
  <c r="S52" i="89"/>
  <c r="S53"/>
  <c r="S56"/>
  <c r="T258" i="91"/>
  <c r="S62" i="89"/>
  <c r="E67"/>
  <c r="M67"/>
  <c r="G68"/>
  <c r="O68"/>
  <c r="E69"/>
  <c r="I69"/>
  <c r="M69"/>
  <c r="T269" i="91"/>
  <c r="T270"/>
  <c r="K76" i="89"/>
  <c r="O76"/>
  <c r="E84"/>
  <c r="I11" i="90"/>
  <c r="M11"/>
  <c r="K12"/>
  <c r="O12"/>
  <c r="I13"/>
  <c r="M13"/>
  <c r="Q13"/>
  <c r="S20"/>
  <c r="T277" i="91" s="1"/>
  <c r="S32" i="90"/>
  <c r="S34"/>
  <c r="H26" i="91"/>
  <c r="H28" s="1"/>
  <c r="H31"/>
  <c r="H41"/>
  <c r="L53"/>
  <c r="L54" s="1"/>
  <c r="L56" s="1"/>
  <c r="D54"/>
  <c r="D56" s="1"/>
  <c r="L61"/>
  <c r="L62" s="1"/>
  <c r="L64" s="1"/>
  <c r="D62"/>
  <c r="D64" s="1"/>
  <c r="F71"/>
  <c r="F73" s="1"/>
  <c r="F97"/>
  <c r="L97" s="1"/>
  <c r="T97" s="1"/>
  <c r="L105"/>
  <c r="F150"/>
  <c r="J150"/>
  <c r="D173"/>
  <c r="H173"/>
  <c r="L173"/>
  <c r="P173"/>
  <c r="P175" s="1"/>
  <c r="H182"/>
  <c r="F183"/>
  <c r="J183"/>
  <c r="F185"/>
  <c r="J185"/>
  <c r="F187"/>
  <c r="T187" s="1"/>
  <c r="F189"/>
  <c r="F191"/>
  <c r="H192"/>
  <c r="F193"/>
  <c r="T193" s="1"/>
  <c r="F195"/>
  <c r="T195" s="1"/>
  <c r="F197"/>
  <c r="T197" s="1"/>
  <c r="F199"/>
  <c r="T199" s="1"/>
  <c r="F201"/>
  <c r="T201" s="1"/>
  <c r="H206"/>
  <c r="H209" s="1"/>
  <c r="P215"/>
  <c r="T236"/>
  <c r="N237"/>
  <c r="N249" s="1"/>
  <c r="F243"/>
  <c r="F245"/>
  <c r="T245" s="1"/>
  <c r="F247"/>
  <c r="T247" s="1"/>
  <c r="T259"/>
  <c r="T260"/>
  <c r="T261"/>
  <c r="E38" i="94"/>
  <c r="G38"/>
  <c r="K38"/>
  <c r="D68" i="98"/>
  <c r="J62"/>
  <c r="J65" s="1"/>
  <c r="L10" i="88"/>
  <c r="L11"/>
  <c r="N11" s="1"/>
  <c r="L19"/>
  <c r="N19" s="1"/>
  <c r="L29"/>
  <c r="N29" s="1"/>
  <c r="J46"/>
  <c r="J48" s="1"/>
  <c r="S11" i="89"/>
  <c r="S10" i="156" s="1"/>
  <c r="S13" i="89"/>
  <c r="S12" i="156" s="1"/>
  <c r="S16" i="89"/>
  <c r="S22"/>
  <c r="S21" i="156" s="1"/>
  <c r="S24" i="89"/>
  <c r="S23" i="156" s="1"/>
  <c r="S26" i="89"/>
  <c r="E32"/>
  <c r="S35"/>
  <c r="S40"/>
  <c r="G48"/>
  <c r="S57"/>
  <c r="E64"/>
  <c r="Y304" i="154" s="1"/>
  <c r="Y15" s="1"/>
  <c r="E68" i="89"/>
  <c r="G69"/>
  <c r="S73"/>
  <c r="C120" i="156" s="1"/>
  <c r="S74" i="89"/>
  <c r="S75"/>
  <c r="C122" i="156" s="1"/>
  <c r="G122" s="1"/>
  <c r="K122" s="1"/>
  <c r="I76" i="89"/>
  <c r="M76"/>
  <c r="Q76"/>
  <c r="K11" i="90"/>
  <c r="O11"/>
  <c r="I12"/>
  <c r="M12"/>
  <c r="Q12"/>
  <c r="K13"/>
  <c r="O13"/>
  <c r="S25"/>
  <c r="S33"/>
  <c r="F173" i="91"/>
  <c r="V175" s="1"/>
  <c r="J173"/>
  <c r="N173"/>
  <c r="N175" s="1"/>
  <c r="R173"/>
  <c r="R175" s="1"/>
  <c r="F182"/>
  <c r="F184"/>
  <c r="T184" s="1"/>
  <c r="F186"/>
  <c r="F188"/>
  <c r="T188" s="1"/>
  <c r="F190"/>
  <c r="T190" s="1"/>
  <c r="F192"/>
  <c r="F194"/>
  <c r="T194" s="1"/>
  <c r="F196"/>
  <c r="T196" s="1"/>
  <c r="F198"/>
  <c r="T198" s="1"/>
  <c r="F206"/>
  <c r="F209" s="1"/>
  <c r="T253"/>
  <c r="T254"/>
  <c r="T257"/>
  <c r="T263"/>
  <c r="R271"/>
  <c r="M38" i="94"/>
  <c r="O38"/>
  <c r="S26" i="92"/>
  <c r="J11" i="95"/>
  <c r="L46" i="96"/>
  <c r="F74"/>
  <c r="H40" i="97"/>
  <c r="H43" s="1"/>
  <c r="J13" i="98"/>
  <c r="L13" s="1"/>
  <c r="L40" s="1"/>
  <c r="L48"/>
  <c r="L62" s="1"/>
  <c r="J10" i="99"/>
  <c r="L10" i="100"/>
  <c r="L11" s="1"/>
  <c r="L14" s="1"/>
  <c r="J11" i="101"/>
  <c r="J30"/>
  <c r="L30" s="1"/>
  <c r="B35"/>
  <c r="J38"/>
  <c r="L49"/>
  <c r="J11" i="102"/>
  <c r="J29"/>
  <c r="D25" i="105"/>
  <c r="H37" i="106"/>
  <c r="J277" i="91"/>
  <c r="J11" i="96"/>
  <c r="J39" i="101"/>
  <c r="L39" s="1"/>
  <c r="J54"/>
  <c r="J66"/>
  <c r="J34" i="102"/>
  <c r="L34" s="1"/>
  <c r="H95" i="104"/>
  <c r="J38" i="102"/>
  <c r="B46"/>
  <c r="J49"/>
  <c r="B51"/>
  <c r="J54"/>
  <c r="B63"/>
  <c r="J66"/>
  <c r="B76"/>
  <c r="J79"/>
  <c r="B91"/>
  <c r="J99"/>
  <c r="D115"/>
  <c r="J133"/>
  <c r="J141"/>
  <c r="F26" i="103"/>
  <c r="D35"/>
  <c r="F46"/>
  <c r="J54"/>
  <c r="J66"/>
  <c r="J79"/>
  <c r="J12" i="104"/>
  <c r="J29"/>
  <c r="L38"/>
  <c r="L46" s="1"/>
  <c r="L49"/>
  <c r="L51" s="1"/>
  <c r="L54"/>
  <c r="J57"/>
  <c r="L57" s="1"/>
  <c r="J62"/>
  <c r="L62" s="1"/>
  <c r="J68"/>
  <c r="L68" s="1"/>
  <c r="J76"/>
  <c r="L76" s="1"/>
  <c r="J82"/>
  <c r="L82" s="1"/>
  <c r="J90"/>
  <c r="L90" s="1"/>
  <c r="L99"/>
  <c r="L110" s="1"/>
  <c r="L113"/>
  <c r="L115" s="1"/>
  <c r="L118"/>
  <c r="J122"/>
  <c r="L122" s="1"/>
  <c r="L126"/>
  <c r="L131" s="1"/>
  <c r="J133"/>
  <c r="J144"/>
  <c r="L144" s="1"/>
  <c r="L147" s="1"/>
  <c r="L14" i="106"/>
  <c r="L18" s="1"/>
  <c r="L21" s="1"/>
  <c r="L26"/>
  <c r="L27" s="1"/>
  <c r="L30"/>
  <c r="L31" s="1"/>
  <c r="J11" i="107"/>
  <c r="J28"/>
  <c r="J37"/>
  <c r="J11" i="108"/>
  <c r="J28"/>
  <c r="F111"/>
  <c r="J25" i="110"/>
  <c r="J92"/>
  <c r="J34"/>
  <c r="L28"/>
  <c r="L34" s="1"/>
  <c r="L82"/>
  <c r="L82" i="108" s="1"/>
  <c r="J82"/>
  <c r="J118" i="102"/>
  <c r="P49" i="103"/>
  <c r="J11" i="105"/>
  <c r="J15"/>
  <c r="J51" i="107"/>
  <c r="L51" s="1"/>
  <c r="J62"/>
  <c r="J31" i="108"/>
  <c r="L31" s="1"/>
  <c r="H111"/>
  <c r="B68" i="110"/>
  <c r="H68"/>
  <c r="J28" i="112"/>
  <c r="L26"/>
  <c r="L28" s="1"/>
  <c r="J37" i="108"/>
  <c r="J41"/>
  <c r="J86"/>
  <c r="J95"/>
  <c r="H25" i="109"/>
  <c r="H34"/>
  <c r="H38"/>
  <c r="J62"/>
  <c r="L11" i="110"/>
  <c r="L25" s="1"/>
  <c r="L37"/>
  <c r="L38" s="1"/>
  <c r="L41"/>
  <c r="J51"/>
  <c r="L51" s="1"/>
  <c r="L62"/>
  <c r="J73"/>
  <c r="L87"/>
  <c r="L92" s="1"/>
  <c r="J95"/>
  <c r="J106"/>
  <c r="J12" i="111"/>
  <c r="L12" s="1"/>
  <c r="P12" s="1"/>
  <c r="F19"/>
  <c r="F22" s="1"/>
  <c r="B30" i="112"/>
  <c r="H30"/>
  <c r="R36" i="119"/>
  <c r="R70"/>
  <c r="H441"/>
  <c r="R22" i="120"/>
  <c r="R25" s="1"/>
  <c r="B50"/>
  <c r="L11" i="112"/>
  <c r="J73" i="108"/>
  <c r="J41" i="109"/>
  <c r="J23" i="116"/>
  <c r="H391" i="119"/>
  <c r="J14" i="112"/>
  <c r="L14" s="1"/>
  <c r="D28"/>
  <c r="D30" s="1"/>
  <c r="L10" i="114"/>
  <c r="L11" s="1"/>
  <c r="J11" i="115"/>
  <c r="L11" i="116"/>
  <c r="L13" s="1"/>
  <c r="L16"/>
  <c r="L20" s="1"/>
  <c r="R12" i="119"/>
  <c r="R100"/>
  <c r="R115" s="1"/>
  <c r="R116"/>
  <c r="R131" s="1"/>
  <c r="R132"/>
  <c r="R145" s="1"/>
  <c r="R275"/>
  <c r="R283" s="1"/>
  <c r="R299"/>
  <c r="B329"/>
  <c r="B331" s="1"/>
  <c r="R338"/>
  <c r="R354"/>
  <c r="B382"/>
  <c r="B391" s="1"/>
  <c r="R385"/>
  <c r="R395"/>
  <c r="R435"/>
  <c r="R438" s="1"/>
  <c r="R447"/>
  <c r="R147"/>
  <c r="R157"/>
  <c r="R180" s="1"/>
  <c r="R182"/>
  <c r="R188" s="1"/>
  <c r="R235"/>
  <c r="R237" s="1"/>
  <c r="R241"/>
  <c r="R251" s="1"/>
  <c r="R286"/>
  <c r="R298" s="1"/>
  <c r="R303"/>
  <c r="R366"/>
  <c r="T219" i="86"/>
  <c r="AL11"/>
  <c r="AM11" s="1"/>
  <c r="N163"/>
  <c r="R163"/>
  <c r="F219"/>
  <c r="J219"/>
  <c r="N219"/>
  <c r="R219"/>
  <c r="AM139"/>
  <c r="F32"/>
  <c r="F42"/>
  <c r="F50"/>
  <c r="T73"/>
  <c r="T83"/>
  <c r="T88"/>
  <c r="T89"/>
  <c r="T90"/>
  <c r="T91"/>
  <c r="T92"/>
  <c r="T93"/>
  <c r="T98"/>
  <c r="T100"/>
  <c r="T101"/>
  <c r="T145"/>
  <c r="T146"/>
  <c r="F231"/>
  <c r="J231"/>
  <c r="N231"/>
  <c r="R231"/>
  <c r="T57"/>
  <c r="T58" s="1"/>
  <c r="T60" s="1"/>
  <c r="F58"/>
  <c r="F60" s="1"/>
  <c r="T65"/>
  <c r="T66" s="1"/>
  <c r="T68" s="1"/>
  <c r="F66"/>
  <c r="F68" s="1"/>
  <c r="L74"/>
  <c r="L75" s="1"/>
  <c r="L77" s="1"/>
  <c r="D75"/>
  <c r="D77" s="1"/>
  <c r="L82"/>
  <c r="L84" s="1"/>
  <c r="D84"/>
  <c r="L87"/>
  <c r="L94" s="1"/>
  <c r="D94"/>
  <c r="L97"/>
  <c r="D102"/>
  <c r="T109"/>
  <c r="T110" s="1"/>
  <c r="T112" s="1"/>
  <c r="F110"/>
  <c r="F112" s="1"/>
  <c r="T134"/>
  <c r="T135" s="1"/>
  <c r="T137" s="1"/>
  <c r="T139" s="1"/>
  <c r="F135"/>
  <c r="F137" s="1"/>
  <c r="F139" s="1"/>
  <c r="T144"/>
  <c r="F147"/>
  <c r="F150" s="1"/>
  <c r="F177"/>
  <c r="J177"/>
  <c r="N177"/>
  <c r="N179" s="1"/>
  <c r="R177"/>
  <c r="R179" s="1"/>
  <c r="T186"/>
  <c r="T210"/>
  <c r="D222"/>
  <c r="H222"/>
  <c r="L222"/>
  <c r="L231" s="1"/>
  <c r="P222"/>
  <c r="P231" s="1"/>
  <c r="J281"/>
  <c r="T240"/>
  <c r="T256"/>
  <c r="T272"/>
  <c r="J142" i="154" l="1"/>
  <c r="J143" s="1"/>
  <c r="J145" s="1"/>
  <c r="J147" s="1"/>
  <c r="AM147" s="1"/>
  <c r="AM11" s="1"/>
  <c r="AS11" s="1"/>
  <c r="V81"/>
  <c r="N83"/>
  <c r="R433" i="152"/>
  <c r="N13" i="130"/>
  <c r="N13" i="128"/>
  <c r="F68" i="141"/>
  <c r="B114" i="110"/>
  <c r="L65"/>
  <c r="B153" i="104"/>
  <c r="S80" i="92"/>
  <c r="Q45" i="156"/>
  <c r="K45"/>
  <c r="C121"/>
  <c r="G121" s="1"/>
  <c r="K121" s="1"/>
  <c r="U74"/>
  <c r="U75" s="1"/>
  <c r="G120"/>
  <c r="F72" i="157"/>
  <c r="D72" s="1"/>
  <c r="L23" i="149"/>
  <c r="D96" i="135"/>
  <c r="L102" i="86"/>
  <c r="L104" s="1"/>
  <c r="J19" i="145"/>
  <c r="J22" s="1"/>
  <c r="J32" s="1"/>
  <c r="I101" i="155"/>
  <c r="V232" i="154"/>
  <c r="P27" i="95"/>
  <c r="P25" i="136"/>
  <c r="L80" i="101"/>
  <c r="P80" s="1"/>
  <c r="N97" i="88"/>
  <c r="N98" s="1"/>
  <c r="J207" i="154"/>
  <c r="V207" s="1"/>
  <c r="C45" i="127"/>
  <c r="J105" i="141"/>
  <c r="Y245" i="154"/>
  <c r="Y12" s="1"/>
  <c r="Y20" s="1"/>
  <c r="V233"/>
  <c r="P24" i="103"/>
  <c r="P13" i="109"/>
  <c r="P16" i="103"/>
  <c r="N55" i="121"/>
  <c r="L18"/>
  <c r="N18" s="1"/>
  <c r="L29"/>
  <c r="N29" s="1"/>
  <c r="J81" i="101"/>
  <c r="L81" s="1"/>
  <c r="P81" s="1"/>
  <c r="F304" i="154"/>
  <c r="X304" s="1"/>
  <c r="X15" s="1"/>
  <c r="N129"/>
  <c r="N166" s="1"/>
  <c r="J65" i="140"/>
  <c r="L104" i="143"/>
  <c r="J104"/>
  <c r="J159" i="91"/>
  <c r="J175" s="1"/>
  <c r="L95" i="141"/>
  <c r="L105" s="1"/>
  <c r="J79" i="101"/>
  <c r="L118" i="91" s="1"/>
  <c r="L155" s="1"/>
  <c r="V278" i="154"/>
  <c r="I69" i="122"/>
  <c r="P14" i="101"/>
  <c r="P88"/>
  <c r="P24" i="109"/>
  <c r="P21" i="107"/>
  <c r="B68" i="141"/>
  <c r="R388" i="119"/>
  <c r="P20" i="103"/>
  <c r="P33" i="101"/>
  <c r="L63" i="143"/>
  <c r="J65"/>
  <c r="L63" i="109"/>
  <c r="P63" s="1"/>
  <c r="J65"/>
  <c r="L63" i="108"/>
  <c r="L65" s="1"/>
  <c r="J65"/>
  <c r="L63" i="107"/>
  <c r="P63" s="1"/>
  <c r="J65"/>
  <c r="J13" i="101"/>
  <c r="L13" s="1"/>
  <c r="P13" s="1"/>
  <c r="F96" i="135"/>
  <c r="V262" i="154"/>
  <c r="V235"/>
  <c r="R390" i="152"/>
  <c r="J65" i="142"/>
  <c r="J65" i="141"/>
  <c r="L42" i="86"/>
  <c r="D111" i="108"/>
  <c r="H26" i="101"/>
  <c r="L15" i="88" s="1"/>
  <c r="N15" s="1"/>
  <c r="H104" i="86"/>
  <c r="L130" i="91"/>
  <c r="L131" s="1"/>
  <c r="L133" s="1"/>
  <c r="L135" s="1"/>
  <c r="AE135" s="1"/>
  <c r="P287"/>
  <c r="J122"/>
  <c r="B113" i="141"/>
  <c r="H291" i="86"/>
  <c r="Z291" s="1"/>
  <c r="Z15" s="1"/>
  <c r="B59" i="107"/>
  <c r="B68" s="1"/>
  <c r="N51" i="103"/>
  <c r="T30" i="86"/>
  <c r="T32" s="1"/>
  <c r="J30" i="88"/>
  <c r="L19" i="145"/>
  <c r="L22" s="1"/>
  <c r="L32" s="1"/>
  <c r="J86" i="101"/>
  <c r="L86" s="1"/>
  <c r="P86" s="1"/>
  <c r="L28" i="88"/>
  <c r="N28" s="1"/>
  <c r="N287" i="91"/>
  <c r="J23" i="149"/>
  <c r="J84" i="101"/>
  <c r="L84" s="1"/>
  <c r="P84" s="1"/>
  <c r="R291" i="86"/>
  <c r="H159" i="91"/>
  <c r="H175" s="1"/>
  <c r="J45" i="107"/>
  <c r="L45" s="1"/>
  <c r="P45" s="1"/>
  <c r="J82" i="101"/>
  <c r="L82" s="1"/>
  <c r="P82" s="1"/>
  <c r="P83" i="103"/>
  <c r="P21"/>
  <c r="P61" i="101"/>
  <c r="P38" i="95"/>
  <c r="P22" i="109"/>
  <c r="P30" i="97"/>
  <c r="P15"/>
  <c r="P39" i="103"/>
  <c r="P28" i="97"/>
  <c r="P44" i="101"/>
  <c r="P17"/>
  <c r="P57" i="140"/>
  <c r="J35" i="103"/>
  <c r="J85" i="101"/>
  <c r="L85" s="1"/>
  <c r="P85" s="1"/>
  <c r="B76" i="96"/>
  <c r="H76" i="129"/>
  <c r="F76"/>
  <c r="P20" i="97"/>
  <c r="P24" i="95"/>
  <c r="P17" i="103"/>
  <c r="S81" i="89"/>
  <c r="C131" i="156" s="1"/>
  <c r="G131" s="1"/>
  <c r="P18" i="97"/>
  <c r="P12"/>
  <c r="P19"/>
  <c r="P23" i="95"/>
  <c r="P45" i="103"/>
  <c r="P33"/>
  <c r="P48" i="107"/>
  <c r="P58" i="109"/>
  <c r="P18"/>
  <c r="P20"/>
  <c r="P32" i="107"/>
  <c r="P15" i="109"/>
  <c r="P54" i="107"/>
  <c r="E34" i="155"/>
  <c r="E57" s="1"/>
  <c r="P30" i="107"/>
  <c r="P31" i="109"/>
  <c r="P47" i="107"/>
  <c r="P23"/>
  <c r="P14" i="97"/>
  <c r="P18" i="101"/>
  <c r="P42"/>
  <c r="P23" i="109"/>
  <c r="P19" i="107"/>
  <c r="P89" i="101"/>
  <c r="P92" i="134"/>
  <c r="J51" i="102"/>
  <c r="J52" i="135"/>
  <c r="B76" i="129"/>
  <c r="H76" i="96"/>
  <c r="P82" i="103"/>
  <c r="P25"/>
  <c r="H94"/>
  <c r="N25" i="138"/>
  <c r="V73" i="154"/>
  <c r="V74" s="1"/>
  <c r="V76" s="1"/>
  <c r="J84" i="88"/>
  <c r="F150" i="102"/>
  <c r="D159" i="91"/>
  <c r="D175" s="1"/>
  <c r="D176" s="1"/>
  <c r="J104" i="86"/>
  <c r="H68" i="140"/>
  <c r="B68" i="108"/>
  <c r="J38" i="109"/>
  <c r="F159" i="91"/>
  <c r="F175" s="1"/>
  <c r="P43" i="103"/>
  <c r="P14" i="130"/>
  <c r="B68" i="142"/>
  <c r="N13" i="134"/>
  <c r="J28" i="121"/>
  <c r="B111" i="108"/>
  <c r="H59" i="107"/>
  <c r="H68" s="1"/>
  <c r="D291" i="86"/>
  <c r="D292" s="1"/>
  <c r="B91" i="101"/>
  <c r="B94" s="1"/>
  <c r="D59" i="107"/>
  <c r="F28" i="121" s="1"/>
  <c r="F56" i="154" s="1"/>
  <c r="P31" i="101"/>
  <c r="P85" i="136"/>
  <c r="P85" i="134"/>
  <c r="P19"/>
  <c r="P16"/>
  <c r="P32" i="97"/>
  <c r="P57" i="109"/>
  <c r="P16"/>
  <c r="E114" i="156"/>
  <c r="E117" s="1"/>
  <c r="P19" i="103"/>
  <c r="P24" i="101"/>
  <c r="P16"/>
  <c r="P90" i="103"/>
  <c r="I149" i="156"/>
  <c r="P49" i="140"/>
  <c r="P35" i="128"/>
  <c r="P23"/>
  <c r="P55" i="109"/>
  <c r="P53"/>
  <c r="P18" i="103"/>
  <c r="P51" i="107"/>
  <c r="P25" i="95"/>
  <c r="P88" i="103"/>
  <c r="P23"/>
  <c r="P43" i="101"/>
  <c r="P42" i="109"/>
  <c r="P21" i="101"/>
  <c r="P15"/>
  <c r="P34"/>
  <c r="P39"/>
  <c r="P13" i="95"/>
  <c r="P33" i="97"/>
  <c r="P35" i="95"/>
  <c r="P61" i="103"/>
  <c r="P40"/>
  <c r="P14"/>
  <c r="P29" i="109"/>
  <c r="P19"/>
  <c r="P13" i="107"/>
  <c r="P29" i="130"/>
  <c r="N35" i="101"/>
  <c r="F30" i="112"/>
  <c r="F59" i="107"/>
  <c r="F68" s="1"/>
  <c r="AI291" i="86"/>
  <c r="P291"/>
  <c r="L291"/>
  <c r="P34" i="128"/>
  <c r="P24"/>
  <c r="P21"/>
  <c r="P46" i="136"/>
  <c r="P25" i="134"/>
  <c r="P87"/>
  <c r="P34" i="136"/>
  <c r="P18" i="134"/>
  <c r="P13" i="140"/>
  <c r="P58" i="142"/>
  <c r="P27" i="128"/>
  <c r="P42" i="134"/>
  <c r="P52" i="140"/>
  <c r="P47"/>
  <c r="P216" i="154"/>
  <c r="L80" i="91"/>
  <c r="U25" i="122"/>
  <c r="S24" i="155" s="1"/>
  <c r="P20" i="95"/>
  <c r="L131" i="102"/>
  <c r="P42" i="103"/>
  <c r="F91" i="101"/>
  <c r="L21" i="88" s="1"/>
  <c r="N21" s="1"/>
  <c r="P18" i="128"/>
  <c r="S70" i="122"/>
  <c r="Q45" i="155" s="1"/>
  <c r="P83" i="101"/>
  <c r="H91"/>
  <c r="N46" i="103"/>
  <c r="K36" i="155"/>
  <c r="K52" s="1"/>
  <c r="Q35"/>
  <c r="Q51" s="1"/>
  <c r="J52" i="107"/>
  <c r="L52" s="1"/>
  <c r="P52" s="1"/>
  <c r="U12" i="122"/>
  <c r="S11" i="155" s="1"/>
  <c r="L72" i="121"/>
  <c r="N72" s="1"/>
  <c r="P34" i="95"/>
  <c r="T70" i="91"/>
  <c r="T71" s="1"/>
  <c r="T73" s="1"/>
  <c r="P32" i="136"/>
  <c r="P44" i="140"/>
  <c r="B68" i="109"/>
  <c r="H94" i="102"/>
  <c r="J90" i="91"/>
  <c r="J100" s="1"/>
  <c r="J56" i="107"/>
  <c r="L56" s="1"/>
  <c r="P56" s="1"/>
  <c r="J52" i="86"/>
  <c r="J50" i="107"/>
  <c r="L50" s="1"/>
  <c r="P50" s="1"/>
  <c r="J49"/>
  <c r="L49" s="1"/>
  <c r="P49" s="1"/>
  <c r="P31" i="142"/>
  <c r="B68" i="140"/>
  <c r="B150" i="102"/>
  <c r="J41" i="107"/>
  <c r="L41" s="1"/>
  <c r="D52" i="86"/>
  <c r="H231"/>
  <c r="H236" s="1"/>
  <c r="Z236" s="1"/>
  <c r="Z12" s="1"/>
  <c r="P29" i="95"/>
  <c r="P58" i="107"/>
  <c r="P20"/>
  <c r="P33" i="109"/>
  <c r="P20" i="128"/>
  <c r="P32" i="101"/>
  <c r="L115" i="135"/>
  <c r="L118" s="1"/>
  <c r="J118"/>
  <c r="N236" i="86"/>
  <c r="L108" i="141"/>
  <c r="L109" s="1"/>
  <c r="P53" i="107"/>
  <c r="P29"/>
  <c r="P91" i="134"/>
  <c r="P14" i="142"/>
  <c r="L236" i="86"/>
  <c r="S17" i="89"/>
  <c r="D122" i="91"/>
  <c r="H287"/>
  <c r="U29" i="122"/>
  <c r="S28" i="155" s="1"/>
  <c r="H100" i="91"/>
  <c r="P26" i="95"/>
  <c r="P31"/>
  <c r="P13" i="103"/>
  <c r="P40" i="101"/>
  <c r="P44" i="103"/>
  <c r="P90" i="101"/>
  <c r="P62" i="134"/>
  <c r="D91" i="101"/>
  <c r="D94" s="1"/>
  <c r="P63" i="140"/>
  <c r="V212" i="154"/>
  <c r="F94" i="102"/>
  <c r="D100" i="91"/>
  <c r="L50" i="86"/>
  <c r="B96" i="136"/>
  <c r="P236" i="86"/>
  <c r="T213"/>
  <c r="J91" i="102"/>
  <c r="J63"/>
  <c r="J115"/>
  <c r="R287" i="91"/>
  <c r="D76" i="96"/>
  <c r="H122" i="91"/>
  <c r="L67" i="121"/>
  <c r="N67" s="1"/>
  <c r="L287" i="91"/>
  <c r="D287"/>
  <c r="D288" s="1"/>
  <c r="P16" i="128"/>
  <c r="P83" i="136"/>
  <c r="F122" i="91"/>
  <c r="L88"/>
  <c r="T88" s="1"/>
  <c r="S29" i="156"/>
  <c r="P17" i="109"/>
  <c r="P15" i="107"/>
  <c r="P21" i="95"/>
  <c r="P41" i="103"/>
  <c r="P22" i="101"/>
  <c r="P46" i="109"/>
  <c r="P21"/>
  <c r="M70" i="122"/>
  <c r="M78" s="1"/>
  <c r="M87" s="1"/>
  <c r="P19" i="101"/>
  <c r="R232" i="91"/>
  <c r="V211" i="154"/>
  <c r="P17" i="95"/>
  <c r="P51" i="103"/>
  <c r="P30" i="101"/>
  <c r="T186" i="91"/>
  <c r="P89" i="103"/>
  <c r="P44" i="107"/>
  <c r="P24"/>
  <c r="P54" i="109"/>
  <c r="P17" i="107"/>
  <c r="P39" i="128"/>
  <c r="P25" i="101"/>
  <c r="P35" i="134"/>
  <c r="P21" i="142"/>
  <c r="P32" i="109"/>
  <c r="P32" i="142"/>
  <c r="P17" i="134"/>
  <c r="P37" i="130"/>
  <c r="P13" i="97"/>
  <c r="P18" i="107"/>
  <c r="P32" i="103"/>
  <c r="P41" i="101"/>
  <c r="P19" i="130"/>
  <c r="P24" i="142"/>
  <c r="U26" i="122"/>
  <c r="P39" i="97"/>
  <c r="P30" i="109"/>
  <c r="P16" i="107"/>
  <c r="P57"/>
  <c r="P33"/>
  <c r="P87" i="103"/>
  <c r="P25" i="128"/>
  <c r="P45" i="136"/>
  <c r="P46" i="142"/>
  <c r="P87" i="101"/>
  <c r="P31" i="107"/>
  <c r="P31" i="103"/>
  <c r="P17" i="140"/>
  <c r="V206" i="154"/>
  <c r="V196"/>
  <c r="V213"/>
  <c r="P232" i="91"/>
  <c r="P16" i="97"/>
  <c r="P47" i="109"/>
  <c r="P23" i="136"/>
  <c r="P31" i="134"/>
  <c r="P82"/>
  <c r="R222" i="154"/>
  <c r="N232" i="91"/>
  <c r="V200" i="154"/>
  <c r="N46" i="101"/>
  <c r="N36" i="136"/>
  <c r="P22" i="134"/>
  <c r="P22" i="103"/>
  <c r="P15"/>
  <c r="F68" i="109"/>
  <c r="D68" i="108"/>
  <c r="J34" i="109"/>
  <c r="F68" i="108"/>
  <c r="F68" i="140"/>
  <c r="F94" i="103"/>
  <c r="T83" i="91"/>
  <c r="P56" i="140"/>
  <c r="P33" i="142"/>
  <c r="P22" i="140"/>
  <c r="P19"/>
  <c r="P15" i="142"/>
  <c r="P90" i="136"/>
  <c r="P89" i="134"/>
  <c r="P84" i="136"/>
  <c r="P83" i="134"/>
  <c r="P44" i="136"/>
  <c r="N47" i="134"/>
  <c r="P40"/>
  <c r="N47" i="136"/>
  <c r="P15" i="134"/>
  <c r="P32" i="128"/>
  <c r="P17" i="130"/>
  <c r="P26"/>
  <c r="P20" i="134"/>
  <c r="P33" i="130"/>
  <c r="P36"/>
  <c r="P15"/>
  <c r="P44" i="134"/>
  <c r="P33"/>
  <c r="P24"/>
  <c r="P41" i="136"/>
  <c r="P45" i="134"/>
  <c r="P14"/>
  <c r="P86"/>
  <c r="P12" i="130"/>
  <c r="P30" i="128"/>
  <c r="P43" i="136"/>
  <c r="P88" i="134"/>
  <c r="P42" i="142"/>
  <c r="P48" i="140"/>
  <c r="P16" i="142"/>
  <c r="V284" i="154"/>
  <c r="AH291" i="86"/>
  <c r="AH15" s="1"/>
  <c r="T275"/>
  <c r="J304" i="154"/>
  <c r="N291" i="86"/>
  <c r="T269"/>
  <c r="F291"/>
  <c r="V291" s="1"/>
  <c r="V15" s="1"/>
  <c r="G36" i="155"/>
  <c r="G52" s="1"/>
  <c r="E36"/>
  <c r="E52" s="1"/>
  <c r="V208" i="154"/>
  <c r="V204"/>
  <c r="V202"/>
  <c r="C26" i="127"/>
  <c r="C38" s="1"/>
  <c r="E30" i="155"/>
  <c r="F216" i="154"/>
  <c r="T207" i="86"/>
  <c r="E35" i="155"/>
  <c r="E51" s="1"/>
  <c r="F236" i="86"/>
  <c r="L59" i="141"/>
  <c r="F68" i="142"/>
  <c r="F156" i="137"/>
  <c r="B154" i="135"/>
  <c r="J126"/>
  <c r="L52" i="136"/>
  <c r="J52"/>
  <c r="L51" i="134"/>
  <c r="V132" i="154" s="1"/>
  <c r="V169" s="1"/>
  <c r="J47" i="136"/>
  <c r="J52" i="134"/>
  <c r="J36"/>
  <c r="B96" i="135"/>
  <c r="J13" i="134"/>
  <c r="J27" s="1"/>
  <c r="H27"/>
  <c r="D154" i="135"/>
  <c r="J40" i="139"/>
  <c r="H154" i="135"/>
  <c r="F93" i="134"/>
  <c r="F154" i="135"/>
  <c r="L151"/>
  <c r="F104" i="86"/>
  <c r="T45"/>
  <c r="T50" s="1"/>
  <c r="L25" i="121"/>
  <c r="H52" i="86"/>
  <c r="T42"/>
  <c r="P222" i="154"/>
  <c r="T222"/>
  <c r="T216"/>
  <c r="L97" i="121"/>
  <c r="M35" i="155"/>
  <c r="M58" s="1"/>
  <c r="O36"/>
  <c r="O59" s="1"/>
  <c r="V197" i="154"/>
  <c r="V195"/>
  <c r="V209"/>
  <c r="I149" i="155"/>
  <c r="F92" i="157"/>
  <c r="D92" s="1"/>
  <c r="I97" i="155"/>
  <c r="G30"/>
  <c r="D68" i="109"/>
  <c r="J25"/>
  <c r="D94" i="103"/>
  <c r="S28" i="156"/>
  <c r="P84" i="134"/>
  <c r="G35" i="155"/>
  <c r="G58" s="1"/>
  <c r="S25" i="156"/>
  <c r="S15"/>
  <c r="S66" s="1"/>
  <c r="V66" s="1"/>
  <c r="F202" i="157" s="1"/>
  <c r="D202" s="1"/>
  <c r="S24" i="156"/>
  <c r="S11"/>
  <c r="S45" i="94"/>
  <c r="C177" i="156"/>
  <c r="C167"/>
  <c r="S13" i="94"/>
  <c r="C146" i="156"/>
  <c r="C121" i="155"/>
  <c r="G121" s="1"/>
  <c r="K121" s="1"/>
  <c r="U74"/>
  <c r="U75" s="1"/>
  <c r="S26" i="127"/>
  <c r="C154" i="155"/>
  <c r="S19" i="89"/>
  <c r="S18" i="156" s="1"/>
  <c r="S65" s="1"/>
  <c r="V65" s="1"/>
  <c r="F182" i="157" s="1"/>
  <c r="D182" s="1"/>
  <c r="I18" i="156"/>
  <c r="I35" s="1"/>
  <c r="C59" i="155"/>
  <c r="C52"/>
  <c r="E52" i="156"/>
  <c r="E59"/>
  <c r="K59"/>
  <c r="K52"/>
  <c r="O59"/>
  <c r="O52"/>
  <c r="M52"/>
  <c r="M59"/>
  <c r="Q52"/>
  <c r="Q59"/>
  <c r="C57" i="155"/>
  <c r="C50"/>
  <c r="E103"/>
  <c r="K103" s="1"/>
  <c r="M103" s="1"/>
  <c r="K77"/>
  <c r="M77" s="1"/>
  <c r="G51" i="156"/>
  <c r="G58"/>
  <c r="G59"/>
  <c r="G52"/>
  <c r="G57"/>
  <c r="G37"/>
  <c r="G50"/>
  <c r="I24" i="155"/>
  <c r="J199" i="154"/>
  <c r="V199" s="1"/>
  <c r="I14" i="155"/>
  <c r="I107" i="156"/>
  <c r="I108" s="1"/>
  <c r="K100"/>
  <c r="S68"/>
  <c r="V68" s="1"/>
  <c r="F244" i="157" s="1"/>
  <c r="D244" s="1"/>
  <c r="S20" i="155"/>
  <c r="S68" s="1"/>
  <c r="V68" s="1"/>
  <c r="S66"/>
  <c r="V66" s="1"/>
  <c r="S43"/>
  <c r="I36" i="156"/>
  <c r="AP304" i="154"/>
  <c r="AP15" s="1"/>
  <c r="H216"/>
  <c r="G34" i="155"/>
  <c r="N216" i="154"/>
  <c r="R216"/>
  <c r="V205"/>
  <c r="S22" i="156"/>
  <c r="S26" i="94"/>
  <c r="C154" i="156"/>
  <c r="G120" i="155"/>
  <c r="S45" i="127"/>
  <c r="C177" i="155"/>
  <c r="C167"/>
  <c r="S13" i="127"/>
  <c r="C146" i="155"/>
  <c r="H43" i="154"/>
  <c r="G74" i="155"/>
  <c r="I25"/>
  <c r="S10" i="89"/>
  <c r="S67" s="1"/>
  <c r="C114" i="156" s="1"/>
  <c r="I9"/>
  <c r="I11" i="155"/>
  <c r="J198" i="154"/>
  <c r="V198" s="1"/>
  <c r="I13" i="155"/>
  <c r="M58" i="156"/>
  <c r="M51"/>
  <c r="Q58"/>
  <c r="Q51"/>
  <c r="K51"/>
  <c r="K58"/>
  <c r="O51"/>
  <c r="O58"/>
  <c r="M57"/>
  <c r="M37"/>
  <c r="M50"/>
  <c r="Q57"/>
  <c r="Q37"/>
  <c r="Q50"/>
  <c r="M85" i="155"/>
  <c r="M86" s="1"/>
  <c r="K86"/>
  <c r="K50" i="156"/>
  <c r="K57"/>
  <c r="K37"/>
  <c r="O57"/>
  <c r="O37"/>
  <c r="O50"/>
  <c r="I28" i="155"/>
  <c r="I22"/>
  <c r="E58" i="156"/>
  <c r="E51"/>
  <c r="M30" i="155"/>
  <c r="M34"/>
  <c r="Q30"/>
  <c r="Q34"/>
  <c r="E37" i="156"/>
  <c r="E50"/>
  <c r="E57"/>
  <c r="K34" i="155"/>
  <c r="K30"/>
  <c r="O34"/>
  <c r="O30"/>
  <c r="K97" i="156"/>
  <c r="M90"/>
  <c r="M97" s="1"/>
  <c r="M75"/>
  <c r="M81" s="1"/>
  <c r="M88" s="1"/>
  <c r="K81"/>
  <c r="K90" i="155"/>
  <c r="K35"/>
  <c r="M36"/>
  <c r="O35"/>
  <c r="Q36"/>
  <c r="AS147" i="154"/>
  <c r="J14" i="133"/>
  <c r="J25" s="1"/>
  <c r="N92" i="121"/>
  <c r="AP22" i="154"/>
  <c r="N36" i="134"/>
  <c r="N35" i="103"/>
  <c r="P34"/>
  <c r="P21" i="134"/>
  <c r="U14" i="122"/>
  <c r="P30" i="103"/>
  <c r="P20" i="101"/>
  <c r="P48" i="109"/>
  <c r="P14"/>
  <c r="P22" i="107"/>
  <c r="P14"/>
  <c r="P55"/>
  <c r="P81" i="103"/>
  <c r="P28" i="128"/>
  <c r="P23" i="101"/>
  <c r="P45"/>
  <c r="R441" i="119"/>
  <c r="L43" i="98"/>
  <c r="L65"/>
  <c r="D113" i="141"/>
  <c r="D116" s="1"/>
  <c r="N109" i="88"/>
  <c r="J151" i="135"/>
  <c r="L21" i="139"/>
  <c r="AL20" i="154"/>
  <c r="AS18"/>
  <c r="AT18" s="1"/>
  <c r="L74" i="129"/>
  <c r="D76"/>
  <c r="D96" i="136"/>
  <c r="B156" i="137"/>
  <c r="D68" i="142"/>
  <c r="D68" i="140"/>
  <c r="P29"/>
  <c r="T253" i="86"/>
  <c r="J101" i="154"/>
  <c r="N101" s="1"/>
  <c r="V101" s="1"/>
  <c r="L73" i="121"/>
  <c r="N73" s="1"/>
  <c r="J100" i="154"/>
  <c r="N100" s="1"/>
  <c r="V100" s="1"/>
  <c r="L71" i="121"/>
  <c r="N71" s="1"/>
  <c r="J99" i="154"/>
  <c r="N99" s="1"/>
  <c r="V99" s="1"/>
  <c r="L69" i="121"/>
  <c r="N69" s="1"/>
  <c r="J97" i="154"/>
  <c r="N97" s="1"/>
  <c r="V97" s="1"/>
  <c r="J96"/>
  <c r="N96" s="1"/>
  <c r="V96" s="1"/>
  <c r="L68" i="121"/>
  <c r="N68" s="1"/>
  <c r="J95" i="154"/>
  <c r="J74" i="121"/>
  <c r="J46" i="102"/>
  <c r="J109" i="154"/>
  <c r="N109" s="1"/>
  <c r="V109" s="1"/>
  <c r="L81" i="121"/>
  <c r="N81" s="1"/>
  <c r="J105" i="154"/>
  <c r="J82" i="121"/>
  <c r="J207" i="91"/>
  <c r="T207" s="1"/>
  <c r="I82" i="122"/>
  <c r="S82" i="89"/>
  <c r="AO129" i="125"/>
  <c r="I81" i="122"/>
  <c r="J206" i="91"/>
  <c r="T206" s="1"/>
  <c r="I84" i="89"/>
  <c r="I83" i="122"/>
  <c r="J208" i="91"/>
  <c r="T208" s="1"/>
  <c r="S83" i="89"/>
  <c r="AO119" i="125"/>
  <c r="C169" i="92"/>
  <c r="I10" i="122"/>
  <c r="I9" i="155" s="1"/>
  <c r="J182" i="91"/>
  <c r="T182" s="1"/>
  <c r="H68" i="142"/>
  <c r="D94" i="102"/>
  <c r="L232" i="91"/>
  <c r="H96" i="136"/>
  <c r="Q78" i="89"/>
  <c r="Q87" s="1"/>
  <c r="H323" i="119"/>
  <c r="K78" i="89"/>
  <c r="K87" s="1"/>
  <c r="H68" i="108"/>
  <c r="L115" i="102"/>
  <c r="P54" i="140"/>
  <c r="P53"/>
  <c r="P51"/>
  <c r="P50"/>
  <c r="P30"/>
  <c r="P21"/>
  <c r="P20"/>
  <c r="P18"/>
  <c r="P15"/>
  <c r="H150" i="102"/>
  <c r="D150"/>
  <c r="J22" i="88"/>
  <c r="H156" i="137"/>
  <c r="J76" i="101"/>
  <c r="P55" i="140"/>
  <c r="J210" i="154"/>
  <c r="V210" s="1"/>
  <c r="F17" i="121"/>
  <c r="F33" i="91"/>
  <c r="D96" i="134"/>
  <c r="B94" i="103"/>
  <c r="J47" i="134"/>
  <c r="B96"/>
  <c r="F22" i="88"/>
  <c r="N57"/>
  <c r="AO133" i="125"/>
  <c r="I19" i="122"/>
  <c r="I18" i="155" s="1"/>
  <c r="J191" i="91"/>
  <c r="C19" i="122"/>
  <c r="D191" i="91"/>
  <c r="C17" i="122"/>
  <c r="C16" i="155" s="1"/>
  <c r="D189" i="91"/>
  <c r="C68" i="89"/>
  <c r="C32"/>
  <c r="I17" i="122"/>
  <c r="I16" i="155" s="1"/>
  <c r="J189" i="91"/>
  <c r="I68" i="89"/>
  <c r="I70" s="1"/>
  <c r="I32"/>
  <c r="AT11" i="154"/>
  <c r="J291" i="86"/>
  <c r="P23" i="140"/>
  <c r="L59" i="143"/>
  <c r="J27" i="136"/>
  <c r="J40" i="128"/>
  <c r="J43" s="1"/>
  <c r="H114" i="110"/>
  <c r="H153" i="104"/>
  <c r="AO172" i="125"/>
  <c r="F10" i="121"/>
  <c r="F26" i="91"/>
  <c r="F28" s="1"/>
  <c r="AO134" i="125"/>
  <c r="J57" i="154"/>
  <c r="N57" s="1"/>
  <c r="V57" s="1"/>
  <c r="AO29" i="125"/>
  <c r="S29" i="92"/>
  <c r="J55" i="154"/>
  <c r="N55" s="1"/>
  <c r="V55" s="1"/>
  <c r="J10" i="121"/>
  <c r="J26" i="91"/>
  <c r="J28" s="1"/>
  <c r="H10" i="121"/>
  <c r="H12" i="88"/>
  <c r="AO19" i="125"/>
  <c r="S19" i="92"/>
  <c r="J44" i="154"/>
  <c r="J134"/>
  <c r="D171"/>
  <c r="J20" i="121"/>
  <c r="I79" i="155" s="1"/>
  <c r="I105" s="1"/>
  <c r="J36" i="91"/>
  <c r="J19" i="121"/>
  <c r="I78" i="155" s="1"/>
  <c r="I104" s="1"/>
  <c r="J35" i="91"/>
  <c r="J26" i="121"/>
  <c r="J42" i="91"/>
  <c r="J46" s="1"/>
  <c r="J17" i="121"/>
  <c r="I76" i="155" s="1"/>
  <c r="I102" s="1"/>
  <c r="J33" i="91"/>
  <c r="H115" i="143"/>
  <c r="L69" i="131"/>
  <c r="AO127" i="125"/>
  <c r="J215" i="154"/>
  <c r="V215" s="1"/>
  <c r="U31" i="122"/>
  <c r="S30" i="92"/>
  <c r="AO28" i="125"/>
  <c r="S28" i="92"/>
  <c r="J53" i="154"/>
  <c r="N53" s="1"/>
  <c r="N85"/>
  <c r="V82"/>
  <c r="D10" i="121"/>
  <c r="D26" i="91"/>
  <c r="D28" s="1"/>
  <c r="D12" i="88"/>
  <c r="AO116" i="125"/>
  <c r="J46" i="154"/>
  <c r="N46" s="1"/>
  <c r="V46" s="1"/>
  <c r="AO17" i="125"/>
  <c r="S17" i="92"/>
  <c r="J107" i="108"/>
  <c r="J63" i="101"/>
  <c r="L74" i="96"/>
  <c r="T237" i="91"/>
  <c r="S12" i="90"/>
  <c r="K14"/>
  <c r="T185" i="91"/>
  <c r="T78"/>
  <c r="T80" s="1"/>
  <c r="L17" i="88"/>
  <c r="N17" s="1"/>
  <c r="L92" i="141"/>
  <c r="B115" i="143"/>
  <c r="J93" i="135"/>
  <c r="J78"/>
  <c r="J64"/>
  <c r="J47"/>
  <c r="J36"/>
  <c r="J27"/>
  <c r="J36" i="136"/>
  <c r="L39" i="134"/>
  <c r="P39" s="1"/>
  <c r="L126" i="135"/>
  <c r="N109" i="121"/>
  <c r="L27"/>
  <c r="N27" s="1"/>
  <c r="J171" i="154"/>
  <c r="D222"/>
  <c r="D134"/>
  <c r="R50" i="120"/>
  <c r="N222" i="154"/>
  <c r="N57" i="136"/>
  <c r="P57" s="1"/>
  <c r="N57" i="134"/>
  <c r="P57" s="1"/>
  <c r="H222" i="154"/>
  <c r="F222"/>
  <c r="H26" i="121"/>
  <c r="H54" i="154" s="1"/>
  <c r="H42" i="91"/>
  <c r="F115" i="143"/>
  <c r="H116" i="141"/>
  <c r="F26" i="121"/>
  <c r="F42" i="91"/>
  <c r="D28" i="121"/>
  <c r="D56" i="154" s="1"/>
  <c r="D44" i="91"/>
  <c r="H28" i="121"/>
  <c r="H44" i="91"/>
  <c r="L44" s="1"/>
  <c r="H30" i="88"/>
  <c r="D25" i="121"/>
  <c r="D41" i="91"/>
  <c r="D30" i="88"/>
  <c r="H17" i="121"/>
  <c r="G76" i="155" s="1"/>
  <c r="G102" s="1"/>
  <c r="H33" i="91"/>
  <c r="H16" i="121"/>
  <c r="G75" i="155" s="1"/>
  <c r="G101" s="1"/>
  <c r="H22" i="88"/>
  <c r="H32" i="91"/>
  <c r="H167" i="154"/>
  <c r="H171" s="1"/>
  <c r="H187" s="1"/>
  <c r="H134"/>
  <c r="H19" i="121"/>
  <c r="H35" i="91"/>
  <c r="H21" i="121"/>
  <c r="H37" i="91"/>
  <c r="H20" i="121"/>
  <c r="H36" i="91"/>
  <c r="L123" i="104"/>
  <c r="F96" i="136"/>
  <c r="N167" i="154"/>
  <c r="F167"/>
  <c r="F171" s="1"/>
  <c r="F134"/>
  <c r="L77" i="104"/>
  <c r="D22" i="88"/>
  <c r="D21" i="121"/>
  <c r="D37" i="91"/>
  <c r="F20" i="121"/>
  <c r="E79" i="155" s="1"/>
  <c r="F36" i="91"/>
  <c r="F16" i="121"/>
  <c r="E75" i="155" s="1"/>
  <c r="F32" i="91"/>
  <c r="F15" i="121"/>
  <c r="E74" i="155" s="1"/>
  <c r="F31" i="91"/>
  <c r="J21" i="121"/>
  <c r="I80" i="155" s="1"/>
  <c r="I106" s="1"/>
  <c r="J37" i="91"/>
  <c r="D15" i="121"/>
  <c r="C74" i="155" s="1"/>
  <c r="D31" i="91"/>
  <c r="D20" i="121"/>
  <c r="D36" i="91"/>
  <c r="L27" i="136"/>
  <c r="D17" i="121"/>
  <c r="D33" i="91"/>
  <c r="J15" i="121"/>
  <c r="I74" i="155" s="1"/>
  <c r="J31" i="91"/>
  <c r="F19" i="121"/>
  <c r="E78" i="155" s="1"/>
  <c r="F35" i="91"/>
  <c r="P40" i="136"/>
  <c r="L47"/>
  <c r="F21" i="121"/>
  <c r="E80" i="155" s="1"/>
  <c r="F37" i="91"/>
  <c r="D19" i="121"/>
  <c r="D35" i="91"/>
  <c r="F76" i="96"/>
  <c r="Q70" i="122"/>
  <c r="O70" i="89"/>
  <c r="J287" i="91"/>
  <c r="Y287" s="1"/>
  <c r="Y15" s="1"/>
  <c r="L36" i="136"/>
  <c r="AO80" i="125"/>
  <c r="U64" i="122"/>
  <c r="O70"/>
  <c r="E70"/>
  <c r="G70"/>
  <c r="L93" i="137"/>
  <c r="L78"/>
  <c r="L25" i="143"/>
  <c r="J59" i="141"/>
  <c r="L46" i="140"/>
  <c r="V128" i="154" s="1"/>
  <c r="V165" s="1"/>
  <c r="L42" i="140"/>
  <c r="V126" i="154" s="1"/>
  <c r="V163" s="1"/>
  <c r="L12" i="140"/>
  <c r="V127" i="154" s="1"/>
  <c r="V164" s="1"/>
  <c r="L36" i="128"/>
  <c r="V131" i="154" s="1"/>
  <c r="V168" s="1"/>
  <c r="L12" i="128"/>
  <c r="V125" i="154" s="1"/>
  <c r="V162" s="1"/>
  <c r="J40" i="97"/>
  <c r="J43" s="1"/>
  <c r="L92" i="104"/>
  <c r="N56" i="103"/>
  <c r="P56" s="1"/>
  <c r="N56" i="101"/>
  <c r="P56" s="1"/>
  <c r="N57"/>
  <c r="P57" s="1"/>
  <c r="N57" i="103"/>
  <c r="P57" s="1"/>
  <c r="B323" i="119"/>
  <c r="J46" i="103"/>
  <c r="N72"/>
  <c r="P72" s="1"/>
  <c r="N72" i="101"/>
  <c r="P72" s="1"/>
  <c r="N69" i="103"/>
  <c r="P69" s="1"/>
  <c r="N69" i="101"/>
  <c r="P69" s="1"/>
  <c r="S64" i="89"/>
  <c r="M70"/>
  <c r="S69"/>
  <c r="C116" i="156" s="1"/>
  <c r="G70" i="89"/>
  <c r="J26" i="103"/>
  <c r="L34" i="106"/>
  <c r="L37" s="1"/>
  <c r="B94" i="102"/>
  <c r="J76"/>
  <c r="J19" i="111"/>
  <c r="J22" s="1"/>
  <c r="L42" i="107"/>
  <c r="L114" i="91"/>
  <c r="L151" s="1"/>
  <c r="L12" i="107"/>
  <c r="T115" i="91" s="1"/>
  <c r="T152" s="1"/>
  <c r="L115"/>
  <c r="L152" s="1"/>
  <c r="L46" i="107"/>
  <c r="L116" i="91"/>
  <c r="L153" s="1"/>
  <c r="H68" i="109"/>
  <c r="J131" i="102"/>
  <c r="J74" i="96"/>
  <c r="L12" i="95"/>
  <c r="L113" i="91"/>
  <c r="L150" s="1"/>
  <c r="L36" i="95"/>
  <c r="L119" i="91"/>
  <c r="L156" s="1"/>
  <c r="C38" i="94"/>
  <c r="C48" s="1"/>
  <c r="F249" i="91"/>
  <c r="F287" s="1"/>
  <c r="V287" s="1"/>
  <c r="V15" s="1"/>
  <c r="T192"/>
  <c r="N74" i="136"/>
  <c r="P74" s="1"/>
  <c r="N74" i="134"/>
  <c r="P74" s="1"/>
  <c r="N69" i="136"/>
  <c r="N69" i="134"/>
  <c r="N76" i="136"/>
  <c r="P76" s="1"/>
  <c r="N76" i="134"/>
  <c r="P76" s="1"/>
  <c r="N73" i="136"/>
  <c r="P73" s="1"/>
  <c r="N73" i="134"/>
  <c r="P73" s="1"/>
  <c r="N70" i="136"/>
  <c r="P70" s="1"/>
  <c r="N70" i="134"/>
  <c r="P70" s="1"/>
  <c r="R322" i="152"/>
  <c r="N81" i="136"/>
  <c r="N93" s="1"/>
  <c r="N81" i="134"/>
  <c r="N93" s="1"/>
  <c r="N72" i="136"/>
  <c r="P72" s="1"/>
  <c r="N72" i="134"/>
  <c r="P72" s="1"/>
  <c r="R46" i="153"/>
  <c r="N10" i="132"/>
  <c r="N11" s="1"/>
  <c r="N14" s="1"/>
  <c r="N31" i="128"/>
  <c r="P31" s="1"/>
  <c r="N38"/>
  <c r="P38" s="1"/>
  <c r="N38" i="130"/>
  <c r="P38" s="1"/>
  <c r="N12" i="142"/>
  <c r="N12" i="140"/>
  <c r="N75" i="136"/>
  <c r="P75" s="1"/>
  <c r="N75" i="134"/>
  <c r="P75" s="1"/>
  <c r="N60" i="136"/>
  <c r="P60" s="1"/>
  <c r="N60" i="134"/>
  <c r="P60" s="1"/>
  <c r="J38" i="141"/>
  <c r="L37"/>
  <c r="L38" s="1"/>
  <c r="J25"/>
  <c r="L11"/>
  <c r="L25" s="1"/>
  <c r="N71" i="136"/>
  <c r="P71" s="1"/>
  <c r="N71" i="134"/>
  <c r="P71" s="1"/>
  <c r="N58" i="136"/>
  <c r="P58" s="1"/>
  <c r="N58" i="134"/>
  <c r="P58" s="1"/>
  <c r="J59" i="142"/>
  <c r="L41"/>
  <c r="L28"/>
  <c r="J34"/>
  <c r="L62" i="141"/>
  <c r="L65" s="1"/>
  <c r="L62" i="140"/>
  <c r="J22" i="138"/>
  <c r="L15"/>
  <c r="L37" i="140"/>
  <c r="V133" i="154" s="1"/>
  <c r="V170" s="1"/>
  <c r="J38" i="140"/>
  <c r="L11"/>
  <c r="J25"/>
  <c r="J27" i="137"/>
  <c r="L12"/>
  <c r="L27" s="1"/>
  <c r="L67" i="136"/>
  <c r="L78" s="1"/>
  <c r="J78"/>
  <c r="L136" i="135"/>
  <c r="L142" s="1"/>
  <c r="J142"/>
  <c r="L81" i="134"/>
  <c r="V130" i="154" s="1"/>
  <c r="J93" i="134"/>
  <c r="L55"/>
  <c r="J64"/>
  <c r="L36"/>
  <c r="P30"/>
  <c r="P11"/>
  <c r="L11" i="132"/>
  <c r="L14" s="1"/>
  <c r="L11" i="130"/>
  <c r="J40"/>
  <c r="J43" s="1"/>
  <c r="L11" i="129"/>
  <c r="L40" s="1"/>
  <c r="J40"/>
  <c r="N77" i="121"/>
  <c r="R452" i="152"/>
  <c r="R455" s="1"/>
  <c r="J25" i="143"/>
  <c r="J92"/>
  <c r="J59"/>
  <c r="L37" i="139"/>
  <c r="L125" i="137"/>
  <c r="J150"/>
  <c r="J93"/>
  <c r="J64"/>
  <c r="L67" i="135"/>
  <c r="L78" s="1"/>
  <c r="L50"/>
  <c r="L52" s="1"/>
  <c r="L30"/>
  <c r="L36" s="1"/>
  <c r="U76" i="122"/>
  <c r="U48"/>
  <c r="J40" i="131"/>
  <c r="J43" s="1"/>
  <c r="J74" i="129"/>
  <c r="F84" i="121"/>
  <c r="N43" i="142"/>
  <c r="N43" i="140"/>
  <c r="R149" i="152"/>
  <c r="N63" i="136"/>
  <c r="P63" s="1"/>
  <c r="N63" i="134"/>
  <c r="P63" s="1"/>
  <c r="R36" i="153"/>
  <c r="R39" s="1"/>
  <c r="N12" i="144"/>
  <c r="N62" i="142"/>
  <c r="N65" s="1"/>
  <c r="N62" i="140"/>
  <c r="N65" s="1"/>
  <c r="R362" i="152"/>
  <c r="N28" i="142"/>
  <c r="N34" s="1"/>
  <c r="N28" i="140"/>
  <c r="N34" s="1"/>
  <c r="R302" i="152"/>
  <c r="N77" i="136"/>
  <c r="P77" s="1"/>
  <c r="N77" i="134"/>
  <c r="P77" s="1"/>
  <c r="N61" i="136"/>
  <c r="P61" s="1"/>
  <c r="N61" i="134"/>
  <c r="P61" s="1"/>
  <c r="N59" i="136"/>
  <c r="P59" s="1"/>
  <c r="N59" i="134"/>
  <c r="P59" s="1"/>
  <c r="N12" i="136"/>
  <c r="N12" i="134"/>
  <c r="L62" i="142"/>
  <c r="L65" s="1"/>
  <c r="J34" i="141"/>
  <c r="L28"/>
  <c r="L34" s="1"/>
  <c r="N56" i="136"/>
  <c r="N56" i="134"/>
  <c r="J19" i="144"/>
  <c r="J22" s="1"/>
  <c r="L11"/>
  <c r="L28" i="143"/>
  <c r="L34" s="1"/>
  <c r="J34"/>
  <c r="L37" i="142"/>
  <c r="J38"/>
  <c r="L11"/>
  <c r="J25"/>
  <c r="J83" i="141"/>
  <c r="L73"/>
  <c r="L83" s="1"/>
  <c r="J12" i="138"/>
  <c r="L11"/>
  <c r="J134" i="135"/>
  <c r="L129"/>
  <c r="L134" s="1"/>
  <c r="J59" i="140"/>
  <c r="L41"/>
  <c r="L28"/>
  <c r="J34"/>
  <c r="L135" i="137"/>
  <c r="L141" s="1"/>
  <c r="J141"/>
  <c r="J36"/>
  <c r="L30"/>
  <c r="L36" s="1"/>
  <c r="J93" i="136"/>
  <c r="L81"/>
  <c r="L93" s="1"/>
  <c r="L55"/>
  <c r="L64" s="1"/>
  <c r="J64"/>
  <c r="P39"/>
  <c r="P30"/>
  <c r="P11"/>
  <c r="J112" i="135"/>
  <c r="L101"/>
  <c r="L112" s="1"/>
  <c r="L67" i="134"/>
  <c r="J78"/>
  <c r="P11" i="128"/>
  <c r="L64" i="121"/>
  <c r="N62"/>
  <c r="N64" s="1"/>
  <c r="N45"/>
  <c r="N46" s="1"/>
  <c r="N48" s="1"/>
  <c r="L46"/>
  <c r="L48" s="1"/>
  <c r="R353" i="152"/>
  <c r="R28"/>
  <c r="L92" i="143"/>
  <c r="D115"/>
  <c r="L64" i="137"/>
  <c r="D156"/>
  <c r="J125"/>
  <c r="J78"/>
  <c r="L81" i="135"/>
  <c r="L93" s="1"/>
  <c r="L55"/>
  <c r="L64" s="1"/>
  <c r="L39"/>
  <c r="L47" s="1"/>
  <c r="L11"/>
  <c r="L27" s="1"/>
  <c r="L109" i="121"/>
  <c r="N68" i="103"/>
  <c r="P68" s="1"/>
  <c r="N68" i="101"/>
  <c r="P68" s="1"/>
  <c r="N74" i="103"/>
  <c r="P74" s="1"/>
  <c r="N74" i="101"/>
  <c r="P74" s="1"/>
  <c r="N67" i="103"/>
  <c r="N67" i="101"/>
  <c r="N71" i="103"/>
  <c r="P71" s="1"/>
  <c r="N71" i="101"/>
  <c r="P71" s="1"/>
  <c r="N70" i="103"/>
  <c r="P70" s="1"/>
  <c r="N70" i="101"/>
  <c r="P70" s="1"/>
  <c r="N37" i="97"/>
  <c r="N37" i="95"/>
  <c r="N62" i="109"/>
  <c r="N65" s="1"/>
  <c r="N62" i="107"/>
  <c r="N65" s="1"/>
  <c r="T168" i="91"/>
  <c r="T222" s="1"/>
  <c r="R360" i="119"/>
  <c r="N28" i="109"/>
  <c r="N34" s="1"/>
  <c r="N28" i="107"/>
  <c r="N34" s="1"/>
  <c r="N73" i="103"/>
  <c r="P73" s="1"/>
  <c r="N73" i="101"/>
  <c r="P73" s="1"/>
  <c r="N59" i="103"/>
  <c r="P59" s="1"/>
  <c r="N59" i="101"/>
  <c r="P59" s="1"/>
  <c r="N12" i="103"/>
  <c r="N12" i="101"/>
  <c r="J59" i="109"/>
  <c r="L41"/>
  <c r="L19" i="111"/>
  <c r="L22" s="1"/>
  <c r="P11"/>
  <c r="P19" s="1"/>
  <c r="P22" s="1"/>
  <c r="J103" i="110"/>
  <c r="L95"/>
  <c r="L103" s="1"/>
  <c r="L73"/>
  <c r="L83" s="1"/>
  <c r="L62" i="109"/>
  <c r="L86" i="108"/>
  <c r="L92" s="1"/>
  <c r="J92"/>
  <c r="J59"/>
  <c r="L41"/>
  <c r="L59" s="1"/>
  <c r="L62" i="107"/>
  <c r="L117" i="91"/>
  <c r="J22" i="105"/>
  <c r="L15"/>
  <c r="L38" i="109"/>
  <c r="L25"/>
  <c r="P11"/>
  <c r="L11" i="108"/>
  <c r="L25" s="1"/>
  <c r="J25"/>
  <c r="L37" i="107"/>
  <c r="J38"/>
  <c r="L121" i="91"/>
  <c r="L158" s="1"/>
  <c r="L11" i="107"/>
  <c r="J25"/>
  <c r="J26" i="104"/>
  <c r="L12"/>
  <c r="L26" s="1"/>
  <c r="L66" i="103"/>
  <c r="J76"/>
  <c r="L141" i="102"/>
  <c r="L147" s="1"/>
  <c r="J147"/>
  <c r="J110"/>
  <c r="L99"/>
  <c r="L110" s="1"/>
  <c r="J40" i="96"/>
  <c r="L11"/>
  <c r="L40" s="1"/>
  <c r="L11" i="102"/>
  <c r="L26" s="1"/>
  <c r="J26"/>
  <c r="L51" i="101"/>
  <c r="P49"/>
  <c r="P51" s="1"/>
  <c r="J46"/>
  <c r="L38"/>
  <c r="L11"/>
  <c r="L10" i="99"/>
  <c r="J11"/>
  <c r="J14" s="1"/>
  <c r="L11" i="95"/>
  <c r="J40"/>
  <c r="J43" s="1"/>
  <c r="L40" i="97"/>
  <c r="L43" s="1"/>
  <c r="P11"/>
  <c r="T105" i="91"/>
  <c r="T106" s="1"/>
  <c r="T108" s="1"/>
  <c r="L106"/>
  <c r="L108" s="1"/>
  <c r="L74" i="88"/>
  <c r="N67"/>
  <c r="L64"/>
  <c r="N62"/>
  <c r="N64" s="1"/>
  <c r="N45"/>
  <c r="N46" s="1"/>
  <c r="N48" s="1"/>
  <c r="L46"/>
  <c r="L48" s="1"/>
  <c r="T140" i="91"/>
  <c r="T143" s="1"/>
  <c r="T146" s="1"/>
  <c r="L143"/>
  <c r="L146" s="1"/>
  <c r="L19" i="112"/>
  <c r="L22" s="1"/>
  <c r="L30" s="1"/>
  <c r="J147" i="104"/>
  <c r="J92"/>
  <c r="J63"/>
  <c r="L79" i="102"/>
  <c r="L91" s="1"/>
  <c r="L66"/>
  <c r="L76" s="1"/>
  <c r="L66" i="101"/>
  <c r="S76" i="89"/>
  <c r="J40" i="98"/>
  <c r="J43" s="1"/>
  <c r="T98" i="91"/>
  <c r="S35" i="90"/>
  <c r="S13"/>
  <c r="I14"/>
  <c r="E70" i="89"/>
  <c r="T265" i="91"/>
  <c r="T271"/>
  <c r="T243"/>
  <c r="T183"/>
  <c r="T53"/>
  <c r="T54" s="1"/>
  <c r="T56" s="1"/>
  <c r="L109" i="88"/>
  <c r="L98" i="91"/>
  <c r="N43" i="109"/>
  <c r="N43" i="107"/>
  <c r="R320" i="119"/>
  <c r="N79" i="103"/>
  <c r="N91" s="1"/>
  <c r="N79" i="101"/>
  <c r="N91" s="1"/>
  <c r="T164" i="91"/>
  <c r="R148" i="119"/>
  <c r="N62" i="103"/>
  <c r="P62" s="1"/>
  <c r="N62" i="101"/>
  <c r="P62" s="1"/>
  <c r="R396" i="119"/>
  <c r="R399" s="1"/>
  <c r="N37" i="109"/>
  <c r="N38" s="1"/>
  <c r="N37" i="107"/>
  <c r="N38" s="1"/>
  <c r="T172" i="91"/>
  <c r="T226" s="1"/>
  <c r="N12" i="109"/>
  <c r="N12" i="107"/>
  <c r="T166" i="91"/>
  <c r="T220" s="1"/>
  <c r="R300" i="119"/>
  <c r="N75" i="103"/>
  <c r="P75" s="1"/>
  <c r="N75" i="101"/>
  <c r="P75" s="1"/>
  <c r="N60" i="103"/>
  <c r="P60" s="1"/>
  <c r="N60" i="101"/>
  <c r="P60" s="1"/>
  <c r="N58" i="103"/>
  <c r="P58" s="1"/>
  <c r="N58" i="101"/>
  <c r="P58" s="1"/>
  <c r="J83" i="108"/>
  <c r="L73"/>
  <c r="L83" s="1"/>
  <c r="N55" i="103"/>
  <c r="N55" i="101"/>
  <c r="L106" i="110"/>
  <c r="L107" s="1"/>
  <c r="J107"/>
  <c r="L95" i="108"/>
  <c r="L103" s="1"/>
  <c r="J103"/>
  <c r="L37"/>
  <c r="L38" s="1"/>
  <c r="J38"/>
  <c r="J12" i="105"/>
  <c r="L11"/>
  <c r="J123" i="102"/>
  <c r="L118"/>
  <c r="L123" s="1"/>
  <c r="J34" i="108"/>
  <c r="L28"/>
  <c r="L34" s="1"/>
  <c r="L28" i="107"/>
  <c r="J34"/>
  <c r="L133" i="104"/>
  <c r="L138" s="1"/>
  <c r="J138"/>
  <c r="J35"/>
  <c r="L29"/>
  <c r="L35" s="1"/>
  <c r="J91" i="103"/>
  <c r="L79"/>
  <c r="L54"/>
  <c r="J63"/>
  <c r="L46"/>
  <c r="P38"/>
  <c r="L35"/>
  <c r="P29"/>
  <c r="L26"/>
  <c r="P11"/>
  <c r="L133" i="102"/>
  <c r="L138" s="1"/>
  <c r="J138"/>
  <c r="L34" i="109"/>
  <c r="J35" i="102"/>
  <c r="L29"/>
  <c r="L35" s="1"/>
  <c r="V14" i="91"/>
  <c r="S11" i="90"/>
  <c r="O14"/>
  <c r="L12" i="88"/>
  <c r="N10"/>
  <c r="N12" s="1"/>
  <c r="L82"/>
  <c r="N77"/>
  <c r="N25"/>
  <c r="L23" i="116"/>
  <c r="R450" i="119"/>
  <c r="R453" s="1"/>
  <c r="R382"/>
  <c r="J19" i="112"/>
  <c r="J22" s="1"/>
  <c r="J30" s="1"/>
  <c r="R351" i="119"/>
  <c r="R27"/>
  <c r="L59" i="110"/>
  <c r="J59"/>
  <c r="J68" s="1"/>
  <c r="L63" i="104"/>
  <c r="J123"/>
  <c r="J77"/>
  <c r="L54" i="102"/>
  <c r="L63" s="1"/>
  <c r="L49"/>
  <c r="L51" s="1"/>
  <c r="L38"/>
  <c r="L46" s="1"/>
  <c r="L54" i="101"/>
  <c r="J35"/>
  <c r="F203" i="91"/>
  <c r="F232" s="1"/>
  <c r="V232" s="1"/>
  <c r="S48" i="89"/>
  <c r="Z232" i="91"/>
  <c r="H203"/>
  <c r="H232" s="1"/>
  <c r="X232" s="1"/>
  <c r="X12" s="1"/>
  <c r="M14" i="90"/>
  <c r="F84" i="88"/>
  <c r="T61" i="91"/>
  <c r="T62" s="1"/>
  <c r="T64" s="1"/>
  <c r="Q14" i="90"/>
  <c r="F98" i="91"/>
  <c r="F100" s="1"/>
  <c r="L41"/>
  <c r="V179" i="86"/>
  <c r="V14" s="1"/>
  <c r="R236"/>
  <c r="J236"/>
  <c r="T97"/>
  <c r="T102" s="1"/>
  <c r="T74"/>
  <c r="T75" s="1"/>
  <c r="T77" s="1"/>
  <c r="T147"/>
  <c r="T150" s="1"/>
  <c r="D104"/>
  <c r="T87"/>
  <c r="T94" s="1"/>
  <c r="T82"/>
  <c r="T84" s="1"/>
  <c r="F52"/>
  <c r="N142" i="154" l="1"/>
  <c r="V142" s="1"/>
  <c r="V143" s="1"/>
  <c r="V145" s="1"/>
  <c r="V147" s="1"/>
  <c r="V83"/>
  <c r="V85" s="1"/>
  <c r="L79" i="101"/>
  <c r="P79" s="1"/>
  <c r="P91" s="1"/>
  <c r="Q47" i="156"/>
  <c r="F116" i="141"/>
  <c r="K47" i="156"/>
  <c r="C123"/>
  <c r="K120"/>
  <c r="K123" s="1"/>
  <c r="G123"/>
  <c r="L30" i="88"/>
  <c r="F32" i="157"/>
  <c r="D32" s="1"/>
  <c r="H245" i="154"/>
  <c r="H94" i="101"/>
  <c r="T249" i="91"/>
  <c r="C48" i="127"/>
  <c r="L47" i="134"/>
  <c r="N100" i="88"/>
  <c r="N57" i="121"/>
  <c r="AC30" i="125"/>
  <c r="N171" i="154"/>
  <c r="V129"/>
  <c r="V166" s="1"/>
  <c r="L65" i="140"/>
  <c r="N134" i="154"/>
  <c r="L65" i="109"/>
  <c r="T130" i="91"/>
  <c r="T131" s="1"/>
  <c r="T133" s="1"/>
  <c r="T135" s="1"/>
  <c r="J26" i="101"/>
  <c r="L65" i="107"/>
  <c r="L52" i="86"/>
  <c r="B116" i="141"/>
  <c r="U69" i="122"/>
  <c r="C116" i="155" s="1"/>
  <c r="C127" s="1"/>
  <c r="L65" i="143"/>
  <c r="L68" s="1"/>
  <c r="F156" i="135"/>
  <c r="V304" i="154"/>
  <c r="W175" i="91"/>
  <c r="W14" s="1"/>
  <c r="AD14" s="1"/>
  <c r="AE14" s="1"/>
  <c r="X287"/>
  <c r="X15" s="1"/>
  <c r="B114" i="108"/>
  <c r="J56" i="154"/>
  <c r="F22" i="157"/>
  <c r="D22" s="1"/>
  <c r="AA287" i="91"/>
  <c r="AA15" s="1"/>
  <c r="J91" i="101"/>
  <c r="D114" i="108"/>
  <c r="L22" i="88"/>
  <c r="F94" i="101"/>
  <c r="H152" i="102"/>
  <c r="E125" i="156"/>
  <c r="E128" s="1"/>
  <c r="E50" i="155"/>
  <c r="E53" s="1"/>
  <c r="K59"/>
  <c r="L40" i="128"/>
  <c r="L43" s="1"/>
  <c r="N27" i="134"/>
  <c r="D68" i="107"/>
  <c r="S16" i="156"/>
  <c r="S67" s="1"/>
  <c r="V67" s="1"/>
  <c r="F224" i="157" s="1"/>
  <c r="D224" s="1"/>
  <c r="AI236" i="86"/>
  <c r="AI293" s="1"/>
  <c r="Q58" i="155"/>
  <c r="S78" i="122"/>
  <c r="S87" s="1"/>
  <c r="P245" i="154"/>
  <c r="J59" i="107"/>
  <c r="J68" s="1"/>
  <c r="AI15" i="86"/>
  <c r="P36" i="136"/>
  <c r="G59" i="155"/>
  <c r="J113" i="141"/>
  <c r="T90" i="91"/>
  <c r="T100" s="1"/>
  <c r="L90"/>
  <c r="L100" s="1"/>
  <c r="P46" i="103"/>
  <c r="F152" i="102"/>
  <c r="S38" i="94"/>
  <c r="S48" s="1"/>
  <c r="S51" s="1"/>
  <c r="AA232" i="91"/>
  <c r="AA12" s="1"/>
  <c r="H114" i="108"/>
  <c r="N245" i="154"/>
  <c r="S84" i="89"/>
  <c r="S25" i="155"/>
  <c r="S36" s="1"/>
  <c r="K45"/>
  <c r="P36" i="134"/>
  <c r="P35" i="103"/>
  <c r="S32" i="89"/>
  <c r="O53" i="156"/>
  <c r="R245" i="154"/>
  <c r="M53" i="156"/>
  <c r="S68" i="89"/>
  <c r="C115" i="156" s="1"/>
  <c r="G115" s="1"/>
  <c r="K115" s="1"/>
  <c r="K126" s="1"/>
  <c r="E53"/>
  <c r="E60"/>
  <c r="F114" i="108"/>
  <c r="L13" i="134"/>
  <c r="P13" s="1"/>
  <c r="D152" i="102"/>
  <c r="L68" i="98"/>
  <c r="P47" i="134"/>
  <c r="O52" i="155"/>
  <c r="E59"/>
  <c r="M51"/>
  <c r="S38" i="127"/>
  <c r="S51" s="1"/>
  <c r="E58" i="155"/>
  <c r="E37"/>
  <c r="F245" i="154"/>
  <c r="X245" s="1"/>
  <c r="L113" i="141"/>
  <c r="B156" i="135"/>
  <c r="L52" i="134"/>
  <c r="D156" i="135"/>
  <c r="F96" i="134"/>
  <c r="H96"/>
  <c r="H156" i="135"/>
  <c r="N82" i="121"/>
  <c r="N74"/>
  <c r="N25"/>
  <c r="T52" i="86"/>
  <c r="T70" s="1"/>
  <c r="T44" i="91"/>
  <c r="L32"/>
  <c r="T245" i="154"/>
  <c r="L98" i="121"/>
  <c r="L100" s="1"/>
  <c r="N97"/>
  <c r="N98" s="1"/>
  <c r="K53" i="156"/>
  <c r="F12" i="157"/>
  <c r="L82" i="121"/>
  <c r="F102" i="157"/>
  <c r="D102" s="1"/>
  <c r="M60" i="156"/>
  <c r="F82" i="157"/>
  <c r="D82" s="1"/>
  <c r="S36" i="156"/>
  <c r="G51" i="155"/>
  <c r="C123"/>
  <c r="I58" i="156"/>
  <c r="S58" s="1"/>
  <c r="I51"/>
  <c r="S51" s="1"/>
  <c r="E78" i="89"/>
  <c r="E87" s="1"/>
  <c r="E45" i="156"/>
  <c r="E47" s="1"/>
  <c r="G78" i="89"/>
  <c r="G87" s="1"/>
  <c r="G45" i="156"/>
  <c r="G47" s="1"/>
  <c r="M78" i="89"/>
  <c r="M87" s="1"/>
  <c r="M45" i="156"/>
  <c r="M47" s="1"/>
  <c r="O78" i="122"/>
  <c r="O87" s="1"/>
  <c r="M45" i="155"/>
  <c r="D47" i="154"/>
  <c r="C78" i="155"/>
  <c r="E106"/>
  <c r="E104"/>
  <c r="I81"/>
  <c r="I100"/>
  <c r="I107" s="1"/>
  <c r="D48" i="154"/>
  <c r="C79" i="155"/>
  <c r="C105" s="1"/>
  <c r="C100"/>
  <c r="D203" i="154"/>
  <c r="C18" i="155"/>
  <c r="C35" s="1"/>
  <c r="F122" i="157"/>
  <c r="D122" s="1"/>
  <c r="C132" i="156"/>
  <c r="S64"/>
  <c r="S13" i="155"/>
  <c r="S70" s="1"/>
  <c r="V70" s="1"/>
  <c r="O58"/>
  <c r="O51"/>
  <c r="K58"/>
  <c r="K51"/>
  <c r="O50"/>
  <c r="O57"/>
  <c r="O37"/>
  <c r="K57"/>
  <c r="K37"/>
  <c r="K50"/>
  <c r="Q37"/>
  <c r="Q47" s="1"/>
  <c r="Q50"/>
  <c r="Q57"/>
  <c r="M57"/>
  <c r="M37"/>
  <c r="M50"/>
  <c r="Q53" i="156"/>
  <c r="Q60"/>
  <c r="S9"/>
  <c r="K120" i="155"/>
  <c r="K123" s="1"/>
  <c r="G123"/>
  <c r="M100" i="156"/>
  <c r="K107"/>
  <c r="K108" s="1"/>
  <c r="I154" i="155"/>
  <c r="C165"/>
  <c r="G148" i="156"/>
  <c r="I148" s="1"/>
  <c r="K151" s="1"/>
  <c r="E146"/>
  <c r="E147"/>
  <c r="I147" s="1"/>
  <c r="K150" s="1"/>
  <c r="C152"/>
  <c r="G146"/>
  <c r="C174"/>
  <c r="I167"/>
  <c r="E178"/>
  <c r="I178" s="1"/>
  <c r="E177"/>
  <c r="C180"/>
  <c r="G179"/>
  <c r="I179" s="1"/>
  <c r="G177"/>
  <c r="S69"/>
  <c r="V69" s="1"/>
  <c r="F264" i="157" s="1"/>
  <c r="D264" s="1"/>
  <c r="I36" i="155"/>
  <c r="O60" i="156"/>
  <c r="K60"/>
  <c r="G53"/>
  <c r="G60"/>
  <c r="F62" i="157"/>
  <c r="D62" s="1"/>
  <c r="C127" i="156"/>
  <c r="G116"/>
  <c r="K116" s="1"/>
  <c r="K127" s="1"/>
  <c r="C125"/>
  <c r="G114"/>
  <c r="G78" i="122"/>
  <c r="G87" s="1"/>
  <c r="G45" i="155"/>
  <c r="E78" i="122"/>
  <c r="E87" s="1"/>
  <c r="E45" i="155"/>
  <c r="O78" i="89"/>
  <c r="O87" s="1"/>
  <c r="O45" i="156"/>
  <c r="Q78" i="122"/>
  <c r="Q87" s="1"/>
  <c r="O45" i="155"/>
  <c r="D45" i="154"/>
  <c r="C76" i="155"/>
  <c r="E100"/>
  <c r="K74"/>
  <c r="K75"/>
  <c r="E101"/>
  <c r="K101" s="1"/>
  <c r="E105"/>
  <c r="D49" i="154"/>
  <c r="C80" i="155"/>
  <c r="H48" i="154"/>
  <c r="G79" i="155"/>
  <c r="G105" s="1"/>
  <c r="H49" i="154"/>
  <c r="G80" i="155"/>
  <c r="G106" s="1"/>
  <c r="H47" i="154"/>
  <c r="G78" i="155"/>
  <c r="G104" s="1"/>
  <c r="S29"/>
  <c r="E114"/>
  <c r="I78" i="89"/>
  <c r="I87" s="1"/>
  <c r="I45" i="156"/>
  <c r="F45" i="154"/>
  <c r="E76" i="155"/>
  <c r="E81" s="1"/>
  <c r="I30"/>
  <c r="I34"/>
  <c r="F112" i="157"/>
  <c r="D112" s="1"/>
  <c r="C133" i="156"/>
  <c r="G133" s="1"/>
  <c r="K133" s="1"/>
  <c r="Q59" i="155"/>
  <c r="Q52"/>
  <c r="M59"/>
  <c r="M52"/>
  <c r="K97"/>
  <c r="M90"/>
  <c r="M97" s="1"/>
  <c r="S69"/>
  <c r="V69" s="1"/>
  <c r="I30" i="156"/>
  <c r="I34"/>
  <c r="G100" i="155"/>
  <c r="C152"/>
  <c r="E146"/>
  <c r="G148"/>
  <c r="I148" s="1"/>
  <c r="K151" s="1"/>
  <c r="E147"/>
  <c r="I147" s="1"/>
  <c r="K150" s="1"/>
  <c r="G146"/>
  <c r="C174"/>
  <c r="I167"/>
  <c r="E178"/>
  <c r="I178" s="1"/>
  <c r="G177"/>
  <c r="C180"/>
  <c r="G179"/>
  <c r="I179" s="1"/>
  <c r="E177"/>
  <c r="C165" i="156"/>
  <c r="I154"/>
  <c r="K131"/>
  <c r="G50" i="155"/>
  <c r="G57"/>
  <c r="G37"/>
  <c r="I52" i="156"/>
  <c r="S52" s="1"/>
  <c r="I59"/>
  <c r="S59" s="1"/>
  <c r="O47"/>
  <c r="I35" i="155"/>
  <c r="L150" i="104"/>
  <c r="T209" i="91"/>
  <c r="L26"/>
  <c r="T26" s="1"/>
  <c r="T28" s="1"/>
  <c r="L68" i="110"/>
  <c r="N82" i="88"/>
  <c r="F52" i="157" s="1"/>
  <c r="D52" s="1"/>
  <c r="N74" i="88"/>
  <c r="F42" i="157" s="1"/>
  <c r="D42" s="1"/>
  <c r="N30" i="88"/>
  <c r="AJ20" i="154"/>
  <c r="L74" i="121"/>
  <c r="J102" i="154"/>
  <c r="N95"/>
  <c r="J84" i="121"/>
  <c r="J110" i="154"/>
  <c r="N105"/>
  <c r="J209" i="91"/>
  <c r="J221" i="154"/>
  <c r="V221" s="1"/>
  <c r="U83" i="122"/>
  <c r="C186" i="92"/>
  <c r="S183"/>
  <c r="I84" i="122"/>
  <c r="J219" i="154"/>
  <c r="V219" s="1"/>
  <c r="U81" i="122"/>
  <c r="C131" i="155" s="1"/>
  <c r="U82" i="122"/>
  <c r="J220" i="154"/>
  <c r="J203" i="91"/>
  <c r="J232" s="1"/>
  <c r="Y232" s="1"/>
  <c r="Y12" s="1"/>
  <c r="S185" i="92"/>
  <c r="S184"/>
  <c r="AO114" i="125"/>
  <c r="J194" i="154"/>
  <c r="V194" s="1"/>
  <c r="I67" i="122"/>
  <c r="U10"/>
  <c r="S9" i="155" s="1"/>
  <c r="C134" i="92"/>
  <c r="J32" i="88"/>
  <c r="H456" i="119"/>
  <c r="D203" i="91"/>
  <c r="D232" s="1"/>
  <c r="D233" s="1"/>
  <c r="I32" i="122"/>
  <c r="L36" i="91"/>
  <c r="T36" s="1"/>
  <c r="L31"/>
  <c r="L112" i="143"/>
  <c r="D46" i="91"/>
  <c r="F32" i="88"/>
  <c r="P47" i="136"/>
  <c r="L35" i="91"/>
  <c r="T35" s="1"/>
  <c r="L33"/>
  <c r="T33" s="1"/>
  <c r="AO130" i="125"/>
  <c r="T191" i="91"/>
  <c r="J203" i="154"/>
  <c r="U19" i="122"/>
  <c r="T189" i="91"/>
  <c r="B456" i="119"/>
  <c r="AO121" i="125"/>
  <c r="C170" i="92"/>
  <c r="S170" s="1"/>
  <c r="C70" i="89"/>
  <c r="D201" i="154"/>
  <c r="C32" i="122"/>
  <c r="C68"/>
  <c r="J201" i="154"/>
  <c r="U17" i="122"/>
  <c r="I68"/>
  <c r="T151" i="86"/>
  <c r="L154" i="135"/>
  <c r="L76" i="96"/>
  <c r="J68" i="98"/>
  <c r="J68" i="143"/>
  <c r="J76" i="96"/>
  <c r="J69" i="131"/>
  <c r="AN187" i="154"/>
  <c r="AN14" s="1"/>
  <c r="J187"/>
  <c r="D38"/>
  <c r="D12" i="121"/>
  <c r="AO18" i="125"/>
  <c r="S18" i="92"/>
  <c r="AO27" i="125"/>
  <c r="S27" i="92"/>
  <c r="AO20" i="125"/>
  <c r="S20" i="92"/>
  <c r="AO21" i="125"/>
  <c r="S21" i="92"/>
  <c r="C13"/>
  <c r="S11"/>
  <c r="F38" i="154"/>
  <c r="L10" i="121"/>
  <c r="F12"/>
  <c r="J96" i="135"/>
  <c r="C31" i="92"/>
  <c r="L76" i="129"/>
  <c r="L78" s="1"/>
  <c r="B152" i="102"/>
  <c r="J45" i="154"/>
  <c r="J54"/>
  <c r="J30" i="121"/>
  <c r="J47" i="154"/>
  <c r="J48"/>
  <c r="S169" i="92"/>
  <c r="H38" i="154"/>
  <c r="H40" s="1"/>
  <c r="H12" i="121"/>
  <c r="J38" i="154"/>
  <c r="J40" s="1"/>
  <c r="J12" i="121"/>
  <c r="AO26" i="125"/>
  <c r="H38" i="91"/>
  <c r="D53" i="154"/>
  <c r="D30" i="121"/>
  <c r="F54" i="154"/>
  <c r="F30" i="121"/>
  <c r="L26"/>
  <c r="H46" i="91"/>
  <c r="H56" i="154"/>
  <c r="H30" i="121"/>
  <c r="L28"/>
  <c r="N28" s="1"/>
  <c r="L42" i="91"/>
  <c r="T42" s="1"/>
  <c r="F46"/>
  <c r="L111" i="108"/>
  <c r="L40" i="139"/>
  <c r="H44" i="154"/>
  <c r="H22" i="121"/>
  <c r="H45" i="154"/>
  <c r="L17" i="121"/>
  <c r="N17" s="1"/>
  <c r="H32" i="88"/>
  <c r="AC187" i="154"/>
  <c r="F187"/>
  <c r="F38" i="91"/>
  <c r="V167" i="154"/>
  <c r="V134"/>
  <c r="D32" i="88"/>
  <c r="C23" i="92"/>
  <c r="S16"/>
  <c r="D43" i="154"/>
  <c r="J49"/>
  <c r="F43"/>
  <c r="L15" i="121"/>
  <c r="F22"/>
  <c r="F44" i="154"/>
  <c r="L16" i="121"/>
  <c r="F48" i="154"/>
  <c r="L20" i="121"/>
  <c r="N20" s="1"/>
  <c r="L37" i="91"/>
  <c r="T37" s="1"/>
  <c r="J38"/>
  <c r="J48" s="1"/>
  <c r="J125" s="1"/>
  <c r="Y125" s="1"/>
  <c r="Y10" s="1"/>
  <c r="N16" i="88"/>
  <c r="F49" i="154"/>
  <c r="L21" i="121"/>
  <c r="N21" s="1"/>
  <c r="F47" i="154"/>
  <c r="L19" i="121"/>
  <c r="N19" s="1"/>
  <c r="J43" i="154"/>
  <c r="J22" i="121"/>
  <c r="AO22" i="125"/>
  <c r="S22" i="92"/>
  <c r="D16" i="121"/>
  <c r="D32" i="91"/>
  <c r="T287"/>
  <c r="T291" s="1"/>
  <c r="L153" i="137"/>
  <c r="L96"/>
  <c r="J154" i="135"/>
  <c r="R50" i="153"/>
  <c r="P10" i="132"/>
  <c r="P11" s="1"/>
  <c r="P14" s="1"/>
  <c r="P42" i="140"/>
  <c r="P46"/>
  <c r="J68" i="142"/>
  <c r="J96" i="136"/>
  <c r="P12" i="128"/>
  <c r="P36"/>
  <c r="J94" i="103"/>
  <c r="L95" i="104"/>
  <c r="J94" i="102"/>
  <c r="P28" i="109"/>
  <c r="P34" s="1"/>
  <c r="L68" i="108"/>
  <c r="P42" i="107"/>
  <c r="T114" i="91"/>
  <c r="T151" s="1"/>
  <c r="J68" i="108"/>
  <c r="J68" i="109"/>
  <c r="P46" i="107"/>
  <c r="T116" i="91"/>
  <c r="T153" s="1"/>
  <c r="P36" i="95"/>
  <c r="T119" i="91"/>
  <c r="T156" s="1"/>
  <c r="P12" i="95"/>
  <c r="T113" i="91"/>
  <c r="T150" s="1"/>
  <c r="S14" i="90"/>
  <c r="S37" s="1"/>
  <c r="P81" i="136"/>
  <c r="P93" s="1"/>
  <c r="P41" i="140"/>
  <c r="L59"/>
  <c r="L12" i="138"/>
  <c r="P11"/>
  <c r="P12" s="1"/>
  <c r="L19" i="144"/>
  <c r="L22" s="1"/>
  <c r="P11"/>
  <c r="P56" i="134"/>
  <c r="N64"/>
  <c r="P62" i="142"/>
  <c r="P65" s="1"/>
  <c r="N19" i="144"/>
  <c r="N22" s="1"/>
  <c r="N45" i="140"/>
  <c r="P45" s="1"/>
  <c r="N59" i="142"/>
  <c r="P43"/>
  <c r="L40" i="130"/>
  <c r="L43" s="1"/>
  <c r="L45" s="1"/>
  <c r="P11"/>
  <c r="L64" i="134"/>
  <c r="P55"/>
  <c r="L38" i="140"/>
  <c r="P62"/>
  <c r="P65" s="1"/>
  <c r="P41" i="142"/>
  <c r="L59"/>
  <c r="N25"/>
  <c r="P12"/>
  <c r="N40" i="130"/>
  <c r="N43" s="1"/>
  <c r="P13"/>
  <c r="P69" i="136"/>
  <c r="N78"/>
  <c r="J76" i="129"/>
  <c r="P12" i="134"/>
  <c r="J96" i="137"/>
  <c r="P12" i="144"/>
  <c r="J96" i="134"/>
  <c r="J25" i="138"/>
  <c r="J68" i="141"/>
  <c r="L78" i="134"/>
  <c r="P67"/>
  <c r="P55" i="136"/>
  <c r="L34" i="140"/>
  <c r="P28"/>
  <c r="P34" s="1"/>
  <c r="L25" i="142"/>
  <c r="P11"/>
  <c r="L38"/>
  <c r="P56" i="136"/>
  <c r="N64"/>
  <c r="N27"/>
  <c r="P12"/>
  <c r="P27" s="1"/>
  <c r="P43" i="140"/>
  <c r="L93" i="134"/>
  <c r="P81"/>
  <c r="P93" s="1"/>
  <c r="P67" i="136"/>
  <c r="L25" i="140"/>
  <c r="P11"/>
  <c r="L22" i="138"/>
  <c r="P15"/>
  <c r="P22" s="1"/>
  <c r="L34" i="142"/>
  <c r="P28"/>
  <c r="P34" s="1"/>
  <c r="P12" i="140"/>
  <c r="N25"/>
  <c r="N40" i="128"/>
  <c r="N43" s="1"/>
  <c r="P13"/>
  <c r="P69" i="134"/>
  <c r="N78"/>
  <c r="L96" i="135"/>
  <c r="R393" i="152"/>
  <c r="J153" i="137"/>
  <c r="J112" i="143"/>
  <c r="J68" i="140"/>
  <c r="L68" i="141"/>
  <c r="R325" i="152"/>
  <c r="V12" i="91"/>
  <c r="T41"/>
  <c r="L35" i="101"/>
  <c r="P29"/>
  <c r="P35" s="1"/>
  <c r="L63"/>
  <c r="P54"/>
  <c r="P79" i="103"/>
  <c r="P91" s="1"/>
  <c r="L91"/>
  <c r="P41" i="107"/>
  <c r="L59"/>
  <c r="L12" i="105"/>
  <c r="P11"/>
  <c r="P12" s="1"/>
  <c r="P55" i="101"/>
  <c r="N63"/>
  <c r="N25" i="107"/>
  <c r="P12"/>
  <c r="N59" i="109"/>
  <c r="P43"/>
  <c r="L40" i="95"/>
  <c r="L43" s="1"/>
  <c r="P11"/>
  <c r="L11" i="99"/>
  <c r="L14" s="1"/>
  <c r="P10"/>
  <c r="P11" s="1"/>
  <c r="P14" s="1"/>
  <c r="L76" i="103"/>
  <c r="P66"/>
  <c r="L25" i="107"/>
  <c r="P11"/>
  <c r="L22" i="105"/>
  <c r="L25" s="1"/>
  <c r="P15"/>
  <c r="P22" s="1"/>
  <c r="P25" s="1"/>
  <c r="L154" i="91"/>
  <c r="L159" s="1"/>
  <c r="L175" s="1"/>
  <c r="L122"/>
  <c r="P62" i="109"/>
  <c r="P65" s="1"/>
  <c r="N26" i="103"/>
  <c r="P12"/>
  <c r="P26" s="1"/>
  <c r="N40" i="95"/>
  <c r="N43" s="1"/>
  <c r="P37"/>
  <c r="P67" i="103"/>
  <c r="N76"/>
  <c r="J111" i="108"/>
  <c r="R323" i="119"/>
  <c r="J150" i="104"/>
  <c r="L84" i="88"/>
  <c r="L150" i="102"/>
  <c r="P37" i="109"/>
  <c r="P38" s="1"/>
  <c r="J111" i="110"/>
  <c r="Z289" i="91"/>
  <c r="Z12"/>
  <c r="Z16" s="1"/>
  <c r="L91" i="101"/>
  <c r="T118" i="91"/>
  <c r="T155" s="1"/>
  <c r="L63" i="103"/>
  <c r="P54"/>
  <c r="L34" i="107"/>
  <c r="P28"/>
  <c r="P34" s="1"/>
  <c r="N63" i="103"/>
  <c r="P55"/>
  <c r="N25" i="109"/>
  <c r="P12"/>
  <c r="P25" s="1"/>
  <c r="T218" i="91"/>
  <c r="T227" s="1"/>
  <c r="T173"/>
  <c r="N59" i="107"/>
  <c r="P43"/>
  <c r="L76" i="101"/>
  <c r="P66"/>
  <c r="L26"/>
  <c r="P11"/>
  <c r="L46"/>
  <c r="P38"/>
  <c r="P46" s="1"/>
  <c r="L38" i="107"/>
  <c r="P37"/>
  <c r="P38" s="1"/>
  <c r="T121" i="91"/>
  <c r="T158" s="1"/>
  <c r="P62" i="107"/>
  <c r="P65" s="1"/>
  <c r="T117" i="91"/>
  <c r="L59" i="109"/>
  <c r="P41"/>
  <c r="N26" i="101"/>
  <c r="P12"/>
  <c r="N40" i="97"/>
  <c r="N43" s="1"/>
  <c r="P37"/>
  <c r="P40" s="1"/>
  <c r="P43" s="1"/>
  <c r="P67" i="101"/>
  <c r="N76"/>
  <c r="V289" i="91"/>
  <c r="L94" i="102"/>
  <c r="J95" i="104"/>
  <c r="J150" i="102"/>
  <c r="J25" i="105"/>
  <c r="L111" i="110"/>
  <c r="R391" i="119"/>
  <c r="T104" i="86"/>
  <c r="N143" i="154" l="1"/>
  <c r="N145" s="1"/>
  <c r="N147" s="1"/>
  <c r="AT147" s="1"/>
  <c r="C33" i="92"/>
  <c r="C78" i="89"/>
  <c r="C87" s="1"/>
  <c r="C45" i="156"/>
  <c r="C47" s="1"/>
  <c r="AD15" i="91"/>
  <c r="AE15" s="1"/>
  <c r="AC31" i="125"/>
  <c r="AC33" s="1"/>
  <c r="AO30"/>
  <c r="AD175" i="91"/>
  <c r="J94" i="101"/>
  <c r="V171" i="154"/>
  <c r="V305"/>
  <c r="V306"/>
  <c r="AD287" i="91"/>
  <c r="AE287" s="1"/>
  <c r="AA16"/>
  <c r="J58" i="154"/>
  <c r="L32" i="88"/>
  <c r="E60" i="155"/>
  <c r="E136" i="156"/>
  <c r="E139" s="1"/>
  <c r="V18" i="91"/>
  <c r="C126" i="156"/>
  <c r="C128" s="1"/>
  <c r="AI12" i="86"/>
  <c r="AI20" s="1"/>
  <c r="S35" i="156"/>
  <c r="AA289" i="91"/>
  <c r="AP245" i="154"/>
  <c r="AP12" s="1"/>
  <c r="AP20" s="1"/>
  <c r="AP23" s="1"/>
  <c r="G60" i="155"/>
  <c r="K47"/>
  <c r="G116"/>
  <c r="K116" s="1"/>
  <c r="K127" s="1"/>
  <c r="N84" i="88"/>
  <c r="L27" i="134"/>
  <c r="T32" i="91"/>
  <c r="G107" i="155"/>
  <c r="P27" i="134"/>
  <c r="AD232" i="91"/>
  <c r="S70" i="89"/>
  <c r="C117" i="156"/>
  <c r="L28" i="91"/>
  <c r="S48" i="127"/>
  <c r="E47" i="155"/>
  <c r="N84" i="121"/>
  <c r="N100"/>
  <c r="P25" i="107"/>
  <c r="K53" i="155"/>
  <c r="D216" i="154"/>
  <c r="V203"/>
  <c r="G53" i="155"/>
  <c r="I146"/>
  <c r="K149" s="1"/>
  <c r="K152" s="1"/>
  <c r="I177" i="156"/>
  <c r="I180" s="1"/>
  <c r="C30" i="155"/>
  <c r="M107" i="156"/>
  <c r="M108" s="1"/>
  <c r="F254" i="157"/>
  <c r="D254" s="1"/>
  <c r="AF245" i="154"/>
  <c r="I146" i="156"/>
  <c r="K149" s="1"/>
  <c r="K152" s="1"/>
  <c r="K79" i="155"/>
  <c r="M79" s="1"/>
  <c r="I108"/>
  <c r="G81"/>
  <c r="O53"/>
  <c r="M47"/>
  <c r="G47"/>
  <c r="C58"/>
  <c r="C60" s="1"/>
  <c r="C51"/>
  <c r="C53" s="1"/>
  <c r="C37"/>
  <c r="D44" i="154"/>
  <c r="D50" s="1"/>
  <c r="C75" i="155"/>
  <c r="S16"/>
  <c r="C132"/>
  <c r="G132" s="1"/>
  <c r="K132" s="1"/>
  <c r="S64"/>
  <c r="C133"/>
  <c r="G133" s="1"/>
  <c r="K133" s="1"/>
  <c r="I165" i="156"/>
  <c r="K155"/>
  <c r="K165" s="1"/>
  <c r="I37"/>
  <c r="I47" s="1"/>
  <c r="I50"/>
  <c r="I57"/>
  <c r="C106" i="155"/>
  <c r="C136" i="156"/>
  <c r="G125"/>
  <c r="K168"/>
  <c r="K174" s="1"/>
  <c r="I174"/>
  <c r="S34"/>
  <c r="S30"/>
  <c r="Q53" i="155"/>
  <c r="V64" i="156"/>
  <c r="S71"/>
  <c r="D12" i="157"/>
  <c r="I177" i="155"/>
  <c r="I180" s="1"/>
  <c r="C182"/>
  <c r="K105"/>
  <c r="M105" s="1"/>
  <c r="K138" i="156"/>
  <c r="C182"/>
  <c r="M53" i="155"/>
  <c r="M60"/>
  <c r="K60"/>
  <c r="O60"/>
  <c r="M74"/>
  <c r="K104"/>
  <c r="K106"/>
  <c r="S18"/>
  <c r="S65" s="1"/>
  <c r="V65" s="1"/>
  <c r="S34"/>
  <c r="G131"/>
  <c r="I58"/>
  <c r="I51"/>
  <c r="I174"/>
  <c r="K168"/>
  <c r="K174" s="1"/>
  <c r="I57"/>
  <c r="S57" s="1"/>
  <c r="I37"/>
  <c r="I50"/>
  <c r="E102"/>
  <c r="K102" s="1"/>
  <c r="K76"/>
  <c r="M76" s="1"/>
  <c r="E117"/>
  <c r="E125"/>
  <c r="K100"/>
  <c r="C102"/>
  <c r="K114" i="156"/>
  <c r="G117"/>
  <c r="G127"/>
  <c r="C138"/>
  <c r="G138" s="1"/>
  <c r="I59" i="155"/>
  <c r="S59" s="1"/>
  <c r="I52"/>
  <c r="S52" s="1"/>
  <c r="K155"/>
  <c r="K165" s="1"/>
  <c r="I165"/>
  <c r="Q60"/>
  <c r="G132" i="156"/>
  <c r="C134"/>
  <c r="C104" i="155"/>
  <c r="G127"/>
  <c r="O47"/>
  <c r="K78"/>
  <c r="M78" s="1"/>
  <c r="K80"/>
  <c r="M80" s="1"/>
  <c r="L45" i="128"/>
  <c r="N22" i="88"/>
  <c r="N32" s="1"/>
  <c r="U67" i="122"/>
  <c r="L115" i="143"/>
  <c r="L84" i="121"/>
  <c r="J112" i="154"/>
  <c r="N102"/>
  <c r="V95"/>
  <c r="V102" s="1"/>
  <c r="V105"/>
  <c r="V110" s="1"/>
  <c r="N110"/>
  <c r="Y16" i="91"/>
  <c r="J222" i="154"/>
  <c r="V220"/>
  <c r="V222" s="1"/>
  <c r="U84" i="122"/>
  <c r="S186" i="92"/>
  <c r="AO170" i="125"/>
  <c r="T203" i="91"/>
  <c r="T232" s="1"/>
  <c r="T233" s="1"/>
  <c r="N49" i="154"/>
  <c r="V49" s="1"/>
  <c r="J113" i="88"/>
  <c r="J116" s="1"/>
  <c r="J119" s="1"/>
  <c r="N48" i="154"/>
  <c r="V48" s="1"/>
  <c r="L46" i="91"/>
  <c r="T46"/>
  <c r="L38"/>
  <c r="D38"/>
  <c r="D48" s="1"/>
  <c r="D125" s="1"/>
  <c r="D126" s="1"/>
  <c r="F113" i="88"/>
  <c r="T31" i="91"/>
  <c r="L114" i="108"/>
  <c r="N47" i="154"/>
  <c r="V47" s="1"/>
  <c r="T288" i="91"/>
  <c r="N45" i="154"/>
  <c r="V45" s="1"/>
  <c r="J216"/>
  <c r="AO171" i="125"/>
  <c r="S134" i="92"/>
  <c r="C172"/>
  <c r="C180" s="1"/>
  <c r="C189" s="1"/>
  <c r="U32" i="122"/>
  <c r="U68"/>
  <c r="C115" i="155" s="1"/>
  <c r="V201" i="154"/>
  <c r="I70" i="122"/>
  <c r="C70"/>
  <c r="N44" i="154"/>
  <c r="L156" i="137"/>
  <c r="Y289" i="91"/>
  <c r="J50" i="154"/>
  <c r="H48" i="91"/>
  <c r="H125" s="1"/>
  <c r="X125" s="1"/>
  <c r="X289" s="1"/>
  <c r="S172" i="92"/>
  <c r="S180" s="1"/>
  <c r="L12" i="121"/>
  <c r="N10"/>
  <c r="N12" s="1"/>
  <c r="S13" i="92"/>
  <c r="AO11" i="125"/>
  <c r="S31" i="92"/>
  <c r="F40" i="154"/>
  <c r="N38"/>
  <c r="N40" s="1"/>
  <c r="AO135" i="125"/>
  <c r="D40" i="154"/>
  <c r="R456" i="119"/>
  <c r="P40" i="128"/>
  <c r="P43" s="1"/>
  <c r="N59" i="140"/>
  <c r="J114" i="110"/>
  <c r="J115" i="143"/>
  <c r="N26" i="121"/>
  <c r="L30"/>
  <c r="N54" i="154"/>
  <c r="F58"/>
  <c r="D58"/>
  <c r="V53"/>
  <c r="F48" i="91"/>
  <c r="F125" s="1"/>
  <c r="AB146" s="1"/>
  <c r="L114" i="110"/>
  <c r="H58" i="154"/>
  <c r="N56"/>
  <c r="V56" s="1"/>
  <c r="J114" i="108"/>
  <c r="P25" i="138"/>
  <c r="L25"/>
  <c r="H50" i="154"/>
  <c r="H113" i="88"/>
  <c r="H116" s="1"/>
  <c r="H119" s="1"/>
  <c r="H32" i="121"/>
  <c r="AC14" i="154"/>
  <c r="AS14" s="1"/>
  <c r="AS187"/>
  <c r="L156" i="135"/>
  <c r="L153" i="104"/>
  <c r="J32" i="121"/>
  <c r="L22"/>
  <c r="N15"/>
  <c r="S23" i="92"/>
  <c r="AO16" i="125"/>
  <c r="D22" i="121"/>
  <c r="J156" i="137"/>
  <c r="J156" i="135"/>
  <c r="F32" i="121"/>
  <c r="F50" i="154"/>
  <c r="N43"/>
  <c r="D113" i="88"/>
  <c r="D116" s="1"/>
  <c r="D119" s="1"/>
  <c r="N16" i="121"/>
  <c r="T289" i="91"/>
  <c r="L116" i="141"/>
  <c r="J116"/>
  <c r="P25" i="142"/>
  <c r="P64" i="134"/>
  <c r="P78" i="136"/>
  <c r="P64"/>
  <c r="N68" i="109"/>
  <c r="N94" i="103"/>
  <c r="J152" i="102"/>
  <c r="N68" i="107"/>
  <c r="L152" i="102"/>
  <c r="P59" i="109"/>
  <c r="P68" s="1"/>
  <c r="N94" i="101"/>
  <c r="P25" i="140"/>
  <c r="P59" i="142"/>
  <c r="L68"/>
  <c r="P59" i="140"/>
  <c r="P78" i="134"/>
  <c r="L68" i="140"/>
  <c r="P40" i="130"/>
  <c r="P43" s="1"/>
  <c r="P19" i="144"/>
  <c r="P22" s="1"/>
  <c r="L96" i="136"/>
  <c r="T154" i="91"/>
  <c r="T159" s="1"/>
  <c r="T175" s="1"/>
  <c r="T122"/>
  <c r="AD12"/>
  <c r="AE12" s="1"/>
  <c r="V16"/>
  <c r="L68" i="107"/>
  <c r="P26" i="101"/>
  <c r="P76"/>
  <c r="P63" i="103"/>
  <c r="L94" i="101"/>
  <c r="J153" i="104"/>
  <c r="P76" i="103"/>
  <c r="P40" i="95"/>
  <c r="P43" s="1"/>
  <c r="L94" i="103"/>
  <c r="P63" i="101"/>
  <c r="L68" i="109"/>
  <c r="P59" i="107"/>
  <c r="T106" i="86"/>
  <c r="S189" i="92" l="1"/>
  <c r="C92" i="89"/>
  <c r="AF12" i="154"/>
  <c r="AE245"/>
  <c r="T38" i="91"/>
  <c r="AO31" i="125"/>
  <c r="V44" i="154"/>
  <c r="E107" i="155"/>
  <c r="E108" s="1"/>
  <c r="J60" i="154"/>
  <c r="J137" s="1"/>
  <c r="AN137" s="1"/>
  <c r="L113" i="88"/>
  <c r="L116" s="1"/>
  <c r="N116" s="1"/>
  <c r="N119" s="1"/>
  <c r="V19" i="91"/>
  <c r="C137" i="156"/>
  <c r="G137" s="1"/>
  <c r="G126"/>
  <c r="G128" s="1"/>
  <c r="S51" i="155"/>
  <c r="I152" i="156"/>
  <c r="I182" s="1"/>
  <c r="K182" s="1"/>
  <c r="S37"/>
  <c r="AP306" i="154"/>
  <c r="I152" i="155"/>
  <c r="I182" s="1"/>
  <c r="K182" s="1"/>
  <c r="G108"/>
  <c r="V38" i="154"/>
  <c r="V40" s="1"/>
  <c r="L96" i="134"/>
  <c r="K138" i="155"/>
  <c r="S58"/>
  <c r="S60" s="1"/>
  <c r="S45" i="156"/>
  <c r="S78" i="89"/>
  <c r="S87" s="1"/>
  <c r="S89" s="1"/>
  <c r="P68" i="107"/>
  <c r="V216" i="154"/>
  <c r="M102" i="155"/>
  <c r="V71" i="156"/>
  <c r="F162" i="157"/>
  <c r="D162" s="1"/>
  <c r="C138" i="155"/>
  <c r="G138" s="1"/>
  <c r="C134"/>
  <c r="S30"/>
  <c r="M104"/>
  <c r="K81"/>
  <c r="C78" i="122"/>
  <c r="C87" s="1"/>
  <c r="C45" i="155"/>
  <c r="C47" s="1"/>
  <c r="I78" i="122"/>
  <c r="I87" s="1"/>
  <c r="I45" i="155"/>
  <c r="I47" s="1"/>
  <c r="C114"/>
  <c r="K132" i="156"/>
  <c r="G134"/>
  <c r="K125"/>
  <c r="K117"/>
  <c r="G134" i="155"/>
  <c r="K131"/>
  <c r="K134" s="1"/>
  <c r="G136" i="156"/>
  <c r="I60"/>
  <c r="S57"/>
  <c r="S60" s="1"/>
  <c r="S67" i="155"/>
  <c r="V67" s="1"/>
  <c r="S35"/>
  <c r="S37" s="1"/>
  <c r="C101"/>
  <c r="M75"/>
  <c r="M81" s="1"/>
  <c r="M88" s="1"/>
  <c r="C81"/>
  <c r="G115"/>
  <c r="K115" s="1"/>
  <c r="K126" s="1"/>
  <c r="K137" s="1"/>
  <c r="C126"/>
  <c r="E128"/>
  <c r="E136"/>
  <c r="E139" s="1"/>
  <c r="I53" i="156"/>
  <c r="S50"/>
  <c r="S53" s="1"/>
  <c r="V64" i="155"/>
  <c r="K107"/>
  <c r="I53"/>
  <c r="I60"/>
  <c r="M100"/>
  <c r="S50"/>
  <c r="M106"/>
  <c r="F116" i="88"/>
  <c r="F119" s="1"/>
  <c r="AB18" i="91" s="1"/>
  <c r="AD137" i="154"/>
  <c r="AD10" s="1"/>
  <c r="AD20" s="1"/>
  <c r="AF137"/>
  <c r="AF10" s="1"/>
  <c r="J245"/>
  <c r="AN245" s="1"/>
  <c r="AN12" s="1"/>
  <c r="N30" i="121"/>
  <c r="V112" i="154"/>
  <c r="N112"/>
  <c r="L48" i="91"/>
  <c r="L125" s="1"/>
  <c r="T234"/>
  <c r="AO187" i="125"/>
  <c r="L115" i="108"/>
  <c r="N50" i="154"/>
  <c r="AE232" i="91"/>
  <c r="L70" i="140"/>
  <c r="T48" i="91"/>
  <c r="T125" s="1"/>
  <c r="T126" s="1"/>
  <c r="N86" i="88"/>
  <c r="N113"/>
  <c r="N50"/>
  <c r="W125" i="91"/>
  <c r="W146" s="1"/>
  <c r="W289" s="1"/>
  <c r="F60" i="154"/>
  <c r="F137" s="1"/>
  <c r="X10" i="91"/>
  <c r="X16" s="1"/>
  <c r="U70" i="122"/>
  <c r="V43" i="154"/>
  <c r="AO13" i="125"/>
  <c r="AO173"/>
  <c r="AO181" s="1"/>
  <c r="H60" i="154"/>
  <c r="H137" s="1"/>
  <c r="D60"/>
  <c r="D137" s="1"/>
  <c r="D138" s="1"/>
  <c r="V54"/>
  <c r="V58" s="1"/>
  <c r="N58"/>
  <c r="H113" i="121"/>
  <c r="H116" s="1"/>
  <c r="H119" s="1"/>
  <c r="AT14" i="154"/>
  <c r="F113" i="121"/>
  <c r="F116" s="1"/>
  <c r="F119" s="1"/>
  <c r="D32"/>
  <c r="S33" i="92"/>
  <c r="J113" i="121"/>
  <c r="J116" s="1"/>
  <c r="J119" s="1"/>
  <c r="N22"/>
  <c r="AO23" i="125"/>
  <c r="L32" i="121"/>
  <c r="P94" i="103"/>
  <c r="P94" i="101"/>
  <c r="AB289" i="91"/>
  <c r="AB13"/>
  <c r="AB16" s="1"/>
  <c r="T176"/>
  <c r="AE175"/>
  <c r="AF20" i="154" l="1"/>
  <c r="AE137"/>
  <c r="AE10" s="1"/>
  <c r="V50"/>
  <c r="V60" s="1"/>
  <c r="V114" s="1"/>
  <c r="L119" i="88"/>
  <c r="S47" i="156"/>
  <c r="C139"/>
  <c r="G139"/>
  <c r="S53" i="155"/>
  <c r="K108"/>
  <c r="AC137" i="154"/>
  <c r="V71" i="155"/>
  <c r="AB19" i="91"/>
  <c r="AQ22" i="154"/>
  <c r="S71" i="155"/>
  <c r="C117"/>
  <c r="C125"/>
  <c r="G114"/>
  <c r="S45"/>
  <c r="S47" s="1"/>
  <c r="C137"/>
  <c r="G137" s="1"/>
  <c r="G126"/>
  <c r="M101"/>
  <c r="M107" s="1"/>
  <c r="M108" s="1"/>
  <c r="C107"/>
  <c r="C108" s="1"/>
  <c r="K136" i="156"/>
  <c r="K128"/>
  <c r="K134"/>
  <c r="K137"/>
  <c r="N60" i="154"/>
  <c r="N137" s="1"/>
  <c r="AO190" i="125"/>
  <c r="T66" i="91"/>
  <c r="T102"/>
  <c r="W10"/>
  <c r="AD10" s="1"/>
  <c r="AE10" s="1"/>
  <c r="AD125"/>
  <c r="AE125" s="1"/>
  <c r="AN10" i="154"/>
  <c r="S92" i="89"/>
  <c r="U78" i="122"/>
  <c r="U87" s="1"/>
  <c r="AM20" i="154"/>
  <c r="L113" i="121"/>
  <c r="L116" s="1"/>
  <c r="L119" s="1"/>
  <c r="AO33" i="125"/>
  <c r="N32" i="121"/>
  <c r="D113"/>
  <c r="D116" s="1"/>
  <c r="AD146" i="91"/>
  <c r="AE146" s="1"/>
  <c r="W13"/>
  <c r="AD13" s="1"/>
  <c r="AE13" s="1"/>
  <c r="K139" i="156" l="1"/>
  <c r="M139" s="1"/>
  <c r="M137" s="1"/>
  <c r="G117" i="155"/>
  <c r="K114"/>
  <c r="C136"/>
  <c r="G125"/>
  <c r="G128" s="1"/>
  <c r="C128"/>
  <c r="AC10" i="154"/>
  <c r="AC158"/>
  <c r="V137"/>
  <c r="V138" s="1"/>
  <c r="U89" i="122"/>
  <c r="V78" i="154"/>
  <c r="N50" i="121"/>
  <c r="N86"/>
  <c r="N113"/>
  <c r="D119"/>
  <c r="C92" i="122" s="1"/>
  <c r="N116" i="121"/>
  <c r="N119" s="1"/>
  <c r="W16" i="91"/>
  <c r="G136" i="155" l="1"/>
  <c r="G139" s="1"/>
  <c r="C139"/>
  <c r="K117"/>
  <c r="K125"/>
  <c r="AC306" i="154"/>
  <c r="AC13"/>
  <c r="AC20" s="1"/>
  <c r="AC23" s="1"/>
  <c r="U92" i="122"/>
  <c r="K136" i="155" l="1"/>
  <c r="K139" s="1"/>
  <c r="M139" s="1"/>
  <c r="K128"/>
  <c r="U18" i="52"/>
  <c r="D10" i="81"/>
  <c r="T278" i="86" l="1"/>
  <c r="J82" i="71" l="1"/>
  <c r="L82" s="1"/>
  <c r="J81"/>
  <c r="L81" s="1"/>
  <c r="J80"/>
  <c r="L80" s="1"/>
  <c r="J79"/>
  <c r="L79" s="1"/>
  <c r="J78"/>
  <c r="L78" s="1"/>
  <c r="J77"/>
  <c r="L77" s="1"/>
  <c r="J76"/>
  <c r="L76" s="1"/>
  <c r="J75"/>
  <c r="L75" s="1"/>
  <c r="J74"/>
  <c r="L74" s="1"/>
  <c r="J73"/>
  <c r="L73" s="1"/>
  <c r="J102"/>
  <c r="L102" s="1"/>
  <c r="J101"/>
  <c r="L101" s="1"/>
  <c r="J100"/>
  <c r="L100" s="1"/>
  <c r="J99"/>
  <c r="L99" s="1"/>
  <c r="J98"/>
  <c r="L98" s="1"/>
  <c r="J97"/>
  <c r="L97" s="1"/>
  <c r="J96"/>
  <c r="L96" s="1"/>
  <c r="J95"/>
  <c r="D83"/>
  <c r="L95" l="1"/>
  <c r="L104" s="1"/>
  <c r="J104"/>
  <c r="L83"/>
  <c r="B71" i="57" l="1"/>
  <c r="D71"/>
  <c r="D72"/>
  <c r="D38" i="56"/>
  <c r="D37"/>
  <c r="B37"/>
  <c r="B37" i="58"/>
  <c r="D37"/>
  <c r="D38"/>
  <c r="J61" i="59" l="1"/>
  <c r="L61" s="1"/>
  <c r="D98" i="69"/>
  <c r="D99"/>
  <c r="J99" s="1"/>
  <c r="H51"/>
  <c r="F51"/>
  <c r="D51"/>
  <c r="H51" i="68"/>
  <c r="F51"/>
  <c r="D51"/>
  <c r="D50"/>
  <c r="D51" i="70"/>
  <c r="D148" i="63"/>
  <c r="F51" i="70"/>
  <c r="D86" i="64"/>
  <c r="B51" i="68" l="1"/>
  <c r="J15" i="72"/>
  <c r="L15" s="1"/>
  <c r="L99" i="69"/>
  <c r="J16" i="73" l="1"/>
  <c r="R33" i="80" l="1"/>
  <c r="H36"/>
  <c r="F36"/>
  <c r="D36"/>
  <c r="L147" i="65" l="1"/>
  <c r="J28" i="73"/>
  <c r="L28" s="1"/>
  <c r="J15"/>
  <c r="L15" s="1"/>
  <c r="S13" i="84" l="1"/>
  <c r="S13" i="123" s="1"/>
  <c r="S12" i="84"/>
  <c r="S12" i="123" s="1"/>
  <c r="S11" i="84"/>
  <c r="S11" i="123" s="1"/>
  <c r="Q13" i="84"/>
  <c r="Q13" i="123" s="1"/>
  <c r="Q12" i="84"/>
  <c r="Q12" i="123" s="1"/>
  <c r="Q11" i="84"/>
  <c r="Q11" i="123" s="1"/>
  <c r="O13" i="84"/>
  <c r="O13" i="123" s="1"/>
  <c r="O12" i="84"/>
  <c r="O12" i="123" s="1"/>
  <c r="O11" i="84"/>
  <c r="O11" i="123" s="1"/>
  <c r="M13" i="84"/>
  <c r="M12"/>
  <c r="M11"/>
  <c r="I13"/>
  <c r="I13" i="123" s="1"/>
  <c r="I12" i="84"/>
  <c r="I12" i="123" s="1"/>
  <c r="I11" i="84"/>
  <c r="I11" i="123" s="1"/>
  <c r="C13" i="84"/>
  <c r="C13" i="123" s="1"/>
  <c r="C12" i="84"/>
  <c r="C12" i="123" s="1"/>
  <c r="C11" i="84"/>
  <c r="C11" i="123" s="1"/>
  <c r="U25" i="84"/>
  <c r="U20"/>
  <c r="T281" i="86" s="1"/>
  <c r="T291" s="1"/>
  <c r="T292" s="1"/>
  <c r="G14" i="84"/>
  <c r="E14"/>
  <c r="A3"/>
  <c r="J51" i="69"/>
  <c r="L51" s="1"/>
  <c r="D132" i="63"/>
  <c r="H109"/>
  <c r="F109"/>
  <c r="D109"/>
  <c r="D54" i="57"/>
  <c r="D56"/>
  <c r="D57"/>
  <c r="D60"/>
  <c r="D59"/>
  <c r="J51" i="68"/>
  <c r="L51" s="1"/>
  <c r="D21" i="62"/>
  <c r="D26" i="56"/>
  <c r="D25"/>
  <c r="H51" i="70"/>
  <c r="J51" s="1"/>
  <c r="L51" s="1"/>
  <c r="D26" i="58"/>
  <c r="D25"/>
  <c r="D21" i="64"/>
  <c r="M13" i="123" l="1"/>
  <c r="U13" s="1"/>
  <c r="U13" i="84"/>
  <c r="M11" i="123"/>
  <c r="U11" s="1"/>
  <c r="U11" i="84"/>
  <c r="M12" i="123"/>
  <c r="U12" s="1"/>
  <c r="U12" i="84"/>
  <c r="U35" i="123"/>
  <c r="C14"/>
  <c r="Q14"/>
  <c r="S14"/>
  <c r="I14"/>
  <c r="O14"/>
  <c r="T293" i="86"/>
  <c r="T295"/>
  <c r="O14" i="84"/>
  <c r="S14"/>
  <c r="U35"/>
  <c r="Q14"/>
  <c r="J109" i="63"/>
  <c r="L109" s="1"/>
  <c r="I14" i="84"/>
  <c r="C14"/>
  <c r="M14"/>
  <c r="R376" i="79"/>
  <c r="N51" i="70" s="1"/>
  <c r="P51" s="1"/>
  <c r="N15" i="72"/>
  <c r="P15" s="1"/>
  <c r="J108" i="65"/>
  <c r="L108" s="1"/>
  <c r="J56" i="59"/>
  <c r="L56" s="1"/>
  <c r="J55"/>
  <c r="L55" s="1"/>
  <c r="J51" i="71"/>
  <c r="L51" s="1"/>
  <c r="J27" i="73"/>
  <c r="J30" s="1"/>
  <c r="M14" i="123" l="1"/>
  <c r="U14"/>
  <c r="U37" s="1"/>
  <c r="L27" i="73"/>
  <c r="L30" s="1"/>
  <c r="N51" i="68"/>
  <c r="P51" s="1"/>
  <c r="U14" i="84"/>
  <c r="U37" s="1"/>
  <c r="U56" i="52" l="1"/>
  <c r="U83"/>
  <c r="U82"/>
  <c r="F121" i="157" s="1"/>
  <c r="U81" i="52"/>
  <c r="U63"/>
  <c r="U62"/>
  <c r="U61"/>
  <c r="U60"/>
  <c r="U59"/>
  <c r="U58"/>
  <c r="U57"/>
  <c r="Z15" s="1"/>
  <c r="U55"/>
  <c r="U54"/>
  <c r="U53"/>
  <c r="U51"/>
  <c r="U47"/>
  <c r="U46"/>
  <c r="U45"/>
  <c r="U44"/>
  <c r="U43"/>
  <c r="U42"/>
  <c r="U41"/>
  <c r="Z14" s="1"/>
  <c r="U39"/>
  <c r="U38"/>
  <c r="U37"/>
  <c r="U36"/>
  <c r="AA14" s="1"/>
  <c r="U35"/>
  <c r="AB14" s="1"/>
  <c r="U31"/>
  <c r="U29"/>
  <c r="U28"/>
  <c r="U27"/>
  <c r="U26"/>
  <c r="U25"/>
  <c r="U24"/>
  <c r="U23"/>
  <c r="U22"/>
  <c r="U21"/>
  <c r="U20"/>
  <c r="U19"/>
  <c r="U17"/>
  <c r="U16"/>
  <c r="U15"/>
  <c r="Y13" s="1"/>
  <c r="U14"/>
  <c r="U13"/>
  <c r="U12"/>
  <c r="U11"/>
  <c r="H82" i="69"/>
  <c r="H83" s="1"/>
  <c r="F82"/>
  <c r="F83" s="1"/>
  <c r="D82"/>
  <c r="B82"/>
  <c r="D22" i="68"/>
  <c r="D22" i="70"/>
  <c r="F100" i="79"/>
  <c r="F100" i="152" s="1"/>
  <c r="L181"/>
  <c r="H181"/>
  <c r="H192"/>
  <c r="H235" i="79"/>
  <c r="H235" i="152" s="1"/>
  <c r="H238" i="79"/>
  <c r="H238" i="152" s="1"/>
  <c r="H252" i="79"/>
  <c r="H252" i="152" s="1"/>
  <c r="H275" i="79"/>
  <c r="H275" i="152" s="1"/>
  <c r="H284"/>
  <c r="H300"/>
  <c r="L192"/>
  <c r="L238" i="79"/>
  <c r="L238" i="152" s="1"/>
  <c r="L252" i="79"/>
  <c r="L252" i="152" s="1"/>
  <c r="L275" i="79"/>
  <c r="L275" i="152" s="1"/>
  <c r="L284"/>
  <c r="L300"/>
  <c r="L88" i="79"/>
  <c r="L88" i="152" s="1"/>
  <c r="L116" i="79"/>
  <c r="L116" i="152" s="1"/>
  <c r="L132" i="79"/>
  <c r="L132" i="152" s="1"/>
  <c r="L146"/>
  <c r="N88" i="79"/>
  <c r="N88" i="152" s="1"/>
  <c r="N100" i="79"/>
  <c r="N100" i="152" s="1"/>
  <c r="N116"/>
  <c r="N132" i="79"/>
  <c r="N132" i="152" s="1"/>
  <c r="N146"/>
  <c r="N71" i="79"/>
  <c r="N71" i="152" s="1"/>
  <c r="N181"/>
  <c r="N192"/>
  <c r="N235" i="79"/>
  <c r="N235" i="152" s="1"/>
  <c r="N238" i="79"/>
  <c r="N238" i="152" s="1"/>
  <c r="N252" i="79"/>
  <c r="N252" i="152" s="1"/>
  <c r="N275" i="79"/>
  <c r="N275" i="152" s="1"/>
  <c r="N284"/>
  <c r="N300"/>
  <c r="U40" i="52"/>
  <c r="R186" i="79"/>
  <c r="L235"/>
  <c r="L235" i="152" s="1"/>
  <c r="F181"/>
  <c r="O68" i="52"/>
  <c r="J82" i="69"/>
  <c r="B83" i="71"/>
  <c r="D67" i="57"/>
  <c r="J67" s="1"/>
  <c r="L67" s="1"/>
  <c r="D33"/>
  <c r="E188" i="53"/>
  <c r="R155" i="79"/>
  <c r="R156"/>
  <c r="R157"/>
  <c r="R158"/>
  <c r="R159"/>
  <c r="R160"/>
  <c r="R161"/>
  <c r="R162"/>
  <c r="R163"/>
  <c r="R167"/>
  <c r="R168"/>
  <c r="R169"/>
  <c r="R170"/>
  <c r="R171"/>
  <c r="R172"/>
  <c r="R173"/>
  <c r="R165"/>
  <c r="R174"/>
  <c r="R180"/>
  <c r="R178"/>
  <c r="R190"/>
  <c r="R191"/>
  <c r="D33" i="56"/>
  <c r="D33" i="58"/>
  <c r="R406" i="79"/>
  <c r="R410"/>
  <c r="R407"/>
  <c r="R411"/>
  <c r="R412"/>
  <c r="N14" i="58" s="1"/>
  <c r="R413" i="79"/>
  <c r="N15" i="58" s="1"/>
  <c r="R414" i="79"/>
  <c r="N16" i="58" s="1"/>
  <c r="R415" i="79"/>
  <c r="N17" i="56" s="1"/>
  <c r="R416" i="79"/>
  <c r="N18" i="58" s="1"/>
  <c r="R417" i="79"/>
  <c r="N19" i="58" s="1"/>
  <c r="N20"/>
  <c r="R419" i="79"/>
  <c r="N21" i="58" s="1"/>
  <c r="R421" i="79"/>
  <c r="N23" i="58" s="1"/>
  <c r="R422" i="79"/>
  <c r="N24" i="58" s="1"/>
  <c r="R423" i="79"/>
  <c r="N25" i="56" s="1"/>
  <c r="R424" i="79"/>
  <c r="N26" i="58" s="1"/>
  <c r="R425" i="79"/>
  <c r="R426"/>
  <c r="N28" i="58" s="1"/>
  <c r="R427" i="79"/>
  <c r="N29" i="58" s="1"/>
  <c r="R428" i="79"/>
  <c r="N30" i="56" s="1"/>
  <c r="R430" i="79"/>
  <c r="N32" i="56" s="1"/>
  <c r="R431" i="79"/>
  <c r="N33" i="56" s="1"/>
  <c r="R432" i="79"/>
  <c r="N34" i="58" s="1"/>
  <c r="R356" i="79"/>
  <c r="R357"/>
  <c r="N29" i="70" s="1"/>
  <c r="R358" i="79"/>
  <c r="N30" i="70" s="1"/>
  <c r="R359" i="79"/>
  <c r="R360"/>
  <c r="N32" i="70" s="1"/>
  <c r="R361" i="79"/>
  <c r="R340"/>
  <c r="N12" i="70" s="1"/>
  <c r="R341" i="79"/>
  <c r="N13" i="70" s="1"/>
  <c r="R342" i="79"/>
  <c r="N14" i="68" s="1"/>
  <c r="R343" i="79"/>
  <c r="N15" i="68" s="1"/>
  <c r="R344" i="79"/>
  <c r="N16" i="68" s="1"/>
  <c r="R345" i="79"/>
  <c r="R346"/>
  <c r="N18" i="68" s="1"/>
  <c r="R347" i="79"/>
  <c r="R348"/>
  <c r="N20" i="68" s="1"/>
  <c r="R349" i="79"/>
  <c r="R350"/>
  <c r="N22" i="68" s="1"/>
  <c r="R351" i="79"/>
  <c r="N23" i="70" s="1"/>
  <c r="R352" i="79"/>
  <c r="N24" i="70" s="1"/>
  <c r="R368" i="79"/>
  <c r="N43" i="70" s="1"/>
  <c r="R373" i="79"/>
  <c r="N48" i="68" s="1"/>
  <c r="R374" i="79"/>
  <c r="N49" i="70" s="1"/>
  <c r="R375" i="79"/>
  <c r="N50" i="70" s="1"/>
  <c r="R379" i="79"/>
  <c r="N54" i="68" s="1"/>
  <c r="R380" i="79"/>
  <c r="R381"/>
  <c r="N56" i="70" s="1"/>
  <c r="R382" i="79"/>
  <c r="N57" i="70" s="1"/>
  <c r="R383" i="79"/>
  <c r="N58" i="68" s="1"/>
  <c r="R387" i="79"/>
  <c r="R388"/>
  <c r="N63" i="70" s="1"/>
  <c r="R208" i="79"/>
  <c r="R193"/>
  <c r="R194"/>
  <c r="R195"/>
  <c r="R196"/>
  <c r="R197"/>
  <c r="R198"/>
  <c r="R202"/>
  <c r="R199"/>
  <c r="R204"/>
  <c r="R206"/>
  <c r="R220"/>
  <c r="R221"/>
  <c r="R209"/>
  <c r="R222"/>
  <c r="R211"/>
  <c r="R223"/>
  <c r="R213"/>
  <c r="R224"/>
  <c r="R215"/>
  <c r="R218"/>
  <c r="R225"/>
  <c r="R228"/>
  <c r="R227"/>
  <c r="R182"/>
  <c r="R183"/>
  <c r="R184"/>
  <c r="R187"/>
  <c r="R236"/>
  <c r="R237"/>
  <c r="R239"/>
  <c r="R240"/>
  <c r="R241"/>
  <c r="R242"/>
  <c r="R243"/>
  <c r="R244"/>
  <c r="R245"/>
  <c r="R246"/>
  <c r="R247"/>
  <c r="R248"/>
  <c r="R249"/>
  <c r="R251"/>
  <c r="R253"/>
  <c r="R254"/>
  <c r="R255"/>
  <c r="R256"/>
  <c r="R257"/>
  <c r="R258"/>
  <c r="R259"/>
  <c r="R260"/>
  <c r="R261"/>
  <c r="R262"/>
  <c r="R263"/>
  <c r="R264"/>
  <c r="R265"/>
  <c r="R266"/>
  <c r="R267"/>
  <c r="R268"/>
  <c r="R269"/>
  <c r="R270"/>
  <c r="R273"/>
  <c r="R272"/>
  <c r="R276"/>
  <c r="R277"/>
  <c r="R278"/>
  <c r="R279"/>
  <c r="R280"/>
  <c r="R281"/>
  <c r="R282"/>
  <c r="R283"/>
  <c r="R285"/>
  <c r="R286"/>
  <c r="R287"/>
  <c r="R288"/>
  <c r="R289"/>
  <c r="R290"/>
  <c r="R291"/>
  <c r="R292"/>
  <c r="R293"/>
  <c r="R294"/>
  <c r="R295"/>
  <c r="R296"/>
  <c r="R297"/>
  <c r="R299"/>
  <c r="R301"/>
  <c r="N77" i="62" s="1"/>
  <c r="R57" i="79"/>
  <c r="R58"/>
  <c r="R59"/>
  <c r="R60"/>
  <c r="R61"/>
  <c r="R62"/>
  <c r="R63"/>
  <c r="R64"/>
  <c r="R65"/>
  <c r="R66"/>
  <c r="R67"/>
  <c r="R68"/>
  <c r="R69"/>
  <c r="R70"/>
  <c r="R72"/>
  <c r="R73"/>
  <c r="R74"/>
  <c r="R75"/>
  <c r="R76"/>
  <c r="R77"/>
  <c r="R78"/>
  <c r="R79"/>
  <c r="R80"/>
  <c r="R81"/>
  <c r="R82"/>
  <c r="R83"/>
  <c r="R84"/>
  <c r="R85"/>
  <c r="R86"/>
  <c r="R87"/>
  <c r="R89"/>
  <c r="R90"/>
  <c r="R91"/>
  <c r="R92"/>
  <c r="R93"/>
  <c r="R94"/>
  <c r="R95"/>
  <c r="R96"/>
  <c r="R97"/>
  <c r="R98"/>
  <c r="R99"/>
  <c r="R101"/>
  <c r="R102"/>
  <c r="R103"/>
  <c r="R104"/>
  <c r="R105"/>
  <c r="R106"/>
  <c r="R107"/>
  <c r="R108"/>
  <c r="R109"/>
  <c r="R110"/>
  <c r="R111"/>
  <c r="R112"/>
  <c r="R113"/>
  <c r="R114"/>
  <c r="R115"/>
  <c r="R117"/>
  <c r="R118"/>
  <c r="R119"/>
  <c r="R120"/>
  <c r="R121"/>
  <c r="R122"/>
  <c r="R123"/>
  <c r="R124"/>
  <c r="R125"/>
  <c r="R126"/>
  <c r="R127"/>
  <c r="R128"/>
  <c r="R129"/>
  <c r="R130"/>
  <c r="R131"/>
  <c r="R133"/>
  <c r="R134"/>
  <c r="R135"/>
  <c r="R136"/>
  <c r="R137"/>
  <c r="R138"/>
  <c r="R139"/>
  <c r="R140"/>
  <c r="R141"/>
  <c r="R142"/>
  <c r="R143"/>
  <c r="R144"/>
  <c r="R145"/>
  <c r="R148"/>
  <c r="N63" i="64" s="1"/>
  <c r="R147" i="79"/>
  <c r="R56"/>
  <c r="R55"/>
  <c r="R12"/>
  <c r="R13"/>
  <c r="R17"/>
  <c r="R18"/>
  <c r="R19"/>
  <c r="N18" i="64" s="1"/>
  <c r="R20" i="79"/>
  <c r="R21"/>
  <c r="N20" i="62" s="1"/>
  <c r="R22" i="79"/>
  <c r="N21" i="64" s="1"/>
  <c r="R23" i="79"/>
  <c r="N22" i="62" s="1"/>
  <c r="R24" i="79"/>
  <c r="N23" i="64" s="1"/>
  <c r="R26" i="79"/>
  <c r="R31"/>
  <c r="N30" i="62" s="1"/>
  <c r="R32" i="79"/>
  <c r="N31" i="62" s="1"/>
  <c r="R33" i="79"/>
  <c r="R34"/>
  <c r="N33" i="64" s="1"/>
  <c r="R35" i="79"/>
  <c r="N34" i="62" s="1"/>
  <c r="R36" i="79"/>
  <c r="N35" i="64" s="1"/>
  <c r="R42" i="79"/>
  <c r="R43"/>
  <c r="R44"/>
  <c r="N41" i="64" s="1"/>
  <c r="R45" i="79"/>
  <c r="N42" i="62" s="1"/>
  <c r="R46" i="79"/>
  <c r="R47"/>
  <c r="R48"/>
  <c r="R51"/>
  <c r="N46" i="64" s="1"/>
  <c r="R305" i="79"/>
  <c r="R307"/>
  <c r="R308"/>
  <c r="R309"/>
  <c r="R310"/>
  <c r="R315"/>
  <c r="R316"/>
  <c r="N87" i="64" s="1"/>
  <c r="R317" i="79"/>
  <c r="N88" i="64" s="1"/>
  <c r="R318" i="79"/>
  <c r="N89" i="64" s="1"/>
  <c r="R319" i="79"/>
  <c r="N90" i="64" s="1"/>
  <c r="R320" i="79"/>
  <c r="N91" i="64" s="1"/>
  <c r="R449" i="79"/>
  <c r="N37" i="56" s="1"/>
  <c r="R450" i="79"/>
  <c r="N38" i="56" s="1"/>
  <c r="R43" i="80"/>
  <c r="R46" s="1"/>
  <c r="R15"/>
  <c r="N15" i="66" s="1"/>
  <c r="R17" i="80"/>
  <c r="N17" i="66" s="1"/>
  <c r="R18" i="80"/>
  <c r="N18" i="66" s="1"/>
  <c r="R19" i="80"/>
  <c r="N19" i="66" s="1"/>
  <c r="R20" i="80"/>
  <c r="N20" i="66" s="1"/>
  <c r="R21" i="80"/>
  <c r="N21" i="66" s="1"/>
  <c r="R29" i="80"/>
  <c r="N12" i="72" s="1"/>
  <c r="R30" i="80"/>
  <c r="N13" i="72" s="1"/>
  <c r="R31" i="80"/>
  <c r="P235" i="79"/>
  <c r="P235" i="152" s="1"/>
  <c r="J235" i="79"/>
  <c r="J235" i="152" s="1"/>
  <c r="F235" i="79"/>
  <c r="F235" i="152" s="1"/>
  <c r="D235" i="79"/>
  <c r="D235" i="152" s="1"/>
  <c r="P181"/>
  <c r="P192"/>
  <c r="P238" i="79"/>
  <c r="P238" i="152" s="1"/>
  <c r="P252" i="79"/>
  <c r="P252" i="152" s="1"/>
  <c r="P275" i="79"/>
  <c r="P275" i="152" s="1"/>
  <c r="P284"/>
  <c r="P300"/>
  <c r="J181"/>
  <c r="J192"/>
  <c r="J238" i="79"/>
  <c r="J238" i="152" s="1"/>
  <c r="J252" i="79"/>
  <c r="J252" i="152" s="1"/>
  <c r="J275" i="79"/>
  <c r="J275" i="152" s="1"/>
  <c r="J284"/>
  <c r="J300"/>
  <c r="F192"/>
  <c r="F238" i="79"/>
  <c r="F238" i="152" s="1"/>
  <c r="F252" i="79"/>
  <c r="F252" i="152" s="1"/>
  <c r="F275" i="79"/>
  <c r="F275" i="152" s="1"/>
  <c r="F284"/>
  <c r="F300"/>
  <c r="D181"/>
  <c r="D192" i="79"/>
  <c r="D192" i="152" s="1"/>
  <c r="D238" i="79"/>
  <c r="D238" i="152" s="1"/>
  <c r="D252" i="79"/>
  <c r="D275"/>
  <c r="D275" i="152" s="1"/>
  <c r="D284" i="79"/>
  <c r="D284" i="152" s="1"/>
  <c r="D300" i="79"/>
  <c r="D300" i="152" s="1"/>
  <c r="B235" i="79"/>
  <c r="B235" i="152" s="1"/>
  <c r="B181" i="79"/>
  <c r="B181" i="152" s="1"/>
  <c r="B192" i="79"/>
  <c r="B192" i="152" s="1"/>
  <c r="B238" i="79"/>
  <c r="B238" i="152" s="1"/>
  <c r="B252" i="79"/>
  <c r="B252" i="152" s="1"/>
  <c r="B275" i="79"/>
  <c r="B275" i="152" s="1"/>
  <c r="B284" i="79"/>
  <c r="B284" i="152" s="1"/>
  <c r="B300" i="79"/>
  <c r="B300" i="152" s="1"/>
  <c r="K11" i="82"/>
  <c r="AG304" i="154" s="1"/>
  <c r="E11" i="82"/>
  <c r="M11" s="1"/>
  <c r="AA22" i="86" s="1"/>
  <c r="I11" i="82"/>
  <c r="L45" i="51"/>
  <c r="N45" s="1"/>
  <c r="R35" i="80"/>
  <c r="R377" i="79"/>
  <c r="R370"/>
  <c r="N45" i="70" s="1"/>
  <c r="R16" i="79"/>
  <c r="N15" i="62" s="1"/>
  <c r="R15" i="79"/>
  <c r="R429"/>
  <c r="N31" i="58" s="1"/>
  <c r="L25" i="51"/>
  <c r="N25" s="1"/>
  <c r="L20"/>
  <c r="N20" s="1"/>
  <c r="L15"/>
  <c r="N15" s="1"/>
  <c r="L16"/>
  <c r="N16" s="1"/>
  <c r="L19"/>
  <c r="N19" s="1"/>
  <c r="L21"/>
  <c r="N21" s="1"/>
  <c r="L11"/>
  <c r="N11" s="1"/>
  <c r="L62"/>
  <c r="N62" s="1"/>
  <c r="L63"/>
  <c r="N63" s="1"/>
  <c r="L67"/>
  <c r="N67" s="1"/>
  <c r="L71"/>
  <c r="N71" s="1"/>
  <c r="L72"/>
  <c r="N72" s="1"/>
  <c r="L73"/>
  <c r="N73" s="1"/>
  <c r="L77"/>
  <c r="N77" s="1"/>
  <c r="L81"/>
  <c r="N81" s="1"/>
  <c r="J30"/>
  <c r="J22"/>
  <c r="J46"/>
  <c r="J48" s="1"/>
  <c r="H22"/>
  <c r="F46"/>
  <c r="F48" s="1"/>
  <c r="F12"/>
  <c r="F22"/>
  <c r="F64"/>
  <c r="F74"/>
  <c r="H46"/>
  <c r="H48"/>
  <c r="D46"/>
  <c r="D48" s="1"/>
  <c r="D109"/>
  <c r="D98"/>
  <c r="D100" s="1"/>
  <c r="D90"/>
  <c r="D92" s="1"/>
  <c r="D55"/>
  <c r="D57" s="1"/>
  <c r="D38"/>
  <c r="D40" s="1"/>
  <c r="D12"/>
  <c r="D22"/>
  <c r="D30"/>
  <c r="D64"/>
  <c r="D74"/>
  <c r="D82"/>
  <c r="L106"/>
  <c r="N106" s="1"/>
  <c r="L107"/>
  <c r="N107" s="1"/>
  <c r="L108"/>
  <c r="N108" s="1"/>
  <c r="L97"/>
  <c r="L98" s="1"/>
  <c r="L100" s="1"/>
  <c r="L89"/>
  <c r="L90"/>
  <c r="L92" s="1"/>
  <c r="L54"/>
  <c r="L37"/>
  <c r="L38" s="1"/>
  <c r="L40" s="1"/>
  <c r="L10"/>
  <c r="N10" s="1"/>
  <c r="L17"/>
  <c r="N17" s="1"/>
  <c r="L18"/>
  <c r="L26"/>
  <c r="N26" s="1"/>
  <c r="L27"/>
  <c r="N27" s="1"/>
  <c r="H30"/>
  <c r="L28"/>
  <c r="N28" s="1"/>
  <c r="L29"/>
  <c r="N29" s="1"/>
  <c r="L68"/>
  <c r="N68" s="1"/>
  <c r="L69"/>
  <c r="N69" s="1"/>
  <c r="L70"/>
  <c r="L78"/>
  <c r="N78" s="1"/>
  <c r="L79"/>
  <c r="N79" s="1"/>
  <c r="F82"/>
  <c r="L80"/>
  <c r="N80" s="1"/>
  <c r="A3" i="81"/>
  <c r="B11"/>
  <c r="D11"/>
  <c r="F11"/>
  <c r="H11"/>
  <c r="J11"/>
  <c r="L11"/>
  <c r="J60" i="59"/>
  <c r="L60" s="1"/>
  <c r="U52" i="52"/>
  <c r="AA15" s="1"/>
  <c r="U10"/>
  <c r="AB13" s="1"/>
  <c r="I68"/>
  <c r="I48"/>
  <c r="I32"/>
  <c r="AM95" i="53"/>
  <c r="AM78"/>
  <c r="AM77"/>
  <c r="AM76"/>
  <c r="AM75"/>
  <c r="AM70"/>
  <c r="AM69"/>
  <c r="AM68"/>
  <c r="AM67"/>
  <c r="AM66"/>
  <c r="AM65"/>
  <c r="AM61"/>
  <c r="AM60"/>
  <c r="AM50"/>
  <c r="AM49"/>
  <c r="AM41"/>
  <c r="AM33"/>
  <c r="AM32"/>
  <c r="AM31"/>
  <c r="AM30"/>
  <c r="AM29"/>
  <c r="AM19"/>
  <c r="AM20"/>
  <c r="AM21"/>
  <c r="AM22"/>
  <c r="AM23"/>
  <c r="AM24"/>
  <c r="AM25"/>
  <c r="AM15"/>
  <c r="AM14"/>
  <c r="J12" i="51"/>
  <c r="C10" i="55"/>
  <c r="S10" s="1"/>
  <c r="C11"/>
  <c r="S11" s="1"/>
  <c r="D74" i="69"/>
  <c r="J74" s="1"/>
  <c r="L74" s="1"/>
  <c r="H53"/>
  <c r="D53"/>
  <c r="B101"/>
  <c r="D101"/>
  <c r="J101" s="1"/>
  <c r="D133" i="63"/>
  <c r="F132"/>
  <c r="H132"/>
  <c r="D125"/>
  <c r="F124"/>
  <c r="H124"/>
  <c r="B124"/>
  <c r="D44"/>
  <c r="D61"/>
  <c r="D55"/>
  <c r="D56"/>
  <c r="D57"/>
  <c r="D58"/>
  <c r="D59"/>
  <c r="D60"/>
  <c r="D62"/>
  <c r="D63"/>
  <c r="D39"/>
  <c r="D40"/>
  <c r="D41"/>
  <c r="D42"/>
  <c r="D45"/>
  <c r="D46"/>
  <c r="D81"/>
  <c r="D82"/>
  <c r="D83"/>
  <c r="D84"/>
  <c r="D85"/>
  <c r="D86"/>
  <c r="D87"/>
  <c r="D88"/>
  <c r="D89"/>
  <c r="D90"/>
  <c r="D91"/>
  <c r="D92"/>
  <c r="D67"/>
  <c r="D69"/>
  <c r="D70"/>
  <c r="D71"/>
  <c r="D72"/>
  <c r="D73"/>
  <c r="D74"/>
  <c r="D75"/>
  <c r="D76"/>
  <c r="D77"/>
  <c r="D50"/>
  <c r="D51"/>
  <c r="D30"/>
  <c r="D31"/>
  <c r="D32"/>
  <c r="D33"/>
  <c r="D34"/>
  <c r="D35"/>
  <c r="D11"/>
  <c r="D12"/>
  <c r="D13"/>
  <c r="D14"/>
  <c r="D15"/>
  <c r="D16"/>
  <c r="D17"/>
  <c r="D18"/>
  <c r="D19"/>
  <c r="D20"/>
  <c r="D21"/>
  <c r="D22"/>
  <c r="D23"/>
  <c r="D24"/>
  <c r="R34" i="80"/>
  <c r="N17" i="72" s="1"/>
  <c r="R378" i="79"/>
  <c r="B17" i="72"/>
  <c r="D17"/>
  <c r="F17"/>
  <c r="H17"/>
  <c r="H53" i="68"/>
  <c r="D53"/>
  <c r="D14"/>
  <c r="D61" i="62"/>
  <c r="D44"/>
  <c r="D14" i="70"/>
  <c r="D61" i="64"/>
  <c r="D44"/>
  <c r="J17" i="73"/>
  <c r="L17" s="1"/>
  <c r="B53" i="68"/>
  <c r="L36" i="80"/>
  <c r="L39" s="1"/>
  <c r="L353" i="79"/>
  <c r="L384"/>
  <c r="B36" i="80"/>
  <c r="B39" s="1"/>
  <c r="B384" i="79"/>
  <c r="B71"/>
  <c r="B71" i="152" s="1"/>
  <c r="B88" i="79"/>
  <c r="B88" i="152" s="1"/>
  <c r="B100" i="79"/>
  <c r="B100" i="152" s="1"/>
  <c r="B116" i="79"/>
  <c r="B116" i="152" s="1"/>
  <c r="B132" i="79"/>
  <c r="B132" i="152" s="1"/>
  <c r="B146" i="79"/>
  <c r="B146" i="152" s="1"/>
  <c r="C67" i="52"/>
  <c r="C68"/>
  <c r="J129" i="65"/>
  <c r="L129" s="1"/>
  <c r="H133"/>
  <c r="F133"/>
  <c r="B133"/>
  <c r="J132"/>
  <c r="L132" s="1"/>
  <c r="H125"/>
  <c r="F125"/>
  <c r="D125"/>
  <c r="B125"/>
  <c r="J124"/>
  <c r="L124" s="1"/>
  <c r="B12" i="72"/>
  <c r="B96" i="69"/>
  <c r="B45" i="70"/>
  <c r="B353" i="79"/>
  <c r="D146"/>
  <c r="D146" i="152" s="1"/>
  <c r="J132" i="79"/>
  <c r="J132" i="152" s="1"/>
  <c r="H132" i="79"/>
  <c r="H132" i="152" s="1"/>
  <c r="F132" i="79"/>
  <c r="F132" i="152" s="1"/>
  <c r="D132" i="79"/>
  <c r="D132" i="152" s="1"/>
  <c r="J116"/>
  <c r="H116"/>
  <c r="F116"/>
  <c r="D116"/>
  <c r="D100" i="79"/>
  <c r="D100" i="152" s="1"/>
  <c r="D88" i="79"/>
  <c r="D88" i="152" s="1"/>
  <c r="D71"/>
  <c r="D12" i="56"/>
  <c r="F117" i="86" s="1"/>
  <c r="D13" i="56"/>
  <c r="D14"/>
  <c r="D15"/>
  <c r="D16"/>
  <c r="D18"/>
  <c r="D19"/>
  <c r="D20"/>
  <c r="D21"/>
  <c r="D23"/>
  <c r="D24"/>
  <c r="D27"/>
  <c r="D28"/>
  <c r="D29"/>
  <c r="D30"/>
  <c r="D32"/>
  <c r="D34"/>
  <c r="D35"/>
  <c r="D36"/>
  <c r="F123" i="86" s="1"/>
  <c r="F160" s="1"/>
  <c r="AF291"/>
  <c r="AF15" s="1"/>
  <c r="AK107" i="53"/>
  <c r="AK96"/>
  <c r="AK98" s="1"/>
  <c r="AK88"/>
  <c r="AK90" s="1"/>
  <c r="AK62"/>
  <c r="AK72"/>
  <c r="AK80"/>
  <c r="AK51"/>
  <c r="AK53" s="1"/>
  <c r="AK42"/>
  <c r="AK44" s="1"/>
  <c r="M107"/>
  <c r="M96"/>
  <c r="M98" s="1"/>
  <c r="M88"/>
  <c r="M90" s="1"/>
  <c r="M62"/>
  <c r="M72"/>
  <c r="M80"/>
  <c r="M51"/>
  <c r="M53" s="1"/>
  <c r="M42"/>
  <c r="M44" s="1"/>
  <c r="K107"/>
  <c r="K96"/>
  <c r="K98" s="1"/>
  <c r="K88"/>
  <c r="K90" s="1"/>
  <c r="K62"/>
  <c r="K72"/>
  <c r="K80"/>
  <c r="K51"/>
  <c r="K53" s="1"/>
  <c r="K42"/>
  <c r="K44" s="1"/>
  <c r="I107"/>
  <c r="I96"/>
  <c r="I98" s="1"/>
  <c r="I88"/>
  <c r="I90" s="1"/>
  <c r="I62"/>
  <c r="I72"/>
  <c r="I80"/>
  <c r="I51"/>
  <c r="I53" s="1"/>
  <c r="G107"/>
  <c r="G96"/>
  <c r="G98" s="1"/>
  <c r="G88"/>
  <c r="G90" s="1"/>
  <c r="G62"/>
  <c r="G72"/>
  <c r="G80"/>
  <c r="G51"/>
  <c r="G53" s="1"/>
  <c r="E107"/>
  <c r="E96"/>
  <c r="E98" s="1"/>
  <c r="E88"/>
  <c r="E90" s="1"/>
  <c r="E62"/>
  <c r="E72"/>
  <c r="E80"/>
  <c r="E82" s="1"/>
  <c r="E51"/>
  <c r="E53" s="1"/>
  <c r="H18" i="72"/>
  <c r="F18"/>
  <c r="D18"/>
  <c r="B18"/>
  <c r="F50" i="68"/>
  <c r="H12" i="72"/>
  <c r="F12"/>
  <c r="D12"/>
  <c r="H11"/>
  <c r="F11"/>
  <c r="D11"/>
  <c r="B11"/>
  <c r="J82" i="51"/>
  <c r="H82"/>
  <c r="B19" i="66"/>
  <c r="H19"/>
  <c r="F19"/>
  <c r="D19"/>
  <c r="B17"/>
  <c r="H17"/>
  <c r="F17"/>
  <c r="D17"/>
  <c r="B16"/>
  <c r="H16"/>
  <c r="F16"/>
  <c r="D16"/>
  <c r="B15"/>
  <c r="H15"/>
  <c r="F15"/>
  <c r="D15"/>
  <c r="B11"/>
  <c r="H11"/>
  <c r="H13" i="62" s="1"/>
  <c r="F11" i="66"/>
  <c r="F13" i="62" s="1"/>
  <c r="D11" i="66"/>
  <c r="N18" i="51"/>
  <c r="N37"/>
  <c r="N38" s="1"/>
  <c r="N40" s="1"/>
  <c r="N70"/>
  <c r="J38"/>
  <c r="J40"/>
  <c r="J74"/>
  <c r="H74"/>
  <c r="H38"/>
  <c r="H40"/>
  <c r="F38"/>
  <c r="F40" s="1"/>
  <c r="A3" i="80"/>
  <c r="R10"/>
  <c r="R11"/>
  <c r="B11"/>
  <c r="D11"/>
  <c r="F11"/>
  <c r="H11"/>
  <c r="J11"/>
  <c r="L11"/>
  <c r="N11"/>
  <c r="P11"/>
  <c r="R16"/>
  <c r="N16" i="66" s="1"/>
  <c r="B22" i="80"/>
  <c r="D22"/>
  <c r="D25" s="1"/>
  <c r="F22"/>
  <c r="F25" s="1"/>
  <c r="H22"/>
  <c r="H25" s="1"/>
  <c r="J22"/>
  <c r="J25" s="1"/>
  <c r="L22"/>
  <c r="L25" s="1"/>
  <c r="N22"/>
  <c r="N25" s="1"/>
  <c r="P22"/>
  <c r="B25"/>
  <c r="P25"/>
  <c r="J36"/>
  <c r="J39" s="1"/>
  <c r="N36"/>
  <c r="N39" s="1"/>
  <c r="P36"/>
  <c r="P39" s="1"/>
  <c r="D39"/>
  <c r="F39"/>
  <c r="H39"/>
  <c r="B46"/>
  <c r="D46"/>
  <c r="F46"/>
  <c r="H46"/>
  <c r="J46"/>
  <c r="L46"/>
  <c r="N46"/>
  <c r="P46"/>
  <c r="A3" i="79"/>
  <c r="R10"/>
  <c r="R11"/>
  <c r="R14"/>
  <c r="R25"/>
  <c r="N24" i="64" s="1"/>
  <c r="B28" i="79"/>
  <c r="D28"/>
  <c r="F28"/>
  <c r="H28"/>
  <c r="J28"/>
  <c r="N28"/>
  <c r="P28"/>
  <c r="B37"/>
  <c r="D37"/>
  <c r="F37"/>
  <c r="H37"/>
  <c r="J37"/>
  <c r="L37"/>
  <c r="N37"/>
  <c r="P37"/>
  <c r="R40"/>
  <c r="R41"/>
  <c r="R49"/>
  <c r="R50"/>
  <c r="B52"/>
  <c r="D52"/>
  <c r="F52"/>
  <c r="H52"/>
  <c r="J52"/>
  <c r="L52"/>
  <c r="N52"/>
  <c r="P52"/>
  <c r="H71"/>
  <c r="H71" i="152" s="1"/>
  <c r="J71" i="79"/>
  <c r="J71" i="152" s="1"/>
  <c r="P71" i="79"/>
  <c r="P71" i="152" s="1"/>
  <c r="F88" i="79"/>
  <c r="F88" i="152" s="1"/>
  <c r="H88" i="79"/>
  <c r="H88" i="152" s="1"/>
  <c r="J88" i="79"/>
  <c r="J88" i="152" s="1"/>
  <c r="P88" i="79"/>
  <c r="P88" i="152" s="1"/>
  <c r="H100" i="79"/>
  <c r="H100" i="152" s="1"/>
  <c r="J100" i="79"/>
  <c r="J100" i="152" s="1"/>
  <c r="P100" i="79"/>
  <c r="P100" i="152" s="1"/>
  <c r="P116" i="79"/>
  <c r="P116" i="152" s="1"/>
  <c r="P132" i="79"/>
  <c r="P132" i="152" s="1"/>
  <c r="F146"/>
  <c r="H146"/>
  <c r="J146"/>
  <c r="P146"/>
  <c r="R306" i="79"/>
  <c r="R311"/>
  <c r="R312"/>
  <c r="R313"/>
  <c r="R314"/>
  <c r="R321"/>
  <c r="N92" i="62" s="1"/>
  <c r="B322" i="79"/>
  <c r="D322"/>
  <c r="F322"/>
  <c r="H322"/>
  <c r="J322"/>
  <c r="L322"/>
  <c r="N322"/>
  <c r="P322"/>
  <c r="B331"/>
  <c r="B333" s="1"/>
  <c r="D331"/>
  <c r="D333" s="1"/>
  <c r="F331"/>
  <c r="F333" s="1"/>
  <c r="H331"/>
  <c r="H333" s="1"/>
  <c r="J331"/>
  <c r="J333" s="1"/>
  <c r="L331"/>
  <c r="L333" s="1"/>
  <c r="N331"/>
  <c r="N333" s="1"/>
  <c r="P331"/>
  <c r="P333" s="1"/>
  <c r="R339"/>
  <c r="D353"/>
  <c r="F353"/>
  <c r="H353"/>
  <c r="J353"/>
  <c r="N353"/>
  <c r="P353"/>
  <c r="B362"/>
  <c r="D362"/>
  <c r="F362"/>
  <c r="H362"/>
  <c r="J362"/>
  <c r="L362"/>
  <c r="N362"/>
  <c r="P362"/>
  <c r="R366"/>
  <c r="N41" i="68" s="1"/>
  <c r="R367" i="79"/>
  <c r="T169" i="86" s="1"/>
  <c r="R369" i="79"/>
  <c r="N44" i="68" s="1"/>
  <c r="R371" i="79"/>
  <c r="T171" i="86" s="1"/>
  <c r="T225" s="1"/>
  <c r="R372" i="79"/>
  <c r="N47" i="70" s="1"/>
  <c r="D384" i="79"/>
  <c r="F384"/>
  <c r="H384"/>
  <c r="J384"/>
  <c r="N384"/>
  <c r="P384"/>
  <c r="B398"/>
  <c r="B401" s="1"/>
  <c r="D398"/>
  <c r="D401" s="1"/>
  <c r="F398"/>
  <c r="F401" s="1"/>
  <c r="H398"/>
  <c r="H401" s="1"/>
  <c r="J398"/>
  <c r="J401" s="1"/>
  <c r="L398"/>
  <c r="L401" s="1"/>
  <c r="N398"/>
  <c r="N401" s="1"/>
  <c r="P398"/>
  <c r="P401" s="1"/>
  <c r="R405"/>
  <c r="N11" i="58" s="1"/>
  <c r="R436" i="79"/>
  <c r="B437"/>
  <c r="R438"/>
  <c r="B439"/>
  <c r="D440"/>
  <c r="F440"/>
  <c r="H440"/>
  <c r="J440"/>
  <c r="J443" s="1"/>
  <c r="L440"/>
  <c r="N440"/>
  <c r="N443" s="1"/>
  <c r="P440"/>
  <c r="P443" s="1"/>
  <c r="R447"/>
  <c r="N35" i="58" s="1"/>
  <c r="R448" i="79"/>
  <c r="T174" i="86" s="1"/>
  <c r="T228" s="1"/>
  <c r="R451" i="79"/>
  <c r="N39" i="58" s="1"/>
  <c r="B452" i="79"/>
  <c r="D452"/>
  <c r="D455" s="1"/>
  <c r="F452"/>
  <c r="F455" s="1"/>
  <c r="H452"/>
  <c r="H455" s="1"/>
  <c r="J452"/>
  <c r="J455" s="1"/>
  <c r="L452"/>
  <c r="N452"/>
  <c r="N455" s="1"/>
  <c r="P452"/>
  <c r="P455" s="1"/>
  <c r="B455"/>
  <c r="L455"/>
  <c r="A3" i="78"/>
  <c r="B14"/>
  <c r="D14"/>
  <c r="F14"/>
  <c r="H14"/>
  <c r="J14"/>
  <c r="L14"/>
  <c r="A3" i="77"/>
  <c r="J11"/>
  <c r="L11" s="1"/>
  <c r="J12"/>
  <c r="L12" s="1"/>
  <c r="B13"/>
  <c r="D13"/>
  <c r="F13"/>
  <c r="H13"/>
  <c r="J13"/>
  <c r="J16"/>
  <c r="L16" s="1"/>
  <c r="J17"/>
  <c r="L17" s="1"/>
  <c r="J18"/>
  <c r="L18" s="1"/>
  <c r="J19"/>
  <c r="L19" s="1"/>
  <c r="B20"/>
  <c r="D20"/>
  <c r="F20"/>
  <c r="H20"/>
  <c r="H23" s="1"/>
  <c r="B23"/>
  <c r="D23"/>
  <c r="F23"/>
  <c r="A3" i="76"/>
  <c r="J10"/>
  <c r="L10"/>
  <c r="L11" s="1"/>
  <c r="B11"/>
  <c r="D11"/>
  <c r="F11"/>
  <c r="H11"/>
  <c r="J11"/>
  <c r="A3" i="75"/>
  <c r="J10"/>
  <c r="L10" s="1"/>
  <c r="L11" s="1"/>
  <c r="B11"/>
  <c r="D11"/>
  <c r="F11"/>
  <c r="H11"/>
  <c r="J11"/>
  <c r="A3" i="74"/>
  <c r="B11"/>
  <c r="D11"/>
  <c r="F11"/>
  <c r="H11"/>
  <c r="J11"/>
  <c r="L11"/>
  <c r="A3" i="73"/>
  <c r="J11"/>
  <c r="L11" s="1"/>
  <c r="J12"/>
  <c r="L12" s="1"/>
  <c r="J13"/>
  <c r="L13" s="1"/>
  <c r="J14"/>
  <c r="L14" s="1"/>
  <c r="L16"/>
  <c r="J18"/>
  <c r="L18" s="1"/>
  <c r="B19"/>
  <c r="B22" s="1"/>
  <c r="D19"/>
  <c r="D22" s="1"/>
  <c r="F19"/>
  <c r="F22" s="1"/>
  <c r="H19"/>
  <c r="H22" s="1"/>
  <c r="A3" i="72"/>
  <c r="N16"/>
  <c r="A3" i="71"/>
  <c r="J11"/>
  <c r="L11" s="1"/>
  <c r="J12"/>
  <c r="L12" s="1"/>
  <c r="J13"/>
  <c r="L13" s="1"/>
  <c r="J14"/>
  <c r="L14" s="1"/>
  <c r="J15"/>
  <c r="L15" s="1"/>
  <c r="J16"/>
  <c r="L16" s="1"/>
  <c r="J17"/>
  <c r="L17" s="1"/>
  <c r="J18"/>
  <c r="L18" s="1"/>
  <c r="J19"/>
  <c r="L19" s="1"/>
  <c r="J20"/>
  <c r="L20" s="1"/>
  <c r="J21"/>
  <c r="L21" s="1"/>
  <c r="J22"/>
  <c r="L22" s="1"/>
  <c r="J23"/>
  <c r="L23" s="1"/>
  <c r="J24"/>
  <c r="L24" s="1"/>
  <c r="B25"/>
  <c r="D25"/>
  <c r="F25"/>
  <c r="H25"/>
  <c r="L28"/>
  <c r="L29"/>
  <c r="L30"/>
  <c r="L31"/>
  <c r="L32"/>
  <c r="L33"/>
  <c r="B34"/>
  <c r="D34"/>
  <c r="F34"/>
  <c r="H34"/>
  <c r="J37"/>
  <c r="L37" s="1"/>
  <c r="L38" s="1"/>
  <c r="B38"/>
  <c r="D38"/>
  <c r="F38"/>
  <c r="H38"/>
  <c r="J41"/>
  <c r="L41" s="1"/>
  <c r="J42"/>
  <c r="L42" s="1"/>
  <c r="J43"/>
  <c r="L43" s="1"/>
  <c r="J44"/>
  <c r="L44" s="1"/>
  <c r="J45"/>
  <c r="L45" s="1"/>
  <c r="J46"/>
  <c r="L46" s="1"/>
  <c r="J47"/>
  <c r="L47" s="1"/>
  <c r="J48"/>
  <c r="L48"/>
  <c r="J49"/>
  <c r="L49" s="1"/>
  <c r="J50"/>
  <c r="L50" s="1"/>
  <c r="J52"/>
  <c r="L52" s="1"/>
  <c r="J53"/>
  <c r="L53" s="1"/>
  <c r="J54"/>
  <c r="L54" s="1"/>
  <c r="J55"/>
  <c r="L55" s="1"/>
  <c r="J56"/>
  <c r="L56" s="1"/>
  <c r="J57"/>
  <c r="L57" s="1"/>
  <c r="J58"/>
  <c r="L58" s="1"/>
  <c r="B59"/>
  <c r="D59"/>
  <c r="F59"/>
  <c r="H59"/>
  <c r="J62"/>
  <c r="L62" s="1"/>
  <c r="J63"/>
  <c r="J86"/>
  <c r="L86" s="1"/>
  <c r="J88"/>
  <c r="L88" s="1"/>
  <c r="J89"/>
  <c r="L89" s="1"/>
  <c r="J90"/>
  <c r="L90" s="1"/>
  <c r="B92"/>
  <c r="F92"/>
  <c r="H92"/>
  <c r="J107"/>
  <c r="A3" i="70"/>
  <c r="B11"/>
  <c r="D11"/>
  <c r="F11"/>
  <c r="H11"/>
  <c r="B12"/>
  <c r="D12"/>
  <c r="F12"/>
  <c r="H12"/>
  <c r="B13"/>
  <c r="D13"/>
  <c r="F13"/>
  <c r="H13"/>
  <c r="B14"/>
  <c r="F14"/>
  <c r="H14"/>
  <c r="B15"/>
  <c r="D15"/>
  <c r="F15"/>
  <c r="H15"/>
  <c r="B16"/>
  <c r="D16"/>
  <c r="F16"/>
  <c r="H16"/>
  <c r="B17"/>
  <c r="D17"/>
  <c r="F17"/>
  <c r="H17"/>
  <c r="B18"/>
  <c r="D18"/>
  <c r="F18"/>
  <c r="H18"/>
  <c r="B19"/>
  <c r="D19"/>
  <c r="F19"/>
  <c r="H19"/>
  <c r="B20"/>
  <c r="D20"/>
  <c r="F20"/>
  <c r="H20"/>
  <c r="B21"/>
  <c r="D21"/>
  <c r="F21"/>
  <c r="H21"/>
  <c r="B22"/>
  <c r="F22"/>
  <c r="H22"/>
  <c r="B23"/>
  <c r="D23"/>
  <c r="F23"/>
  <c r="H23"/>
  <c r="B24"/>
  <c r="D24"/>
  <c r="F24"/>
  <c r="H24"/>
  <c r="B28"/>
  <c r="D28"/>
  <c r="F28"/>
  <c r="H28"/>
  <c r="B29"/>
  <c r="D29"/>
  <c r="F29"/>
  <c r="H29"/>
  <c r="B30"/>
  <c r="D30"/>
  <c r="F30"/>
  <c r="H30"/>
  <c r="B31"/>
  <c r="D31"/>
  <c r="F31"/>
  <c r="H31"/>
  <c r="B32"/>
  <c r="D32"/>
  <c r="F32"/>
  <c r="H32"/>
  <c r="B33"/>
  <c r="D33"/>
  <c r="F33"/>
  <c r="H33"/>
  <c r="B37"/>
  <c r="B38" s="1"/>
  <c r="D37"/>
  <c r="D38" s="1"/>
  <c r="F37"/>
  <c r="F38" s="1"/>
  <c r="H37"/>
  <c r="H38" s="1"/>
  <c r="B41"/>
  <c r="D41"/>
  <c r="F41"/>
  <c r="H41"/>
  <c r="B42"/>
  <c r="D42"/>
  <c r="F42"/>
  <c r="H42"/>
  <c r="B43"/>
  <c r="D43"/>
  <c r="F43"/>
  <c r="H43"/>
  <c r="B44"/>
  <c r="D44"/>
  <c r="F44"/>
  <c r="H44"/>
  <c r="D45"/>
  <c r="F45"/>
  <c r="H45"/>
  <c r="B46"/>
  <c r="D46"/>
  <c r="F46"/>
  <c r="H46"/>
  <c r="B47"/>
  <c r="D47"/>
  <c r="F47"/>
  <c r="H47"/>
  <c r="B48"/>
  <c r="D48"/>
  <c r="F48"/>
  <c r="H48"/>
  <c r="B49"/>
  <c r="D49"/>
  <c r="F49"/>
  <c r="H49"/>
  <c r="B50"/>
  <c r="D50"/>
  <c r="F50"/>
  <c r="H50"/>
  <c r="B52"/>
  <c r="D52"/>
  <c r="F52"/>
  <c r="H52"/>
  <c r="B53"/>
  <c r="D53"/>
  <c r="F53"/>
  <c r="H53"/>
  <c r="B54"/>
  <c r="D54"/>
  <c r="F54"/>
  <c r="H54"/>
  <c r="B55"/>
  <c r="D55"/>
  <c r="F55"/>
  <c r="H55"/>
  <c r="B57"/>
  <c r="D57"/>
  <c r="F57"/>
  <c r="H57"/>
  <c r="B58"/>
  <c r="D58"/>
  <c r="F58"/>
  <c r="H58"/>
  <c r="B62"/>
  <c r="D62"/>
  <c r="F62"/>
  <c r="H62"/>
  <c r="B63"/>
  <c r="D63"/>
  <c r="F63"/>
  <c r="H63"/>
  <c r="A3" i="69"/>
  <c r="B11"/>
  <c r="D11"/>
  <c r="F11"/>
  <c r="H11"/>
  <c r="B12"/>
  <c r="D12"/>
  <c r="F12"/>
  <c r="H12"/>
  <c r="B13"/>
  <c r="D13"/>
  <c r="F13"/>
  <c r="H13"/>
  <c r="B14"/>
  <c r="D14"/>
  <c r="F14"/>
  <c r="H14"/>
  <c r="B15"/>
  <c r="D15"/>
  <c r="F15"/>
  <c r="H15"/>
  <c r="B16"/>
  <c r="D16"/>
  <c r="F16"/>
  <c r="H16"/>
  <c r="B17"/>
  <c r="D17"/>
  <c r="F17"/>
  <c r="H17"/>
  <c r="B18"/>
  <c r="D18"/>
  <c r="F18"/>
  <c r="H18"/>
  <c r="B19"/>
  <c r="D19"/>
  <c r="F19"/>
  <c r="H19"/>
  <c r="B20"/>
  <c r="D20"/>
  <c r="F20"/>
  <c r="H20"/>
  <c r="B21"/>
  <c r="D21"/>
  <c r="F21"/>
  <c r="H21"/>
  <c r="B22"/>
  <c r="D22"/>
  <c r="F22"/>
  <c r="H22"/>
  <c r="B23"/>
  <c r="D23"/>
  <c r="F23"/>
  <c r="H23"/>
  <c r="B24"/>
  <c r="D24"/>
  <c r="F24"/>
  <c r="H24"/>
  <c r="B25"/>
  <c r="B28"/>
  <c r="D28"/>
  <c r="F28"/>
  <c r="H28"/>
  <c r="B29"/>
  <c r="D29"/>
  <c r="F29"/>
  <c r="H29"/>
  <c r="B30"/>
  <c r="D30"/>
  <c r="F30"/>
  <c r="H30"/>
  <c r="B31"/>
  <c r="D31"/>
  <c r="F31"/>
  <c r="H31"/>
  <c r="B32"/>
  <c r="D32"/>
  <c r="F32"/>
  <c r="H32"/>
  <c r="B33"/>
  <c r="D33"/>
  <c r="F33"/>
  <c r="H33"/>
  <c r="B34"/>
  <c r="D34"/>
  <c r="B37"/>
  <c r="D37"/>
  <c r="D38" s="1"/>
  <c r="F37"/>
  <c r="F38" s="1"/>
  <c r="H37"/>
  <c r="H38" s="1"/>
  <c r="B38"/>
  <c r="B41"/>
  <c r="D41"/>
  <c r="F41"/>
  <c r="H41"/>
  <c r="B42"/>
  <c r="D42"/>
  <c r="F42"/>
  <c r="H42"/>
  <c r="B43"/>
  <c r="D43"/>
  <c r="F43"/>
  <c r="H43"/>
  <c r="B44"/>
  <c r="D44"/>
  <c r="F44"/>
  <c r="H44"/>
  <c r="B45"/>
  <c r="D45"/>
  <c r="F45"/>
  <c r="H45"/>
  <c r="B46"/>
  <c r="D46"/>
  <c r="F46"/>
  <c r="H46"/>
  <c r="B47"/>
  <c r="D47"/>
  <c r="F47"/>
  <c r="H47"/>
  <c r="B48"/>
  <c r="D48"/>
  <c r="F48"/>
  <c r="H48"/>
  <c r="B49"/>
  <c r="D49"/>
  <c r="F49"/>
  <c r="H49"/>
  <c r="B50"/>
  <c r="D50"/>
  <c r="F50"/>
  <c r="H50"/>
  <c r="B52"/>
  <c r="D52"/>
  <c r="F52"/>
  <c r="H52"/>
  <c r="F53"/>
  <c r="B54"/>
  <c r="D54"/>
  <c r="F54"/>
  <c r="H54"/>
  <c r="B55"/>
  <c r="D55"/>
  <c r="F55"/>
  <c r="H55"/>
  <c r="B56"/>
  <c r="D56"/>
  <c r="F56"/>
  <c r="H56"/>
  <c r="B57"/>
  <c r="D57"/>
  <c r="F57"/>
  <c r="H57"/>
  <c r="B58"/>
  <c r="D58"/>
  <c r="F58"/>
  <c r="H58"/>
  <c r="B62"/>
  <c r="D62"/>
  <c r="F62"/>
  <c r="H62"/>
  <c r="B63"/>
  <c r="D63"/>
  <c r="F63"/>
  <c r="H63"/>
  <c r="B73"/>
  <c r="D73"/>
  <c r="J73" s="1"/>
  <c r="B75"/>
  <c r="D75"/>
  <c r="J75" s="1"/>
  <c r="B76"/>
  <c r="D76"/>
  <c r="J76" s="1"/>
  <c r="B77"/>
  <c r="D77"/>
  <c r="J77" s="1"/>
  <c r="B78"/>
  <c r="D78"/>
  <c r="J78" s="1"/>
  <c r="B79"/>
  <c r="D79"/>
  <c r="J79" s="1"/>
  <c r="B80"/>
  <c r="D80"/>
  <c r="J80" s="1"/>
  <c r="B81"/>
  <c r="D81"/>
  <c r="J81" s="1"/>
  <c r="B86"/>
  <c r="D86"/>
  <c r="J86" s="1"/>
  <c r="B87"/>
  <c r="D87"/>
  <c r="J87" s="1"/>
  <c r="B88"/>
  <c r="D88"/>
  <c r="J88" s="1"/>
  <c r="B89"/>
  <c r="D89"/>
  <c r="J89" s="1"/>
  <c r="B90"/>
  <c r="D90"/>
  <c r="J90" s="1"/>
  <c r="B91"/>
  <c r="D91"/>
  <c r="J91" s="1"/>
  <c r="F92"/>
  <c r="H92"/>
  <c r="B95"/>
  <c r="D95"/>
  <c r="D96"/>
  <c r="J96" s="1"/>
  <c r="J98"/>
  <c r="J100"/>
  <c r="B102"/>
  <c r="D102"/>
  <c r="J102" s="1"/>
  <c r="B103"/>
  <c r="D103"/>
  <c r="J103" s="1"/>
  <c r="B108"/>
  <c r="B109" s="1"/>
  <c r="D108"/>
  <c r="J108" s="1"/>
  <c r="F109"/>
  <c r="H109"/>
  <c r="A3" i="68"/>
  <c r="B11"/>
  <c r="D11"/>
  <c r="F11"/>
  <c r="H11"/>
  <c r="B12"/>
  <c r="D119" i="86" s="1"/>
  <c r="D12" i="68"/>
  <c r="F119" i="86" s="1"/>
  <c r="F156" s="1"/>
  <c r="F12" i="68"/>
  <c r="H119" i="86" s="1"/>
  <c r="H156" s="1"/>
  <c r="H12" i="68"/>
  <c r="J119" i="86" s="1"/>
  <c r="J156" s="1"/>
  <c r="B13" i="68"/>
  <c r="D13"/>
  <c r="F13"/>
  <c r="H13"/>
  <c r="B14"/>
  <c r="F14"/>
  <c r="H14"/>
  <c r="B15"/>
  <c r="D15"/>
  <c r="F15"/>
  <c r="H15"/>
  <c r="B16"/>
  <c r="D16"/>
  <c r="F16"/>
  <c r="H16"/>
  <c r="B17"/>
  <c r="D17"/>
  <c r="F17"/>
  <c r="H17"/>
  <c r="B18"/>
  <c r="D18"/>
  <c r="F18"/>
  <c r="H18"/>
  <c r="B19"/>
  <c r="D19"/>
  <c r="F19"/>
  <c r="H19"/>
  <c r="B20"/>
  <c r="D20"/>
  <c r="F20"/>
  <c r="H20"/>
  <c r="B21"/>
  <c r="D21"/>
  <c r="F21"/>
  <c r="H21"/>
  <c r="B22"/>
  <c r="F22"/>
  <c r="H22"/>
  <c r="B23"/>
  <c r="D23"/>
  <c r="F23"/>
  <c r="H23"/>
  <c r="B24"/>
  <c r="D24"/>
  <c r="F24"/>
  <c r="H24"/>
  <c r="B28"/>
  <c r="D28"/>
  <c r="F28"/>
  <c r="H28"/>
  <c r="B29"/>
  <c r="D29"/>
  <c r="F29"/>
  <c r="H29"/>
  <c r="B30"/>
  <c r="D30"/>
  <c r="F30"/>
  <c r="H30"/>
  <c r="B31"/>
  <c r="D31"/>
  <c r="F31"/>
  <c r="H31"/>
  <c r="B32"/>
  <c r="D32"/>
  <c r="F32"/>
  <c r="H32"/>
  <c r="B33"/>
  <c r="D33"/>
  <c r="F33"/>
  <c r="H33"/>
  <c r="B37"/>
  <c r="D37"/>
  <c r="F37"/>
  <c r="H37"/>
  <c r="B42"/>
  <c r="D118" i="86" s="1"/>
  <c r="D42" i="68"/>
  <c r="F118" i="86" s="1"/>
  <c r="F155" s="1"/>
  <c r="F42" i="68"/>
  <c r="H118" i="86" s="1"/>
  <c r="H155" s="1"/>
  <c r="H42" i="68"/>
  <c r="J118" i="86" s="1"/>
  <c r="J155" s="1"/>
  <c r="B43" i="68"/>
  <c r="D43"/>
  <c r="F43"/>
  <c r="H43"/>
  <c r="B44"/>
  <c r="D44"/>
  <c r="F44"/>
  <c r="H44"/>
  <c r="D45"/>
  <c r="B46"/>
  <c r="D120" i="86" s="1"/>
  <c r="D46" i="68"/>
  <c r="F120" i="86" s="1"/>
  <c r="F157" s="1"/>
  <c r="F46" i="68"/>
  <c r="H120" i="86" s="1"/>
  <c r="H157" s="1"/>
  <c r="H46" i="68"/>
  <c r="J120" i="86" s="1"/>
  <c r="J157" s="1"/>
  <c r="B47" i="68"/>
  <c r="D47"/>
  <c r="F47"/>
  <c r="H47"/>
  <c r="B48"/>
  <c r="D48"/>
  <c r="F48"/>
  <c r="H48"/>
  <c r="F53"/>
  <c r="B54"/>
  <c r="D54"/>
  <c r="F54"/>
  <c r="H54"/>
  <c r="B55"/>
  <c r="D55"/>
  <c r="F55"/>
  <c r="H55"/>
  <c r="B57"/>
  <c r="D57"/>
  <c r="F57"/>
  <c r="H57"/>
  <c r="B58"/>
  <c r="D58"/>
  <c r="F58"/>
  <c r="H58"/>
  <c r="B62"/>
  <c r="D62"/>
  <c r="F62"/>
  <c r="H62"/>
  <c r="B63"/>
  <c r="D63"/>
  <c r="F63"/>
  <c r="H63"/>
  <c r="J11" i="67"/>
  <c r="L11" s="1"/>
  <c r="J12"/>
  <c r="L12" s="1"/>
  <c r="J13"/>
  <c r="L13" s="1"/>
  <c r="J14"/>
  <c r="L14" s="1"/>
  <c r="J15"/>
  <c r="L15" s="1"/>
  <c r="J16"/>
  <c r="L16" s="1"/>
  <c r="J17"/>
  <c r="L17" s="1"/>
  <c r="B18"/>
  <c r="B21" s="1"/>
  <c r="D18"/>
  <c r="D21" s="1"/>
  <c r="F18"/>
  <c r="F21" s="1"/>
  <c r="H18"/>
  <c r="H21" s="1"/>
  <c r="J26"/>
  <c r="L26" s="1"/>
  <c r="L27" s="1"/>
  <c r="B27"/>
  <c r="B37" s="1"/>
  <c r="D27"/>
  <c r="F27"/>
  <c r="H27"/>
  <c r="H37" s="1"/>
  <c r="J31"/>
  <c r="F37"/>
  <c r="A3" i="66"/>
  <c r="N11"/>
  <c r="N12" s="1"/>
  <c r="A3" i="65"/>
  <c r="J11"/>
  <c r="L11" s="1"/>
  <c r="J12"/>
  <c r="L12" s="1"/>
  <c r="J13"/>
  <c r="L13" s="1"/>
  <c r="J14"/>
  <c r="L14" s="1"/>
  <c r="J15"/>
  <c r="L15" s="1"/>
  <c r="J16"/>
  <c r="L16" s="1"/>
  <c r="J17"/>
  <c r="L17" s="1"/>
  <c r="J18"/>
  <c r="L18" s="1"/>
  <c r="J19"/>
  <c r="L19" s="1"/>
  <c r="J20"/>
  <c r="L20" s="1"/>
  <c r="J21"/>
  <c r="L21" s="1"/>
  <c r="J22"/>
  <c r="L22" s="1"/>
  <c r="J23"/>
  <c r="L23" s="1"/>
  <c r="J24"/>
  <c r="L24" s="1"/>
  <c r="J25"/>
  <c r="B27"/>
  <c r="D27"/>
  <c r="F27"/>
  <c r="H27"/>
  <c r="J30"/>
  <c r="L30" s="1"/>
  <c r="J31"/>
  <c r="L31" s="1"/>
  <c r="J32"/>
  <c r="L32" s="1"/>
  <c r="J33"/>
  <c r="L33" s="1"/>
  <c r="J34"/>
  <c r="L34" s="1"/>
  <c r="J35"/>
  <c r="L35" s="1"/>
  <c r="B36"/>
  <c r="D36"/>
  <c r="F36"/>
  <c r="H36"/>
  <c r="J39"/>
  <c r="L39" s="1"/>
  <c r="J40"/>
  <c r="L40" s="1"/>
  <c r="J41"/>
  <c r="L41" s="1"/>
  <c r="J42"/>
  <c r="L42" s="1"/>
  <c r="J43"/>
  <c r="L43" s="1"/>
  <c r="J44"/>
  <c r="L44" s="1"/>
  <c r="J45"/>
  <c r="L45" s="1"/>
  <c r="J46"/>
  <c r="L46" s="1"/>
  <c r="B47"/>
  <c r="D47"/>
  <c r="F47"/>
  <c r="H47"/>
  <c r="J50"/>
  <c r="L50" s="1"/>
  <c r="J51"/>
  <c r="L51" s="1"/>
  <c r="B52"/>
  <c r="D52"/>
  <c r="F52"/>
  <c r="H52"/>
  <c r="J55"/>
  <c r="L55" s="1"/>
  <c r="J56"/>
  <c r="L56" s="1"/>
  <c r="J57"/>
  <c r="L57" s="1"/>
  <c r="J58"/>
  <c r="L58" s="1"/>
  <c r="J59"/>
  <c r="L59" s="1"/>
  <c r="J60"/>
  <c r="L60" s="1"/>
  <c r="J61"/>
  <c r="L61" s="1"/>
  <c r="J62"/>
  <c r="L62" s="1"/>
  <c r="J63"/>
  <c r="L63" s="1"/>
  <c r="B64"/>
  <c r="D64"/>
  <c r="F64"/>
  <c r="H64"/>
  <c r="J67"/>
  <c r="L67" s="1"/>
  <c r="J69"/>
  <c r="L69" s="1"/>
  <c r="J70"/>
  <c r="L70" s="1"/>
  <c r="J71"/>
  <c r="L71" s="1"/>
  <c r="J72"/>
  <c r="L72" s="1"/>
  <c r="J73"/>
  <c r="L73" s="1"/>
  <c r="J74"/>
  <c r="L74" s="1"/>
  <c r="J75"/>
  <c r="L75" s="1"/>
  <c r="J76"/>
  <c r="L76" s="1"/>
  <c r="J77"/>
  <c r="L77" s="1"/>
  <c r="B78"/>
  <c r="D78"/>
  <c r="F78"/>
  <c r="H78"/>
  <c r="J81"/>
  <c r="L81" s="1"/>
  <c r="J82"/>
  <c r="L82" s="1"/>
  <c r="J83"/>
  <c r="L83" s="1"/>
  <c r="J84"/>
  <c r="L84" s="1"/>
  <c r="J85"/>
  <c r="L85" s="1"/>
  <c r="J86"/>
  <c r="L86" s="1"/>
  <c r="J87"/>
  <c r="L87" s="1"/>
  <c r="J88"/>
  <c r="L88" s="1"/>
  <c r="J89"/>
  <c r="L89" s="1"/>
  <c r="J90"/>
  <c r="L90" s="1"/>
  <c r="J91"/>
  <c r="L91" s="1"/>
  <c r="J92"/>
  <c r="L92" s="1"/>
  <c r="B93"/>
  <c r="D93"/>
  <c r="F93"/>
  <c r="H93"/>
  <c r="J100"/>
  <c r="L100" s="1"/>
  <c r="J101"/>
  <c r="L101" s="1"/>
  <c r="J102"/>
  <c r="J103"/>
  <c r="L103" s="1"/>
  <c r="J104"/>
  <c r="L104" s="1"/>
  <c r="J105"/>
  <c r="L105" s="1"/>
  <c r="J106"/>
  <c r="L106" s="1"/>
  <c r="J107"/>
  <c r="L107" s="1"/>
  <c r="J109"/>
  <c r="L109" s="1"/>
  <c r="J110"/>
  <c r="L110" s="1"/>
  <c r="B111"/>
  <c r="D111"/>
  <c r="F111"/>
  <c r="H111"/>
  <c r="J114"/>
  <c r="J115"/>
  <c r="J120"/>
  <c r="L120" s="1"/>
  <c r="J121"/>
  <c r="L121" s="1"/>
  <c r="J122"/>
  <c r="L122" s="1"/>
  <c r="J123"/>
  <c r="L123" s="1"/>
  <c r="J128"/>
  <c r="J130"/>
  <c r="L130" s="1"/>
  <c r="J131"/>
  <c r="L131" s="1"/>
  <c r="J135"/>
  <c r="L135" s="1"/>
  <c r="J137"/>
  <c r="L137" s="1"/>
  <c r="J138"/>
  <c r="L138" s="1"/>
  <c r="J139"/>
  <c r="L139" s="1"/>
  <c r="J140"/>
  <c r="L140" s="1"/>
  <c r="B141"/>
  <c r="D141"/>
  <c r="F141"/>
  <c r="H141"/>
  <c r="L144"/>
  <c r="L145"/>
  <c r="L146"/>
  <c r="L148"/>
  <c r="L149"/>
  <c r="B150"/>
  <c r="A3" i="64"/>
  <c r="B11"/>
  <c r="D11"/>
  <c r="F11"/>
  <c r="H11"/>
  <c r="B12"/>
  <c r="D12"/>
  <c r="F12"/>
  <c r="H12"/>
  <c r="B13"/>
  <c r="D13"/>
  <c r="F13"/>
  <c r="H13"/>
  <c r="B14"/>
  <c r="D14"/>
  <c r="F14"/>
  <c r="H14"/>
  <c r="B15"/>
  <c r="D15"/>
  <c r="F15"/>
  <c r="H15"/>
  <c r="B16"/>
  <c r="D16"/>
  <c r="F16"/>
  <c r="H16"/>
  <c r="B17"/>
  <c r="D17"/>
  <c r="F17"/>
  <c r="H17"/>
  <c r="B18"/>
  <c r="D18"/>
  <c r="F18"/>
  <c r="H18"/>
  <c r="B19"/>
  <c r="D19"/>
  <c r="F19"/>
  <c r="H19"/>
  <c r="B20"/>
  <c r="D20"/>
  <c r="F20"/>
  <c r="H20"/>
  <c r="B21"/>
  <c r="F21"/>
  <c r="H21"/>
  <c r="B22"/>
  <c r="D22"/>
  <c r="F22"/>
  <c r="H22"/>
  <c r="B23"/>
  <c r="D23"/>
  <c r="F23"/>
  <c r="H23"/>
  <c r="B24"/>
  <c r="D24"/>
  <c r="F24"/>
  <c r="H24"/>
  <c r="B30"/>
  <c r="D30"/>
  <c r="F30"/>
  <c r="B31"/>
  <c r="D31"/>
  <c r="F31"/>
  <c r="H36"/>
  <c r="B32"/>
  <c r="D32"/>
  <c r="F32"/>
  <c r="B33"/>
  <c r="D33"/>
  <c r="F33"/>
  <c r="B34"/>
  <c r="D34"/>
  <c r="F34"/>
  <c r="B39"/>
  <c r="D39"/>
  <c r="F39"/>
  <c r="H39"/>
  <c r="B40"/>
  <c r="D40"/>
  <c r="F40"/>
  <c r="H40"/>
  <c r="B41"/>
  <c r="D41"/>
  <c r="F41"/>
  <c r="H41"/>
  <c r="B42"/>
  <c r="D42"/>
  <c r="F42"/>
  <c r="H42"/>
  <c r="B43"/>
  <c r="D43"/>
  <c r="F43"/>
  <c r="H43"/>
  <c r="B44"/>
  <c r="F44"/>
  <c r="H44"/>
  <c r="B45"/>
  <c r="D45"/>
  <c r="F45"/>
  <c r="H45"/>
  <c r="B46"/>
  <c r="D46"/>
  <c r="F46"/>
  <c r="H46"/>
  <c r="L50"/>
  <c r="N50"/>
  <c r="J51"/>
  <c r="L51" s="1"/>
  <c r="B52"/>
  <c r="D52"/>
  <c r="F52"/>
  <c r="H52"/>
  <c r="B55"/>
  <c r="D55"/>
  <c r="F55"/>
  <c r="H55"/>
  <c r="B56"/>
  <c r="D56"/>
  <c r="F56"/>
  <c r="H56"/>
  <c r="B57"/>
  <c r="D57"/>
  <c r="F57"/>
  <c r="H57"/>
  <c r="B58"/>
  <c r="D58"/>
  <c r="F58"/>
  <c r="H58"/>
  <c r="B59"/>
  <c r="D59"/>
  <c r="F59"/>
  <c r="H59"/>
  <c r="B60"/>
  <c r="D60"/>
  <c r="F60"/>
  <c r="H60"/>
  <c r="B61"/>
  <c r="F61"/>
  <c r="H61"/>
  <c r="B62"/>
  <c r="D62"/>
  <c r="F62"/>
  <c r="H62"/>
  <c r="B63"/>
  <c r="D63"/>
  <c r="F63"/>
  <c r="H63"/>
  <c r="B67"/>
  <c r="D67"/>
  <c r="F67"/>
  <c r="H67"/>
  <c r="B69"/>
  <c r="D69"/>
  <c r="F69"/>
  <c r="H69"/>
  <c r="B71"/>
  <c r="D71"/>
  <c r="F71"/>
  <c r="H71"/>
  <c r="B72"/>
  <c r="D72"/>
  <c r="F72"/>
  <c r="H72"/>
  <c r="B73"/>
  <c r="D73"/>
  <c r="F73"/>
  <c r="H73"/>
  <c r="B74"/>
  <c r="D74"/>
  <c r="F74"/>
  <c r="H74"/>
  <c r="B75"/>
  <c r="D75"/>
  <c r="F75"/>
  <c r="H75"/>
  <c r="B76"/>
  <c r="D76"/>
  <c r="F76"/>
  <c r="H76"/>
  <c r="B77"/>
  <c r="D77"/>
  <c r="F77"/>
  <c r="H77"/>
  <c r="B81"/>
  <c r="D81"/>
  <c r="F81"/>
  <c r="H81"/>
  <c r="B82"/>
  <c r="D82"/>
  <c r="F82"/>
  <c r="H82"/>
  <c r="B83"/>
  <c r="D83"/>
  <c r="F83"/>
  <c r="H83"/>
  <c r="B84"/>
  <c r="D84"/>
  <c r="F84"/>
  <c r="H84"/>
  <c r="B85"/>
  <c r="D85"/>
  <c r="F85"/>
  <c r="H85"/>
  <c r="F86"/>
  <c r="H86"/>
  <c r="B87"/>
  <c r="D87"/>
  <c r="F87"/>
  <c r="H87"/>
  <c r="B88"/>
  <c r="D88"/>
  <c r="F88"/>
  <c r="H88"/>
  <c r="B89"/>
  <c r="D89"/>
  <c r="F89"/>
  <c r="H89"/>
  <c r="B90"/>
  <c r="D90"/>
  <c r="F90"/>
  <c r="H90"/>
  <c r="B91"/>
  <c r="D91"/>
  <c r="F91"/>
  <c r="H91"/>
  <c r="B92"/>
  <c r="D92"/>
  <c r="F92"/>
  <c r="H92"/>
  <c r="A3" i="63"/>
  <c r="B11"/>
  <c r="F11"/>
  <c r="H11"/>
  <c r="B12"/>
  <c r="F12"/>
  <c r="H12"/>
  <c r="B13"/>
  <c r="F13"/>
  <c r="H13"/>
  <c r="B14"/>
  <c r="F14"/>
  <c r="H14"/>
  <c r="B15"/>
  <c r="F15"/>
  <c r="H15"/>
  <c r="B16"/>
  <c r="F16"/>
  <c r="H16"/>
  <c r="B17"/>
  <c r="F17"/>
  <c r="H17"/>
  <c r="B18"/>
  <c r="F18"/>
  <c r="H18"/>
  <c r="B19"/>
  <c r="F19"/>
  <c r="H19"/>
  <c r="B20"/>
  <c r="F20"/>
  <c r="H20"/>
  <c r="B21"/>
  <c r="F21"/>
  <c r="H21"/>
  <c r="B22"/>
  <c r="F22"/>
  <c r="H22"/>
  <c r="B23"/>
  <c r="F23"/>
  <c r="H23"/>
  <c r="B24"/>
  <c r="F24"/>
  <c r="H24"/>
  <c r="B30"/>
  <c r="F30"/>
  <c r="H30"/>
  <c r="B31"/>
  <c r="F31"/>
  <c r="H31"/>
  <c r="B32"/>
  <c r="F32"/>
  <c r="H32"/>
  <c r="B33"/>
  <c r="F33"/>
  <c r="H33"/>
  <c r="B34"/>
  <c r="F34"/>
  <c r="H34"/>
  <c r="B35"/>
  <c r="F35"/>
  <c r="H35"/>
  <c r="B39"/>
  <c r="F39"/>
  <c r="H39"/>
  <c r="B40"/>
  <c r="F40"/>
  <c r="H40"/>
  <c r="B41"/>
  <c r="F41"/>
  <c r="H41"/>
  <c r="B42"/>
  <c r="F42"/>
  <c r="H42"/>
  <c r="B43"/>
  <c r="F43"/>
  <c r="H43"/>
  <c r="B44"/>
  <c r="F44"/>
  <c r="H44"/>
  <c r="B45"/>
  <c r="F45"/>
  <c r="H45"/>
  <c r="B46"/>
  <c r="F46"/>
  <c r="H46"/>
  <c r="B50"/>
  <c r="F50"/>
  <c r="H50"/>
  <c r="B51"/>
  <c r="F51"/>
  <c r="H51"/>
  <c r="B55"/>
  <c r="F55"/>
  <c r="H55"/>
  <c r="B56"/>
  <c r="F56"/>
  <c r="H56"/>
  <c r="B57"/>
  <c r="F57"/>
  <c r="H57"/>
  <c r="B58"/>
  <c r="F58"/>
  <c r="H58"/>
  <c r="B59"/>
  <c r="F59"/>
  <c r="H59"/>
  <c r="B60"/>
  <c r="F60"/>
  <c r="H60"/>
  <c r="B61"/>
  <c r="F61"/>
  <c r="H61"/>
  <c r="B62"/>
  <c r="F62"/>
  <c r="H62"/>
  <c r="B63"/>
  <c r="F63"/>
  <c r="H63"/>
  <c r="B67"/>
  <c r="F67"/>
  <c r="H67"/>
  <c r="B69"/>
  <c r="F69"/>
  <c r="H69"/>
  <c r="B70"/>
  <c r="F70"/>
  <c r="H70"/>
  <c r="B71"/>
  <c r="F71"/>
  <c r="H71"/>
  <c r="B72"/>
  <c r="F72"/>
  <c r="H72"/>
  <c r="B73"/>
  <c r="F73"/>
  <c r="H73"/>
  <c r="B74"/>
  <c r="F74"/>
  <c r="H74"/>
  <c r="B75"/>
  <c r="F75"/>
  <c r="H75"/>
  <c r="B76"/>
  <c r="F76"/>
  <c r="H76"/>
  <c r="B77"/>
  <c r="F77"/>
  <c r="H77"/>
  <c r="B81"/>
  <c r="F81"/>
  <c r="H81"/>
  <c r="B82"/>
  <c r="F82"/>
  <c r="H82"/>
  <c r="B83"/>
  <c r="F83"/>
  <c r="H83"/>
  <c r="B84"/>
  <c r="F84"/>
  <c r="H84"/>
  <c r="B85"/>
  <c r="F85"/>
  <c r="H85"/>
  <c r="B86"/>
  <c r="F86"/>
  <c r="H86"/>
  <c r="B87"/>
  <c r="F87"/>
  <c r="H87"/>
  <c r="B88"/>
  <c r="F88"/>
  <c r="H88"/>
  <c r="B89"/>
  <c r="F89"/>
  <c r="H89"/>
  <c r="B90"/>
  <c r="F90"/>
  <c r="H90"/>
  <c r="B91"/>
  <c r="F91"/>
  <c r="H91"/>
  <c r="B92"/>
  <c r="F92"/>
  <c r="H92"/>
  <c r="B101"/>
  <c r="D101"/>
  <c r="F101"/>
  <c r="H101"/>
  <c r="B102"/>
  <c r="D102"/>
  <c r="F102"/>
  <c r="H102"/>
  <c r="B103"/>
  <c r="D103"/>
  <c r="F103"/>
  <c r="H103"/>
  <c r="B104"/>
  <c r="D104"/>
  <c r="F104"/>
  <c r="H104"/>
  <c r="B105"/>
  <c r="D105"/>
  <c r="F105"/>
  <c r="H105"/>
  <c r="B106"/>
  <c r="D106"/>
  <c r="F106"/>
  <c r="H106"/>
  <c r="B107"/>
  <c r="D107"/>
  <c r="F107"/>
  <c r="H107"/>
  <c r="B108"/>
  <c r="D108"/>
  <c r="F108"/>
  <c r="H108"/>
  <c r="B110"/>
  <c r="D110"/>
  <c r="F110"/>
  <c r="H110"/>
  <c r="B111"/>
  <c r="D111"/>
  <c r="F111"/>
  <c r="H111"/>
  <c r="H112" s="1"/>
  <c r="B115"/>
  <c r="D115"/>
  <c r="F115"/>
  <c r="H115"/>
  <c r="B116"/>
  <c r="D116"/>
  <c r="F116"/>
  <c r="H116"/>
  <c r="B121"/>
  <c r="D121"/>
  <c r="F121"/>
  <c r="H121"/>
  <c r="B122"/>
  <c r="D122"/>
  <c r="F122"/>
  <c r="H122"/>
  <c r="B123"/>
  <c r="D123"/>
  <c r="F123"/>
  <c r="H123"/>
  <c r="F125"/>
  <c r="H125"/>
  <c r="D129"/>
  <c r="J129" s="1"/>
  <c r="L129" s="1"/>
  <c r="B130"/>
  <c r="D130"/>
  <c r="F130"/>
  <c r="H130"/>
  <c r="B131"/>
  <c r="D131"/>
  <c r="F131"/>
  <c r="H131"/>
  <c r="B133"/>
  <c r="F133"/>
  <c r="H133"/>
  <c r="B136"/>
  <c r="D136"/>
  <c r="F136"/>
  <c r="H136"/>
  <c r="B138"/>
  <c r="D138"/>
  <c r="F138"/>
  <c r="H138"/>
  <c r="B139"/>
  <c r="D139"/>
  <c r="F139"/>
  <c r="H139"/>
  <c r="B140"/>
  <c r="D140"/>
  <c r="F140"/>
  <c r="H140"/>
  <c r="B141"/>
  <c r="D141"/>
  <c r="F141"/>
  <c r="H141"/>
  <c r="B145"/>
  <c r="D145"/>
  <c r="F145"/>
  <c r="H145"/>
  <c r="B146"/>
  <c r="D146"/>
  <c r="F146"/>
  <c r="H146"/>
  <c r="F148"/>
  <c r="H148"/>
  <c r="A3" i="62"/>
  <c r="B11"/>
  <c r="D11"/>
  <c r="F11"/>
  <c r="H11"/>
  <c r="B12"/>
  <c r="D12"/>
  <c r="F12"/>
  <c r="H12"/>
  <c r="B14"/>
  <c r="D14"/>
  <c r="F14"/>
  <c r="H14"/>
  <c r="B15"/>
  <c r="D15"/>
  <c r="F15"/>
  <c r="H15"/>
  <c r="B16"/>
  <c r="D16"/>
  <c r="F16"/>
  <c r="H16"/>
  <c r="B17"/>
  <c r="D17"/>
  <c r="F17"/>
  <c r="H17"/>
  <c r="B18"/>
  <c r="D18"/>
  <c r="F18"/>
  <c r="H18"/>
  <c r="B19"/>
  <c r="D19"/>
  <c r="F19"/>
  <c r="H19"/>
  <c r="B20"/>
  <c r="D20"/>
  <c r="F20"/>
  <c r="H20"/>
  <c r="B21"/>
  <c r="F21"/>
  <c r="H21"/>
  <c r="B22"/>
  <c r="D22"/>
  <c r="F22"/>
  <c r="H22"/>
  <c r="B23"/>
  <c r="D23"/>
  <c r="F23"/>
  <c r="H23"/>
  <c r="B24"/>
  <c r="D24"/>
  <c r="F24"/>
  <c r="H24"/>
  <c r="B30"/>
  <c r="D30"/>
  <c r="F30"/>
  <c r="B31"/>
  <c r="D31"/>
  <c r="F31"/>
  <c r="H36"/>
  <c r="B32"/>
  <c r="D32"/>
  <c r="F32"/>
  <c r="B33"/>
  <c r="D33"/>
  <c r="F33"/>
  <c r="B34"/>
  <c r="D34"/>
  <c r="F34"/>
  <c r="B39"/>
  <c r="D39"/>
  <c r="F39"/>
  <c r="H39"/>
  <c r="B40"/>
  <c r="D40"/>
  <c r="F40"/>
  <c r="H40"/>
  <c r="B41"/>
  <c r="D41"/>
  <c r="F41"/>
  <c r="H41"/>
  <c r="B42"/>
  <c r="D42"/>
  <c r="F42"/>
  <c r="H42"/>
  <c r="B43"/>
  <c r="D43"/>
  <c r="F43"/>
  <c r="H43"/>
  <c r="B44"/>
  <c r="F44"/>
  <c r="H44"/>
  <c r="B45"/>
  <c r="D45"/>
  <c r="F45"/>
  <c r="H45"/>
  <c r="B46"/>
  <c r="D46"/>
  <c r="F46"/>
  <c r="H46"/>
  <c r="J50"/>
  <c r="L50" s="1"/>
  <c r="N50"/>
  <c r="J51"/>
  <c r="L124" i="86" s="1"/>
  <c r="B52" i="62"/>
  <c r="D52"/>
  <c r="F52"/>
  <c r="H52"/>
  <c r="B55"/>
  <c r="D55"/>
  <c r="F55"/>
  <c r="H55"/>
  <c r="B56"/>
  <c r="D56"/>
  <c r="F56"/>
  <c r="H56"/>
  <c r="B57"/>
  <c r="D57"/>
  <c r="F57"/>
  <c r="H57"/>
  <c r="B58"/>
  <c r="D58"/>
  <c r="F58"/>
  <c r="H58"/>
  <c r="B59"/>
  <c r="D59"/>
  <c r="F59"/>
  <c r="H59"/>
  <c r="B60"/>
  <c r="D60"/>
  <c r="F60"/>
  <c r="H60"/>
  <c r="B61"/>
  <c r="F61"/>
  <c r="H61"/>
  <c r="B62"/>
  <c r="D62"/>
  <c r="F62"/>
  <c r="H62"/>
  <c r="B63"/>
  <c r="D63"/>
  <c r="F63"/>
  <c r="H63"/>
  <c r="B67"/>
  <c r="D67"/>
  <c r="F67"/>
  <c r="H67"/>
  <c r="B69"/>
  <c r="D69"/>
  <c r="F69"/>
  <c r="H69"/>
  <c r="B71"/>
  <c r="D71"/>
  <c r="F71"/>
  <c r="H71"/>
  <c r="B72"/>
  <c r="D72"/>
  <c r="F72"/>
  <c r="H72"/>
  <c r="B73"/>
  <c r="D73"/>
  <c r="F73"/>
  <c r="H73"/>
  <c r="B74"/>
  <c r="D74"/>
  <c r="F74"/>
  <c r="H74"/>
  <c r="B75"/>
  <c r="D75"/>
  <c r="F75"/>
  <c r="H75"/>
  <c r="B76"/>
  <c r="D76"/>
  <c r="F76"/>
  <c r="H76"/>
  <c r="B77"/>
  <c r="D77"/>
  <c r="F77"/>
  <c r="H77"/>
  <c r="D82"/>
  <c r="F82"/>
  <c r="H82"/>
  <c r="B85"/>
  <c r="D85"/>
  <c r="F85"/>
  <c r="H85"/>
  <c r="B87"/>
  <c r="F87"/>
  <c r="B88"/>
  <c r="B89"/>
  <c r="D89"/>
  <c r="F89"/>
  <c r="H89"/>
  <c r="B90"/>
  <c r="D90"/>
  <c r="F90"/>
  <c r="H90"/>
  <c r="B91"/>
  <c r="D91"/>
  <c r="F91"/>
  <c r="H91"/>
  <c r="B92"/>
  <c r="D92"/>
  <c r="F92"/>
  <c r="H92"/>
  <c r="A3" i="61"/>
  <c r="J11"/>
  <c r="L11"/>
  <c r="L12" s="1"/>
  <c r="L15" s="1"/>
  <c r="B12"/>
  <c r="B15" s="1"/>
  <c r="D12"/>
  <c r="F12"/>
  <c r="F15" s="1"/>
  <c r="H12"/>
  <c r="J12"/>
  <c r="J15" s="1"/>
  <c r="D15"/>
  <c r="H15"/>
  <c r="A3" i="60"/>
  <c r="B11"/>
  <c r="B14" s="1"/>
  <c r="D11"/>
  <c r="D14" s="1"/>
  <c r="F11"/>
  <c r="F14" s="1"/>
  <c r="H11"/>
  <c r="H14" s="1"/>
  <c r="A3" i="59"/>
  <c r="J11"/>
  <c r="L11" s="1"/>
  <c r="J12"/>
  <c r="L12" s="1"/>
  <c r="J13"/>
  <c r="L13" s="1"/>
  <c r="J14"/>
  <c r="L14" s="1"/>
  <c r="J15"/>
  <c r="L15" s="1"/>
  <c r="J16"/>
  <c r="L16" s="1"/>
  <c r="J17"/>
  <c r="L17" s="1"/>
  <c r="J18"/>
  <c r="L18" s="1"/>
  <c r="J19"/>
  <c r="L19" s="1"/>
  <c r="J20"/>
  <c r="L20" s="1"/>
  <c r="J21"/>
  <c r="L21" s="1"/>
  <c r="J23"/>
  <c r="L23" s="1"/>
  <c r="J24"/>
  <c r="L24" s="1"/>
  <c r="J25"/>
  <c r="L25" s="1"/>
  <c r="J26"/>
  <c r="L26" s="1"/>
  <c r="J27"/>
  <c r="L27" s="1"/>
  <c r="J28"/>
  <c r="L28" s="1"/>
  <c r="J29"/>
  <c r="L29" s="1"/>
  <c r="J30"/>
  <c r="L30" s="1"/>
  <c r="J31"/>
  <c r="L31" s="1"/>
  <c r="J32"/>
  <c r="L32" s="1"/>
  <c r="J33"/>
  <c r="L33" s="1"/>
  <c r="J34"/>
  <c r="L34" s="1"/>
  <c r="J35"/>
  <c r="L35" s="1"/>
  <c r="J36"/>
  <c r="L36" s="1"/>
  <c r="J37"/>
  <c r="L37" s="1"/>
  <c r="J38"/>
  <c r="L38" s="1"/>
  <c r="J39"/>
  <c r="L39" s="1"/>
  <c r="B40"/>
  <c r="D40"/>
  <c r="D43" s="1"/>
  <c r="F40"/>
  <c r="F43" s="1"/>
  <c r="H40"/>
  <c r="H43" s="1"/>
  <c r="B43"/>
  <c r="J48"/>
  <c r="L48" s="1"/>
  <c r="J50"/>
  <c r="L50" s="1"/>
  <c r="J51"/>
  <c r="L51" s="1"/>
  <c r="J52"/>
  <c r="L52" s="1"/>
  <c r="J53"/>
  <c r="L53" s="1"/>
  <c r="J54"/>
  <c r="L54" s="1"/>
  <c r="J57"/>
  <c r="L57" s="1"/>
  <c r="J58"/>
  <c r="L58" s="1"/>
  <c r="J59"/>
  <c r="L59" s="1"/>
  <c r="J62"/>
  <c r="L62" s="1"/>
  <c r="B63"/>
  <c r="B66" s="1"/>
  <c r="D63"/>
  <c r="D66" s="1"/>
  <c r="F63"/>
  <c r="F66" s="1"/>
  <c r="H63"/>
  <c r="H66" s="1"/>
  <c r="A3" i="58"/>
  <c r="B11"/>
  <c r="D11"/>
  <c r="F11"/>
  <c r="H11"/>
  <c r="B12"/>
  <c r="D12"/>
  <c r="F12"/>
  <c r="H12"/>
  <c r="B13"/>
  <c r="D13"/>
  <c r="F13"/>
  <c r="H13"/>
  <c r="B14"/>
  <c r="D14"/>
  <c r="F14"/>
  <c r="H14"/>
  <c r="B15"/>
  <c r="D15"/>
  <c r="F15"/>
  <c r="H15"/>
  <c r="B16"/>
  <c r="D16"/>
  <c r="F16"/>
  <c r="H16"/>
  <c r="B17"/>
  <c r="F17"/>
  <c r="H17"/>
  <c r="B18"/>
  <c r="D18"/>
  <c r="F18"/>
  <c r="H18"/>
  <c r="B19"/>
  <c r="D19"/>
  <c r="F19"/>
  <c r="H19"/>
  <c r="B20"/>
  <c r="D20"/>
  <c r="F20"/>
  <c r="H20"/>
  <c r="B21"/>
  <c r="D21"/>
  <c r="F21"/>
  <c r="H21"/>
  <c r="B23"/>
  <c r="D23"/>
  <c r="F23"/>
  <c r="H23"/>
  <c r="B24"/>
  <c r="D24"/>
  <c r="F24"/>
  <c r="H24"/>
  <c r="B25"/>
  <c r="F25"/>
  <c r="H25"/>
  <c r="F26"/>
  <c r="H26"/>
  <c r="B27"/>
  <c r="D27"/>
  <c r="F27"/>
  <c r="H27"/>
  <c r="B28"/>
  <c r="D28"/>
  <c r="F28"/>
  <c r="H28"/>
  <c r="B29"/>
  <c r="D29"/>
  <c r="F29"/>
  <c r="H29"/>
  <c r="B30"/>
  <c r="D30"/>
  <c r="F30"/>
  <c r="H30"/>
  <c r="B31"/>
  <c r="D31"/>
  <c r="F31"/>
  <c r="H31"/>
  <c r="B32"/>
  <c r="D32"/>
  <c r="F32"/>
  <c r="H32"/>
  <c r="B33"/>
  <c r="F33"/>
  <c r="H33"/>
  <c r="B34"/>
  <c r="D34"/>
  <c r="F34"/>
  <c r="H34"/>
  <c r="B35"/>
  <c r="D35"/>
  <c r="F35"/>
  <c r="H35"/>
  <c r="B36"/>
  <c r="D36"/>
  <c r="F36"/>
  <c r="H36"/>
  <c r="F37"/>
  <c r="H37"/>
  <c r="F38"/>
  <c r="H38"/>
  <c r="B39"/>
  <c r="D39"/>
  <c r="F39"/>
  <c r="H39"/>
  <c r="A3" i="57"/>
  <c r="B11"/>
  <c r="D11"/>
  <c r="F11"/>
  <c r="H11"/>
  <c r="B12"/>
  <c r="D12"/>
  <c r="F12"/>
  <c r="H12"/>
  <c r="B13"/>
  <c r="D13"/>
  <c r="F13"/>
  <c r="H13"/>
  <c r="B14"/>
  <c r="D14"/>
  <c r="F14"/>
  <c r="H14"/>
  <c r="B15"/>
  <c r="D15"/>
  <c r="F15"/>
  <c r="H15"/>
  <c r="B16"/>
  <c r="D16"/>
  <c r="F16"/>
  <c r="H16"/>
  <c r="B17"/>
  <c r="D17"/>
  <c r="F17"/>
  <c r="H17"/>
  <c r="B18"/>
  <c r="D18"/>
  <c r="F18"/>
  <c r="H18"/>
  <c r="B19"/>
  <c r="D19"/>
  <c r="F19"/>
  <c r="H19"/>
  <c r="B20"/>
  <c r="D20"/>
  <c r="F20"/>
  <c r="H20"/>
  <c r="B21"/>
  <c r="D21"/>
  <c r="F21"/>
  <c r="H21"/>
  <c r="B23"/>
  <c r="D23"/>
  <c r="F23"/>
  <c r="H23"/>
  <c r="B24"/>
  <c r="D24"/>
  <c r="F24"/>
  <c r="H24"/>
  <c r="B25"/>
  <c r="D25"/>
  <c r="F25"/>
  <c r="H25"/>
  <c r="B26"/>
  <c r="D26"/>
  <c r="F26"/>
  <c r="H26"/>
  <c r="B27"/>
  <c r="D27"/>
  <c r="F27"/>
  <c r="H27"/>
  <c r="B28"/>
  <c r="D28"/>
  <c r="F28"/>
  <c r="H28"/>
  <c r="B29"/>
  <c r="D29"/>
  <c r="F29"/>
  <c r="H29"/>
  <c r="B30"/>
  <c r="D30"/>
  <c r="F30"/>
  <c r="H30"/>
  <c r="B31"/>
  <c r="D31"/>
  <c r="F31"/>
  <c r="H31"/>
  <c r="B32"/>
  <c r="D32"/>
  <c r="F32"/>
  <c r="H32"/>
  <c r="B33"/>
  <c r="F33"/>
  <c r="H33"/>
  <c r="B34"/>
  <c r="D34"/>
  <c r="F34"/>
  <c r="H34"/>
  <c r="B35"/>
  <c r="D35"/>
  <c r="F35"/>
  <c r="H35"/>
  <c r="B36"/>
  <c r="D36"/>
  <c r="F36"/>
  <c r="H36"/>
  <c r="B37"/>
  <c r="D37"/>
  <c r="F37"/>
  <c r="H37"/>
  <c r="B38"/>
  <c r="D38"/>
  <c r="F38"/>
  <c r="H38"/>
  <c r="B39"/>
  <c r="D39"/>
  <c r="F39"/>
  <c r="H39"/>
  <c r="J46"/>
  <c r="L46" s="1"/>
  <c r="J47"/>
  <c r="L47" s="1"/>
  <c r="B48"/>
  <c r="D48"/>
  <c r="J49"/>
  <c r="L49" s="1"/>
  <c r="J50"/>
  <c r="L50" s="1"/>
  <c r="J51"/>
  <c r="L51" s="1"/>
  <c r="J52"/>
  <c r="L52" s="1"/>
  <c r="B53"/>
  <c r="D53"/>
  <c r="J53" s="1"/>
  <c r="B54"/>
  <c r="J54"/>
  <c r="B55"/>
  <c r="D55"/>
  <c r="F55"/>
  <c r="H55"/>
  <c r="B56"/>
  <c r="F56"/>
  <c r="H56"/>
  <c r="B57"/>
  <c r="J57"/>
  <c r="J58"/>
  <c r="L58" s="1"/>
  <c r="J59"/>
  <c r="L59" s="1"/>
  <c r="J60"/>
  <c r="L60" s="1"/>
  <c r="B61"/>
  <c r="D61"/>
  <c r="F61"/>
  <c r="H61"/>
  <c r="J62"/>
  <c r="L62" s="1"/>
  <c r="J63"/>
  <c r="L63" s="1"/>
  <c r="J64"/>
  <c r="L64" s="1"/>
  <c r="B66"/>
  <c r="J66"/>
  <c r="J68"/>
  <c r="L68" s="1"/>
  <c r="J69"/>
  <c r="L69" s="1"/>
  <c r="J70"/>
  <c r="L70" s="1"/>
  <c r="F71"/>
  <c r="H71"/>
  <c r="J72"/>
  <c r="L72" s="1"/>
  <c r="J73"/>
  <c r="L73" s="1"/>
  <c r="A3" i="56"/>
  <c r="B11"/>
  <c r="D11"/>
  <c r="F11"/>
  <c r="H11"/>
  <c r="B12"/>
  <c r="D117" i="86" s="1"/>
  <c r="F12" i="56"/>
  <c r="H117" i="86" s="1"/>
  <c r="H12" i="56"/>
  <c r="J117" i="86" s="1"/>
  <c r="B13" i="56"/>
  <c r="F13"/>
  <c r="H13"/>
  <c r="B14"/>
  <c r="F14"/>
  <c r="H14"/>
  <c r="B15"/>
  <c r="F15"/>
  <c r="H15"/>
  <c r="B16"/>
  <c r="F16"/>
  <c r="H16"/>
  <c r="B18"/>
  <c r="F18"/>
  <c r="H18"/>
  <c r="B19"/>
  <c r="F19"/>
  <c r="H19"/>
  <c r="B20"/>
  <c r="F20"/>
  <c r="H20"/>
  <c r="B21"/>
  <c r="F21"/>
  <c r="H21"/>
  <c r="B23"/>
  <c r="F23"/>
  <c r="H23"/>
  <c r="B24"/>
  <c r="F24"/>
  <c r="H24"/>
  <c r="B25"/>
  <c r="F25"/>
  <c r="H25"/>
  <c r="F26"/>
  <c r="H26"/>
  <c r="B27"/>
  <c r="F27"/>
  <c r="H27"/>
  <c r="B28"/>
  <c r="F28"/>
  <c r="H28"/>
  <c r="B29"/>
  <c r="F29"/>
  <c r="H29"/>
  <c r="B30"/>
  <c r="F30"/>
  <c r="H30"/>
  <c r="B32"/>
  <c r="F32"/>
  <c r="H32"/>
  <c r="B33"/>
  <c r="F33"/>
  <c r="H33"/>
  <c r="B34"/>
  <c r="F34"/>
  <c r="H34"/>
  <c r="B35"/>
  <c r="F35"/>
  <c r="H35"/>
  <c r="B36"/>
  <c r="D123" i="86" s="1"/>
  <c r="F36" i="56"/>
  <c r="H123" i="86" s="1"/>
  <c r="H160" s="1"/>
  <c r="H36" i="56"/>
  <c r="J123" i="86" s="1"/>
  <c r="J160" s="1"/>
  <c r="F37" i="56"/>
  <c r="H37"/>
  <c r="F38"/>
  <c r="H38"/>
  <c r="B39"/>
  <c r="D39"/>
  <c r="F39"/>
  <c r="H39"/>
  <c r="A3" i="55"/>
  <c r="E12"/>
  <c r="G12"/>
  <c r="I12"/>
  <c r="K12"/>
  <c r="M12"/>
  <c r="O12"/>
  <c r="Q12"/>
  <c r="C14"/>
  <c r="S14" s="1"/>
  <c r="C15"/>
  <c r="S15" s="1"/>
  <c r="C16"/>
  <c r="S16" s="1"/>
  <c r="C17"/>
  <c r="S17" s="1"/>
  <c r="C18"/>
  <c r="S18" s="1"/>
  <c r="C19"/>
  <c r="S19" s="1"/>
  <c r="C20"/>
  <c r="S20" s="1"/>
  <c r="C21"/>
  <c r="S21" s="1"/>
  <c r="C22"/>
  <c r="S22" s="1"/>
  <c r="C23"/>
  <c r="S23" s="1"/>
  <c r="C24"/>
  <c r="S24" s="1"/>
  <c r="E25"/>
  <c r="G25"/>
  <c r="I25"/>
  <c r="K25"/>
  <c r="M25"/>
  <c r="O25"/>
  <c r="Q25"/>
  <c r="C27"/>
  <c r="C28"/>
  <c r="S28" s="1"/>
  <c r="C29"/>
  <c r="S29" s="1"/>
  <c r="C30"/>
  <c r="S30" s="1"/>
  <c r="C31"/>
  <c r="S31" s="1"/>
  <c r="C32"/>
  <c r="S32" s="1"/>
  <c r="C33"/>
  <c r="S33" s="1"/>
  <c r="C40"/>
  <c r="S40" s="1"/>
  <c r="C41"/>
  <c r="S41" s="1"/>
  <c r="C42"/>
  <c r="S42" s="1"/>
  <c r="E43"/>
  <c r="G43"/>
  <c r="I43"/>
  <c r="K43"/>
  <c r="M43"/>
  <c r="O43"/>
  <c r="Q43"/>
  <c r="O53"/>
  <c r="O67"/>
  <c r="A3" i="53"/>
  <c r="C16"/>
  <c r="C26"/>
  <c r="C34"/>
  <c r="C42"/>
  <c r="C44" s="1"/>
  <c r="C51"/>
  <c r="C53" s="1"/>
  <c r="C62"/>
  <c r="AM71"/>
  <c r="C72"/>
  <c r="AM79"/>
  <c r="C80"/>
  <c r="AM87"/>
  <c r="AM88" s="1"/>
  <c r="AM90" s="1"/>
  <c r="C88"/>
  <c r="C90" s="1"/>
  <c r="C96"/>
  <c r="C98"/>
  <c r="C107"/>
  <c r="AM107"/>
  <c r="C136"/>
  <c r="C152"/>
  <c r="C168"/>
  <c r="C171"/>
  <c r="AM171" s="1"/>
  <c r="C172"/>
  <c r="AM172" s="1"/>
  <c r="C173"/>
  <c r="AM173" s="1"/>
  <c r="C180"/>
  <c r="AA291" i="86" s="1"/>
  <c r="C188" i="53"/>
  <c r="G188"/>
  <c r="I188"/>
  <c r="K188"/>
  <c r="M188"/>
  <c r="AK188"/>
  <c r="A3" i="52"/>
  <c r="C32"/>
  <c r="G32"/>
  <c r="M32"/>
  <c r="O32"/>
  <c r="Q32"/>
  <c r="S32"/>
  <c r="C48"/>
  <c r="E48"/>
  <c r="G48"/>
  <c r="M48"/>
  <c r="O48"/>
  <c r="Q48"/>
  <c r="S48"/>
  <c r="C64"/>
  <c r="E64"/>
  <c r="G64"/>
  <c r="I64"/>
  <c r="M64"/>
  <c r="O64"/>
  <c r="Q64"/>
  <c r="S64"/>
  <c r="E67"/>
  <c r="G67"/>
  <c r="I67"/>
  <c r="M67"/>
  <c r="O67"/>
  <c r="Q67"/>
  <c r="S67"/>
  <c r="E68"/>
  <c r="G68"/>
  <c r="M68"/>
  <c r="S68"/>
  <c r="C76"/>
  <c r="E76"/>
  <c r="M76"/>
  <c r="O76"/>
  <c r="Q76"/>
  <c r="S76"/>
  <c r="C84"/>
  <c r="E84"/>
  <c r="G84"/>
  <c r="I84"/>
  <c r="M84"/>
  <c r="O84"/>
  <c r="Q84"/>
  <c r="S84"/>
  <c r="N97" i="51"/>
  <c r="N98" s="1"/>
  <c r="L53"/>
  <c r="H57"/>
  <c r="J57"/>
  <c r="F57"/>
  <c r="H64"/>
  <c r="J64"/>
  <c r="N89"/>
  <c r="F90"/>
  <c r="H90"/>
  <c r="J90"/>
  <c r="N90"/>
  <c r="F92"/>
  <c r="H92"/>
  <c r="J92"/>
  <c r="N92"/>
  <c r="T113" i="86" s="1"/>
  <c r="F98" i="51"/>
  <c r="F100" s="1"/>
  <c r="H98"/>
  <c r="J98"/>
  <c r="J100"/>
  <c r="H100"/>
  <c r="F109"/>
  <c r="H109"/>
  <c r="J109"/>
  <c r="J11" i="60"/>
  <c r="J14" s="1"/>
  <c r="D92" i="71"/>
  <c r="J87"/>
  <c r="L87" s="1"/>
  <c r="D133" i="65"/>
  <c r="B53" i="69"/>
  <c r="F30" i="51"/>
  <c r="H12"/>
  <c r="Y18" i="52" l="1"/>
  <c r="AD13"/>
  <c r="AD18" s="1"/>
  <c r="AD22" s="1"/>
  <c r="U69"/>
  <c r="AA13"/>
  <c r="AA18" s="1"/>
  <c r="Z13"/>
  <c r="Z18" s="1"/>
  <c r="Y15"/>
  <c r="AD15" s="1"/>
  <c r="U67"/>
  <c r="X81" s="1"/>
  <c r="AB15"/>
  <c r="W31"/>
  <c r="X31"/>
  <c r="AB17"/>
  <c r="AD17" s="1"/>
  <c r="AB18"/>
  <c r="Y14"/>
  <c r="AD14" s="1"/>
  <c r="J84" i="51"/>
  <c r="H84"/>
  <c r="N53"/>
  <c r="L55"/>
  <c r="L57" s="1"/>
  <c r="AM174" i="53"/>
  <c r="L13" i="77"/>
  <c r="B439" i="152"/>
  <c r="R439" s="1"/>
  <c r="N13" i="58"/>
  <c r="N13" i="56"/>
  <c r="D252" i="152"/>
  <c r="D302" s="1"/>
  <c r="L31" i="67"/>
  <c r="L34" s="1"/>
  <c r="L37" s="1"/>
  <c r="J34"/>
  <c r="N50" i="80"/>
  <c r="J50"/>
  <c r="H32" i="73"/>
  <c r="B22" i="66"/>
  <c r="L52" i="65"/>
  <c r="L25"/>
  <c r="L25" i="64" s="1"/>
  <c r="J25"/>
  <c r="AG15" i="154"/>
  <c r="AN304"/>
  <c r="AS304" s="1"/>
  <c r="AT304" s="1"/>
  <c r="C70" i="52"/>
  <c r="C78" s="1"/>
  <c r="C87" s="1"/>
  <c r="N54" i="51"/>
  <c r="H34" i="69"/>
  <c r="B83" i="62"/>
  <c r="B82"/>
  <c r="R189" i="79"/>
  <c r="F111" i="157"/>
  <c r="F161"/>
  <c r="F163" s="1"/>
  <c r="H163" s="1"/>
  <c r="D121"/>
  <c r="D123" s="1"/>
  <c r="F123"/>
  <c r="H123" s="1"/>
  <c r="F34" i="69"/>
  <c r="L51" i="62"/>
  <c r="L161" i="86"/>
  <c r="T124"/>
  <c r="T161" s="1"/>
  <c r="J52" i="62"/>
  <c r="J52" i="64"/>
  <c r="J52" i="65"/>
  <c r="N25" i="62"/>
  <c r="N25" i="64"/>
  <c r="B96" i="65"/>
  <c r="D65" i="70"/>
  <c r="D105" i="69"/>
  <c r="D56" i="68"/>
  <c r="B56"/>
  <c r="F65" i="70"/>
  <c r="H56" i="68"/>
  <c r="H65" i="70"/>
  <c r="F56" i="68"/>
  <c r="B105" i="69"/>
  <c r="B65" i="70"/>
  <c r="N62"/>
  <c r="N65" s="1"/>
  <c r="R390" i="79"/>
  <c r="N26" i="56"/>
  <c r="AM96" i="53"/>
  <c r="AM98" s="1"/>
  <c r="N14" i="70"/>
  <c r="N30" i="58"/>
  <c r="N21" i="56"/>
  <c r="S27" i="55"/>
  <c r="C35"/>
  <c r="L63" i="71"/>
  <c r="L65" s="1"/>
  <c r="J65"/>
  <c r="J121" i="86"/>
  <c r="J158" s="1"/>
  <c r="H65" i="68"/>
  <c r="D121" i="86"/>
  <c r="D158" s="1"/>
  <c r="B65" i="68"/>
  <c r="F121" i="86"/>
  <c r="F158" s="1"/>
  <c r="D65" i="68"/>
  <c r="H121" i="86"/>
  <c r="H158" s="1"/>
  <c r="F65" i="68"/>
  <c r="B65" i="69"/>
  <c r="D65"/>
  <c r="F65"/>
  <c r="H65"/>
  <c r="Q37" i="55"/>
  <c r="I37"/>
  <c r="H41" i="68"/>
  <c r="L107" i="71"/>
  <c r="J108"/>
  <c r="F112"/>
  <c r="K37" i="55"/>
  <c r="N54" i="70"/>
  <c r="N55"/>
  <c r="N28" i="68"/>
  <c r="N41" i="62"/>
  <c r="D78" i="64"/>
  <c r="F223" i="157"/>
  <c r="J15" i="69"/>
  <c r="L15" s="1"/>
  <c r="F22" i="66"/>
  <c r="N21" i="62"/>
  <c r="N17"/>
  <c r="R181" i="79"/>
  <c r="J132" i="63"/>
  <c r="L132" s="1"/>
  <c r="N21" i="68"/>
  <c r="R437" i="79"/>
  <c r="B437" i="152"/>
  <c r="B397"/>
  <c r="D176" i="86"/>
  <c r="D230" s="1"/>
  <c r="B330" i="152"/>
  <c r="D175" i="86"/>
  <c r="R397" i="79"/>
  <c r="R330"/>
  <c r="N51" i="64" s="1"/>
  <c r="P51" s="1"/>
  <c r="B440" i="79"/>
  <c r="B443" s="1"/>
  <c r="R439"/>
  <c r="N12" i="56"/>
  <c r="R433" i="79"/>
  <c r="F101" i="157"/>
  <c r="D101" s="1"/>
  <c r="D103" s="1"/>
  <c r="N44" i="70"/>
  <c r="D41" i="68"/>
  <c r="B40" i="57"/>
  <c r="B92" i="69"/>
  <c r="B83"/>
  <c r="J44"/>
  <c r="L44" s="1"/>
  <c r="J24" i="70"/>
  <c r="L24" s="1"/>
  <c r="P24" s="1"/>
  <c r="J85" i="62"/>
  <c r="L85" s="1"/>
  <c r="D12" i="66"/>
  <c r="N92" i="64"/>
  <c r="N36" i="58"/>
  <c r="N36" i="56"/>
  <c r="N11"/>
  <c r="AM51" i="53"/>
  <c r="AM53" s="1"/>
  <c r="AM62"/>
  <c r="AM16"/>
  <c r="N28" i="70"/>
  <c r="N33" i="58"/>
  <c r="N19" i="56"/>
  <c r="N12" i="68"/>
  <c r="N16" i="70"/>
  <c r="B393" i="79"/>
  <c r="F32" i="73"/>
  <c r="F49" i="68"/>
  <c r="D81" i="62"/>
  <c r="F122" i="86" s="1"/>
  <c r="F159" s="1"/>
  <c r="J55" i="62"/>
  <c r="L55" s="1"/>
  <c r="J22" i="69"/>
  <c r="L22" s="1"/>
  <c r="B118" i="63"/>
  <c r="J38" i="56"/>
  <c r="L38" s="1"/>
  <c r="F52" i="63"/>
  <c r="J115"/>
  <c r="D118"/>
  <c r="H118"/>
  <c r="J12" i="72"/>
  <c r="L12" s="1"/>
  <c r="P12" s="1"/>
  <c r="H142" i="63"/>
  <c r="J111"/>
  <c r="L111" s="1"/>
  <c r="J67" i="64"/>
  <c r="L67" s="1"/>
  <c r="P67" s="1"/>
  <c r="F64"/>
  <c r="J18" i="69"/>
  <c r="L18" s="1"/>
  <c r="J36" i="56"/>
  <c r="L123" i="86" s="1"/>
  <c r="L160" s="1"/>
  <c r="F83" i="62"/>
  <c r="J11"/>
  <c r="L11" s="1"/>
  <c r="F118" i="63"/>
  <c r="J34" i="64"/>
  <c r="L34" s="1"/>
  <c r="F52" i="68"/>
  <c r="F45"/>
  <c r="D19" i="72"/>
  <c r="D22" s="1"/>
  <c r="N11" i="68"/>
  <c r="N40" i="62"/>
  <c r="N23" i="56"/>
  <c r="N82" i="62"/>
  <c r="N11" i="70"/>
  <c r="N15"/>
  <c r="N19" i="68"/>
  <c r="N19" i="70"/>
  <c r="N13" i="68"/>
  <c r="N42" i="64"/>
  <c r="N32"/>
  <c r="N24" i="56"/>
  <c r="N20"/>
  <c r="N45" i="64"/>
  <c r="N46" i="70"/>
  <c r="N28" i="56"/>
  <c r="N57" i="68"/>
  <c r="N15" i="56"/>
  <c r="N38" i="58"/>
  <c r="N90" i="62"/>
  <c r="N20" i="64"/>
  <c r="N46" i="68"/>
  <c r="N17"/>
  <c r="N41" i="70"/>
  <c r="N21"/>
  <c r="N55" i="64"/>
  <c r="J125" i="65"/>
  <c r="L115"/>
  <c r="J117"/>
  <c r="J41" i="64"/>
  <c r="L41" s="1"/>
  <c r="P41" s="1"/>
  <c r="F86" i="62"/>
  <c r="F81"/>
  <c r="H122" i="86" s="1"/>
  <c r="H159" s="1"/>
  <c r="D13" i="62"/>
  <c r="D27" s="1"/>
  <c r="H22" i="66"/>
  <c r="F88" i="62"/>
  <c r="H86"/>
  <c r="H81"/>
  <c r="J122" i="86" s="1"/>
  <c r="J159" s="1"/>
  <c r="G70" i="55"/>
  <c r="G57"/>
  <c r="G56"/>
  <c r="G69"/>
  <c r="N85" i="62"/>
  <c r="N45"/>
  <c r="N39" i="56"/>
  <c r="N32" i="62"/>
  <c r="N24"/>
  <c r="N42" i="68"/>
  <c r="N42" i="70"/>
  <c r="P393" i="79"/>
  <c r="F84" i="51"/>
  <c r="L125" i="65"/>
  <c r="J40" i="64"/>
  <c r="L40" s="1"/>
  <c r="F91" i="157"/>
  <c r="D91" s="1"/>
  <c r="D93" s="1"/>
  <c r="F131"/>
  <c r="D131" s="1"/>
  <c r="D133" s="1"/>
  <c r="F81"/>
  <c r="D81" s="1"/>
  <c r="D83" s="1"/>
  <c r="L12" i="51"/>
  <c r="E191" i="53"/>
  <c r="L66" i="57"/>
  <c r="N45" i="68"/>
  <c r="N18" i="70"/>
  <c r="J20" i="77"/>
  <c r="J23" s="1"/>
  <c r="F40" i="67"/>
  <c r="B86" i="62"/>
  <c r="B153" i="65"/>
  <c r="J32" i="64"/>
  <c r="L32" s="1"/>
  <c r="D37" i="67"/>
  <c r="D40" s="1"/>
  <c r="B40"/>
  <c r="H40"/>
  <c r="J18"/>
  <c r="J21" s="1"/>
  <c r="H112" i="71"/>
  <c r="B112"/>
  <c r="B68"/>
  <c r="J13" i="69"/>
  <c r="L13" s="1"/>
  <c r="N35" i="56"/>
  <c r="N48" i="70"/>
  <c r="N47" i="68"/>
  <c r="N85" i="64"/>
  <c r="P149" i="152"/>
  <c r="H149"/>
  <c r="N55" i="62"/>
  <c r="P50" i="80"/>
  <c r="H50"/>
  <c r="B50"/>
  <c r="AM188" i="53"/>
  <c r="C174"/>
  <c r="S70" i="52"/>
  <c r="D84" i="51"/>
  <c r="F302" i="152"/>
  <c r="J149"/>
  <c r="F149"/>
  <c r="C82" i="53"/>
  <c r="C36"/>
  <c r="AA129" i="86" s="1"/>
  <c r="AA10" s="1"/>
  <c r="AA15"/>
  <c r="AG291"/>
  <c r="G82" i="53"/>
  <c r="G191"/>
  <c r="I82"/>
  <c r="K82"/>
  <c r="K191"/>
  <c r="M82"/>
  <c r="AK82"/>
  <c r="AK191"/>
  <c r="B149" i="152"/>
  <c r="L149"/>
  <c r="AM72" i="53"/>
  <c r="N23" i="68"/>
  <c r="D160" i="86"/>
  <c r="D157"/>
  <c r="D155"/>
  <c r="D156"/>
  <c r="N81" i="64"/>
  <c r="T168" i="86"/>
  <c r="N62" i="68"/>
  <c r="T172" i="86"/>
  <c r="T226" s="1"/>
  <c r="T170"/>
  <c r="T224" s="1"/>
  <c r="B302" i="152"/>
  <c r="J302"/>
  <c r="P302"/>
  <c r="N302"/>
  <c r="N149"/>
  <c r="H302"/>
  <c r="T223" i="86"/>
  <c r="D149" i="152"/>
  <c r="L302"/>
  <c r="N29" i="56"/>
  <c r="N25" i="58"/>
  <c r="N12"/>
  <c r="T173" i="86"/>
  <c r="J21" i="63"/>
  <c r="L21" s="1"/>
  <c r="J82" i="62"/>
  <c r="J74"/>
  <c r="L74" s="1"/>
  <c r="J72"/>
  <c r="L72" s="1"/>
  <c r="J70"/>
  <c r="L70" s="1"/>
  <c r="H154" i="86"/>
  <c r="H38" i="68"/>
  <c r="J125" i="86"/>
  <c r="J162" s="1"/>
  <c r="D38" i="68"/>
  <c r="F125" i="86"/>
  <c r="F162" s="1"/>
  <c r="F154"/>
  <c r="J30" i="64"/>
  <c r="L30" s="1"/>
  <c r="J154" i="86"/>
  <c r="D154"/>
  <c r="F38" i="68"/>
  <c r="H125" i="86"/>
  <c r="H162" s="1"/>
  <c r="B38" i="68"/>
  <c r="D125" i="86"/>
  <c r="J16" i="68"/>
  <c r="L16" s="1"/>
  <c r="L108" i="69"/>
  <c r="L109" s="1"/>
  <c r="L102"/>
  <c r="J21" i="56"/>
  <c r="L21" s="1"/>
  <c r="J30" i="62"/>
  <c r="L30" s="1"/>
  <c r="H151" i="63"/>
  <c r="AM80" i="53"/>
  <c r="H393" i="79"/>
  <c r="N14" i="56"/>
  <c r="F443" i="79"/>
  <c r="N84" i="64"/>
  <c r="L443" i="79"/>
  <c r="D443"/>
  <c r="N393"/>
  <c r="H64" i="62"/>
  <c r="J59"/>
  <c r="L59" s="1"/>
  <c r="J58"/>
  <c r="L58" s="1"/>
  <c r="J57"/>
  <c r="L57" s="1"/>
  <c r="J56"/>
  <c r="L56" s="1"/>
  <c r="J46"/>
  <c r="L46" s="1"/>
  <c r="B25" i="68"/>
  <c r="H59" i="69"/>
  <c r="J39" i="56"/>
  <c r="L39" s="1"/>
  <c r="J32"/>
  <c r="L32" s="1"/>
  <c r="J15"/>
  <c r="L15" s="1"/>
  <c r="J14"/>
  <c r="L14" s="1"/>
  <c r="J56" i="57"/>
  <c r="L56" s="1"/>
  <c r="J145" i="63"/>
  <c r="L145" s="1"/>
  <c r="J122"/>
  <c r="L122" s="1"/>
  <c r="J75"/>
  <c r="L75" s="1"/>
  <c r="J73"/>
  <c r="L73" s="1"/>
  <c r="J71"/>
  <c r="L71" s="1"/>
  <c r="J67"/>
  <c r="L67" s="1"/>
  <c r="J59"/>
  <c r="L59" s="1"/>
  <c r="J58"/>
  <c r="L58" s="1"/>
  <c r="J50"/>
  <c r="L50" s="1"/>
  <c r="J46"/>
  <c r="L46" s="1"/>
  <c r="J43"/>
  <c r="L43" s="1"/>
  <c r="J40"/>
  <c r="L40" s="1"/>
  <c r="J34"/>
  <c r="L34" s="1"/>
  <c r="J25"/>
  <c r="L25" s="1"/>
  <c r="J92" i="64"/>
  <c r="L92" s="1"/>
  <c r="J90"/>
  <c r="L90" s="1"/>
  <c r="P90" s="1"/>
  <c r="H78"/>
  <c r="J61"/>
  <c r="L61" s="1"/>
  <c r="J33"/>
  <c r="L33" s="1"/>
  <c r="P33" s="1"/>
  <c r="J21"/>
  <c r="L21" s="1"/>
  <c r="P21" s="1"/>
  <c r="J13"/>
  <c r="L13" s="1"/>
  <c r="J48" i="68"/>
  <c r="L48" s="1"/>
  <c r="L91" i="69"/>
  <c r="L88"/>
  <c r="L86"/>
  <c r="L80"/>
  <c r="L76"/>
  <c r="J62"/>
  <c r="J48"/>
  <c r="L48" s="1"/>
  <c r="J46"/>
  <c r="L46" s="1"/>
  <c r="J42"/>
  <c r="L42" s="1"/>
  <c r="J37"/>
  <c r="J38" s="1"/>
  <c r="J33"/>
  <c r="L33" s="1"/>
  <c r="J32"/>
  <c r="L32" s="1"/>
  <c r="J31"/>
  <c r="L31" s="1"/>
  <c r="J30"/>
  <c r="L30" s="1"/>
  <c r="J29"/>
  <c r="J28"/>
  <c r="L28" s="1"/>
  <c r="J23"/>
  <c r="L23" s="1"/>
  <c r="J20"/>
  <c r="L20" s="1"/>
  <c r="J17"/>
  <c r="L17" s="1"/>
  <c r="J14"/>
  <c r="L14" s="1"/>
  <c r="J11"/>
  <c r="L11" s="1"/>
  <c r="J62" i="70"/>
  <c r="J32"/>
  <c r="L32" s="1"/>
  <c r="P32" s="1"/>
  <c r="J19"/>
  <c r="L19" s="1"/>
  <c r="L101" i="69"/>
  <c r="AM42" i="53"/>
  <c r="AM44" s="1"/>
  <c r="L46" i="51"/>
  <c r="L48" s="1"/>
  <c r="D149" i="79"/>
  <c r="N63" i="62"/>
  <c r="N62" i="64"/>
  <c r="N63" i="68"/>
  <c r="N58" i="70"/>
  <c r="N18" i="72"/>
  <c r="N43" i="68"/>
  <c r="N33" i="70"/>
  <c r="N32" i="68"/>
  <c r="N31" i="70"/>
  <c r="N29" i="68"/>
  <c r="N33"/>
  <c r="N30"/>
  <c r="N24"/>
  <c r="L393" i="79"/>
  <c r="N20" i="70"/>
  <c r="N17"/>
  <c r="N89" i="62"/>
  <c r="N88"/>
  <c r="N83" i="64"/>
  <c r="N62" i="62"/>
  <c r="N43"/>
  <c r="N43" i="64"/>
  <c r="N35" i="62"/>
  <c r="N34" i="64"/>
  <c r="N31"/>
  <c r="N22"/>
  <c r="N19" i="62"/>
  <c r="N19" i="64"/>
  <c r="N18" i="62"/>
  <c r="N15" i="64"/>
  <c r="N13" i="62"/>
  <c r="N13" i="64"/>
  <c r="N12" i="62"/>
  <c r="N12" i="64"/>
  <c r="N37" i="58"/>
  <c r="R452" i="79"/>
  <c r="R455" s="1"/>
  <c r="N32" i="58"/>
  <c r="N27" i="56"/>
  <c r="H443" i="79"/>
  <c r="N18" i="56"/>
  <c r="H78" i="62"/>
  <c r="J22" i="70"/>
  <c r="L22" s="1"/>
  <c r="J88" i="63"/>
  <c r="L88" s="1"/>
  <c r="J106"/>
  <c r="L106" s="1"/>
  <c r="J17" i="64"/>
  <c r="L17" s="1"/>
  <c r="J104" i="63"/>
  <c r="L104" s="1"/>
  <c r="J102"/>
  <c r="L102" s="1"/>
  <c r="F263" i="157"/>
  <c r="C12" i="55"/>
  <c r="N46" i="51"/>
  <c r="N48" s="1"/>
  <c r="J109" i="69"/>
  <c r="J61" i="57"/>
  <c r="L61" s="1"/>
  <c r="J36"/>
  <c r="L36" s="1"/>
  <c r="J30" i="58"/>
  <c r="L30" s="1"/>
  <c r="J21"/>
  <c r="L21" s="1"/>
  <c r="P21" s="1"/>
  <c r="J17"/>
  <c r="L17" s="1"/>
  <c r="J11"/>
  <c r="L11" s="1"/>
  <c r="P11" s="1"/>
  <c r="J92" i="62"/>
  <c r="L92" s="1"/>
  <c r="B12" i="66"/>
  <c r="J21" i="69"/>
  <c r="L21" s="1"/>
  <c r="J16"/>
  <c r="L16" s="1"/>
  <c r="F25"/>
  <c r="J12"/>
  <c r="L12" s="1"/>
  <c r="J42" i="70"/>
  <c r="L42" s="1"/>
  <c r="J17" i="72"/>
  <c r="L17" s="1"/>
  <c r="P17" s="1"/>
  <c r="J87" i="63"/>
  <c r="L87" s="1"/>
  <c r="B78" i="62"/>
  <c r="J45"/>
  <c r="L45" s="1"/>
  <c r="B36"/>
  <c r="J130" i="63"/>
  <c r="L130" s="1"/>
  <c r="B78"/>
  <c r="H27"/>
  <c r="B93" i="64"/>
  <c r="F93"/>
  <c r="J58"/>
  <c r="L58" s="1"/>
  <c r="J56"/>
  <c r="L56" s="1"/>
  <c r="B47"/>
  <c r="D36"/>
  <c r="J23"/>
  <c r="L23" s="1"/>
  <c r="P23" s="1"/>
  <c r="B27"/>
  <c r="J12"/>
  <c r="L12" s="1"/>
  <c r="J20" i="68"/>
  <c r="L20" s="1"/>
  <c r="H134" i="63"/>
  <c r="H88" i="62"/>
  <c r="H83"/>
  <c r="J19" i="66"/>
  <c r="L19" s="1"/>
  <c r="P19" s="1"/>
  <c r="F12"/>
  <c r="J11"/>
  <c r="J12" s="1"/>
  <c r="B41" i="68"/>
  <c r="F59" i="70"/>
  <c r="J44"/>
  <c r="L44" s="1"/>
  <c r="J30"/>
  <c r="L30" s="1"/>
  <c r="P30" s="1"/>
  <c r="J28"/>
  <c r="L28" s="1"/>
  <c r="J23"/>
  <c r="L23" s="1"/>
  <c r="P23" s="1"/>
  <c r="J21"/>
  <c r="L21" s="1"/>
  <c r="J17"/>
  <c r="L17" s="1"/>
  <c r="J12"/>
  <c r="L12" s="1"/>
  <c r="P12" s="1"/>
  <c r="J31" i="56"/>
  <c r="L31" s="1"/>
  <c r="J28"/>
  <c r="L28" s="1"/>
  <c r="J13"/>
  <c r="L13" s="1"/>
  <c r="J11"/>
  <c r="L11" s="1"/>
  <c r="H74" i="57"/>
  <c r="J28" i="58"/>
  <c r="L28" s="1"/>
  <c r="P28" s="1"/>
  <c r="J15"/>
  <c r="L15" s="1"/>
  <c r="P15" s="1"/>
  <c r="J90" i="62"/>
  <c r="L90" s="1"/>
  <c r="J89"/>
  <c r="L89" s="1"/>
  <c r="J76"/>
  <c r="L76" s="1"/>
  <c r="J44"/>
  <c r="L44" s="1"/>
  <c r="F47"/>
  <c r="H47"/>
  <c r="B47"/>
  <c r="J39"/>
  <c r="L39" s="1"/>
  <c r="J141" i="63"/>
  <c r="L141" s="1"/>
  <c r="J86" i="64"/>
  <c r="L86" s="1"/>
  <c r="J84"/>
  <c r="L84" s="1"/>
  <c r="J63"/>
  <c r="L63" s="1"/>
  <c r="P63" s="1"/>
  <c r="B64"/>
  <c r="H47"/>
  <c r="J17" i="66"/>
  <c r="L17" s="1"/>
  <c r="P17" s="1"/>
  <c r="B52" i="68"/>
  <c r="J19"/>
  <c r="L19" s="1"/>
  <c r="L98" i="69"/>
  <c r="J29" i="70"/>
  <c r="L29" s="1"/>
  <c r="P29" s="1"/>
  <c r="B25"/>
  <c r="F36" i="62"/>
  <c r="J30" i="56"/>
  <c r="L30" s="1"/>
  <c r="J24"/>
  <c r="L24" s="1"/>
  <c r="J19"/>
  <c r="L19" s="1"/>
  <c r="H40"/>
  <c r="H43" s="1"/>
  <c r="J55" i="57"/>
  <c r="L55" s="1"/>
  <c r="H40"/>
  <c r="J149" i="63"/>
  <c r="L149" s="1"/>
  <c r="J131"/>
  <c r="L131" s="1"/>
  <c r="D134"/>
  <c r="J91"/>
  <c r="L91" s="1"/>
  <c r="J56"/>
  <c r="L56" s="1"/>
  <c r="F64"/>
  <c r="H36"/>
  <c r="J23"/>
  <c r="L23" s="1"/>
  <c r="B27"/>
  <c r="J60" i="64"/>
  <c r="L60" s="1"/>
  <c r="J43"/>
  <c r="L43" s="1"/>
  <c r="J42"/>
  <c r="L42" s="1"/>
  <c r="J21" i="66"/>
  <c r="L21" s="1"/>
  <c r="P21" s="1"/>
  <c r="B49" i="68"/>
  <c r="J11" i="72"/>
  <c r="L11" s="1"/>
  <c r="P11" s="1"/>
  <c r="J13" i="63"/>
  <c r="L13" s="1"/>
  <c r="D36"/>
  <c r="J76"/>
  <c r="L76" s="1"/>
  <c r="J85"/>
  <c r="L85" s="1"/>
  <c r="J23" i="56"/>
  <c r="L23" s="1"/>
  <c r="B40"/>
  <c r="B43" s="1"/>
  <c r="B74" i="57"/>
  <c r="J32" i="58"/>
  <c r="L32" s="1"/>
  <c r="J26"/>
  <c r="L26" s="1"/>
  <c r="P26" s="1"/>
  <c r="J24"/>
  <c r="L24" s="1"/>
  <c r="P24" s="1"/>
  <c r="J19"/>
  <c r="L19" s="1"/>
  <c r="P19" s="1"/>
  <c r="J32" i="62"/>
  <c r="L32" s="1"/>
  <c r="J31"/>
  <c r="L31" s="1"/>
  <c r="J108" i="63"/>
  <c r="L108" s="1"/>
  <c r="H64" i="64"/>
  <c r="D47"/>
  <c r="F27"/>
  <c r="J15" i="66"/>
  <c r="L15" s="1"/>
  <c r="P15" s="1"/>
  <c r="J58" i="68"/>
  <c r="L58" s="1"/>
  <c r="J54"/>
  <c r="L54" s="1"/>
  <c r="J15"/>
  <c r="L15" s="1"/>
  <c r="AM34" i="53"/>
  <c r="AM26"/>
  <c r="AF129" i="86"/>
  <c r="J57" i="68"/>
  <c r="L57" s="1"/>
  <c r="D25" i="69"/>
  <c r="H25"/>
  <c r="J24"/>
  <c r="L24" s="1"/>
  <c r="H68" i="71"/>
  <c r="J23" i="68"/>
  <c r="L23" s="1"/>
  <c r="J91" i="62"/>
  <c r="L91" s="1"/>
  <c r="H93" i="63"/>
  <c r="D64"/>
  <c r="J62" i="62"/>
  <c r="L62" s="1"/>
  <c r="H96" i="65"/>
  <c r="J62" i="63"/>
  <c r="L62" s="1"/>
  <c r="H47"/>
  <c r="J32" i="51"/>
  <c r="H40" i="58"/>
  <c r="H43" s="1"/>
  <c r="O37" i="55"/>
  <c r="M37"/>
  <c r="G37"/>
  <c r="E37"/>
  <c r="N77" i="64"/>
  <c r="J15" i="70"/>
  <c r="L15" s="1"/>
  <c r="J47" i="65"/>
  <c r="J34" i="71"/>
  <c r="D112"/>
  <c r="D83" i="69"/>
  <c r="J25" i="71"/>
  <c r="F25" i="70"/>
  <c r="J147" i="63"/>
  <c r="L147" s="1"/>
  <c r="F93"/>
  <c r="J139"/>
  <c r="L139" s="1"/>
  <c r="D142"/>
  <c r="J136"/>
  <c r="L136" s="1"/>
  <c r="J69" i="64"/>
  <c r="L69" s="1"/>
  <c r="D78" i="63"/>
  <c r="D64" i="62"/>
  <c r="J33"/>
  <c r="L33" s="1"/>
  <c r="J16" i="64"/>
  <c r="L16" s="1"/>
  <c r="D112" i="63"/>
  <c r="D153" i="65"/>
  <c r="F27" i="62"/>
  <c r="J19" i="64"/>
  <c r="L19" s="1"/>
  <c r="J17" i="63"/>
  <c r="L17" s="1"/>
  <c r="J14" i="64"/>
  <c r="L14" s="1"/>
  <c r="J65" i="57"/>
  <c r="L65" s="1"/>
  <c r="J19" i="73"/>
  <c r="J22" s="1"/>
  <c r="D32"/>
  <c r="N46" i="62"/>
  <c r="N17" i="64"/>
  <c r="N55" i="68"/>
  <c r="N14" i="72"/>
  <c r="N50" i="68" s="1"/>
  <c r="N49"/>
  <c r="R384" i="79"/>
  <c r="N31" i="68"/>
  <c r="N91" i="62"/>
  <c r="N87"/>
  <c r="N86" i="64"/>
  <c r="N86" i="62"/>
  <c r="N84"/>
  <c r="N83"/>
  <c r="R322" i="79"/>
  <c r="R22" i="80"/>
  <c r="R25" s="1"/>
  <c r="N81" i="62"/>
  <c r="F302" i="79"/>
  <c r="L302"/>
  <c r="P149"/>
  <c r="H149"/>
  <c r="N44" i="62"/>
  <c r="R52" i="79"/>
  <c r="N33" i="62"/>
  <c r="N30" i="64"/>
  <c r="N16" i="62"/>
  <c r="N16" i="64"/>
  <c r="N14"/>
  <c r="N14" i="62"/>
  <c r="R28" i="79"/>
  <c r="N31" i="56"/>
  <c r="N10" i="60"/>
  <c r="N11" s="1"/>
  <c r="N14" s="1"/>
  <c r="N27" i="58"/>
  <c r="N17"/>
  <c r="N16" i="56"/>
  <c r="U84" i="52"/>
  <c r="U48"/>
  <c r="F201" i="157"/>
  <c r="U32" i="52"/>
  <c r="D25" i="68"/>
  <c r="F78" i="62"/>
  <c r="J64" i="65"/>
  <c r="J30" i="63"/>
  <c r="L30" s="1"/>
  <c r="D40" i="57"/>
  <c r="L30" i="51"/>
  <c r="L22"/>
  <c r="H32"/>
  <c r="F32"/>
  <c r="L10" i="60"/>
  <c r="L11" s="1"/>
  <c r="L14" s="1"/>
  <c r="F36" i="63"/>
  <c r="J69" i="62"/>
  <c r="L69" s="1"/>
  <c r="D87"/>
  <c r="B50" i="68"/>
  <c r="J56" i="69"/>
  <c r="L56" s="1"/>
  <c r="J49"/>
  <c r="L49" s="1"/>
  <c r="J47"/>
  <c r="L47" s="1"/>
  <c r="J43"/>
  <c r="L43" s="1"/>
  <c r="J41"/>
  <c r="L41" s="1"/>
  <c r="F19" i="72"/>
  <c r="F22" s="1"/>
  <c r="J18"/>
  <c r="L18" s="1"/>
  <c r="J14"/>
  <c r="L14" s="1"/>
  <c r="J83" i="63"/>
  <c r="L83" s="1"/>
  <c r="H78"/>
  <c r="D88" i="62"/>
  <c r="D83"/>
  <c r="J20" i="66"/>
  <c r="L20" s="1"/>
  <c r="P20" s="1"/>
  <c r="J18"/>
  <c r="L18" s="1"/>
  <c r="P18" s="1"/>
  <c r="J16"/>
  <c r="L16" s="1"/>
  <c r="P16" s="1"/>
  <c r="H52" i="68"/>
  <c r="H50"/>
  <c r="J50" s="1"/>
  <c r="H19" i="72"/>
  <c r="H22" s="1"/>
  <c r="J42" i="63"/>
  <c r="L42" s="1"/>
  <c r="B47"/>
  <c r="D40" i="58"/>
  <c r="D43" s="1"/>
  <c r="H87" i="62"/>
  <c r="J84"/>
  <c r="L84" s="1"/>
  <c r="B81"/>
  <c r="D122" i="86" s="1"/>
  <c r="B13" i="62"/>
  <c r="D22" i="66"/>
  <c r="H12"/>
  <c r="H49" i="68"/>
  <c r="H45"/>
  <c r="F41"/>
  <c r="L96" i="69"/>
  <c r="B19" i="72"/>
  <c r="B22" s="1"/>
  <c r="J16"/>
  <c r="L16" s="1"/>
  <c r="P16" s="1"/>
  <c r="J13"/>
  <c r="R36" i="80"/>
  <c r="R39" s="1"/>
  <c r="R235" i="79"/>
  <c r="N71" i="64" s="1"/>
  <c r="J53" i="69"/>
  <c r="L53" s="1"/>
  <c r="J45"/>
  <c r="L45" s="1"/>
  <c r="J29" i="56"/>
  <c r="L29" s="1"/>
  <c r="D40"/>
  <c r="D43" s="1"/>
  <c r="L74" i="51"/>
  <c r="D86" i="62"/>
  <c r="J95" i="69"/>
  <c r="J105" s="1"/>
  <c r="J133" i="63"/>
  <c r="B134"/>
  <c r="B149" i="79"/>
  <c r="B302"/>
  <c r="N302"/>
  <c r="F283" i="157"/>
  <c r="H59" i="70"/>
  <c r="D59" i="69"/>
  <c r="D59" i="70"/>
  <c r="B59" i="69"/>
  <c r="J53" i="68"/>
  <c r="L53" s="1"/>
  <c r="J59" i="71"/>
  <c r="D32" i="51"/>
  <c r="F40" i="57"/>
  <c r="D52" i="63"/>
  <c r="J34" i="56"/>
  <c r="L34" s="1"/>
  <c r="J33"/>
  <c r="L33" s="1"/>
  <c r="J20"/>
  <c r="L20" s="1"/>
  <c r="J12"/>
  <c r="J46" i="68"/>
  <c r="H302" i="79"/>
  <c r="N44" i="64"/>
  <c r="I70" i="52"/>
  <c r="J42" i="68"/>
  <c r="J37"/>
  <c r="J21"/>
  <c r="L21" s="1"/>
  <c r="J18"/>
  <c r="L18" s="1"/>
  <c r="J17"/>
  <c r="L17" s="1"/>
  <c r="J14"/>
  <c r="L14" s="1"/>
  <c r="J12"/>
  <c r="J33" i="70"/>
  <c r="L33" s="1"/>
  <c r="J14"/>
  <c r="L14" s="1"/>
  <c r="J11"/>
  <c r="L11" s="1"/>
  <c r="L34" i="71"/>
  <c r="H153" i="65"/>
  <c r="F96"/>
  <c r="D96"/>
  <c r="B32" i="73"/>
  <c r="J48" i="57"/>
  <c r="L48" s="1"/>
  <c r="D74"/>
  <c r="J29" i="58"/>
  <c r="L29" s="1"/>
  <c r="P29" s="1"/>
  <c r="D126" i="63"/>
  <c r="J86"/>
  <c r="L86" s="1"/>
  <c r="J81" i="64"/>
  <c r="L81" s="1"/>
  <c r="J55" i="68"/>
  <c r="L55" s="1"/>
  <c r="L81" i="69"/>
  <c r="L75"/>
  <c r="L73"/>
  <c r="J50"/>
  <c r="L50" s="1"/>
  <c r="H25" i="68"/>
  <c r="I191" i="53"/>
  <c r="J123" i="63"/>
  <c r="L123" s="1"/>
  <c r="J89"/>
  <c r="L89" s="1"/>
  <c r="J49" i="70"/>
  <c r="L49" s="1"/>
  <c r="P49" s="1"/>
  <c r="J47"/>
  <c r="L47" s="1"/>
  <c r="P47" s="1"/>
  <c r="J45"/>
  <c r="L45" s="1"/>
  <c r="P45" s="1"/>
  <c r="B34"/>
  <c r="J393" i="79"/>
  <c r="L50" i="80"/>
  <c r="R275" i="79"/>
  <c r="N74" i="64" s="1"/>
  <c r="D302" i="79"/>
  <c r="R192"/>
  <c r="J149"/>
  <c r="F149"/>
  <c r="N40" i="64"/>
  <c r="H69" i="59"/>
  <c r="F69"/>
  <c r="H27" i="62"/>
  <c r="B34" i="68"/>
  <c r="J47"/>
  <c r="L47" s="1"/>
  <c r="J44"/>
  <c r="L44" s="1"/>
  <c r="L103" i="69"/>
  <c r="J55"/>
  <c r="L55" s="1"/>
  <c r="J19"/>
  <c r="L19" s="1"/>
  <c r="J50" i="70"/>
  <c r="L50" s="1"/>
  <c r="P50" s="1"/>
  <c r="J48"/>
  <c r="L48" s="1"/>
  <c r="J46"/>
  <c r="L46" s="1"/>
  <c r="J43"/>
  <c r="L43" s="1"/>
  <c r="P43" s="1"/>
  <c r="F34"/>
  <c r="D25"/>
  <c r="J67" i="62"/>
  <c r="L67" s="1"/>
  <c r="J61"/>
  <c r="L61" s="1"/>
  <c r="J12"/>
  <c r="L12" s="1"/>
  <c r="J125" i="63"/>
  <c r="L125" s="1"/>
  <c r="F126"/>
  <c r="J121"/>
  <c r="L121" s="1"/>
  <c r="J81"/>
  <c r="L81" s="1"/>
  <c r="J74"/>
  <c r="L74" s="1"/>
  <c r="J72"/>
  <c r="L72" s="1"/>
  <c r="J70"/>
  <c r="L70" s="1"/>
  <c r="J60"/>
  <c r="L60" s="1"/>
  <c r="B52"/>
  <c r="J33"/>
  <c r="L33" s="1"/>
  <c r="J72" i="64"/>
  <c r="L72" s="1"/>
  <c r="J59"/>
  <c r="L59" s="1"/>
  <c r="J46"/>
  <c r="L46" s="1"/>
  <c r="P46" s="1"/>
  <c r="J18"/>
  <c r="L18" s="1"/>
  <c r="P18" s="1"/>
  <c r="J11"/>
  <c r="L11" s="1"/>
  <c r="P11" s="1"/>
  <c r="J18" i="63"/>
  <c r="L18" s="1"/>
  <c r="J20" i="64"/>
  <c r="L20" s="1"/>
  <c r="J16" i="63"/>
  <c r="L16" s="1"/>
  <c r="J15" i="64"/>
  <c r="L15" s="1"/>
  <c r="J15" i="63"/>
  <c r="L15" s="1"/>
  <c r="J12"/>
  <c r="L12" s="1"/>
  <c r="D27"/>
  <c r="J63" i="59"/>
  <c r="J66" s="1"/>
  <c r="J17" i="56"/>
  <c r="L17" s="1"/>
  <c r="J16"/>
  <c r="L16" s="1"/>
  <c r="J71" i="57"/>
  <c r="L71" s="1"/>
  <c r="J35"/>
  <c r="L35" s="1"/>
  <c r="J33"/>
  <c r="L33" s="1"/>
  <c r="J38" i="58"/>
  <c r="L38" s="1"/>
  <c r="J36"/>
  <c r="L36" s="1"/>
  <c r="C25" i="55"/>
  <c r="M70" i="52"/>
  <c r="M78" s="1"/>
  <c r="M87" s="1"/>
  <c r="L82" i="51"/>
  <c r="L57" i="57"/>
  <c r="C43" i="55"/>
  <c r="J37" i="56"/>
  <c r="L37" s="1"/>
  <c r="J39" i="57"/>
  <c r="L39" s="1"/>
  <c r="J11"/>
  <c r="L11" s="1"/>
  <c r="J39" i="58"/>
  <c r="L39" s="1"/>
  <c r="P39" s="1"/>
  <c r="J34"/>
  <c r="L34" s="1"/>
  <c r="P34" s="1"/>
  <c r="J31"/>
  <c r="L31" s="1"/>
  <c r="P31" s="1"/>
  <c r="J60" i="62"/>
  <c r="L60" s="1"/>
  <c r="J110" i="63"/>
  <c r="L110" s="1"/>
  <c r="J82"/>
  <c r="L82" s="1"/>
  <c r="J63"/>
  <c r="L63" s="1"/>
  <c r="J41"/>
  <c r="L41" s="1"/>
  <c r="J39"/>
  <c r="L39" s="1"/>
  <c r="J22"/>
  <c r="L22" s="1"/>
  <c r="J20"/>
  <c r="L20" s="1"/>
  <c r="J11"/>
  <c r="L11" s="1"/>
  <c r="J91" i="64"/>
  <c r="L91" s="1"/>
  <c r="P91" s="1"/>
  <c r="J89"/>
  <c r="L89" s="1"/>
  <c r="P89" s="1"/>
  <c r="J82"/>
  <c r="L82" s="1"/>
  <c r="P82" s="1"/>
  <c r="J75"/>
  <c r="L75" s="1"/>
  <c r="J62"/>
  <c r="L62" s="1"/>
  <c r="J39"/>
  <c r="L39" s="1"/>
  <c r="P39" s="1"/>
  <c r="J33" i="68"/>
  <c r="L33" s="1"/>
  <c r="J31"/>
  <c r="L31" s="1"/>
  <c r="J29"/>
  <c r="L29" s="1"/>
  <c r="F34"/>
  <c r="J24"/>
  <c r="L24" s="1"/>
  <c r="J22"/>
  <c r="L22" s="1"/>
  <c r="D109" i="69"/>
  <c r="F113"/>
  <c r="J58"/>
  <c r="L58" s="1"/>
  <c r="J57"/>
  <c r="L57" s="1"/>
  <c r="J52"/>
  <c r="L52" s="1"/>
  <c r="J57" i="70"/>
  <c r="L57" s="1"/>
  <c r="P57" s="1"/>
  <c r="J55"/>
  <c r="L55" s="1"/>
  <c r="J37"/>
  <c r="J31" i="63"/>
  <c r="L31" s="1"/>
  <c r="B40" i="58"/>
  <c r="B43" s="1"/>
  <c r="B112" i="63"/>
  <c r="B36" i="64"/>
  <c r="J302" i="79"/>
  <c r="N23" i="62"/>
  <c r="N34" i="56"/>
  <c r="F68" i="71"/>
  <c r="J63" i="68"/>
  <c r="L63" s="1"/>
  <c r="J83" i="71"/>
  <c r="J88" i="64"/>
  <c r="L88" s="1"/>
  <c r="P88" s="1"/>
  <c r="D93" i="63"/>
  <c r="L36" i="65"/>
  <c r="J36"/>
  <c r="F40" i="56"/>
  <c r="F43" s="1"/>
  <c r="F40" i="58"/>
  <c r="F43" s="1"/>
  <c r="J13"/>
  <c r="L13" s="1"/>
  <c r="L89" i="69"/>
  <c r="J92"/>
  <c r="J26" i="56"/>
  <c r="L26" s="1"/>
  <c r="J25"/>
  <c r="L25" s="1"/>
  <c r="L54" i="57"/>
  <c r="L53"/>
  <c r="J34"/>
  <c r="L34" s="1"/>
  <c r="J32"/>
  <c r="L32" s="1"/>
  <c r="J31"/>
  <c r="L31" s="1"/>
  <c r="J30"/>
  <c r="L30" s="1"/>
  <c r="J29"/>
  <c r="L29" s="1"/>
  <c r="J28"/>
  <c r="L28" s="1"/>
  <c r="J27"/>
  <c r="L27" s="1"/>
  <c r="J26"/>
  <c r="L26" s="1"/>
  <c r="J25"/>
  <c r="L25" s="1"/>
  <c r="J24"/>
  <c r="L24" s="1"/>
  <c r="J23"/>
  <c r="L23" s="1"/>
  <c r="J21"/>
  <c r="L21" s="1"/>
  <c r="J20"/>
  <c r="L20" s="1"/>
  <c r="J19"/>
  <c r="L19" s="1"/>
  <c r="J18"/>
  <c r="L18" s="1"/>
  <c r="J17"/>
  <c r="L17" s="1"/>
  <c r="J16"/>
  <c r="L16" s="1"/>
  <c r="J15"/>
  <c r="L15" s="1"/>
  <c r="J14"/>
  <c r="L14" s="1"/>
  <c r="J13"/>
  <c r="L13" s="1"/>
  <c r="J12"/>
  <c r="L12" s="1"/>
  <c r="J35" i="58"/>
  <c r="L35" s="1"/>
  <c r="P35" s="1"/>
  <c r="J33"/>
  <c r="L33" s="1"/>
  <c r="J25"/>
  <c r="L25" s="1"/>
  <c r="J23"/>
  <c r="L23" s="1"/>
  <c r="P23" s="1"/>
  <c r="J20"/>
  <c r="L20" s="1"/>
  <c r="P20" s="1"/>
  <c r="J18"/>
  <c r="L18" s="1"/>
  <c r="P18" s="1"/>
  <c r="J14"/>
  <c r="L14" s="1"/>
  <c r="P14" s="1"/>
  <c r="J12"/>
  <c r="L12" s="1"/>
  <c r="J77" i="62"/>
  <c r="L77" s="1"/>
  <c r="J75"/>
  <c r="L75" s="1"/>
  <c r="J63"/>
  <c r="B64"/>
  <c r="J43"/>
  <c r="L43" s="1"/>
  <c r="J41"/>
  <c r="L41" s="1"/>
  <c r="J35"/>
  <c r="L35" s="1"/>
  <c r="J34"/>
  <c r="L34" s="1"/>
  <c r="D36"/>
  <c r="J25"/>
  <c r="L25" s="1"/>
  <c r="J23"/>
  <c r="L23" s="1"/>
  <c r="J21"/>
  <c r="L21" s="1"/>
  <c r="J116" i="63"/>
  <c r="J84"/>
  <c r="L84" s="1"/>
  <c r="J77"/>
  <c r="L77" s="1"/>
  <c r="J57"/>
  <c r="L57" s="1"/>
  <c r="J55"/>
  <c r="L55" s="1"/>
  <c r="J45"/>
  <c r="L45" s="1"/>
  <c r="J32"/>
  <c r="L32" s="1"/>
  <c r="B36"/>
  <c r="J24"/>
  <c r="L24" s="1"/>
  <c r="J14"/>
  <c r="L14" s="1"/>
  <c r="J85" i="64"/>
  <c r="L85" s="1"/>
  <c r="J83"/>
  <c r="L83" s="1"/>
  <c r="J77"/>
  <c r="L77" s="1"/>
  <c r="J70"/>
  <c r="L70" s="1"/>
  <c r="J55"/>
  <c r="L55" s="1"/>
  <c r="J45"/>
  <c r="L45" s="1"/>
  <c r="F47"/>
  <c r="J31"/>
  <c r="L31" s="1"/>
  <c r="D27"/>
  <c r="L90" i="69"/>
  <c r="J63"/>
  <c r="J54"/>
  <c r="J58" i="70"/>
  <c r="L58" s="1"/>
  <c r="J56"/>
  <c r="L56" s="1"/>
  <c r="P56" s="1"/>
  <c r="J54"/>
  <c r="L54" s="1"/>
  <c r="J53"/>
  <c r="L53" s="1"/>
  <c r="B151" i="63"/>
  <c r="F142"/>
  <c r="B142"/>
  <c r="B78" i="64"/>
  <c r="D34" i="68"/>
  <c r="F25"/>
  <c r="F59" i="69"/>
  <c r="B59" i="70"/>
  <c r="H34"/>
  <c r="D34"/>
  <c r="H25"/>
  <c r="J18"/>
  <c r="L18" s="1"/>
  <c r="B45" i="68"/>
  <c r="L149" i="79"/>
  <c r="P302"/>
  <c r="L109" i="51"/>
  <c r="N109"/>
  <c r="D50" i="80"/>
  <c r="F393" i="79"/>
  <c r="R362"/>
  <c r="D393"/>
  <c r="R353"/>
  <c r="N22" i="70"/>
  <c r="F50" i="80"/>
  <c r="N22" i="66"/>
  <c r="N25" s="1"/>
  <c r="R300" i="79"/>
  <c r="N76" i="64" s="1"/>
  <c r="R284" i="79"/>
  <c r="R252"/>
  <c r="R238"/>
  <c r="R132"/>
  <c r="R100"/>
  <c r="N149"/>
  <c r="R146"/>
  <c r="R116"/>
  <c r="R88"/>
  <c r="R71"/>
  <c r="R37"/>
  <c r="N100" i="51"/>
  <c r="L52" i="64"/>
  <c r="P50"/>
  <c r="L128" i="65"/>
  <c r="L133" s="1"/>
  <c r="J133"/>
  <c r="B69" i="59"/>
  <c r="L114" i="65"/>
  <c r="L102"/>
  <c r="L111" s="1"/>
  <c r="J111"/>
  <c r="N53" i="68"/>
  <c r="N53" i="70"/>
  <c r="N52"/>
  <c r="N52" i="68"/>
  <c r="J35" i="56"/>
  <c r="L35" s="1"/>
  <c r="J27"/>
  <c r="L27" s="1"/>
  <c r="J18"/>
  <c r="L18" s="1"/>
  <c r="J27" i="58"/>
  <c r="L27" s="1"/>
  <c r="J16"/>
  <c r="L16" s="1"/>
  <c r="P16" s="1"/>
  <c r="J40" i="59"/>
  <c r="J43" s="1"/>
  <c r="J73" i="62"/>
  <c r="L73" s="1"/>
  <c r="J71"/>
  <c r="J42"/>
  <c r="L42" s="1"/>
  <c r="J40"/>
  <c r="L40" s="1"/>
  <c r="D47"/>
  <c r="J24"/>
  <c r="L24" s="1"/>
  <c r="J22"/>
  <c r="L22" s="1"/>
  <c r="J20"/>
  <c r="L20" s="1"/>
  <c r="J18"/>
  <c r="L18" s="1"/>
  <c r="J16"/>
  <c r="L16" s="1"/>
  <c r="J14"/>
  <c r="L14" s="1"/>
  <c r="F151" i="63"/>
  <c r="J148"/>
  <c r="L148" s="1"/>
  <c r="J146"/>
  <c r="L146" s="1"/>
  <c r="J140"/>
  <c r="L140" s="1"/>
  <c r="J138"/>
  <c r="F134"/>
  <c r="H126"/>
  <c r="J107"/>
  <c r="L107" s="1"/>
  <c r="J105"/>
  <c r="L105" s="1"/>
  <c r="J103"/>
  <c r="L103" s="1"/>
  <c r="J101"/>
  <c r="J92"/>
  <c r="L92" s="1"/>
  <c r="J90"/>
  <c r="L90" s="1"/>
  <c r="B93"/>
  <c r="J69"/>
  <c r="H64"/>
  <c r="J61"/>
  <c r="J51"/>
  <c r="H52"/>
  <c r="J44"/>
  <c r="L44" s="1"/>
  <c r="F47"/>
  <c r="J35"/>
  <c r="J19"/>
  <c r="L19" s="1"/>
  <c r="J87" i="64"/>
  <c r="L87" s="1"/>
  <c r="P87" s="1"/>
  <c r="J74"/>
  <c r="L74" s="1"/>
  <c r="J71"/>
  <c r="L71" s="1"/>
  <c r="J57"/>
  <c r="L57" s="1"/>
  <c r="D64"/>
  <c r="J44"/>
  <c r="J35"/>
  <c r="L35" s="1"/>
  <c r="P35" s="1"/>
  <c r="F36"/>
  <c r="J24"/>
  <c r="L24" s="1"/>
  <c r="P24" s="1"/>
  <c r="J22"/>
  <c r="L22" s="1"/>
  <c r="J150" i="65"/>
  <c r="F153"/>
  <c r="J141"/>
  <c r="L20" i="77"/>
  <c r="F74" i="57"/>
  <c r="J38"/>
  <c r="L38" s="1"/>
  <c r="J37"/>
  <c r="L37" s="1"/>
  <c r="J37" i="58"/>
  <c r="L37" s="1"/>
  <c r="F64" i="62"/>
  <c r="P50"/>
  <c r="B126" i="63"/>
  <c r="F112"/>
  <c r="B64"/>
  <c r="L150" i="65"/>
  <c r="L19" i="73"/>
  <c r="L22" s="1"/>
  <c r="J93" i="65"/>
  <c r="J78"/>
  <c r="L64"/>
  <c r="L47"/>
  <c r="J27"/>
  <c r="J27" i="67"/>
  <c r="L18"/>
  <c r="L21" s="1"/>
  <c r="J62" i="68"/>
  <c r="J43"/>
  <c r="L43" s="1"/>
  <c r="H34"/>
  <c r="J32"/>
  <c r="L32" s="1"/>
  <c r="J30"/>
  <c r="L30" s="1"/>
  <c r="J28"/>
  <c r="J13"/>
  <c r="L13" s="1"/>
  <c r="J11"/>
  <c r="D92" i="69"/>
  <c r="L87"/>
  <c r="L79"/>
  <c r="L78"/>
  <c r="L77"/>
  <c r="J52" i="70"/>
  <c r="L52" s="1"/>
  <c r="J41"/>
  <c r="L41" s="1"/>
  <c r="J31"/>
  <c r="J20"/>
  <c r="L20" s="1"/>
  <c r="J13"/>
  <c r="L13" s="1"/>
  <c r="P13" s="1"/>
  <c r="J91" i="71"/>
  <c r="J38"/>
  <c r="D47" i="63"/>
  <c r="J124"/>
  <c r="L82" i="69"/>
  <c r="H113"/>
  <c r="D68" i="71"/>
  <c r="Q68" i="52"/>
  <c r="L64" i="51"/>
  <c r="J83" i="69"/>
  <c r="J63" i="70"/>
  <c r="L100" i="69"/>
  <c r="L59" i="71"/>
  <c r="J16" i="70"/>
  <c r="L25" i="71"/>
  <c r="D151" i="63"/>
  <c r="D93" i="64"/>
  <c r="L93" i="65"/>
  <c r="L141"/>
  <c r="J76" i="64"/>
  <c r="L76" s="1"/>
  <c r="J73"/>
  <c r="F78"/>
  <c r="D78" i="62"/>
  <c r="L78" i="65"/>
  <c r="F78" i="63"/>
  <c r="J19" i="62"/>
  <c r="L19" s="1"/>
  <c r="H27" i="64"/>
  <c r="J17" i="62"/>
  <c r="L17" s="1"/>
  <c r="J15"/>
  <c r="F27" i="63"/>
  <c r="L63" i="59"/>
  <c r="L40"/>
  <c r="D69"/>
  <c r="U64" i="52"/>
  <c r="S43" i="55"/>
  <c r="O70" i="52"/>
  <c r="O78" s="1"/>
  <c r="O87" s="1"/>
  <c r="E70"/>
  <c r="G70"/>
  <c r="U68"/>
  <c r="S25" i="55"/>
  <c r="O56" s="1"/>
  <c r="S12"/>
  <c r="U12" s="1"/>
  <c r="N82" i="51"/>
  <c r="F51" i="157" s="1"/>
  <c r="D51" s="1"/>
  <c r="D53" s="1"/>
  <c r="N74" i="51"/>
  <c r="F41" i="157" s="1"/>
  <c r="D41" s="1"/>
  <c r="D43" s="1"/>
  <c r="N64" i="51"/>
  <c r="N30"/>
  <c r="F21" i="157" s="1"/>
  <c r="N22" i="51"/>
  <c r="F11" i="157" s="1"/>
  <c r="N12" i="51"/>
  <c r="J150" i="63"/>
  <c r="H93" i="64"/>
  <c r="X67" i="52" l="1"/>
  <c r="X75" s="1"/>
  <c r="X79" s="1"/>
  <c r="N55" i="51"/>
  <c r="F71" i="157" s="1"/>
  <c r="D113" i="51"/>
  <c r="D116" s="1"/>
  <c r="D119" s="1"/>
  <c r="C92" i="52" s="1"/>
  <c r="L23" i="77"/>
  <c r="B25" i="66"/>
  <c r="L117" i="65"/>
  <c r="L153" s="1"/>
  <c r="L27"/>
  <c r="P25" i="64"/>
  <c r="AG20" i="154"/>
  <c r="AN15"/>
  <c r="AN20" s="1"/>
  <c r="AN306"/>
  <c r="C182" i="53"/>
  <c r="C191" s="1"/>
  <c r="L82" i="62"/>
  <c r="D25" i="66"/>
  <c r="P58" i="68"/>
  <c r="P17" i="56"/>
  <c r="P44" i="68"/>
  <c r="P54"/>
  <c r="D161" i="157"/>
  <c r="D163" s="1"/>
  <c r="P22" i="68"/>
  <c r="P25" i="56"/>
  <c r="P14" i="68"/>
  <c r="P30" i="56"/>
  <c r="P48" i="68"/>
  <c r="D111" i="157"/>
  <c r="D113" s="1"/>
  <c r="F113"/>
  <c r="H113" s="1"/>
  <c r="P20" i="68"/>
  <c r="P18"/>
  <c r="P16"/>
  <c r="P15"/>
  <c r="L52" i="62"/>
  <c r="P38" i="56"/>
  <c r="P37"/>
  <c r="P32"/>
  <c r="P33"/>
  <c r="P30" i="62"/>
  <c r="P22"/>
  <c r="P42"/>
  <c r="P31"/>
  <c r="P34"/>
  <c r="P92"/>
  <c r="P11"/>
  <c r="P77"/>
  <c r="P20"/>
  <c r="P39"/>
  <c r="P25"/>
  <c r="P26" i="56"/>
  <c r="L62" i="70"/>
  <c r="J65"/>
  <c r="L11" i="66"/>
  <c r="P11" s="1"/>
  <c r="P12" s="1"/>
  <c r="P62" i="70"/>
  <c r="S78" i="52"/>
  <c r="S87" s="1"/>
  <c r="P14" i="70"/>
  <c r="P30" i="58"/>
  <c r="P21" i="56"/>
  <c r="S35" i="55"/>
  <c r="O70" s="1"/>
  <c r="B115" i="71"/>
  <c r="L62" i="69"/>
  <c r="J65"/>
  <c r="L121" i="86"/>
  <c r="L158" s="1"/>
  <c r="J65" i="68"/>
  <c r="N65"/>
  <c r="P17" i="62"/>
  <c r="P55" i="70"/>
  <c r="L108" i="71"/>
  <c r="B113" i="69"/>
  <c r="J49" i="68"/>
  <c r="L49" s="1"/>
  <c r="M57" i="55"/>
  <c r="M71"/>
  <c r="M73" s="1"/>
  <c r="O74" s="1"/>
  <c r="P54" i="70"/>
  <c r="P41" i="62"/>
  <c r="F25" i="66"/>
  <c r="F191" i="157"/>
  <c r="F193" s="1"/>
  <c r="H193" s="1"/>
  <c r="F253"/>
  <c r="D253" s="1"/>
  <c r="D255" s="1"/>
  <c r="N52" i="64"/>
  <c r="P21" i="62"/>
  <c r="P21" i="68"/>
  <c r="R331" i="79"/>
  <c r="R333" s="1"/>
  <c r="N37" i="68"/>
  <c r="N38" s="1"/>
  <c r="T175" i="86"/>
  <c r="T229" s="1"/>
  <c r="P24" i="56"/>
  <c r="R440" i="79"/>
  <c r="B325" i="152"/>
  <c r="D184" i="154"/>
  <c r="D239" s="1"/>
  <c r="B398" i="152"/>
  <c r="B401" s="1"/>
  <c r="R397"/>
  <c r="D183" i="154"/>
  <c r="V183" s="1"/>
  <c r="R330" i="152"/>
  <c r="B331"/>
  <c r="B333" s="1"/>
  <c r="D229" i="86"/>
  <c r="D231" s="1"/>
  <c r="D236" s="1"/>
  <c r="D237" s="1"/>
  <c r="D177"/>
  <c r="B440" i="152"/>
  <c r="B443" s="1"/>
  <c r="R437"/>
  <c r="R440" s="1"/>
  <c r="R398" i="79"/>
  <c r="R401" s="1"/>
  <c r="N37" i="70"/>
  <c r="N38" s="1"/>
  <c r="T176" i="86"/>
  <c r="T230" s="1"/>
  <c r="N51" i="62"/>
  <c r="P51" s="1"/>
  <c r="P52" s="1"/>
  <c r="P52" i="64"/>
  <c r="P23" i="56"/>
  <c r="F103" i="157"/>
  <c r="H103" s="1"/>
  <c r="P42" i="70"/>
  <c r="P43" i="64"/>
  <c r="P44" i="70"/>
  <c r="P89" i="62"/>
  <c r="D59" i="68"/>
  <c r="D68" s="1"/>
  <c r="F126" i="86"/>
  <c r="F129" s="1"/>
  <c r="Y129" s="1"/>
  <c r="B76" i="57"/>
  <c r="L36" i="56"/>
  <c r="P55" i="62"/>
  <c r="P33" i="68"/>
  <c r="P92" i="64"/>
  <c r="P36" i="58"/>
  <c r="P28" i="70"/>
  <c r="P43" i="68"/>
  <c r="P35" i="56"/>
  <c r="P45" i="64"/>
  <c r="P11" i="56"/>
  <c r="P19" i="70"/>
  <c r="P33" i="58"/>
  <c r="P82" i="62"/>
  <c r="AM82" i="53"/>
  <c r="P40" i="62"/>
  <c r="P19" i="56"/>
  <c r="P29"/>
  <c r="P39"/>
  <c r="P28"/>
  <c r="J52" i="68"/>
  <c r="L52" s="1"/>
  <c r="L50"/>
  <c r="P34" i="64"/>
  <c r="P24" i="62"/>
  <c r="P42" i="64"/>
  <c r="J13" i="62"/>
  <c r="J27" s="1"/>
  <c r="H25" i="66"/>
  <c r="P85" i="62"/>
  <c r="J118" i="63"/>
  <c r="P12" i="58"/>
  <c r="P11" i="70"/>
  <c r="J83" i="62"/>
  <c r="L83" s="1"/>
  <c r="P23" i="68"/>
  <c r="P46" i="70"/>
  <c r="P32" i="68"/>
  <c r="J45"/>
  <c r="L45" s="1"/>
  <c r="P18" i="72"/>
  <c r="P17" i="58"/>
  <c r="P41" i="70"/>
  <c r="P30" i="68"/>
  <c r="P14" i="62"/>
  <c r="P25" i="58"/>
  <c r="F59" i="68"/>
  <c r="F68" s="1"/>
  <c r="L115" i="63"/>
  <c r="P20" i="56"/>
  <c r="P17" i="68"/>
  <c r="H325" i="79"/>
  <c r="H458" s="1"/>
  <c r="P15" i="70"/>
  <c r="P18"/>
  <c r="P45" i="62"/>
  <c r="P67"/>
  <c r="P57" i="68"/>
  <c r="P48" i="70"/>
  <c r="P19" i="68"/>
  <c r="N25"/>
  <c r="P13"/>
  <c r="P91" i="62"/>
  <c r="P90"/>
  <c r="P32" i="64"/>
  <c r="P22"/>
  <c r="P18" i="62"/>
  <c r="P38" i="58"/>
  <c r="P15" i="56"/>
  <c r="P14"/>
  <c r="P13" i="58"/>
  <c r="P20" i="64"/>
  <c r="P27" i="58"/>
  <c r="P58" i="70"/>
  <c r="P81" i="64"/>
  <c r="P21" i="70"/>
  <c r="P85" i="64"/>
  <c r="P47" i="68"/>
  <c r="P32" i="62"/>
  <c r="P84" i="64"/>
  <c r="G71" i="55"/>
  <c r="G73" s="1"/>
  <c r="J34" i="69"/>
  <c r="L29"/>
  <c r="L34" s="1"/>
  <c r="J81" i="62"/>
  <c r="L122" i="86" s="1"/>
  <c r="L159" s="1"/>
  <c r="F93" i="62"/>
  <c r="J126" i="86"/>
  <c r="J129" s="1"/>
  <c r="AG129" s="1"/>
  <c r="AG10" s="1"/>
  <c r="N34" i="70"/>
  <c r="G58" i="55"/>
  <c r="G60" s="1"/>
  <c r="D263" i="157"/>
  <c r="D265" s="1"/>
  <c r="F265"/>
  <c r="H265" s="1"/>
  <c r="D223"/>
  <c r="D225" s="1"/>
  <c r="F225"/>
  <c r="H225" s="1"/>
  <c r="D283"/>
  <c r="D285" s="1"/>
  <c r="F285"/>
  <c r="H285" s="1"/>
  <c r="D201"/>
  <c r="D203" s="1"/>
  <c r="F203"/>
  <c r="H203" s="1"/>
  <c r="F93"/>
  <c r="H93" s="1"/>
  <c r="F133"/>
  <c r="H133" s="1"/>
  <c r="F83"/>
  <c r="H83" s="1"/>
  <c r="F53"/>
  <c r="H53" s="1"/>
  <c r="F43"/>
  <c r="H43" s="1"/>
  <c r="F61"/>
  <c r="D61" s="1"/>
  <c r="D63" s="1"/>
  <c r="D21"/>
  <c r="D23" s="1"/>
  <c r="F23"/>
  <c r="H23" s="1"/>
  <c r="D11"/>
  <c r="D13" s="1"/>
  <c r="F13"/>
  <c r="H13" s="1"/>
  <c r="F31"/>
  <c r="L66" i="59"/>
  <c r="L95" i="69"/>
  <c r="L105" s="1"/>
  <c r="P325" i="152"/>
  <c r="H325"/>
  <c r="J325"/>
  <c r="J458" s="1"/>
  <c r="B156" i="65"/>
  <c r="P30" i="64"/>
  <c r="D325" i="152"/>
  <c r="V236" i="86"/>
  <c r="X306" i="154" s="1"/>
  <c r="F243" i="157"/>
  <c r="F325" i="152"/>
  <c r="F213" i="157"/>
  <c r="M191" i="53"/>
  <c r="AA236" i="86"/>
  <c r="AA12" s="1"/>
  <c r="AA20" s="1"/>
  <c r="AA23" s="1"/>
  <c r="AF10"/>
  <c r="AL291"/>
  <c r="AM291" s="1"/>
  <c r="AG15"/>
  <c r="AL15" s="1"/>
  <c r="AF236"/>
  <c r="L325" i="152"/>
  <c r="D159" i="86"/>
  <c r="D162"/>
  <c r="T123"/>
  <c r="T160" s="1"/>
  <c r="AH236"/>
  <c r="N325" i="152"/>
  <c r="T222" i="86"/>
  <c r="T227"/>
  <c r="H68" i="69"/>
  <c r="H116" s="1"/>
  <c r="P35" i="62"/>
  <c r="P16" i="56"/>
  <c r="H93" i="62"/>
  <c r="L37" i="69"/>
  <c r="L38" s="1"/>
  <c r="N36" i="62"/>
  <c r="P44"/>
  <c r="F151" i="157"/>
  <c r="P31" i="64"/>
  <c r="P29" i="68"/>
  <c r="P12" i="64"/>
  <c r="L37" i="68"/>
  <c r="L125" i="86"/>
  <c r="L162" s="1"/>
  <c r="L12" i="56"/>
  <c r="L117" i="86"/>
  <c r="T117" s="1"/>
  <c r="D126"/>
  <c r="D129" s="1"/>
  <c r="D130" s="1"/>
  <c r="J163"/>
  <c r="J179" s="1"/>
  <c r="F163"/>
  <c r="H126"/>
  <c r="H129" s="1"/>
  <c r="Z129" s="1"/>
  <c r="L12" i="68"/>
  <c r="L119" i="86"/>
  <c r="L42" i="68"/>
  <c r="L118" i="86"/>
  <c r="L46" i="68"/>
  <c r="L120" i="86"/>
  <c r="H163"/>
  <c r="H179" s="1"/>
  <c r="H76" i="57"/>
  <c r="P13" i="56"/>
  <c r="F273" i="157"/>
  <c r="L47" i="63"/>
  <c r="R149" i="79"/>
  <c r="J325"/>
  <c r="J458" s="1"/>
  <c r="AM36" i="53"/>
  <c r="P62" i="64"/>
  <c r="P63" i="68"/>
  <c r="N56"/>
  <c r="N59" s="1"/>
  <c r="P33" i="70"/>
  <c r="N34" i="68"/>
  <c r="P31"/>
  <c r="P24"/>
  <c r="P20" i="70"/>
  <c r="N25"/>
  <c r="P17"/>
  <c r="P83" i="64"/>
  <c r="P62" i="62"/>
  <c r="N47"/>
  <c r="P43"/>
  <c r="P33"/>
  <c r="N36" i="64"/>
  <c r="P19" i="62"/>
  <c r="P19" i="64"/>
  <c r="P15"/>
  <c r="P13"/>
  <c r="P12" i="62"/>
  <c r="P37" i="58"/>
  <c r="P32"/>
  <c r="P27" i="56"/>
  <c r="P18"/>
  <c r="F68" i="70"/>
  <c r="F68" i="69"/>
  <c r="F116" s="1"/>
  <c r="F76" i="57"/>
  <c r="J113" i="51"/>
  <c r="J116" s="1"/>
  <c r="J119" s="1"/>
  <c r="B59" i="68"/>
  <c r="B68" s="1"/>
  <c r="B68" i="69"/>
  <c r="H154" i="63"/>
  <c r="J41" i="68"/>
  <c r="L41" s="1"/>
  <c r="J56"/>
  <c r="L56" s="1"/>
  <c r="J87" i="62"/>
  <c r="L87" s="1"/>
  <c r="H59" i="68"/>
  <c r="H68" s="1"/>
  <c r="P40" i="64"/>
  <c r="P17"/>
  <c r="H96"/>
  <c r="J88" i="62"/>
  <c r="L88" s="1"/>
  <c r="P31" i="56"/>
  <c r="P86" i="64"/>
  <c r="P46" i="62"/>
  <c r="B96" i="64"/>
  <c r="B93" i="62"/>
  <c r="P53" i="68"/>
  <c r="J134" i="63"/>
  <c r="P10" i="60"/>
  <c r="P11" s="1"/>
  <c r="P14" s="1"/>
  <c r="L36" i="64"/>
  <c r="N40" i="58"/>
  <c r="N43" s="1"/>
  <c r="N93" i="64"/>
  <c r="L92" i="69"/>
  <c r="L25"/>
  <c r="H115" i="71"/>
  <c r="H156" i="65"/>
  <c r="J64" i="62"/>
  <c r="P77" i="64"/>
  <c r="D154" i="63"/>
  <c r="P53" i="70"/>
  <c r="L36" i="62"/>
  <c r="P16" i="64"/>
  <c r="L27" i="63"/>
  <c r="J32" i="73"/>
  <c r="P55" i="68"/>
  <c r="P52" i="70"/>
  <c r="P14" i="72"/>
  <c r="N19"/>
  <c r="N22" s="1"/>
  <c r="P84" i="62"/>
  <c r="N93"/>
  <c r="R50" i="80"/>
  <c r="F325" i="79"/>
  <c r="F458" s="1"/>
  <c r="N71" i="62"/>
  <c r="P71" i="64"/>
  <c r="L325" i="79"/>
  <c r="L458" s="1"/>
  <c r="B325"/>
  <c r="B458" s="1"/>
  <c r="P325"/>
  <c r="P458" s="1"/>
  <c r="N47" i="64"/>
  <c r="N27" i="62"/>
  <c r="P16"/>
  <c r="N27" i="64"/>
  <c r="P14"/>
  <c r="F233" i="157"/>
  <c r="G78" i="52"/>
  <c r="G87" s="1"/>
  <c r="J68" i="71"/>
  <c r="D68" i="70"/>
  <c r="L63" i="62"/>
  <c r="D156" i="65"/>
  <c r="L74" i="57"/>
  <c r="H113" i="51"/>
  <c r="F171" i="157"/>
  <c r="L32" i="51"/>
  <c r="F113"/>
  <c r="F116" s="1"/>
  <c r="L93" i="64"/>
  <c r="J27" i="63"/>
  <c r="L133"/>
  <c r="L134" s="1"/>
  <c r="L22" i="66"/>
  <c r="L13" i="72"/>
  <c r="J19"/>
  <c r="J22" s="1"/>
  <c r="J38" i="68"/>
  <c r="L47" i="62"/>
  <c r="L116" i="63"/>
  <c r="P34" i="56"/>
  <c r="J47" i="62"/>
  <c r="J22" i="66"/>
  <c r="J25" s="1"/>
  <c r="B27" i="62"/>
  <c r="B68" i="70"/>
  <c r="P23" i="62"/>
  <c r="F115" i="71"/>
  <c r="F156" i="65"/>
  <c r="D113" i="69"/>
  <c r="D93" i="62"/>
  <c r="J86"/>
  <c r="N325" i="79"/>
  <c r="N458" s="1"/>
  <c r="D68" i="69"/>
  <c r="I78" i="52"/>
  <c r="I87" s="1"/>
  <c r="P55" i="64"/>
  <c r="L64"/>
  <c r="D96" i="63"/>
  <c r="F96" i="64"/>
  <c r="L43" i="59"/>
  <c r="L32" i="73"/>
  <c r="L83" i="69"/>
  <c r="L40" i="57"/>
  <c r="J25" i="69"/>
  <c r="L59" i="70"/>
  <c r="J59"/>
  <c r="N74" i="62"/>
  <c r="P74" s="1"/>
  <c r="P74" i="64"/>
  <c r="D325" i="79"/>
  <c r="D458" s="1"/>
  <c r="H68" i="70"/>
  <c r="L93" i="63"/>
  <c r="J74" i="57"/>
  <c r="D76"/>
  <c r="L40" i="58"/>
  <c r="B154" i="63"/>
  <c r="L37" i="70"/>
  <c r="J38"/>
  <c r="J113" i="69"/>
  <c r="N59" i="70"/>
  <c r="R393" i="79"/>
  <c r="N76" i="62"/>
  <c r="P76" s="1"/>
  <c r="N40" i="56"/>
  <c r="N43" s="1"/>
  <c r="D115" i="71"/>
  <c r="J153" i="65"/>
  <c r="J36" i="62"/>
  <c r="D96" i="64"/>
  <c r="L27"/>
  <c r="J27"/>
  <c r="J40" i="57"/>
  <c r="J40" i="58"/>
  <c r="J43" s="1"/>
  <c r="N32" i="51"/>
  <c r="T53" i="86" s="1"/>
  <c r="L63" i="69"/>
  <c r="F181" i="157"/>
  <c r="H96" i="63"/>
  <c r="L54" i="69"/>
  <c r="L59" s="1"/>
  <c r="J59"/>
  <c r="P22" i="70"/>
  <c r="P76" i="64"/>
  <c r="N75" i="62"/>
  <c r="P75" s="1"/>
  <c r="N75" i="64"/>
  <c r="P75" s="1"/>
  <c r="N73"/>
  <c r="N73" i="62"/>
  <c r="P73" s="1"/>
  <c r="N72" i="64"/>
  <c r="P72" s="1"/>
  <c r="N72" i="62"/>
  <c r="P72" s="1"/>
  <c r="N70" i="64"/>
  <c r="P70" s="1"/>
  <c r="N70" i="62"/>
  <c r="P70" s="1"/>
  <c r="N57"/>
  <c r="P57" s="1"/>
  <c r="N57" i="64"/>
  <c r="P57" s="1"/>
  <c r="N61" i="62"/>
  <c r="P61" s="1"/>
  <c r="N61" i="64"/>
  <c r="P61" s="1"/>
  <c r="N60" i="62"/>
  <c r="P60" s="1"/>
  <c r="N60" i="64"/>
  <c r="P60" s="1"/>
  <c r="N56"/>
  <c r="N56" i="62"/>
  <c r="N59" i="64"/>
  <c r="P59" s="1"/>
  <c r="N59" i="62"/>
  <c r="P59" s="1"/>
  <c r="N58" i="64"/>
  <c r="P58" s="1"/>
  <c r="N58" i="62"/>
  <c r="P58" s="1"/>
  <c r="N69" i="64"/>
  <c r="N69" i="62"/>
  <c r="R302" i="79"/>
  <c r="Q70" i="52"/>
  <c r="L124" i="63"/>
  <c r="L126" s="1"/>
  <c r="J126"/>
  <c r="L31" i="70"/>
  <c r="J34"/>
  <c r="L11" i="68"/>
  <c r="J25"/>
  <c r="L28"/>
  <c r="J34"/>
  <c r="L62"/>
  <c r="L44" i="64"/>
  <c r="J47"/>
  <c r="L35" i="63"/>
  <c r="L36" s="1"/>
  <c r="J36"/>
  <c r="L51"/>
  <c r="L52" s="1"/>
  <c r="J52"/>
  <c r="J78"/>
  <c r="L69"/>
  <c r="L78" s="1"/>
  <c r="N84" i="51"/>
  <c r="J37" i="67"/>
  <c r="P22" i="66"/>
  <c r="J96" i="65"/>
  <c r="J93" i="64"/>
  <c r="J64"/>
  <c r="L84" i="51"/>
  <c r="L91" i="71"/>
  <c r="L92" s="1"/>
  <c r="J92"/>
  <c r="J112" s="1"/>
  <c r="L61" i="63"/>
  <c r="L64" s="1"/>
  <c r="J64"/>
  <c r="L101"/>
  <c r="L112" s="1"/>
  <c r="J112"/>
  <c r="L138"/>
  <c r="L142" s="1"/>
  <c r="J142"/>
  <c r="L71" i="62"/>
  <c r="J78"/>
  <c r="J69" i="59"/>
  <c r="B96" i="63"/>
  <c r="F154"/>
  <c r="J36" i="64"/>
  <c r="J93" i="63"/>
  <c r="J47"/>
  <c r="J40" i="56"/>
  <c r="J43" s="1"/>
  <c r="L63" i="70"/>
  <c r="L68" i="71"/>
  <c r="L16" i="70"/>
  <c r="J25"/>
  <c r="L73" i="64"/>
  <c r="J78"/>
  <c r="F96" i="63"/>
  <c r="L15" i="62"/>
  <c r="L40" i="67"/>
  <c r="E78" i="52"/>
  <c r="E87" s="1"/>
  <c r="C37" i="55"/>
  <c r="C46" s="1"/>
  <c r="U70" i="52"/>
  <c r="U78" s="1"/>
  <c r="L150" i="63"/>
  <c r="L151" s="1"/>
  <c r="J151"/>
  <c r="M59" i="55" l="1"/>
  <c r="O60" s="1"/>
  <c r="N57" i="51"/>
  <c r="T78" i="86" s="1"/>
  <c r="AS15" i="154"/>
  <c r="L96" i="65"/>
  <c r="D71" i="157"/>
  <c r="D73" s="1"/>
  <c r="F73"/>
  <c r="H73" s="1"/>
  <c r="AM182" i="53"/>
  <c r="AM191" s="1"/>
  <c r="L65" i="68"/>
  <c r="P49"/>
  <c r="P45"/>
  <c r="P41"/>
  <c r="F119" i="51"/>
  <c r="AJ22" i="86" s="1"/>
  <c r="P52" i="68"/>
  <c r="L38"/>
  <c r="P36" i="56"/>
  <c r="P50" i="68"/>
  <c r="P63" i="62"/>
  <c r="P83"/>
  <c r="P88"/>
  <c r="P87"/>
  <c r="L12" i="66"/>
  <c r="L25" s="1"/>
  <c r="L65" i="70"/>
  <c r="T121" i="86"/>
  <c r="T158" s="1"/>
  <c r="R443" i="79"/>
  <c r="O75" i="55"/>
  <c r="O77" s="1"/>
  <c r="S37"/>
  <c r="S46" s="1"/>
  <c r="L65" i="69"/>
  <c r="L68" s="1"/>
  <c r="B116"/>
  <c r="D191" i="157"/>
  <c r="D193" s="1"/>
  <c r="T177" i="86"/>
  <c r="T231"/>
  <c r="T236" s="1"/>
  <c r="T237" s="1"/>
  <c r="F255" i="157"/>
  <c r="H255" s="1"/>
  <c r="L40" i="56"/>
  <c r="L43" s="1"/>
  <c r="V184" i="154"/>
  <c r="N37" i="142"/>
  <c r="R398" i="152"/>
  <c r="R401" s="1"/>
  <c r="N37" i="140"/>
  <c r="D238" i="154"/>
  <c r="D240" s="1"/>
  <c r="D185"/>
  <c r="D187" s="1"/>
  <c r="N51" i="134"/>
  <c r="R331" i="152"/>
  <c r="R333" s="1"/>
  <c r="N51" i="136"/>
  <c r="R443" i="152"/>
  <c r="B458"/>
  <c r="N52" i="62"/>
  <c r="L81"/>
  <c r="P458" i="152"/>
  <c r="L13" i="62"/>
  <c r="L118" i="63"/>
  <c r="L154" s="1"/>
  <c r="T122" i="86"/>
  <c r="T159" s="1"/>
  <c r="H96" i="62"/>
  <c r="P59" i="70"/>
  <c r="P93" i="64"/>
  <c r="F96" i="62"/>
  <c r="H156" i="63"/>
  <c r="H158" s="1"/>
  <c r="D181" i="157"/>
  <c r="D183" s="1"/>
  <c r="F183"/>
  <c r="H183" s="1"/>
  <c r="D273"/>
  <c r="D275" s="1"/>
  <c r="F275"/>
  <c r="H275" s="1"/>
  <c r="D243"/>
  <c r="D245" s="1"/>
  <c r="F245"/>
  <c r="H245" s="1"/>
  <c r="D171"/>
  <c r="D173" s="1"/>
  <c r="F173"/>
  <c r="H173" s="1"/>
  <c r="D233"/>
  <c r="D235" s="1"/>
  <c r="F235"/>
  <c r="H235" s="1"/>
  <c r="D151"/>
  <c r="D153" s="1"/>
  <c r="F153"/>
  <c r="H153" s="1"/>
  <c r="D213"/>
  <c r="D215" s="1"/>
  <c r="F215"/>
  <c r="H215" s="1"/>
  <c r="P56" i="68"/>
  <c r="P36" i="64"/>
  <c r="F63" i="157"/>
  <c r="H63" s="1"/>
  <c r="D31"/>
  <c r="D33" s="1"/>
  <c r="F33"/>
  <c r="H33" s="1"/>
  <c r="AE12" i="154"/>
  <c r="H458" i="152"/>
  <c r="D458"/>
  <c r="F458"/>
  <c r="X12" i="154"/>
  <c r="X20" s="1"/>
  <c r="X23" s="1"/>
  <c r="T105" i="86"/>
  <c r="AO20" i="154"/>
  <c r="AO306"/>
  <c r="AM15" i="86"/>
  <c r="L458" i="152"/>
  <c r="D163" i="86"/>
  <c r="D179" s="1"/>
  <c r="D180" s="1"/>
  <c r="AF12"/>
  <c r="AF20" s="1"/>
  <c r="AG236"/>
  <c r="AL236" s="1"/>
  <c r="T125"/>
  <c r="T162" s="1"/>
  <c r="L157"/>
  <c r="T120"/>
  <c r="T157" s="1"/>
  <c r="L155"/>
  <c r="T118"/>
  <c r="T155" s="1"/>
  <c r="L156"/>
  <c r="T119"/>
  <c r="T156" s="1"/>
  <c r="V12"/>
  <c r="V20" s="1"/>
  <c r="V293"/>
  <c r="AH12"/>
  <c r="AH20" s="1"/>
  <c r="AH293"/>
  <c r="N458" i="152"/>
  <c r="P36" i="62"/>
  <c r="Y10" i="86"/>
  <c r="AL129"/>
  <c r="P46" i="68"/>
  <c r="P42"/>
  <c r="P12"/>
  <c r="Y179" i="86"/>
  <c r="F179"/>
  <c r="P12" i="56"/>
  <c r="P37" i="68"/>
  <c r="P38" s="1"/>
  <c r="Z10" i="86"/>
  <c r="Z293"/>
  <c r="L126"/>
  <c r="L129" s="1"/>
  <c r="L154"/>
  <c r="AJ150"/>
  <c r="P40" i="58"/>
  <c r="P43" s="1"/>
  <c r="H116" i="51"/>
  <c r="H119" s="1"/>
  <c r="P47" i="62"/>
  <c r="N68" i="68"/>
  <c r="N68" i="70"/>
  <c r="P27" i="64"/>
  <c r="J59" i="68"/>
  <c r="J68" s="1"/>
  <c r="B96" i="62"/>
  <c r="L113" i="69"/>
  <c r="L59" i="68"/>
  <c r="L64" i="62"/>
  <c r="L69" i="59"/>
  <c r="D116" i="69"/>
  <c r="L76" i="57"/>
  <c r="L43" i="58"/>
  <c r="L19" i="72"/>
  <c r="L22" s="1"/>
  <c r="P13"/>
  <c r="P19" s="1"/>
  <c r="P22" s="1"/>
  <c r="P25" i="66"/>
  <c r="D156" i="63"/>
  <c r="D158" s="1"/>
  <c r="D96" i="62"/>
  <c r="L86"/>
  <c r="J93"/>
  <c r="N86" i="51"/>
  <c r="N50"/>
  <c r="F156" i="63"/>
  <c r="J96"/>
  <c r="J76" i="57"/>
  <c r="L38" i="70"/>
  <c r="P37"/>
  <c r="P38" s="1"/>
  <c r="J96" i="64"/>
  <c r="J154" i="63"/>
  <c r="N113" i="51"/>
  <c r="J68" i="69"/>
  <c r="N64" i="62"/>
  <c r="P56"/>
  <c r="N64" i="64"/>
  <c r="P56"/>
  <c r="P64" s="1"/>
  <c r="P69" i="62"/>
  <c r="N78"/>
  <c r="R325" i="79"/>
  <c r="N78" i="64"/>
  <c r="P69"/>
  <c r="P71" i="62"/>
  <c r="L78"/>
  <c r="L112" i="71"/>
  <c r="L113" i="51"/>
  <c r="L116" s="1"/>
  <c r="J156" i="65"/>
  <c r="J40" i="67"/>
  <c r="P62" i="68"/>
  <c r="P65" s="1"/>
  <c r="Q78" i="52"/>
  <c r="Q87" s="1"/>
  <c r="L96" i="63"/>
  <c r="J115" i="71"/>
  <c r="P44" i="64"/>
  <c r="P47" s="1"/>
  <c r="L47"/>
  <c r="L34" i="68"/>
  <c r="P28"/>
  <c r="P34" s="1"/>
  <c r="P11"/>
  <c r="L25"/>
  <c r="P31" i="70"/>
  <c r="P34" s="1"/>
  <c r="L34"/>
  <c r="B156" i="63"/>
  <c r="P63" i="70"/>
  <c r="P65" s="1"/>
  <c r="J68"/>
  <c r="P16"/>
  <c r="P25" s="1"/>
  <c r="L25"/>
  <c r="P73" i="64"/>
  <c r="L78"/>
  <c r="P15" i="62"/>
  <c r="U87" i="52"/>
  <c r="Q60" i="55" l="1"/>
  <c r="O61"/>
  <c r="AT15" i="154"/>
  <c r="L156" i="65"/>
  <c r="P40" i="56"/>
  <c r="P43" s="1"/>
  <c r="D245" i="154"/>
  <c r="D246" s="1"/>
  <c r="AQ158"/>
  <c r="AQ13" s="1"/>
  <c r="AS13" s="1"/>
  <c r="P64" i="62"/>
  <c r="P13"/>
  <c r="P27" s="1"/>
  <c r="P81"/>
  <c r="T238" i="86"/>
  <c r="AM236"/>
  <c r="N52" i="134"/>
  <c r="P51"/>
  <c r="P52" s="1"/>
  <c r="R458" i="152"/>
  <c r="N38" i="140"/>
  <c r="N68" s="1"/>
  <c r="P37"/>
  <c r="P38" s="1"/>
  <c r="P68" s="1"/>
  <c r="V238" i="154"/>
  <c r="V185"/>
  <c r="V187" s="1"/>
  <c r="V239"/>
  <c r="N52" i="136"/>
  <c r="N96" s="1"/>
  <c r="P51"/>
  <c r="P52" s="1"/>
  <c r="P96" s="1"/>
  <c r="N38" i="142"/>
  <c r="N68" s="1"/>
  <c r="P37"/>
  <c r="P38" s="1"/>
  <c r="P68" s="1"/>
  <c r="L27" i="62"/>
  <c r="B158" i="63"/>
  <c r="F158"/>
  <c r="L78" i="57"/>
  <c r="AS245" i="154"/>
  <c r="P59" i="68"/>
  <c r="AS12" i="154"/>
  <c r="Z20" i="86"/>
  <c r="Z23" s="1"/>
  <c r="L163"/>
  <c r="L179" s="1"/>
  <c r="AG12"/>
  <c r="AG20" s="1"/>
  <c r="AG293"/>
  <c r="V23"/>
  <c r="P25" i="68"/>
  <c r="AM129" i="86"/>
  <c r="AL10"/>
  <c r="AJ293"/>
  <c r="AJ13"/>
  <c r="AJ20" s="1"/>
  <c r="T154"/>
  <c r="T163" s="1"/>
  <c r="T179" s="1"/>
  <c r="T126"/>
  <c r="Y14"/>
  <c r="AL14" s="1"/>
  <c r="AL179"/>
  <c r="Y150"/>
  <c r="L116" i="69"/>
  <c r="J96" i="62"/>
  <c r="P78"/>
  <c r="P86"/>
  <c r="L93"/>
  <c r="L96" i="64"/>
  <c r="N96"/>
  <c r="J156" i="63"/>
  <c r="J158" s="1"/>
  <c r="L156"/>
  <c r="J116" i="69"/>
  <c r="N96" i="62"/>
  <c r="R458" i="79"/>
  <c r="P78" i="64"/>
  <c r="P96" s="1"/>
  <c r="P68" i="70"/>
  <c r="L68" i="68"/>
  <c r="L119" i="51"/>
  <c r="N116"/>
  <c r="N119" s="1"/>
  <c r="L115" i="71"/>
  <c r="L68" i="70"/>
  <c r="U89" i="52"/>
  <c r="Q61" i="55" l="1"/>
  <c r="O63"/>
  <c r="AQ306" i="154"/>
  <c r="AS158"/>
  <c r="AT158" s="1"/>
  <c r="AQ20"/>
  <c r="AQ23" s="1"/>
  <c r="P93" i="62"/>
  <c r="V240" i="154"/>
  <c r="V245" s="1"/>
  <c r="V247" s="1"/>
  <c r="V188"/>
  <c r="AT187"/>
  <c r="N96" i="134"/>
  <c r="P96"/>
  <c r="L158" i="63"/>
  <c r="AE306" i="154"/>
  <c r="AS137"/>
  <c r="AT137" s="1"/>
  <c r="AT13"/>
  <c r="AM10" i="86"/>
  <c r="P68" i="68"/>
  <c r="AT12" i="154"/>
  <c r="AL12" i="86"/>
  <c r="T129"/>
  <c r="T131" s="1"/>
  <c r="AM179"/>
  <c r="AL150"/>
  <c r="AM150" s="1"/>
  <c r="Y13"/>
  <c r="Y20" s="1"/>
  <c r="Y293"/>
  <c r="AM14"/>
  <c r="T180"/>
  <c r="AJ23"/>
  <c r="L96" i="62"/>
  <c r="U92" i="52"/>
  <c r="P96" i="62" l="1"/>
  <c r="AT245" i="154"/>
  <c r="V246"/>
  <c r="AE20"/>
  <c r="AE23" s="1"/>
  <c r="AS10"/>
  <c r="AM12" i="86"/>
  <c r="T130"/>
  <c r="Y23"/>
  <c r="AL13"/>
  <c r="AT10" i="154" l="1"/>
  <c r="AM13" i="86"/>
  <c r="S61" i="55" l="1"/>
</calcChain>
</file>

<file path=xl/comments1.xml><?xml version="1.0" encoding="utf-8"?>
<comments xmlns="http://schemas.openxmlformats.org/spreadsheetml/2006/main">
  <authors>
    <author> </author>
  </authors>
  <commentList>
    <comment ref="I115" authorId="0">
      <text>
        <r>
          <rPr>
            <b/>
            <sz val="8"/>
            <color indexed="81"/>
            <rFont val="Tahoma"/>
            <family val="2"/>
          </rPr>
          <t> :</t>
        </r>
        <r>
          <rPr>
            <sz val="8"/>
            <color indexed="81"/>
            <rFont val="Tahoma"/>
            <family val="2"/>
          </rPr>
          <t xml:space="preserve">
Amount is reserve from original TC cooling tower transfer workpapers in 2008 plant report + 2008 YTD cooling tower dpr exp on IS recon + 2009 YTD cooling tower dpr exp on IS recon by SW</t>
        </r>
      </text>
    </comment>
  </commentList>
</comments>
</file>

<file path=xl/comments10.xml><?xml version="1.0" encoding="utf-8"?>
<comments xmlns="http://schemas.openxmlformats.org/spreadsheetml/2006/main">
  <authors>
    <author> Karen Daly</author>
  </authors>
  <commentList>
    <comment ref="V22" authorId="0">
      <text>
        <r>
          <rPr>
            <b/>
            <sz val="8"/>
            <color indexed="81"/>
            <rFont val="Tahoma"/>
            <family val="2"/>
          </rPr>
          <t> Karen Daly:</t>
        </r>
        <r>
          <rPr>
            <sz val="8"/>
            <color indexed="81"/>
            <rFont val="Tahoma"/>
            <family val="2"/>
          </rPr>
          <t xml:space="preserve">
Non-Accretion Expense accounts.</t>
        </r>
      </text>
    </comment>
    <comment ref="D168" authorId="0">
      <text>
        <r>
          <rPr>
            <b/>
            <sz val="8"/>
            <color indexed="81"/>
            <rFont val="Tahoma"/>
            <family val="2"/>
          </rPr>
          <t> Karen Daly:</t>
        </r>
        <r>
          <rPr>
            <sz val="8"/>
            <color indexed="81"/>
            <rFont val="Tahoma"/>
            <family val="2"/>
          </rPr>
          <t xml:space="preserve">
Note - $25,00 correction run through beginning balance and amort to make match financials.</t>
        </r>
      </text>
    </comment>
  </commentList>
</comments>
</file>

<file path=xl/comments11.xml><?xml version="1.0" encoding="utf-8"?>
<comments xmlns="http://schemas.openxmlformats.org/spreadsheetml/2006/main">
  <authors>
    <author>Sara Wiseman</author>
  </authors>
  <commentList>
    <comment ref="N11" authorId="0">
      <text>
        <r>
          <rPr>
            <b/>
            <sz val="8"/>
            <color indexed="81"/>
            <rFont val="Tahoma"/>
            <family val="2"/>
          </rPr>
          <t>Sara Wiseman:</t>
        </r>
        <r>
          <rPr>
            <sz val="8"/>
            <color indexed="81"/>
            <rFont val="Tahoma"/>
            <family val="2"/>
          </rPr>
          <t xml:space="preserve">
Account 421101 and 421201</t>
        </r>
      </text>
    </comment>
  </commentList>
</comments>
</file>

<file path=xl/comments12.xml><?xml version="1.0" encoding="utf-8"?>
<comments xmlns="http://schemas.openxmlformats.org/spreadsheetml/2006/main">
  <authors>
    <author>Karen Daly</author>
  </authors>
  <commentList>
    <comment ref="M10" authorId="0">
      <text>
        <r>
          <rPr>
            <b/>
            <sz val="9"/>
            <color indexed="81"/>
            <rFont val="Tahoma"/>
            <family val="2"/>
          </rPr>
          <t>Karen Daly:</t>
        </r>
        <r>
          <rPr>
            <sz val="9"/>
            <color indexed="81"/>
            <rFont val="Tahoma"/>
            <family val="2"/>
          </rPr>
          <t xml:space="preserve">
REMOVED TRANSFER ACTIVITY ON FORK LIFT
</t>
        </r>
      </text>
    </comment>
    <comment ref="M16" authorId="0">
      <text>
        <r>
          <rPr>
            <b/>
            <sz val="9"/>
            <color indexed="81"/>
            <rFont val="Tahoma"/>
            <family val="2"/>
          </rPr>
          <t>Karen Daly:</t>
        </r>
        <r>
          <rPr>
            <sz val="9"/>
            <color indexed="81"/>
            <rFont val="Tahoma"/>
            <family val="2"/>
          </rPr>
          <t xml:space="preserve">
REMOVED TRANSFER ACTIVITY BETWEEN COMMON AND ELECTRIC and TRANSFER ACTIVITY BETWEEN GAS AND ELECTRIC.</t>
        </r>
      </text>
    </comment>
  </commentList>
</comments>
</file>

<file path=xl/comments13.xml><?xml version="1.0" encoding="utf-8"?>
<comments xmlns="http://schemas.openxmlformats.org/spreadsheetml/2006/main">
  <authors>
    <author>e005011</author>
    <author>Karen Daly</author>
  </authors>
  <commentList>
    <comment ref="A17" authorId="0">
      <text>
        <r>
          <rPr>
            <b/>
            <sz val="8"/>
            <color indexed="81"/>
            <rFont val="Tahoma"/>
            <family val="2"/>
          </rPr>
          <t>e005011:</t>
        </r>
        <r>
          <rPr>
            <sz val="8"/>
            <color indexed="81"/>
            <rFont val="Tahoma"/>
            <family val="2"/>
          </rPr>
          <t xml:space="preserve">
This is NOT a valid account for Indiana - s/b zero balance</t>
        </r>
      </text>
    </comment>
    <comment ref="D29" authorId="1">
      <text>
        <r>
          <rPr>
            <b/>
            <sz val="9"/>
            <color indexed="81"/>
            <rFont val="Tahoma"/>
            <family val="2"/>
          </rPr>
          <t>Karen Daly:</t>
        </r>
        <r>
          <rPr>
            <sz val="9"/>
            <color indexed="81"/>
            <rFont val="Tahoma"/>
            <family val="2"/>
          </rPr>
          <t xml:space="preserve">
In 01/2012 moved G380 on report to this line to accurately show where funds should be. $19,310.51 - Unitized 03/2012 so amount reversed.</t>
        </r>
      </text>
    </comment>
  </commentList>
</comments>
</file>

<file path=xl/comments14.xml><?xml version="1.0" encoding="utf-8"?>
<comments xmlns="http://schemas.openxmlformats.org/spreadsheetml/2006/main">
  <authors>
    <author> Karen Daly</author>
  </authors>
  <commentList>
    <comment ref="V18" authorId="0">
      <text>
        <r>
          <rPr>
            <b/>
            <sz val="8"/>
            <color indexed="81"/>
            <rFont val="Tahoma"/>
            <family val="2"/>
          </rPr>
          <t> Karen Daly:</t>
        </r>
        <r>
          <rPr>
            <sz val="8"/>
            <color indexed="81"/>
            <rFont val="Tahoma"/>
            <family val="2"/>
          </rPr>
          <t xml:space="preserve">
Non-Accretion Expense accounts.</t>
        </r>
      </text>
    </comment>
    <comment ref="D164" authorId="0">
      <text>
        <r>
          <rPr>
            <b/>
            <sz val="8"/>
            <color indexed="81"/>
            <rFont val="Tahoma"/>
            <family val="2"/>
          </rPr>
          <t> Karen Daly:</t>
        </r>
        <r>
          <rPr>
            <sz val="8"/>
            <color indexed="81"/>
            <rFont val="Tahoma"/>
            <family val="2"/>
          </rPr>
          <t xml:space="preserve">
Note - $25,00 correction run through beginning balance and amort to make match financials.</t>
        </r>
      </text>
    </comment>
  </commentList>
</comments>
</file>

<file path=xl/comments15.xml><?xml version="1.0" encoding="utf-8"?>
<comments xmlns="http://schemas.openxmlformats.org/spreadsheetml/2006/main">
  <authors>
    <author>e005011</author>
    <author>Sara Wiseman</author>
  </authors>
  <commentList>
    <comment ref="E9" authorId="0">
      <text>
        <r>
          <rPr>
            <b/>
            <sz val="8"/>
            <color indexed="81"/>
            <rFont val="Tahoma"/>
            <family val="2"/>
          </rPr>
          <t>e005011:</t>
        </r>
        <r>
          <rPr>
            <sz val="8"/>
            <color indexed="81"/>
            <rFont val="Tahoma"/>
            <family val="2"/>
          </rPr>
          <t xml:space="preserve">
This ties to the Cost Transfer Column - PG 3
</t>
        </r>
      </text>
    </comment>
    <comment ref="N11" authorId="1">
      <text>
        <r>
          <rPr>
            <b/>
            <sz val="8"/>
            <color indexed="81"/>
            <rFont val="Tahoma"/>
            <family val="2"/>
          </rPr>
          <t>Sara Wiseman:</t>
        </r>
        <r>
          <rPr>
            <sz val="8"/>
            <color indexed="81"/>
            <rFont val="Tahoma"/>
            <family val="2"/>
          </rPr>
          <t xml:space="preserve">
Account 421101 and 421201</t>
        </r>
      </text>
    </comment>
  </commentList>
</comments>
</file>

<file path=xl/comments2.xml><?xml version="1.0" encoding="utf-8"?>
<comments xmlns="http://schemas.openxmlformats.org/spreadsheetml/2006/main">
  <authors>
    <author>e005011</author>
  </authors>
  <commentList>
    <comment ref="N10" authorId="0">
      <text>
        <r>
          <rPr>
            <sz val="8"/>
            <color indexed="81"/>
            <rFont val="Tahoma"/>
            <family val="2"/>
          </rPr>
          <t xml:space="preserve">                                             LGE            KU</t>
        </r>
      </text>
    </comment>
  </commentList>
</comments>
</file>

<file path=xl/comments3.xml><?xml version="1.0" encoding="utf-8"?>
<comments xmlns="http://schemas.openxmlformats.org/spreadsheetml/2006/main">
  <authors>
    <author> </author>
  </authors>
  <commentList>
    <comment ref="I115" authorId="0">
      <text>
        <r>
          <rPr>
            <b/>
            <sz val="8"/>
            <color indexed="81"/>
            <rFont val="Tahoma"/>
            <family val="2"/>
          </rPr>
          <t> :</t>
        </r>
        <r>
          <rPr>
            <sz val="8"/>
            <color indexed="81"/>
            <rFont val="Tahoma"/>
            <family val="2"/>
          </rPr>
          <t xml:space="preserve">
Amount is reserve from original TC cooling tower transfer workpapers in 2008 plant report + 2008 YTD cooling tower dpr exp on IS recon + 2009 YTD cooling tower dpr exp on IS recon by SW</t>
        </r>
      </text>
    </comment>
  </commentList>
</comments>
</file>

<file path=xl/comments4.xml><?xml version="1.0" encoding="utf-8"?>
<comments xmlns="http://schemas.openxmlformats.org/spreadsheetml/2006/main">
  <authors>
    <author>DWACKER</author>
  </authors>
  <commentList>
    <comment ref="I18" authorId="0">
      <text>
        <r>
          <rPr>
            <b/>
            <sz val="9"/>
            <color indexed="81"/>
            <rFont val="Tahoma"/>
            <family val="2"/>
          </rPr>
          <t>DWACKER:</t>
        </r>
        <r>
          <rPr>
            <sz val="9"/>
            <color indexed="81"/>
            <rFont val="Tahoma"/>
            <family val="2"/>
          </rPr>
          <t xml:space="preserve">
reserve on aro tsfd to reg assets
</t>
        </r>
      </text>
    </comment>
    <comment ref="K18" authorId="0">
      <text>
        <r>
          <rPr>
            <b/>
            <sz val="9"/>
            <color indexed="81"/>
            <rFont val="Tahoma"/>
            <family val="2"/>
          </rPr>
          <t>DWACKER:</t>
        </r>
        <r>
          <rPr>
            <sz val="9"/>
            <color indexed="81"/>
            <rFont val="Tahoma"/>
            <family val="2"/>
          </rPr>
          <t xml:space="preserve">
reserve on aro tsfd to reg assets
</t>
        </r>
      </text>
    </comment>
    <comment ref="I20" authorId="0">
      <text>
        <r>
          <rPr>
            <b/>
            <sz val="9"/>
            <color indexed="81"/>
            <rFont val="Tahoma"/>
            <family val="2"/>
          </rPr>
          <t>DWACKER:</t>
        </r>
        <r>
          <rPr>
            <sz val="9"/>
            <color indexed="81"/>
            <rFont val="Tahoma"/>
            <family val="2"/>
          </rPr>
          <t xml:space="preserve">
reserve on aro transferred to reg assets</t>
        </r>
      </text>
    </comment>
    <comment ref="K20" authorId="0">
      <text>
        <r>
          <rPr>
            <b/>
            <sz val="9"/>
            <color indexed="81"/>
            <rFont val="Tahoma"/>
            <family val="2"/>
          </rPr>
          <t>DWACKER:</t>
        </r>
        <r>
          <rPr>
            <sz val="9"/>
            <color indexed="81"/>
            <rFont val="Tahoma"/>
            <family val="2"/>
          </rPr>
          <t xml:space="preserve">
reserve on aro transferred to reg assets</t>
        </r>
      </text>
    </comment>
  </commentList>
</comments>
</file>

<file path=xl/comments5.xml><?xml version="1.0" encoding="utf-8"?>
<comments xmlns="http://schemas.openxmlformats.org/spreadsheetml/2006/main">
  <authors>
    <author> Karen Daly</author>
  </authors>
  <commentList>
    <comment ref="D176" authorId="0">
      <text>
        <r>
          <rPr>
            <b/>
            <sz val="8"/>
            <color indexed="81"/>
            <rFont val="Tahoma"/>
            <family val="2"/>
          </rPr>
          <t> Karen Daly:</t>
        </r>
        <r>
          <rPr>
            <sz val="8"/>
            <color indexed="81"/>
            <rFont val="Tahoma"/>
            <family val="2"/>
          </rPr>
          <t xml:space="preserve">
Note - $25,00 correction run through beginning balance and amort to make match financials.</t>
        </r>
      </text>
    </comment>
  </commentList>
</comments>
</file>

<file path=xl/comments6.xml><?xml version="1.0" encoding="utf-8"?>
<comments xmlns="http://schemas.openxmlformats.org/spreadsheetml/2006/main">
  <authors>
    <author>e005011</author>
    <author>Sara Wiseman</author>
  </authors>
  <commentList>
    <comment ref="E9" authorId="0">
      <text>
        <r>
          <rPr>
            <b/>
            <sz val="8"/>
            <color indexed="81"/>
            <rFont val="Tahoma"/>
            <family val="2"/>
          </rPr>
          <t>e005011:</t>
        </r>
        <r>
          <rPr>
            <sz val="8"/>
            <color indexed="81"/>
            <rFont val="Tahoma"/>
            <family val="2"/>
          </rPr>
          <t xml:space="preserve">
This ties to the Cost Transfer Column - PG 3
</t>
        </r>
      </text>
    </comment>
    <comment ref="N11" authorId="1">
      <text>
        <r>
          <rPr>
            <b/>
            <sz val="8"/>
            <color indexed="81"/>
            <rFont val="Tahoma"/>
            <family val="2"/>
          </rPr>
          <t>Sara Wiseman:</t>
        </r>
        <r>
          <rPr>
            <sz val="8"/>
            <color indexed="81"/>
            <rFont val="Tahoma"/>
            <family val="2"/>
          </rPr>
          <t xml:space="preserve">
Account 421101 and 421201</t>
        </r>
      </text>
    </comment>
  </commentList>
</comments>
</file>

<file path=xl/comments7.xml><?xml version="1.0" encoding="utf-8"?>
<comments xmlns="http://schemas.openxmlformats.org/spreadsheetml/2006/main">
  <authors>
    <author>EON US</author>
  </authors>
  <commentList>
    <comment ref="D77" authorId="0">
      <text>
        <r>
          <rPr>
            <b/>
            <sz val="9"/>
            <color indexed="81"/>
            <rFont val="Tahoma"/>
            <family val="2"/>
          </rPr>
          <t>EON US:</t>
        </r>
        <r>
          <rPr>
            <sz val="9"/>
            <color indexed="81"/>
            <rFont val="Tahoma"/>
            <family val="2"/>
          </rPr>
          <t xml:space="preserve">
includes 'babies' - reverse in october, as system entry will book
</t>
        </r>
      </text>
    </comment>
  </commentList>
</comments>
</file>

<file path=xl/comments8.xml><?xml version="1.0" encoding="utf-8"?>
<comments xmlns="http://schemas.openxmlformats.org/spreadsheetml/2006/main">
  <authors>
    <author>e005011</author>
  </authors>
  <commentList>
    <comment ref="A17" authorId="0">
      <text>
        <r>
          <rPr>
            <b/>
            <sz val="8"/>
            <color indexed="81"/>
            <rFont val="Tahoma"/>
            <family val="2"/>
          </rPr>
          <t>e005011:</t>
        </r>
        <r>
          <rPr>
            <sz val="8"/>
            <color indexed="81"/>
            <rFont val="Tahoma"/>
            <family val="2"/>
          </rPr>
          <t xml:space="preserve">
This is NOT a valid account for Indiana - s/b zero balance</t>
        </r>
      </text>
    </comment>
  </commentList>
</comments>
</file>

<file path=xl/comments9.xml><?xml version="1.0" encoding="utf-8"?>
<comments xmlns="http://schemas.openxmlformats.org/spreadsheetml/2006/main">
  <authors>
    <author>DWACKER</author>
  </authors>
  <commentList>
    <comment ref="H356" authorId="0">
      <text>
        <r>
          <rPr>
            <b/>
            <sz val="9"/>
            <color indexed="81"/>
            <rFont val="Tahoma"/>
            <family val="2"/>
          </rPr>
          <t>DWACKER:</t>
        </r>
        <r>
          <rPr>
            <sz val="9"/>
            <color indexed="81"/>
            <rFont val="Tahoma"/>
            <family val="2"/>
          </rPr>
          <t xml:space="preserve">
all these adjustments are to balance plant report with poweplant
</t>
        </r>
      </text>
    </comment>
  </commentList>
</comments>
</file>

<file path=xl/sharedStrings.xml><?xml version="1.0" encoding="utf-8"?>
<sst xmlns="http://schemas.openxmlformats.org/spreadsheetml/2006/main" count="13068" uniqueCount="2052">
  <si>
    <t>DEPRECIATION EXPENSE</t>
  </si>
  <si>
    <t>of common</t>
  </si>
  <si>
    <t>Electric alloc</t>
  </si>
  <si>
    <t>Gas alloc</t>
  </si>
  <si>
    <t>C397.00-Communication Equipment</t>
  </si>
  <si>
    <t>E350.10-Land Rights</t>
  </si>
  <si>
    <t>E350.20-Land</t>
  </si>
  <si>
    <t>E352.10-Struct &amp; Imp-Non Sys Contro</t>
  </si>
  <si>
    <t>E353.10-Station Equipment - Non Sys</t>
  </si>
  <si>
    <t>E354.00-Towers and Fixtures</t>
  </si>
  <si>
    <t>E355.00-Poles and Fixtures</t>
  </si>
  <si>
    <t>E356.00-OH Conductors and Devices</t>
  </si>
  <si>
    <t>E362.00-Station Equipment</t>
  </si>
  <si>
    <t>G350.10-Land</t>
  </si>
  <si>
    <t>G351.40-Other Structures</t>
  </si>
  <si>
    <t>G352.40-Well Drilling</t>
  </si>
  <si>
    <t>G353.00-Lines</t>
  </si>
  <si>
    <t>G357.00-Other Equipment</t>
  </si>
  <si>
    <t>G117.00-Gas Stored UG Non-Current</t>
  </si>
  <si>
    <t>C389.10-Land</t>
  </si>
  <si>
    <t>C389.20-Land Rights</t>
  </si>
  <si>
    <t>G354.00-Compressor Station Equip</t>
  </si>
  <si>
    <t>LGE-235400- IN Gas Storage Undergroun-Compressor</t>
  </si>
  <si>
    <t>E335.00-Misc PowerPlant Equip</t>
  </si>
  <si>
    <t>G375.20-Oth Dist Structur</t>
  </si>
  <si>
    <t>Beginning</t>
  </si>
  <si>
    <t>Ending</t>
  </si>
  <si>
    <t>Balance</t>
  </si>
  <si>
    <t>RWIP</t>
  </si>
  <si>
    <t>Transfers Out</t>
  </si>
  <si>
    <t>Locomotives</t>
  </si>
  <si>
    <t>Railcar</t>
  </si>
  <si>
    <t>Gas Pipeline</t>
  </si>
  <si>
    <t>Transportation</t>
  </si>
  <si>
    <t>TC1 Cooling Twr</t>
  </si>
  <si>
    <t>Total Reserves</t>
  </si>
  <si>
    <t>Check</t>
  </si>
  <si>
    <t>Cost</t>
  </si>
  <si>
    <t>of Removal</t>
  </si>
  <si>
    <t>Other</t>
  </si>
  <si>
    <t>Total Gas Depreciation Reserves</t>
  </si>
  <si>
    <t>Total Gas Amortization Reserves</t>
  </si>
  <si>
    <t>Total Electric Depreciation Reserves</t>
  </si>
  <si>
    <t>Total Electric Amortization Reserves</t>
  </si>
  <si>
    <t>Total Common Depreciation Reserves</t>
  </si>
  <si>
    <t>Total Common Amortization Reserves</t>
  </si>
  <si>
    <t>Reserve</t>
  </si>
  <si>
    <t>Difference</t>
  </si>
  <si>
    <t>Total Common</t>
  </si>
  <si>
    <t>Total Electric</t>
  </si>
  <si>
    <t>Total Gas</t>
  </si>
  <si>
    <t>Reconciliation to Income Statement</t>
  </si>
  <si>
    <t>Electric Rev &amp; Exp:</t>
  </si>
  <si>
    <t>Depreciation YTD</t>
  </si>
  <si>
    <t>ARO Depreciation</t>
  </si>
  <si>
    <t>LGE-131400-Mill Creek Unit 4 Turbog</t>
  </si>
  <si>
    <t xml:space="preserve">LGE-136600-Electric Distribution - </t>
  </si>
  <si>
    <t xml:space="preserve">LGE-136025-Elect. Dist. Substation </t>
  </si>
  <si>
    <t xml:space="preserve">LGE-136920-Electric Distribution - </t>
  </si>
  <si>
    <t>LGE-136800-Line Transformers</t>
  </si>
  <si>
    <t xml:space="preserve">LGE-136400-Electric Distribution - </t>
  </si>
  <si>
    <t xml:space="preserve">LGE-136910-Electric Distribution - </t>
  </si>
  <si>
    <t xml:space="preserve">LGE-137310-Electric Distribution - </t>
  </si>
  <si>
    <t xml:space="preserve">LGE-137340-Electric Dist. - Street </t>
  </si>
  <si>
    <t>LGE-137405-ARO Cost Elec Dist (L/B)</t>
  </si>
  <si>
    <t>LGE-139620-Power Op  Equip-Other</t>
  </si>
  <si>
    <t xml:space="preserve">LGE-139400-Tools, Shop, and Garage </t>
  </si>
  <si>
    <t>LGE-139610-Power Op Equip-Hourly Rt</t>
  </si>
  <si>
    <t>LGE-139210-Transportation - Cars Tr</t>
  </si>
  <si>
    <t>LGE-139500-Laboratory Equipment</t>
  </si>
  <si>
    <t>LGE-139220-Transportation  - Traile</t>
  </si>
  <si>
    <t>G375.20-Other Distribution Structur</t>
  </si>
  <si>
    <t>G376.00-Mains</t>
  </si>
  <si>
    <t>G378.00-Meas and Reg Station-Genera</t>
  </si>
  <si>
    <t>G379.00-Meas &amp; Reg Station-City Gat</t>
  </si>
  <si>
    <t>G380.00-Services</t>
  </si>
  <si>
    <t>G381.00-Meters</t>
  </si>
  <si>
    <t>G383.00-Regulators</t>
  </si>
  <si>
    <t>G385.00-Industrial Measuring and Re</t>
  </si>
  <si>
    <t>G387.00-Other Equipment</t>
  </si>
  <si>
    <t>G388.05-ARO Cost Gas Dist (L/B)</t>
  </si>
  <si>
    <t>INTERCOMPANY</t>
  </si>
  <si>
    <t>E346.00-Misc Power Plant Equip</t>
  </si>
  <si>
    <t>G375.20-Other Dist Structures</t>
  </si>
  <si>
    <t>C390.20-Struc and Imp-Transportatio</t>
  </si>
  <si>
    <t>C390.30-Struct and Imp - Stores</t>
  </si>
  <si>
    <t>C390.40-Struct and Imp - Shops</t>
  </si>
  <si>
    <t>C390.60-Struct and Imp - Microwave</t>
  </si>
  <si>
    <t>C391.10-Office Furniture</t>
  </si>
  <si>
    <t>C391.20-Office Equipment</t>
  </si>
  <si>
    <t>C391.30-Computer Equipment</t>
  </si>
  <si>
    <t>C391.31-Personal Computers</t>
  </si>
  <si>
    <t>C391.40-Security Equipment</t>
  </si>
  <si>
    <t>C392.10-Trans Equip-Cars and Trucks</t>
  </si>
  <si>
    <t xml:space="preserve">C392.20-Trans Equip-Trailers </t>
  </si>
  <si>
    <t>C393.00-Stores Equipment</t>
  </si>
  <si>
    <t>C394.00-Tools, Shop, Garage Equip</t>
  </si>
  <si>
    <t>C395.00-Laboratory Equipment</t>
  </si>
  <si>
    <t>C396.10-Power Op Equip-Hourly Rated</t>
  </si>
  <si>
    <t>C396.20-Power Op Equip - Other</t>
  </si>
  <si>
    <t>C397.10-Communication Equip-Compute</t>
  </si>
  <si>
    <t>C398.00-Miscellaneous Equipment</t>
  </si>
  <si>
    <t>C399.15-ARO Cost Common (L/B)</t>
  </si>
  <si>
    <t>C301.00-Organization</t>
  </si>
  <si>
    <t>ACCOUNT</t>
  </si>
  <si>
    <t>Credits</t>
  </si>
  <si>
    <t>PROPERTY UNDER CAPITAL LEASES</t>
  </si>
  <si>
    <t>Additions</t>
  </si>
  <si>
    <t>Retirements</t>
  </si>
  <si>
    <t>Net Additions</t>
  </si>
  <si>
    <t>Ending Balance</t>
  </si>
  <si>
    <t>Common Intangible Plant</t>
  </si>
  <si>
    <t>Electric</t>
  </si>
  <si>
    <t>Electric Distribution</t>
  </si>
  <si>
    <t>Electric General Plant</t>
  </si>
  <si>
    <t>Electric Hydro Production</t>
  </si>
  <si>
    <t>Electric Intangible Plant</t>
  </si>
  <si>
    <t>Electric Other Production</t>
  </si>
  <si>
    <t>Electric Steam Production</t>
  </si>
  <si>
    <t>Electric Transmission</t>
  </si>
  <si>
    <t>Gas</t>
  </si>
  <si>
    <t>Gas Distribution</t>
  </si>
  <si>
    <t>Gas General Plant</t>
  </si>
  <si>
    <t>Gas Intangible Plant</t>
  </si>
  <si>
    <t>Gas Storage</t>
  </si>
  <si>
    <t>Gas Transmission</t>
  </si>
  <si>
    <t>Total 101 Accounts</t>
  </si>
  <si>
    <t>Total 101101</t>
  </si>
  <si>
    <t>Total 105001</t>
  </si>
  <si>
    <t>Gas Stored Nonrecoverable</t>
  </si>
  <si>
    <t>Total 117001</t>
  </si>
  <si>
    <t>Non Utility Property</t>
  </si>
  <si>
    <t>Total 121001</t>
  </si>
  <si>
    <t>Construction Work in Progress</t>
  </si>
  <si>
    <t>LOUISVILLE GAS &amp; ELECTRIC COMPANY</t>
  </si>
  <si>
    <t>Capital Leased Property</t>
  </si>
  <si>
    <t>Total 106 Accounts</t>
  </si>
  <si>
    <t>LIFE RESERVE</t>
  </si>
  <si>
    <t>LGE-131200-MC Offsite Rail Cars</t>
  </si>
  <si>
    <t xml:space="preserve">LGE-135020- IN Electric Trans - </t>
  </si>
  <si>
    <t>Total Gas Plant in Service - KY</t>
  </si>
  <si>
    <t>TOTAL KENTUCKY RESERVES</t>
  </si>
  <si>
    <t>TOTAL INDIANA RESERVES</t>
  </si>
  <si>
    <t>LGE-131501-AROP MC 4 Accessor</t>
  </si>
  <si>
    <t>LGE-131501-AROP TC 1 Accessor</t>
  </si>
  <si>
    <t>LGE-131501-AROP Accessory</t>
  </si>
  <si>
    <t>YTD</t>
  </si>
  <si>
    <t>Total</t>
  </si>
  <si>
    <t>TOTAL ACCRUAL &amp; AMORTIZATION</t>
  </si>
  <si>
    <t>Acct - 151060</t>
  </si>
  <si>
    <t>Acct - 151061</t>
  </si>
  <si>
    <t>Acct - 184315</t>
  </si>
  <si>
    <t>Acct - 254</t>
  </si>
  <si>
    <t>Acct - 421001</t>
  </si>
  <si>
    <t>Rounding</t>
  </si>
  <si>
    <t>SET OF BOOKS ID</t>
  </si>
  <si>
    <t>FF SEGMENT 1</t>
  </si>
  <si>
    <t>COMPANY</t>
  </si>
  <si>
    <t>FF APP COL NAME 1</t>
  </si>
  <si>
    <t>SEGMENT1</t>
  </si>
  <si>
    <t>FF ABOVE PROMPT 1</t>
  </si>
  <si>
    <t>FF DISPLAY SIZE 1</t>
  </si>
  <si>
    <t>FF MAXIMUM SIZE 1</t>
  </si>
  <si>
    <t>SET OF BOOKS NAME</t>
  </si>
  <si>
    <t>FF SEGMENT 2</t>
  </si>
  <si>
    <t>PRODUCT</t>
  </si>
  <si>
    <t>FF APP COL NAME 2</t>
  </si>
  <si>
    <t>SEGMENT2</t>
  </si>
  <si>
    <t>FF ABOVE PROMPT 2</t>
  </si>
  <si>
    <t>FF DISPLAY SIZE 2</t>
  </si>
  <si>
    <t>FF MAXIMUM SIZE 2</t>
  </si>
  <si>
    <t>CHART OF ACCOUNTS ID</t>
  </si>
  <si>
    <t>FF SEGMENT 3</t>
  </si>
  <si>
    <t>ORGANIZATION</t>
  </si>
  <si>
    <t>FF APP COL NAME 3</t>
  </si>
  <si>
    <t>SEGMENT3</t>
  </si>
  <si>
    <t>FF ABOVE PROMPT 3</t>
  </si>
  <si>
    <t>FF DISPLAY SIZE 3</t>
  </si>
  <si>
    <t>FF MAXIMUM SIZE 3</t>
  </si>
  <si>
    <t>PERIOD SET NAME</t>
  </si>
  <si>
    <t>GBLGL_CALENDAR</t>
  </si>
  <si>
    <t>FF SEGMENT 4</t>
  </si>
  <si>
    <t>EXPENDITURE_ORG</t>
  </si>
  <si>
    <t>FF APP COL NAME 4</t>
  </si>
  <si>
    <t>SEGMENT4</t>
  </si>
  <si>
    <t>FF ABOVE PROMPT 4</t>
  </si>
  <si>
    <t>FF DISPLAY SIZE 4</t>
  </si>
  <si>
    <t>APPLICATIONS USERNAME</t>
  </si>
  <si>
    <t>e005011</t>
  </si>
  <si>
    <t>APPLICATIONS USERNAME ID</t>
  </si>
  <si>
    <t>FF SEG SEPARATOR</t>
  </si>
  <si>
    <t>.</t>
  </si>
  <si>
    <t>NO OF FF SEGMENTS</t>
  </si>
  <si>
    <t>SHOW SEPARATOR</t>
  </si>
  <si>
    <t>MEANING OF YES</t>
  </si>
  <si>
    <t>Yes</t>
  </si>
  <si>
    <t>MEANING OF NO</t>
  </si>
  <si>
    <t>No</t>
  </si>
  <si>
    <t>DEFAULT ACTIVITY</t>
  </si>
  <si>
    <t>Net</t>
  </si>
  <si>
    <t>DB THOUSANDS SEPARATOR</t>
  </si>
  <si>
    <t>,</t>
  </si>
  <si>
    <t>Total Electric Plant in Service</t>
  </si>
  <si>
    <t>Total Common Plant in Service</t>
  </si>
  <si>
    <t>Total Gas Plant in Service</t>
  </si>
  <si>
    <t>Total 101</t>
  </si>
  <si>
    <t>Total 106</t>
  </si>
  <si>
    <t xml:space="preserve">LGE-135310- IN Electric Transmission - </t>
  </si>
  <si>
    <t xml:space="preserve">LGE-135310- KY Electric Transmission - </t>
  </si>
  <si>
    <t xml:space="preserve">LGE-135400- IN Electric Transmission - </t>
  </si>
  <si>
    <t xml:space="preserve">LGE-135400- KY Electric Transmission - </t>
  </si>
  <si>
    <t>AAALHxAD8AAAAJuAAG</t>
  </si>
  <si>
    <t>Row 6</t>
  </si>
  <si>
    <t>COMMON - LIFE</t>
  </si>
  <si>
    <t>AAALHxAD8AAAAJUAAY</t>
  </si>
  <si>
    <t>Row 8</t>
  </si>
  <si>
    <t>ELECTRIC - SALVAGE</t>
  </si>
  <si>
    <t>AAALHxAD8AAAAzZAAN</t>
  </si>
  <si>
    <t>GAS - SALVAGE</t>
  </si>
  <si>
    <t>AAALHxAD8AAAAzZAAO</t>
  </si>
  <si>
    <t>COMMON - SALVAGE</t>
  </si>
  <si>
    <t>AAALHxAD8AAAAzZAAP</t>
  </si>
  <si>
    <t>ARO - ELECTRIC</t>
  </si>
  <si>
    <t>AAALHxAD8AAAAzZAAQ</t>
  </si>
  <si>
    <t>ARO - GAS</t>
  </si>
  <si>
    <t>AAALHxAD8AAAAzZAAR</t>
  </si>
  <si>
    <t>ARO - COMMON</t>
  </si>
  <si>
    <t>AAALHxAD8AAAAzZAAS</t>
  </si>
  <si>
    <t>TOTAL 108001 RWIP - ELECTRIC</t>
  </si>
  <si>
    <t>AAALHxAD8AAAAzZAAT</t>
  </si>
  <si>
    <t>TOTAL 108001 RWIP - GAS</t>
  </si>
  <si>
    <t>AAALHxAD8AAAAzZAAU</t>
  </si>
  <si>
    <t>TOTAL 108001 RWIP - COMMON</t>
  </si>
  <si>
    <t>AAALHxAD8AAAAzZAAV</t>
  </si>
  <si>
    <t>TOTAL 108901 RWIP - ELECTRIC</t>
  </si>
  <si>
    <t>AAALHxAD8AAAAzZAAW</t>
  </si>
  <si>
    <t>TOTAL 108901 RWIP - GAS</t>
  </si>
  <si>
    <t>AAALHxAD8AAAAzZAAX</t>
  </si>
  <si>
    <t>TOTAL 108901 RWIP - COMMON</t>
  </si>
  <si>
    <t>PROPERTY ACCTG DEPRECIATION REPORT</t>
  </si>
  <si>
    <t>PROPERTY ACCTG DEPR REPORT</t>
  </si>
  <si>
    <t>DEPRECIATION REPORT BY ACCOUNT AND BY PRODUCT</t>
  </si>
  <si>
    <t>AAALHdAD8AAAAXRAAf</t>
  </si>
  <si>
    <t>PROPERTY ACCTG LGE COL SET</t>
  </si>
  <si>
    <t>PROPERTY ACCTG DEPRECIATION COLUMNS</t>
  </si>
  <si>
    <t>AAALISAD8AAAAROAAB</t>
  </si>
  <si>
    <t>AAALHxAD8AAAAJUAAS</t>
  </si>
  <si>
    <t>LG&amp;E</t>
  </si>
  <si>
    <t>AAALICAD8AAAAnRAAB</t>
  </si>
  <si>
    <t>AAALICAD8AAAAqNAAA</t>
  </si>
  <si>
    <t>AAALICAD8AAAAqNAAB</t>
  </si>
  <si>
    <t>AAALICAD8AAAAqNAAC</t>
  </si>
  <si>
    <t>AAALICAD8AAAAqNAAD</t>
  </si>
  <si>
    <t>AAALICAD8AAAAqNAAE</t>
  </si>
  <si>
    <t>AAALICAD8AAAAqNAAF</t>
  </si>
  <si>
    <t>AAALICAD8AAAAqNAAG</t>
  </si>
  <si>
    <t>LGE-134100-TC 8 Structures and Impr</t>
  </si>
  <si>
    <t>LGE-134200-TC 9 Fuel Holders, Produ</t>
  </si>
  <si>
    <t>LGE-134200-Zorn - Fuel Holders, Pro</t>
  </si>
  <si>
    <t>LGE-134200-EWB 6 Fuel Holders, Prod</t>
  </si>
  <si>
    <t>LGE-134300-TC 5 Prime Movers</t>
  </si>
  <si>
    <t>LGE-134100-TC 6 Structures and Impr</t>
  </si>
  <si>
    <t>LGE-134300-TC 10 Prime Movers</t>
  </si>
  <si>
    <t>LGE-134200-TC 7 Fuel Holders, Produ</t>
  </si>
  <si>
    <t>LGE-134100-Paddys GT - 12 Structure</t>
  </si>
  <si>
    <t>LGE-134100-TC 5 Structures and Impr</t>
  </si>
  <si>
    <t>C390.10-Struct and Imp-Gen Offices</t>
  </si>
  <si>
    <t>C302.00-Franchises and Consents</t>
  </si>
  <si>
    <t>C303.00-Misc Intang Plant-Software</t>
  </si>
  <si>
    <t>C303.20-Law Library</t>
  </si>
  <si>
    <t>C121.01-Nonutility Prop - Coal Land</t>
  </si>
  <si>
    <t>C121.02-Nonutility-Coal Mineral Rts</t>
  </si>
  <si>
    <t xml:space="preserve">C121.03-Nonutility-Coal Rts of Way </t>
  </si>
  <si>
    <t>C121.04-Nonutility Prop - Misc Land</t>
  </si>
  <si>
    <t>E360.20-Land</t>
  </si>
  <si>
    <t>E361.00-Structures and Improvements</t>
  </si>
  <si>
    <t>E364.00-Poles, Towers, and Fixtures</t>
  </si>
  <si>
    <t>E365.00-OH Conductors and Devices</t>
  </si>
  <si>
    <t>E366.00-Underground Conduit</t>
  </si>
  <si>
    <t>E367.00-UG Conductors and Devices</t>
  </si>
  <si>
    <t>E368.00-Line Transformers</t>
  </si>
  <si>
    <t>E335.00-Misc Power Plant Equipment</t>
  </si>
  <si>
    <t>E336.00-Roads, Railroads, and Bridg</t>
  </si>
  <si>
    <t>E337.07-ARO Cost Hydro Prod (Eqp)</t>
  </si>
  <si>
    <t>E301.00-Organization</t>
  </si>
  <si>
    <t>E302.00-Franchises and Consents</t>
  </si>
  <si>
    <t>E340.20-Land</t>
  </si>
  <si>
    <t>E341.00-Structures and Improvements</t>
  </si>
  <si>
    <t>E342.00-Fuel Holders, Producers, Ac</t>
  </si>
  <si>
    <t>E343.00-Prime Movers</t>
  </si>
  <si>
    <t>E344.00-Generators</t>
  </si>
  <si>
    <t>E345.00-Accessory Electric Equipmen</t>
  </si>
  <si>
    <t>E346.00-Misc Power Plant Equipment</t>
  </si>
  <si>
    <t>E347.05-ARO Cost Other Prod (L/B)</t>
  </si>
  <si>
    <t>E347.07-ARO Cost Other Prod (Eqp)</t>
  </si>
  <si>
    <t>E310.20-Land</t>
  </si>
  <si>
    <t>Total 101 &amp; 106</t>
  </si>
  <si>
    <t>LGE-131400-Trimble Unit 1 Turbogene</t>
  </si>
  <si>
    <t>LGE-131500-Cane Run Unit 1 Accessor</t>
  </si>
  <si>
    <t>LGE-131500-Cane Run Unit 2 Accessor</t>
  </si>
  <si>
    <t>LGE-131101-AROP CR 1 Struct &amp; Impr</t>
  </si>
  <si>
    <t>LGE-131500-Cane Run Unit 3 Acessory</t>
  </si>
  <si>
    <t>LGE-131500-Cane Run Unit 4 SO2 Acce</t>
  </si>
  <si>
    <t>LGE-131500-Cane Run Unit 5 Acccesso</t>
  </si>
  <si>
    <t>LGE-131500-Cane Run Unit 5 SO2 Acce</t>
  </si>
  <si>
    <t>LGE-131500-Cane Run Unit 6 SO2 Acce</t>
  </si>
  <si>
    <t>LGE-131500-Mill Creek Unit 1 Access</t>
  </si>
  <si>
    <t>LGE-131100-Mill Creek Unit 3 SO2-St</t>
  </si>
  <si>
    <t>E369.10-Underground Services</t>
  </si>
  <si>
    <t>E369.20-Overhead Services</t>
  </si>
  <si>
    <t>E370.00-Meters</t>
  </si>
  <si>
    <t>E373.10-Overhead Street Lighting</t>
  </si>
  <si>
    <t>E373.20-Underground Street Lighting</t>
  </si>
  <si>
    <t>E373.40-Street Lighting Transformer</t>
  </si>
  <si>
    <t>E374.05-ARO Cost Elec Dist (L/B)</t>
  </si>
  <si>
    <t>E392.10-Transportation - Cars Truck</t>
  </si>
  <si>
    <t>E392.20-Transportation  - Trailers</t>
  </si>
  <si>
    <t>E394.00-Tools, Shop, and Garage Equ</t>
  </si>
  <si>
    <t>E395.00-Laboratory Equipment</t>
  </si>
  <si>
    <t>E396.10-Power Op Equip-Hourly Rtd</t>
  </si>
  <si>
    <t>E396.20-Power Op  Equip-Other</t>
  </si>
  <si>
    <t>E330.20-Land</t>
  </si>
  <si>
    <t>LGE-339110-Office Furniture</t>
  </si>
  <si>
    <t>LGE-339030-Common Structures - Stor</t>
  </si>
  <si>
    <t>LGE-339060-Common Structures - Micr</t>
  </si>
  <si>
    <t>LGE-338910-Common - Land</t>
  </si>
  <si>
    <t>LGE-339610-Power Op Equip-Hourly Ra</t>
  </si>
  <si>
    <t>LGE-338920-Common - Land Rights</t>
  </si>
  <si>
    <t>LGE-339040-Common Structures - Othe</t>
  </si>
  <si>
    <t>LGE-339400-Tools, Shop, Garage Equi</t>
  </si>
  <si>
    <t>LGE-339020-Common Structures - Tran</t>
  </si>
  <si>
    <t>LGE-339210-Trans Equip-Cars and Tru</t>
  </si>
  <si>
    <t>LGE-339710-Communication Equip-Comp</t>
  </si>
  <si>
    <t>LGE-339800-Miscellaneous Equipment</t>
  </si>
  <si>
    <t>LGE-339915-ARO Cost Common (L/B)</t>
  </si>
  <si>
    <t xml:space="preserve">LGE-330100-Common Intangible Plant </t>
  </si>
  <si>
    <t>LGE-330200-Franchises and Consents</t>
  </si>
  <si>
    <t>LGE-330320-Law Library</t>
  </si>
  <si>
    <t>LGE-330300-Misc Intang Plant-Softwa</t>
  </si>
  <si>
    <t>LGE-312101-Nonutility Prop - Coal L</t>
  </si>
  <si>
    <t>LGE-312103-Nonutility-Coal Rts of W</t>
  </si>
  <si>
    <t>LGE-312104-Nonutility Prop - Misc L</t>
  </si>
  <si>
    <t xml:space="preserve">LGE-312102-Nonutility-Coal Mineral </t>
  </si>
  <si>
    <t>LGE-137000-Meters</t>
  </si>
  <si>
    <t xml:space="preserve">LGE-137320-Electric Distribution - </t>
  </si>
  <si>
    <t xml:space="preserve">LGE-136500-Electric Distribution - </t>
  </si>
  <si>
    <t xml:space="preserve">LGE-136700-Electric Distribution - </t>
  </si>
  <si>
    <t xml:space="preserve">LGE-136020-Elect. Dist. Substation </t>
  </si>
  <si>
    <t xml:space="preserve">LGE-136205-Elect. Dist. Substation </t>
  </si>
  <si>
    <t>LGE-136100-Electric Distribution Su</t>
  </si>
  <si>
    <t>LGE-131200-Cane Run Unit 2 Boiler P</t>
  </si>
  <si>
    <t>LGE-131200-Cane Run Unit 3 Boiler P</t>
  </si>
  <si>
    <t>LGE-131201-AROP MC3 Boiler Plt Equp</t>
  </si>
  <si>
    <t>LGE-131200-Cane Run Unit 4 SO2 Boil</t>
  </si>
  <si>
    <t>LGE-131200-Cane Run Unit 5 SO2 Boil</t>
  </si>
  <si>
    <t>LGE-131200-Mill Creek Locomotives B</t>
  </si>
  <si>
    <t>LGE-131200-Mill Creek Rail Cars Boi</t>
  </si>
  <si>
    <t>LGE-131200-Mill Creek Unit 1 SO2 Bo</t>
  </si>
  <si>
    <t>LGE-131200-Mill Creek Unit 2 SO2 Bo</t>
  </si>
  <si>
    <t>LGE-131200-Mill Creek Unit 3 SO2 Bo</t>
  </si>
  <si>
    <t>LGE-131201-AROP MC4 SO2 Boiler Plt</t>
  </si>
  <si>
    <t>LGE-131400-Cane Run Unit 1 Turbogen</t>
  </si>
  <si>
    <t>LGE-131200-Cane Run Unit 1 Boiler P</t>
  </si>
  <si>
    <t>LGE-131400-Cane Run Unit 2 Turbogen</t>
  </si>
  <si>
    <t>LGE-131400-Cane Run Unit 4 Turbogen</t>
  </si>
  <si>
    <t>LGE-131400-Cane Run Unit 5 Turbogen</t>
  </si>
  <si>
    <t>LGE-131110-MC 4 Capital Leased Equi</t>
  </si>
  <si>
    <t>LGE-131400-Cane Run Unit 6 Turbogen</t>
  </si>
  <si>
    <t>LGE-131400-Mill Creek Unit 2 Turbog</t>
  </si>
  <si>
    <t>LGE-131400-Mill Creek Unit 3 Turbog</t>
  </si>
  <si>
    <t>Total Gas - Indiana</t>
  </si>
  <si>
    <t>KENTUCKY &amp; INDIANA</t>
  </si>
  <si>
    <t>TABLE OF CONTENTS</t>
  </si>
  <si>
    <t>LG&amp;E PLANT REPORT</t>
  </si>
  <si>
    <t>SUMMARY - COST</t>
  </si>
  <si>
    <t>PAGE #</t>
  </si>
  <si>
    <t>SUMMARY - RESERVE</t>
  </si>
  <si>
    <t>TRANSFER DETAIL</t>
  </si>
  <si>
    <t>LAND &amp; VEHICLE RETIREMENTS</t>
  </si>
  <si>
    <t>RECON DEPR EXP TO I/S</t>
  </si>
  <si>
    <t>TOTAL COMMON PLANT IN SERVICE - NBV</t>
  </si>
  <si>
    <t>TOTAL COMMON PLANT IN SERVICE - COST SPLITS</t>
  </si>
  <si>
    <t>KY - TOTAL COMMON PLANT IN SERVICE - NBV</t>
  </si>
  <si>
    <t>KY - COST BY PLANT ACCOUNT - COMMON</t>
  </si>
  <si>
    <t>IN - COST BY PLANT ACCOUNT - COMMON</t>
  </si>
  <si>
    <t>IN - TOTAL PLANT IN SERVICE - COMMON - NBV</t>
  </si>
  <si>
    <t>TOTAL ELECTRIC PLANT IN SERVICE - NBV</t>
  </si>
  <si>
    <t>TOTAL ELECTRIC PLANT IN SERVICE - COST SPLITS</t>
  </si>
  <si>
    <t>KY - COST BY PLANT ACCOUNT - ELECTRIC</t>
  </si>
  <si>
    <t>KY - TOTAL ELECTRIC PLANT IN SERVICE - NBV</t>
  </si>
  <si>
    <t>IN - TOTAL PLANT IN SERVICE - ELECTRIC - NBV</t>
  </si>
  <si>
    <t>IN - COST BY PLANT ACCOUNT - ELECTRIC</t>
  </si>
  <si>
    <t>TOTAL GAS PLANT IN SERVICE - NBV</t>
  </si>
  <si>
    <t>TOTAL GAS PLANT IN SERVICE - COST SPLITS</t>
  </si>
  <si>
    <t>KY - TOTAL GAS PLANT IN SERVICE - NBV</t>
  </si>
  <si>
    <t>KY - COST BY PLANT ACCOUNT - GAS</t>
  </si>
  <si>
    <t>IN - TOTAL PLANT IN SERVICE - GAS - NBV</t>
  </si>
  <si>
    <t>IN - COST BY PLANT ACCOUNT - GAS</t>
  </si>
  <si>
    <t>GAS STORED NONRECOV - KY</t>
  </si>
  <si>
    <t>GAS STORED NONRECOV - IN</t>
  </si>
  <si>
    <t>CAPITAL LEASED PROPERTY</t>
  </si>
  <si>
    <t>PLANT PURCH &amp; SOLD</t>
  </si>
  <si>
    <t>KY - RESERVE BY PLANT ACCOUNT</t>
  </si>
  <si>
    <t>IN - RESERVE BY PLANT ACCOUNT</t>
  </si>
  <si>
    <t>NET BOOK VALUE REPORTS</t>
  </si>
  <si>
    <t>KENTUCKY REPORTS</t>
  </si>
  <si>
    <t>INDIANA REPORTS</t>
  </si>
  <si>
    <t>RESERVE REPORTS</t>
  </si>
  <si>
    <t>Total Plant (Non-CWIP)</t>
  </si>
  <si>
    <t>Total Plant + CWIP</t>
  </si>
  <si>
    <t xml:space="preserve">LGE-134500-TC 6 Accessory Electric </t>
  </si>
  <si>
    <t>LGE-134600-EWB 5 Misc Power Plant E</t>
  </si>
  <si>
    <t>LGE-134500-Waterside - Accessory El</t>
  </si>
  <si>
    <t>LGE-134500-TC 9 Acessory Electric E</t>
  </si>
  <si>
    <t>LGE-134600-EWB 7 Misc Power Plant E</t>
  </si>
  <si>
    <t xml:space="preserve">LGE-134500-TC 7 Accessory Electric </t>
  </si>
  <si>
    <t>LGE-134500-Zorn - Accessory Electri</t>
  </si>
  <si>
    <t>LGE-134020-TC 5 CT Land</t>
  </si>
  <si>
    <t>Page 200   8 Reserves</t>
  </si>
  <si>
    <t>Net Book Value</t>
  </si>
  <si>
    <t>Plant in Service</t>
  </si>
  <si>
    <t>Total Electric Plant in Service - KY</t>
  </si>
  <si>
    <t>Total Plant in Service</t>
  </si>
  <si>
    <t>LGE-133020-Ohio Falls Non-Project</t>
  </si>
  <si>
    <t>LGE-133100-Ohio Falls Project 289</t>
  </si>
  <si>
    <t>LGE-133200-Ohio Falls Project 289</t>
  </si>
  <si>
    <t>LGE-133020-Ohio Falls Project 289</t>
  </si>
  <si>
    <t>LGE-133400-Ohio Falls Project 289</t>
  </si>
  <si>
    <t>LGE-133600-Ohio Falls Non-Project</t>
  </si>
  <si>
    <t>LGE-133500-Ohio Falls Non-Project</t>
  </si>
  <si>
    <t>LGE-133300-Ohio Falls Project 289</t>
  </si>
  <si>
    <t>LGE-133500-Ohio Falls Project 289</t>
  </si>
  <si>
    <t>LGE-133100-Ohio Falls Non-Project</t>
  </si>
  <si>
    <t>LGE-133600-Ohio Falls Project 289</t>
  </si>
  <si>
    <t>LGE-133707-ARO Cost Hydro Prod (Eqp</t>
  </si>
  <si>
    <t>Louisville Gas &amp; Electric</t>
  </si>
  <si>
    <t>Land and Vehicle Retirements - 2010</t>
  </si>
  <si>
    <t>Other +</t>
  </si>
  <si>
    <t>Unplanned</t>
  </si>
  <si>
    <t>Vehicles NBV</t>
  </si>
  <si>
    <t>Land Cost</t>
  </si>
  <si>
    <t>(Gain)/Loss</t>
  </si>
  <si>
    <t>GL</t>
  </si>
  <si>
    <t>FEBRUARY</t>
  </si>
  <si>
    <t>Vehicle</t>
  </si>
  <si>
    <t>Railcars      *</t>
  </si>
  <si>
    <t>*  Railcars gain transferred to Account 102001 via JE until approved by FERC.</t>
  </si>
  <si>
    <t>LGE-131100-TC 1 Future Use - 105</t>
  </si>
  <si>
    <t>Beginning Balance</t>
  </si>
  <si>
    <t>DEPRECIATION</t>
  </si>
  <si>
    <t>COMPLETED CONSTRUCTION NOT CLASSIFIED</t>
  </si>
  <si>
    <t>NONUTILITY PROPERTY</t>
  </si>
  <si>
    <t>CONSTRUCTION WORK IN PROGRESS</t>
  </si>
  <si>
    <t>GAS STORED UNDERGROUND-NONCURRENT</t>
  </si>
  <si>
    <t>Total Plant + CWIP - Non Utiltity (BS)</t>
  </si>
  <si>
    <t>Common General Plant</t>
  </si>
  <si>
    <t>FF MAXIMUM SIZE 4</t>
  </si>
  <si>
    <t>ACCOUNTED PERIOD TYPE</t>
  </si>
  <si>
    <t>Month</t>
  </si>
  <si>
    <t>FF SEGMENT 5</t>
  </si>
  <si>
    <t>FF APP COL NAME 5</t>
  </si>
  <si>
    <t>SEGMENT5</t>
  </si>
  <si>
    <t>FF ABOVE PROMPT 5</t>
  </si>
  <si>
    <t>FF DISPLAY SIZE 5</t>
  </si>
  <si>
    <t>FF MAXIMUM SIZE 5</t>
  </si>
  <si>
    <t>RESPONSIBILITY NAME</t>
  </si>
  <si>
    <t>MULT_GL_Analyst</t>
  </si>
  <si>
    <t>FF SEGMENT 6</t>
  </si>
  <si>
    <t>FF APP COL NAME 6</t>
  </si>
  <si>
    <t>SEGMENT6</t>
  </si>
  <si>
    <t>FF ABOVE PROMPT 6</t>
  </si>
  <si>
    <t>FF DISPLAY SIZE 6</t>
  </si>
  <si>
    <t>FF MAXIMUM SIZE 6</t>
  </si>
  <si>
    <t>RESP APPLICATION ID</t>
  </si>
  <si>
    <t>FF SEGMENT 7</t>
  </si>
  <si>
    <t>EXPENDITURE_TYPE</t>
  </si>
  <si>
    <t>FF APP COL NAME 7</t>
  </si>
  <si>
    <t>SEGMENT7</t>
  </si>
  <si>
    <t>FF ABOVE PROMPT 7</t>
  </si>
  <si>
    <t>FF DISPLAY SIZE 7</t>
  </si>
  <si>
    <t>FF MAXIMUM SIZE 7</t>
  </si>
  <si>
    <t>RESPONSIBILITY ID</t>
  </si>
  <si>
    <t>FF SEGMENT 8</t>
  </si>
  <si>
    <t>LOCATION</t>
  </si>
  <si>
    <t>FF APP COL NAME 8</t>
  </si>
  <si>
    <t>SEGMENT8</t>
  </si>
  <si>
    <t>FF ABOVE PROMPT 8</t>
  </si>
  <si>
    <t>FF DISPLAY SIZE 8</t>
  </si>
  <si>
    <t>FF MAXIMUM SIZE 8</t>
  </si>
  <si>
    <t>DATABASE USERNAME</t>
  </si>
  <si>
    <t>APPS</t>
  </si>
  <si>
    <t>CONNECT STRING</t>
  </si>
  <si>
    <t>OFMSPROD</t>
  </si>
  <si>
    <t>DB NAME</t>
  </si>
  <si>
    <t>FNDNAM</t>
  </si>
  <si>
    <t>apps</t>
  </si>
  <si>
    <t>GWYUID</t>
  </si>
  <si>
    <t>applsyspub/pub</t>
  </si>
  <si>
    <t>C398.00-Miscellaneous Equp</t>
  </si>
  <si>
    <t>102 Electric Plant Purch &amp; Sold</t>
  </si>
  <si>
    <t>E312-RailCars Offsite</t>
  </si>
  <si>
    <t>Plant Purchased &amp; sold</t>
  </si>
  <si>
    <t>LGE-131110-CAPITAL LEASED EQUIP</t>
  </si>
  <si>
    <t>AAALICAD8AAAAqLAAD</t>
  </si>
  <si>
    <t>AAALICAD8AAAAqLAAB</t>
  </si>
  <si>
    <t>AAALICAD8AAAAqLAAE</t>
  </si>
  <si>
    <t>AAALICAD8AAAAqLAAC</t>
  </si>
  <si>
    <t>AAALICAD8AAAAqLAAI</t>
  </si>
  <si>
    <t>AAALICAD8AAAAqLAAF</t>
  </si>
  <si>
    <t>AAALICAD8AAAAqLAAH</t>
  </si>
  <si>
    <t>AAALICAD8AAAAqLAAG</t>
  </si>
  <si>
    <t>AAALICAD8AAAAqLAAL</t>
  </si>
  <si>
    <t>AAALICAD8AAAAqLAAJ</t>
  </si>
  <si>
    <t>AAALICAD8AAAAqLAAM</t>
  </si>
  <si>
    <t>AAALICAD8AAAAqLAAK</t>
  </si>
  <si>
    <t>100</t>
  </si>
  <si>
    <t>300</t>
  </si>
  <si>
    <t>131</t>
  </si>
  <si>
    <t>348</t>
  </si>
  <si>
    <t>501</t>
  </si>
  <si>
    <t>141</t>
  </si>
  <si>
    <t>701</t>
  </si>
  <si>
    <t>130</t>
  </si>
  <si>
    <t>347</t>
  </si>
  <si>
    <t>500</t>
  </si>
  <si>
    <t>700</t>
  </si>
  <si>
    <t>140</t>
  </si>
  <si>
    <t>139</t>
  </si>
  <si>
    <t>599</t>
  </si>
  <si>
    <t>799</t>
  </si>
  <si>
    <t>108104</t>
  </si>
  <si>
    <t>108107</t>
  </si>
  <si>
    <t>108204</t>
  </si>
  <si>
    <t>108209</t>
  </si>
  <si>
    <t>108304</t>
  </si>
  <si>
    <t>108305</t>
  </si>
  <si>
    <t>108312</t>
  </si>
  <si>
    <t>108114</t>
  </si>
  <si>
    <t>108117</t>
  </si>
  <si>
    <t>108215</t>
  </si>
  <si>
    <t>108315</t>
  </si>
  <si>
    <t>108322</t>
  </si>
  <si>
    <t>108125</t>
  </si>
  <si>
    <t>108207</t>
  </si>
  <si>
    <t>108225</t>
  </si>
  <si>
    <t>108325</t>
  </si>
  <si>
    <t>108001</t>
  </si>
  <si>
    <t>108902</t>
  </si>
  <si>
    <t>108099</t>
  </si>
  <si>
    <t>108901</t>
  </si>
  <si>
    <t>108113</t>
  </si>
  <si>
    <t>108206</t>
  </si>
  <si>
    <t>108213</t>
  </si>
  <si>
    <t>108313</t>
  </si>
  <si>
    <t>108120</t>
  </si>
  <si>
    <t>108220</t>
  </si>
  <si>
    <t>AAALHxAD8AAAAJtAAV</t>
  </si>
  <si>
    <t>Row 4</t>
  </si>
  <si>
    <t>ELECTRIC - LIFE</t>
  </si>
  <si>
    <t>G350.20-Land Rights</t>
  </si>
  <si>
    <t>G351.20-Compressor Station Structur</t>
  </si>
  <si>
    <t>G351.30-Measuring and Regulat Stat</t>
  </si>
  <si>
    <t>G352.10-Storage Leaseholds and Righ</t>
  </si>
  <si>
    <t>G352.20-Reservoirs</t>
  </si>
  <si>
    <t>G352.30-Nonrecoverable Natural Gas</t>
  </si>
  <si>
    <t>G354.00-Compressor Station Equipmen</t>
  </si>
  <si>
    <t>G355.00-Measuring and Regulat Equip</t>
  </si>
  <si>
    <t>G356.00-Purification Equipment</t>
  </si>
  <si>
    <t>G358.05-ARO Cost Gas UG Store (L/B)</t>
  </si>
  <si>
    <t>G358.07-ARO Cost Gas UG Store (Eqp)</t>
  </si>
  <si>
    <t>G365.20-Rights of Way</t>
  </si>
  <si>
    <t>G367.00-Mains</t>
  </si>
  <si>
    <t>101 Plant in Service</t>
  </si>
  <si>
    <t>106 Construction Completed Not Classified</t>
  </si>
  <si>
    <t>E331.00-Structures and Improvements</t>
  </si>
  <si>
    <t>E332.00-Reservoirs, Dams, and Water</t>
  </si>
  <si>
    <t>E333.00-Water Wheels, Turbines, Gen</t>
  </si>
  <si>
    <t>E334.00-Accessory Electric Equipmen</t>
  </si>
  <si>
    <t>Gas Rec &amp; Exp:</t>
  </si>
  <si>
    <t>Per Above Reserve listing:</t>
  </si>
  <si>
    <t>Variance;</t>
  </si>
  <si>
    <t>Total Gas:</t>
  </si>
  <si>
    <t>Depreciation</t>
  </si>
  <si>
    <t>LGE-131707-ARO Cost Steam (Eqp)</t>
  </si>
  <si>
    <t xml:space="preserve">LGE-135020-Electric Transmission - </t>
  </si>
  <si>
    <t>LGE-135210-TC Sw. Station - Substat</t>
  </si>
  <si>
    <t>LGE-135310-TC Sw. Station - Substat</t>
  </si>
  <si>
    <t>LGE-135310-TC Unit 1 - Trans. - Sub</t>
  </si>
  <si>
    <t>LGE-135311-AROP Station Equip</t>
  </si>
  <si>
    <t>LGE-135311-AROP TC1 Station Equip</t>
  </si>
  <si>
    <t xml:space="preserve">LGE-135700-Electric Transmission - </t>
  </si>
  <si>
    <t xml:space="preserve">LGE-135800-Electric Transmission - </t>
  </si>
  <si>
    <t>LGE-135915-ARO Cost Transm (L/B)</t>
  </si>
  <si>
    <t>LGE-135917-ARO Cost Transm (Eqp)</t>
  </si>
  <si>
    <t>LGE-237412-Gas Distribution Land</t>
  </si>
  <si>
    <t>LGE-237422-Gas Distribution Land Ri</t>
  </si>
  <si>
    <t xml:space="preserve">LGE-237510-Gas Distribution - City </t>
  </si>
  <si>
    <t>LGE-237520-Gas Distribution - Other</t>
  </si>
  <si>
    <t>LGE-237600-Gas Distribution - Mains</t>
  </si>
  <si>
    <t>LGE-237800-Gas Distribution - Measu</t>
  </si>
  <si>
    <t xml:space="preserve">LGE-237900-Gas Distribution - City </t>
  </si>
  <si>
    <t>Total 101 Plant in Service - Common - KY</t>
  </si>
  <si>
    <t>Total 106 Plant in Service - Common - KY</t>
  </si>
  <si>
    <t>Total 101 Plant in Service - Electric - IN</t>
  </si>
  <si>
    <t>Total 106 Plant in Service - Electric - IN</t>
  </si>
  <si>
    <t>Total 101 Gas - Indiana</t>
  </si>
  <si>
    <t>E315.00-Accessory Electric Equip</t>
  </si>
  <si>
    <t xml:space="preserve">Total Plant Held for Future Use </t>
  </si>
  <si>
    <t>NON UTILITY PROPERTY</t>
  </si>
  <si>
    <t>RECONCILIATION OF SUMMARY OF UTILITY PLANT TO INCOME STATEMENT DEPRECIATION AND AMORTIZATION</t>
  </si>
  <si>
    <t>UTILITY PLANT IN SERVICE</t>
  </si>
  <si>
    <t>PLANT HELD FOR FUTURE USE</t>
  </si>
  <si>
    <t>Transfers/</t>
  </si>
  <si>
    <t>Adjustments</t>
  </si>
  <si>
    <t>Utility Plant at Original Cost Less Reserve for</t>
  </si>
  <si>
    <t xml:space="preserve">  Depreciation &amp; Amortization (Excl nonutility)</t>
  </si>
  <si>
    <t xml:space="preserve">LGE-135500- KY Electric Transmission - </t>
  </si>
  <si>
    <t xml:space="preserve">LGE-135600- IN Electric Transmission - </t>
  </si>
  <si>
    <t xml:space="preserve">LGE-135600- KY Electric Transmission - </t>
  </si>
  <si>
    <t xml:space="preserve">LGE-235140- IN Gas Storage Underground </t>
  </si>
  <si>
    <t xml:space="preserve">LGE-235140- KY Gas Storage Underground </t>
  </si>
  <si>
    <t xml:space="preserve">LGE-235240- IN Gas Storage Underground </t>
  </si>
  <si>
    <t xml:space="preserve">LGE-235240- KY Gas Storage Underground </t>
  </si>
  <si>
    <t>LGE-238000-Gas Distribution - Gas S</t>
  </si>
  <si>
    <t>LGE-238100-Meters</t>
  </si>
  <si>
    <t>LGE-238300-Regulators</t>
  </si>
  <si>
    <t>LGE-238500-Gas Distribution - Indus</t>
  </si>
  <si>
    <t>LGE-238700-Gas Distribution - Other</t>
  </si>
  <si>
    <t>LGE-238805-ARO Cost Gas Dist (L/B)</t>
  </si>
  <si>
    <t>LGE-238807-ARO Cost Gas Dist (Eqp)</t>
  </si>
  <si>
    <t>LGE-239210-Transportation Equip-Car</t>
  </si>
  <si>
    <t>LGE-239220-Transportation Equip-Tra</t>
  </si>
  <si>
    <t xml:space="preserve">LGE-239400-Tools, Shop, and Garage </t>
  </si>
  <si>
    <t>LGE-239500-Laboratory Equipment</t>
  </si>
  <si>
    <t>LGE-239610-Power Op Equip-Hourly Ra</t>
  </si>
  <si>
    <t>LGE-239620-Power Op Equip - Other</t>
  </si>
  <si>
    <t>LGE-230200-Franchises and Consents</t>
  </si>
  <si>
    <t xml:space="preserve">LGE-235010-Gas Storage Underground </t>
  </si>
  <si>
    <t>LGE-235120-Gas Storage Undg. - Comp</t>
  </si>
  <si>
    <t>LGE-235130-Gas Storage Undg. - Regu</t>
  </si>
  <si>
    <t>LGE-235210-Gas Storage Undg. - Leas</t>
  </si>
  <si>
    <t xml:space="preserve">LGE-235220-Gas Storage Underground </t>
  </si>
  <si>
    <t xml:space="preserve">LGE-235230-Gas Storage Undg. - Non </t>
  </si>
  <si>
    <t>LGE-235400-Gas Storage Undg. - Comp</t>
  </si>
  <si>
    <t>LGE-235500-Gas Storage Undg. - Meas</t>
  </si>
  <si>
    <t xml:space="preserve">LGE-235020-Gas Storage Underground </t>
  </si>
  <si>
    <t>LGE-235600-Gas Storage Undg. - Puri</t>
  </si>
  <si>
    <t>LGE-235805-ARO Cost Gas UG Store (L</t>
  </si>
  <si>
    <t>LGE-235807-ARO Cost Gas UG Store (E</t>
  </si>
  <si>
    <t xml:space="preserve">LGE-236520-Gas Transmission Rights </t>
  </si>
  <si>
    <t>LGE-236700-Gas Transmission - Mains</t>
  </si>
  <si>
    <t>Non-Utility Property</t>
  </si>
  <si>
    <t>Common</t>
  </si>
  <si>
    <t>COST OF REMOVAL</t>
  </si>
  <si>
    <t>SALVAGE</t>
  </si>
  <si>
    <t>TOTAL RESERVES</t>
  </si>
  <si>
    <t>RETIREMENT WORK IN PROGRESS</t>
  </si>
  <si>
    <t>YTD ACTIVITY</t>
  </si>
  <si>
    <t>AMORTIZATION</t>
  </si>
  <si>
    <t>AMORTIZATION TOTAL</t>
  </si>
  <si>
    <t>Depreciation &amp; Amortization Total</t>
  </si>
  <si>
    <t>LGE-134300-TC 8 Prime Movers</t>
  </si>
  <si>
    <t>LGE-134300-EWB 5 Prime Movers</t>
  </si>
  <si>
    <t>LGE-134100-PR 13 Structures and Imp</t>
  </si>
  <si>
    <t>LGE-134200-Waterside - Fuel Holders</t>
  </si>
  <si>
    <t>LGE-134200-TRIMBLE CT PIPELINE FUEL</t>
  </si>
  <si>
    <t>LGE-134300-EWB 7 Prime Movers</t>
  </si>
  <si>
    <t>LGE-134600-Zorn - Misc. Power Plant</t>
  </si>
  <si>
    <t xml:space="preserve">LGE-134100-Cane Run - Structures &amp; </t>
  </si>
  <si>
    <t>LGE-134300-TC 6 Prime Movers</t>
  </si>
  <si>
    <t>LGE-134600-TC 9 Misc. Power Plant E</t>
  </si>
  <si>
    <t>AAALICAD8AAAAqMAAT</t>
  </si>
  <si>
    <t>AAALICAD8AAAAqLAAQ</t>
  </si>
  <si>
    <t>AAALICAD8AAAAqMAAU</t>
  </si>
  <si>
    <t>AAALICAD8AAAAqLAAO</t>
  </si>
  <si>
    <t>LGE-131400-TC 1 Future Use - 105</t>
  </si>
  <si>
    <t>LGE-131500-TC 1 Future Use - 105</t>
  </si>
  <si>
    <t>TOTAL</t>
  </si>
  <si>
    <t>LESS: NON-UTILITY</t>
  </si>
  <si>
    <t>RESERVE</t>
  </si>
  <si>
    <t>TOTAL AMORT &amp; DEPR</t>
  </si>
  <si>
    <t>101 Plant In Service</t>
  </si>
  <si>
    <t>Total Electric - Indiana</t>
  </si>
  <si>
    <t>Total Common - Indiana</t>
  </si>
  <si>
    <t>121 Non Utility Property</t>
  </si>
  <si>
    <t>Total Common Plant in Service - KY</t>
  </si>
  <si>
    <t>105 Plant Held for Future Use</t>
  </si>
  <si>
    <t>101101 Capital Leased Property</t>
  </si>
  <si>
    <t>Total 101 Electric Plant in Service - KY</t>
  </si>
  <si>
    <t>106 Construction Completed not Classified</t>
  </si>
  <si>
    <t>Total 106 Construction Completed not Classified</t>
  </si>
  <si>
    <t>Distribution</t>
  </si>
  <si>
    <t>Total Plant in Service - Gas - KY</t>
  </si>
  <si>
    <t>LGE-134400-TC 6 Generators</t>
  </si>
  <si>
    <t>LGE-134100-TC9 Structures and Impro</t>
  </si>
  <si>
    <t>LGE-134100-Waterside - Structures &amp;</t>
  </si>
  <si>
    <t>LGE-134200-PR 13 Fuel Holders, Prod</t>
  </si>
  <si>
    <t>LGE-134400-EWB 6 Generators</t>
  </si>
  <si>
    <t>LGE-134200-EWB 7 Fuel Holders, Prod</t>
  </si>
  <si>
    <t>LGE-134400-Cane Run - Generators</t>
  </si>
  <si>
    <t>LGE-134200-EWB 5 Fuel Holders, Prod</t>
  </si>
  <si>
    <t>LGE-134400-PR 13 Generators</t>
  </si>
  <si>
    <t>LGE-134200-TC 8 Fuel Holders, Produ</t>
  </si>
  <si>
    <t>LGE-134100-Zorn - Structurses &amp; Imp</t>
  </si>
  <si>
    <t>LGE-134400-Paddys GT - 11 Generator</t>
  </si>
  <si>
    <t>LGE-134200-TC 6 Fuel Holders, Produ</t>
  </si>
  <si>
    <t>LGE-134200-Paddys GT - 11 Fuel Hold</t>
  </si>
  <si>
    <t>LGE-134200-Paddys GT - 12 Fuel Hold</t>
  </si>
  <si>
    <t>LGE-134200-TC 10 Fuel Holders, Prod</t>
  </si>
  <si>
    <t>LGE-134300-PR 13 Prime Movers</t>
  </si>
  <si>
    <t>LGE-131600-Cane Run Unit 5 Misc. Po</t>
  </si>
  <si>
    <t>LGE-131100-Cane Run Unit 4 Structur</t>
  </si>
  <si>
    <t>LGE-131100-Cane Run Unit 5 SO2-Stru</t>
  </si>
  <si>
    <t>LGE-131600-Cane Run Unit 1 Misc. Po</t>
  </si>
  <si>
    <t>LGE-131100-Cane Run Unit 6 SO2-Stru</t>
  </si>
  <si>
    <t>LGE-131100-Mill Creek Unit 1 SO2-St</t>
  </si>
  <si>
    <t>LGE-131100-Mill Creek Unit 1 Struct</t>
  </si>
  <si>
    <t>LGE-131100-Mill Creek Unit 2 SO2-St</t>
  </si>
  <si>
    <t>LGE-131100-Mill Creek Unit 2 Struct</t>
  </si>
  <si>
    <t>LGE-131500-Mill Creek Unit 2 Access</t>
  </si>
  <si>
    <t>LGE-131100-Mill Creek Unit 3 Struct</t>
  </si>
  <si>
    <t>LGE-131100-Mill Creek Unit 4 SO2-St</t>
  </si>
  <si>
    <t>LGE-131500-Cane Run Unit 6 Accessor</t>
  </si>
  <si>
    <t>LGE-131100-Trimble Unit 1 SO2-Struc</t>
  </si>
  <si>
    <t>LGE-131500-Cane Run Unit 4 Accessor</t>
  </si>
  <si>
    <t>LGE-131101-AROP CR 6 Struct &amp; Impr</t>
  </si>
  <si>
    <t>LGE-131101-AROP MC 1 Struct &amp; Impr</t>
  </si>
  <si>
    <t>LGE-131101-AROP MC 3 Struct &amp; Impr</t>
  </si>
  <si>
    <t>LGE-131101-AROP MC 4 Struct &amp; Impr</t>
  </si>
  <si>
    <t>LGE-131101-AROP TC 1 Struct &amp; Impr</t>
  </si>
  <si>
    <t>LGE-131110-CR 6 Capital Leased Equi</t>
  </si>
  <si>
    <t>DB DECIMAL POINT</t>
  </si>
  <si>
    <t>AAALISAD8AAAARcAAC</t>
  </si>
  <si>
    <t>PROP - CWIP BALANCING</t>
  </si>
  <si>
    <t>R</t>
  </si>
  <si>
    <t>CWIP BALANCING</t>
  </si>
  <si>
    <t>GL#</t>
  </si>
  <si>
    <t>Row Calculations</t>
  </si>
  <si>
    <t>+</t>
  </si>
  <si>
    <t>AAALIkAD8AAAAQ+AAH</t>
  </si>
  <si>
    <t>ROW ACCOUNT ASSIGNMENTS</t>
  </si>
  <si>
    <t>AAALICAD8AAAA+GAAO</t>
  </si>
  <si>
    <t>T</t>
  </si>
  <si>
    <t>E</t>
  </si>
  <si>
    <t/>
  </si>
  <si>
    <t>000</t>
  </si>
  <si>
    <t>999</t>
  </si>
  <si>
    <t>107001</t>
  </si>
  <si>
    <t>ROWS</t>
  </si>
  <si>
    <t>AAALHxAD8AAAA/vAAj</t>
  </si>
  <si>
    <t>N</t>
  </si>
  <si>
    <t>ACCOUNT 107001</t>
  </si>
  <si>
    <t>Y</t>
  </si>
  <si>
    <t>AAALHxAD8AAAA/vAAk</t>
  </si>
  <si>
    <t>TOTAL 107001</t>
  </si>
  <si>
    <t>PROPERTY ACCTG. - CWIP BALANCING</t>
  </si>
  <si>
    <t>C</t>
  </si>
  <si>
    <t>CWIP BALANCING - PROPERTY ACCOUNTING</t>
  </si>
  <si>
    <t>AAALHdAD8AAAAXYAAG</t>
  </si>
  <si>
    <t>REPORT VALUES</t>
  </si>
  <si>
    <t>CWIP BALANCING- COMPANY COLUMNS</t>
  </si>
  <si>
    <t>AAALISAD8AAAARcAAD</t>
  </si>
  <si>
    <t>Total Plant in Service - KY</t>
  </si>
  <si>
    <t>Total 101 Plant in Service - Gas - KY</t>
  </si>
  <si>
    <t>Total 106 Const Completed not Classified - Gas - KY</t>
  </si>
  <si>
    <t>COLUMN SET VALUES</t>
  </si>
  <si>
    <t>GBL_BLANK_CONTENT_SET</t>
  </si>
  <si>
    <t>S</t>
  </si>
  <si>
    <t>GBL_BLANK_CONTENT_SET to get page breaks</t>
  </si>
  <si>
    <t>AAALJFAD8AAAACHAAJ</t>
  </si>
  <si>
    <t>CONTENT SET VALUES</t>
  </si>
  <si>
    <t>A</t>
  </si>
  <si>
    <t>ROW ORDER VALUES</t>
  </si>
  <si>
    <t>DISPLAY SET VALUES</t>
  </si>
  <si>
    <t>YTD-Actual</t>
  </si>
  <si>
    <t>USD</t>
  </si>
  <si>
    <t>AAALHxAD8AAAA/vAAq</t>
  </si>
  <si>
    <t>AAALHxAD8AAAA/vAAp</t>
  </si>
  <si>
    <t>LGE UTILITY</t>
  </si>
  <si>
    <t>KU</t>
  </si>
  <si>
    <t>999999999.99</t>
  </si>
  <si>
    <t>COLUMNS</t>
  </si>
  <si>
    <t>AAALICAD8AAAA+GAAX</t>
  </si>
  <si>
    <t>AAALICAD8AAAA+GAAY</t>
  </si>
  <si>
    <t>0100</t>
  </si>
  <si>
    <t>0110</t>
  </si>
  <si>
    <t>COLUMN ACCOUNT ASSIGNMENTS</t>
  </si>
  <si>
    <t>COLUMN CALCULATIONS</t>
  </si>
  <si>
    <t>COLUMN EXCEPTIONS</t>
  </si>
  <si>
    <t>COLUMN EXCEPTIONS DETAIL"</t>
  </si>
  <si>
    <t>ROW ORDER</t>
  </si>
  <si>
    <t>CONTENT SET</t>
  </si>
  <si>
    <t>CONTROL VALUES</t>
  </si>
  <si>
    <t>LGE-134100-Structures and Imp</t>
  </si>
  <si>
    <t>LGE-134200-Fuel Holders, Prod</t>
  </si>
  <si>
    <t>LGE-134300-Prime Movers</t>
  </si>
  <si>
    <t>LGE-134400-Generators</t>
  </si>
  <si>
    <t>LGE-134500-Accessory Electric</t>
  </si>
  <si>
    <t>LGE-134600-Misc. Power Plant</t>
  </si>
  <si>
    <t>LGE-131100-Structures &amp; Imp</t>
  </si>
  <si>
    <t>LGE-131101-AROP Struct &amp; Impr</t>
  </si>
  <si>
    <t>LGE-131200-Boiler</t>
  </si>
  <si>
    <t>LGE-131201-AROP Boiler Plt</t>
  </si>
  <si>
    <t>LGE-131400-Turbogenerators</t>
  </si>
  <si>
    <t>LGE-131500-Accessory</t>
  </si>
  <si>
    <t>LGE-131600-Misc. Power Plant</t>
  </si>
  <si>
    <t xml:space="preserve">101 Plant in Service </t>
  </si>
  <si>
    <t>Common General</t>
  </si>
  <si>
    <t>General</t>
  </si>
  <si>
    <t>Hydro</t>
  </si>
  <si>
    <t>Intangible</t>
  </si>
  <si>
    <t>Other Production</t>
  </si>
  <si>
    <t>Steam Production</t>
  </si>
  <si>
    <t>Electric General</t>
  </si>
  <si>
    <t>Transmission</t>
  </si>
  <si>
    <t>LGE ENERGY LLC</t>
  </si>
  <si>
    <t>LGE-339700-  IN Common - Communication E</t>
  </si>
  <si>
    <t>LGE-339700- KY Common - Communication E</t>
  </si>
  <si>
    <t xml:space="preserve">LGE-136200- IN Elect. Dist. Substation </t>
  </si>
  <si>
    <t xml:space="preserve">LGE-136200- KY Elect. Dist. Substation </t>
  </si>
  <si>
    <t xml:space="preserve">LGE-135010- IN Electric Transmission - </t>
  </si>
  <si>
    <t xml:space="preserve">LGE-135010- KY Electric Transmission - </t>
  </si>
  <si>
    <t xml:space="preserve">LGE-135210- IN Electric Transmission - </t>
  </si>
  <si>
    <t xml:space="preserve">LGE-135210- KY Electric Transmission - </t>
  </si>
  <si>
    <t>Total Electric Plant in Service - 101</t>
  </si>
  <si>
    <t>TOTAL PLANT IN SERVICE</t>
  </si>
  <si>
    <t>Total 101 Plant in Service - Gas</t>
  </si>
  <si>
    <t>Total Plant in Service - Gas</t>
  </si>
  <si>
    <t>Total 106 Const Completed not Classified - Gas</t>
  </si>
  <si>
    <t>AAALHxAD8AAAAJtAAg</t>
  </si>
  <si>
    <t>Row 5</t>
  </si>
  <si>
    <t>GAS - LIFE</t>
  </si>
  <si>
    <t>E311.00-Structures and Improvements</t>
  </si>
  <si>
    <t xml:space="preserve">E311.01-AROP Structures and Improv </t>
  </si>
  <si>
    <t>E312.00-Boiler Plant Equipment</t>
  </si>
  <si>
    <t>E312.01-AROP Boiler Plant Equipment</t>
  </si>
  <si>
    <t>E314.00-Turbogenerator Units</t>
  </si>
  <si>
    <t>E315.00-Accessory Electric Equipmen</t>
  </si>
  <si>
    <t>E316.00-Misc Power Plant Equip</t>
  </si>
  <si>
    <t>E317.07-ARO Cost Steam (Eqp)</t>
  </si>
  <si>
    <t>E353.11-AROP Station Equip Non Sys</t>
  </si>
  <si>
    <t>E357.00-Underground Conduit</t>
  </si>
  <si>
    <t>E358.00-UG Conductors and Devices</t>
  </si>
  <si>
    <t>E359.15-ARO Cost Transm (L/B)</t>
  </si>
  <si>
    <t>E359.17-ARO Cost Transm (Eqp)</t>
  </si>
  <si>
    <t>E311.10-Capital Leased Property</t>
  </si>
  <si>
    <t>E360.25- Land Held for Future Use</t>
  </si>
  <si>
    <t>E362.05-Station Equip-For Future Us</t>
  </si>
  <si>
    <t>G374.12-Other Distribution Land</t>
  </si>
  <si>
    <t>G374.22-Other Distribution Land Rig</t>
  </si>
  <si>
    <t>G375.10-City Gate Check Station Str</t>
  </si>
  <si>
    <t>Common General Plant - ARO</t>
  </si>
  <si>
    <t>Electric Distribution - ARO</t>
  </si>
  <si>
    <t>Electric Hydro Production - ARO</t>
  </si>
  <si>
    <t>LGE-131500-Mill Creek Unit 1 SO2 Ac</t>
  </si>
  <si>
    <t>LGE-131500-Mill Creek Unit 2 SO2 Ac</t>
  </si>
  <si>
    <t>LGE-131500-Mill Creek Unit 3 Access</t>
  </si>
  <si>
    <t>LGE-131500-Mill Creek Unit 3 SO2 Ac</t>
  </si>
  <si>
    <t>LGE-131500-Mill Creek Unit 4 Access</t>
  </si>
  <si>
    <t>LGE-131500-Mill Creek Unit 4 SO2 Ac</t>
  </si>
  <si>
    <t>LGE-131500-Trimble Unit 1 Accessory</t>
  </si>
  <si>
    <t>LGE-131100-Cane Run Unit 5 Structur</t>
  </si>
  <si>
    <t>LGE-131500-Trimble Unit 1 SO2 Acces</t>
  </si>
  <si>
    <t>LGE-131600-Cane Run Unit 3 Misc. Po</t>
  </si>
  <si>
    <t>LGE-131600-Cane Run Unit 4 Misc. Po</t>
  </si>
  <si>
    <t>LGE-131100-Cane Run Unit 4 SO2-Stru</t>
  </si>
  <si>
    <t>LGE-131600-Cane Run Unit 4 SO2 Misc</t>
  </si>
  <si>
    <t>LGE-131600-Cane Run Unit 5 SO2 Misc</t>
  </si>
  <si>
    <t>LGE-131600-Cane Run Unit 6 Misc. Po</t>
  </si>
  <si>
    <t>LGE-131100-Cane Run Unit 1 Structur</t>
  </si>
  <si>
    <t>LGE-131600-Cane Run Unit 6 SO2 Misc</t>
  </si>
  <si>
    <t xml:space="preserve">LGE-131600-Mill Creek Unit 2 Misc. </t>
  </si>
  <si>
    <t xml:space="preserve">LGE-131600-Mill Creek Unit 3 Misc. </t>
  </si>
  <si>
    <t xml:space="preserve">LGE-131600-Mill Creek Unit 4 Misc. </t>
  </si>
  <si>
    <t>LGE-131600-Mill Creek Unit 4 SO2 Mi</t>
  </si>
  <si>
    <t>LGE-131600-Trimble Unit 1 Misc. Pow</t>
  </si>
  <si>
    <t>LGE-131020-Steam Production - Land</t>
  </si>
  <si>
    <t>LGE-135210-TC Unit 1 - Trans Sub</t>
  </si>
  <si>
    <t>AAALICAD8AAAAqNAAH</t>
  </si>
  <si>
    <t>AAALICAD8AAAAqNAAI</t>
  </si>
  <si>
    <t>AAALICAD8AAAAqNAAJ</t>
  </si>
  <si>
    <t>AAALICAD8AAAAqNAAK</t>
  </si>
  <si>
    <t>AAALICAD8AAABIaAAN</t>
  </si>
  <si>
    <t>AAALICAD8AAAAqNAAL</t>
  </si>
  <si>
    <t>AAALICAD8AAAAqNAAM</t>
  </si>
  <si>
    <t>108414</t>
  </si>
  <si>
    <t>108515</t>
  </si>
  <si>
    <t>108615</t>
  </si>
  <si>
    <t>108421</t>
  </si>
  <si>
    <t>108520</t>
  </si>
  <si>
    <t>108622</t>
  </si>
  <si>
    <t>ELECTRIC - COR</t>
  </si>
  <si>
    <t>GAS - COR</t>
  </si>
  <si>
    <t>COMMON - COR</t>
  </si>
  <si>
    <t>AAALHxAD8AAAAKiAAP</t>
  </si>
  <si>
    <t>AAALHxAD8AAAAKiAAW</t>
  </si>
  <si>
    <t>AAALHxAD8AAAAKiAAa</t>
  </si>
  <si>
    <t>AAALICAD8AAAAqNAAN</t>
  </si>
  <si>
    <t>G388.07-ARO Cost Gas Dist (Eqp)</t>
  </si>
  <si>
    <t>G392.10-Transportation Equip-Car/Tr</t>
  </si>
  <si>
    <t>G392.20-Transportation Equip-Traile</t>
  </si>
  <si>
    <t>G394.00-Tools, Shop, and Garage Equ</t>
  </si>
  <si>
    <t>AAALISAD8AAAAROAAA</t>
  </si>
  <si>
    <t>PROPERTY ACCTG DEPR RPT</t>
  </si>
  <si>
    <t>LG&amp;E DEPRECIATION DETAIL</t>
  </si>
  <si>
    <t>AAALICAD8AAAAobAAW</t>
  </si>
  <si>
    <t>-</t>
  </si>
  <si>
    <t>AAALICAD8AAAAqNAAk</t>
  </si>
  <si>
    <t>AAALICAD8AAAAobAAX</t>
  </si>
  <si>
    <t>AAALICAD8AAAAqNAAn</t>
  </si>
  <si>
    <t>AAALICAD8AAAAm8AAU</t>
  </si>
  <si>
    <t>AAALICAD8AAAAqNAAl</t>
  </si>
  <si>
    <t>AAALICAD8AAAAqFAAB</t>
  </si>
  <si>
    <t>AAALICAD8AAAAocAAD</t>
  </si>
  <si>
    <t>AAALICAD8AAAAqNAAm</t>
  </si>
  <si>
    <t>AAALICAD8AAAAm8AAf</t>
  </si>
  <si>
    <t>AAALICAD8AAAAqLAAR</t>
  </si>
  <si>
    <t>AAALICAD8AAAAqLAAS</t>
  </si>
  <si>
    <t>AAALICAD8AAAAocAAN</t>
  </si>
  <si>
    <t>AAALICAD8AAAAm9AAz</t>
  </si>
  <si>
    <t>AAALICAD8AAAAqNAAp</t>
  </si>
  <si>
    <t>AAALICAD8AAAAqNAAo</t>
  </si>
  <si>
    <t>AAALICAD8AAAAqNAAq</t>
  </si>
  <si>
    <t>AAALICAD8AAAAqNAAr</t>
  </si>
  <si>
    <t>AAALICAD8AAAAqFAAA</t>
  </si>
  <si>
    <t>AAALICAD8AAAAqNAAs</t>
  </si>
  <si>
    <t>AAALICAD8AAAAqMAAA</t>
  </si>
  <si>
    <t>AAALICAD8AAAAqLAAT</t>
  </si>
  <si>
    <t>AAALICAD8AAAAqLAAU</t>
  </si>
  <si>
    <t>AAALICAD8AAAAqMAAB</t>
  </si>
  <si>
    <t>AAALICAD8AAAAqMAAC</t>
  </si>
  <si>
    <t>AAALICAD8AAAAqMAAE</t>
  </si>
  <si>
    <t>AAALICAD8AAAAqMAAD</t>
  </si>
  <si>
    <t>AAALICAD8AAAAqMAAF</t>
  </si>
  <si>
    <t>AAALICAD8AAAAqMAAH</t>
  </si>
  <si>
    <t>AAALICAD8AAAAqMAAG</t>
  </si>
  <si>
    <t>AAALICAD8AAAAqMAAI</t>
  </si>
  <si>
    <t>AAALICAD8AAAAqMAAJ</t>
  </si>
  <si>
    <t>AAALICAD8AAAAqMAAM</t>
  </si>
  <si>
    <t>AAALICAD8AAAAqMAAN</t>
  </si>
  <si>
    <t>AAALICAD8AAAAqMAAK</t>
  </si>
  <si>
    <t>AAALICAD8AAAAqMAAL</t>
  </si>
  <si>
    <t>AAALICAD8AAAAqMAAO</t>
  </si>
  <si>
    <t>AAALICAD8AAAAqMAAQ</t>
  </si>
  <si>
    <t>AAALICAD8AAAAqMAAP</t>
  </si>
  <si>
    <t>AAALICAD8AAAAqMAAR</t>
  </si>
  <si>
    <t>AAALICAD8AAAAqMAAS</t>
  </si>
  <si>
    <t>AAALICAD8AAAAqLAAP</t>
  </si>
  <si>
    <t>LGE-131200-TC 1 Futue Use - 105</t>
  </si>
  <si>
    <t>Electric Steam Production - ARO</t>
  </si>
  <si>
    <t>Electric Transmission - ARO</t>
  </si>
  <si>
    <t>Gas Distribution - ARO</t>
  </si>
  <si>
    <t>Gas Storage - ARO</t>
  </si>
  <si>
    <t>Electric Other Production - ARO</t>
  </si>
  <si>
    <t>Accruals</t>
  </si>
  <si>
    <t>Salvage</t>
  </si>
  <si>
    <t>End Balance</t>
  </si>
  <si>
    <t xml:space="preserve">LGE-339220-Trans Equip-Trailers </t>
  </si>
  <si>
    <t>LGE-339300-Stores Equipment</t>
  </si>
  <si>
    <t>LGE-339120-Office Equipment</t>
  </si>
  <si>
    <t>LGE-339010-Common Structures - Gene</t>
  </si>
  <si>
    <t>LGE-339131-Personal Computers</t>
  </si>
  <si>
    <t>LGE-339500-Laboratory Equipment</t>
  </si>
  <si>
    <t>LGE-339140-Security Equipment</t>
  </si>
  <si>
    <t>LGE-339620-Power Op Equip - Other</t>
  </si>
  <si>
    <t>LGE-134300-TC 7 Prime Movers</t>
  </si>
  <si>
    <t>LGE-134300-TC 9 Prime Movers</t>
  </si>
  <si>
    <t>LGE-134300-Waterside - Prime Movers</t>
  </si>
  <si>
    <t>LGE-134400-TC 8 Generators</t>
  </si>
  <si>
    <t>LGE-134400-EWB 5 Generators</t>
  </si>
  <si>
    <t>LGE-134400-EWB 7 Generators</t>
  </si>
  <si>
    <t xml:space="preserve">LGE-134600-Waterside - Misc. Power </t>
  </si>
  <si>
    <t>LGE-134400-Waterside - Generators</t>
  </si>
  <si>
    <t>E394.00-Tools, Shop and Garage Equip</t>
  </si>
  <si>
    <t>Depr &amp; Amort - Nonutility for Balance Sheet</t>
  </si>
  <si>
    <t>E345.00-Accessory Electric Equip</t>
  </si>
  <si>
    <t>LGE-134600-TC 7 Misc. Power Plant E</t>
  </si>
  <si>
    <t>LGE-134400-TC 10 Generators</t>
  </si>
  <si>
    <t>LGE-134600-TC 5 Misc. Power Plant E</t>
  </si>
  <si>
    <t xml:space="preserve">LGE-134600-TC 10 Misc. Power Plant </t>
  </si>
  <si>
    <t>LGE-134020-Waterside - Land</t>
  </si>
  <si>
    <t>LGE-134500-EWB 5 Accessory Electric</t>
  </si>
  <si>
    <t>LGE-134100-EWB 5 Structures and Imp</t>
  </si>
  <si>
    <t xml:space="preserve">LGE-134500-EWB 7 Acessory Electric </t>
  </si>
  <si>
    <t>LGE-134500-PR 13 Accessory Electric</t>
  </si>
  <si>
    <t>LGE-134600-Paddys GT - 11 Misc. Pow</t>
  </si>
  <si>
    <t>LGE-134500-Paddys GT - 12 Accessory</t>
  </si>
  <si>
    <t>LGE-134500-TC 10 Accessory Electric</t>
  </si>
  <si>
    <t xml:space="preserve">LGE-134500-TC 5 Accessory Electric </t>
  </si>
  <si>
    <t xml:space="preserve">LGE-134500-EWB 6 Acessory Electric </t>
  </si>
  <si>
    <t>Line 6 C</t>
  </si>
  <si>
    <t>Line 8 c</t>
  </si>
  <si>
    <t>Page 208 Form 3 Q</t>
  </si>
  <si>
    <t>117 Gas Stored Nonrecoverable</t>
  </si>
  <si>
    <t xml:space="preserve">LGE-135500- IN Electric Transmission - </t>
  </si>
  <si>
    <t>G395.00-Laboratory Equipment</t>
  </si>
  <si>
    <t>G396.10-Power Op Equip-Hourly Rated</t>
  </si>
  <si>
    <t>G396.20-Power Op Equip - Other</t>
  </si>
  <si>
    <t>G302.00-Franchises and Consents</t>
  </si>
  <si>
    <t xml:space="preserve">LGE-235250- IN AROP Gas Storage Underground </t>
  </si>
  <si>
    <t xml:space="preserve">LGE-235250- KY AROP Gas Storage Underground </t>
  </si>
  <si>
    <t>LGE-235300- IN Gas Storage Undergroun</t>
  </si>
  <si>
    <t>LGE-235300- KY Gas Storage Undergroun</t>
  </si>
  <si>
    <t xml:space="preserve">LGE-235700- IN Gas Storage Underground </t>
  </si>
  <si>
    <t xml:space="preserve">LGE-235700- KY Gas Storage Underground </t>
  </si>
  <si>
    <t>NET RESERVES LESS NON-UTILITY</t>
  </si>
  <si>
    <t>TOTAL RESERVES NO RWIP</t>
  </si>
  <si>
    <t>NET RESERVES INCLUDING RWIP</t>
  </si>
  <si>
    <t>Form 3 Page 200</t>
  </si>
  <si>
    <t>Steam production Plant</t>
  </si>
  <si>
    <t>Hydraulic</t>
  </si>
  <si>
    <t>Form 3 P208 col c without RWIP</t>
  </si>
  <si>
    <t>AAALICAD8AAAAqLAAN</t>
  </si>
  <si>
    <t>AAALICAD8AAAAqLAAA</t>
  </si>
  <si>
    <t>LGE-130100-Elect. Intagible Plant -</t>
  </si>
  <si>
    <t>LGE-130200-Franchises and Consents</t>
  </si>
  <si>
    <t>LGE-134200-TC 5 Fuel Holders, Produ</t>
  </si>
  <si>
    <t>LGE-134100-EWB 6 Structures and Imp</t>
  </si>
  <si>
    <t>LGE-134300-EWB 6 Prime Movers</t>
  </si>
  <si>
    <t>LGE-134100-TC 10 Structures and Imp</t>
  </si>
  <si>
    <t>LGE-134600-TC 8 Misc. Power Plant E</t>
  </si>
  <si>
    <t>LGE-134400-Paddys GT - 12 Generator</t>
  </si>
  <si>
    <t>LGE-134400-TC 7 Generators</t>
  </si>
  <si>
    <t>C303.10-CCS Software</t>
  </si>
  <si>
    <t>E315.01-AROP Accessory Electric Equipmen</t>
  </si>
  <si>
    <t>LGE-330310-CCS Software</t>
  </si>
  <si>
    <t>LGE-131501-AROP Cane Run Unit 4 Accessor</t>
  </si>
  <si>
    <t>LGE-131501-AROP Cane Run Unit 5 Accessor</t>
  </si>
  <si>
    <t>LGE-131501-AROP Cane Run Unit 6 Accessor</t>
  </si>
  <si>
    <t>LGE-131501-AROP MC 1 Accessor</t>
  </si>
  <si>
    <t>LGE-131501-AROP MC 2 Accessor</t>
  </si>
  <si>
    <t>LGE-131501-AROP MC 3 Accessor</t>
  </si>
  <si>
    <t xml:space="preserve">     need to update annually in March---------------------------&gt;</t>
  </si>
  <si>
    <t>Common General Plant- Electric</t>
  </si>
  <si>
    <t>Common General Plant - Gas</t>
  </si>
  <si>
    <t>Common General Plant - ARO- Electric</t>
  </si>
  <si>
    <t>Common General Plant - ARO-Gas</t>
  </si>
  <si>
    <t>Cooling Tower</t>
  </si>
  <si>
    <t>LGE-134100-TC 7 Structures and Impr</t>
  </si>
  <si>
    <t>LGE-134500-Cane Run - Accessory Ele</t>
  </si>
  <si>
    <t>LGE-134600-EWB 6 Misc Power Plant E</t>
  </si>
  <si>
    <t xml:space="preserve">LGE-134500-TC 8 Accessory Electric </t>
  </si>
  <si>
    <t>LGE-134200-Cane Run - Fuel Holders,</t>
  </si>
  <si>
    <t>LGE-134500-Paddys GT - 11 Accessory</t>
  </si>
  <si>
    <t>LGE-134600-PR 13 Misc Power Plant E</t>
  </si>
  <si>
    <t>LGE-134400-TC 5 Generators</t>
  </si>
  <si>
    <t>LGE-134400-TC 9 Generators</t>
  </si>
  <si>
    <t>LGE-134400-Zorn - Generators</t>
  </si>
  <si>
    <t>LGE-134100-EWB 7 Structures and Imp</t>
  </si>
  <si>
    <t>LGE-134600-Paddys GT - 12 mIsc. Pow</t>
  </si>
  <si>
    <t>LGE-134705-ARO Cost Other Prod (L/B</t>
  </si>
  <si>
    <t>LGE-134707-ARO Cost Other Prod (Eqp</t>
  </si>
  <si>
    <t>LGE-131600-Mill Creek Unit 1 Misc P</t>
  </si>
  <si>
    <t>LGE-131100-Cane Run Unit 2 Structur</t>
  </si>
  <si>
    <t>LGE-131100-Cane Run Unit 3 Structur</t>
  </si>
  <si>
    <t>LGE-131400-Mill Creek Unit 1Turboge</t>
  </si>
  <si>
    <t>LGE-131200-Cane Run Locomotives - B</t>
  </si>
  <si>
    <t>LGE-131200-Cane Run Rail Cars - Boi</t>
  </si>
  <si>
    <t>LGE-131400-Cane Run Unit 3 Turbogen</t>
  </si>
  <si>
    <t>Gen Plant</t>
  </si>
  <si>
    <t>OP</t>
  </si>
  <si>
    <t>Steam</t>
  </si>
  <si>
    <t>G Dist</t>
  </si>
  <si>
    <t>E Dist</t>
  </si>
  <si>
    <t>E Trans</t>
  </si>
  <si>
    <t>Gas Trans</t>
  </si>
  <si>
    <t>Gas Stored Non-Rec</t>
  </si>
  <si>
    <t>Page 338</t>
  </si>
  <si>
    <t>8b</t>
  </si>
  <si>
    <t>8c</t>
  </si>
  <si>
    <t>9b</t>
  </si>
  <si>
    <t>4b</t>
  </si>
  <si>
    <t>4c</t>
  </si>
  <si>
    <t>6b</t>
  </si>
  <si>
    <t>6c</t>
  </si>
  <si>
    <t>2b</t>
  </si>
  <si>
    <t>2c</t>
  </si>
  <si>
    <t>7b</t>
  </si>
  <si>
    <t>7c</t>
  </si>
  <si>
    <t>10b</t>
  </si>
  <si>
    <t>10c</t>
  </si>
  <si>
    <t>Form 3</t>
  </si>
  <si>
    <t>Line 3B</t>
  </si>
  <si>
    <t>see page 4 at bottom for rates</t>
  </si>
  <si>
    <t>Page 208</t>
  </si>
  <si>
    <t>Page 208 col c</t>
  </si>
  <si>
    <t>10e-Acct 404</t>
  </si>
  <si>
    <t>Total 106 Gas - Indiana</t>
  </si>
  <si>
    <t>Total Plant in Service - Gas - IN</t>
  </si>
  <si>
    <t>G352.50-Well Equipment-ARO</t>
  </si>
  <si>
    <t xml:space="preserve">LGE-235255- KY Gas Storage Underground </t>
  </si>
  <si>
    <t xml:space="preserve">LGE-235255- IN Gas Storage Underground </t>
  </si>
  <si>
    <t>G352.55-Well Equipment</t>
  </si>
  <si>
    <t>G352.50-Well Equipment ARO</t>
  </si>
  <si>
    <t>RWIP ACCOUNT 108099</t>
  </si>
  <si>
    <t>RWIP ACCOUNT 108799</t>
  </si>
  <si>
    <t>RWIP ACCOUNT 108901</t>
  </si>
  <si>
    <t>TOTAL RWIP</t>
  </si>
  <si>
    <t>Page 200</t>
  </si>
  <si>
    <t>Line 3 C-1</t>
  </si>
  <si>
    <t>Line 3 C-2</t>
  </si>
  <si>
    <t>Total Line 3 C</t>
  </si>
  <si>
    <t>JULY</t>
  </si>
  <si>
    <t>VEHICLES</t>
  </si>
  <si>
    <t>VARIANCE</t>
  </si>
  <si>
    <t>G352.50-Well Equipment-aro</t>
  </si>
  <si>
    <t>RWIP BY ACCOUNT</t>
  </si>
  <si>
    <t>2A</t>
  </si>
  <si>
    <t>Plant Purchased &amp; Sold</t>
  </si>
  <si>
    <t>SUMMARY OF CHANGES FOR CASH FLOW STATEMENT</t>
  </si>
  <si>
    <t>Non-Cash changes</t>
  </si>
  <si>
    <t>Cash Changes</t>
  </si>
  <si>
    <t>Depreciation/ Amortization Exp</t>
  </si>
  <si>
    <t>Unitizations</t>
  </si>
  <si>
    <t xml:space="preserve">ARO and Other Transfers </t>
  </si>
  <si>
    <t>Other - Non Depr Exp/Change</t>
  </si>
  <si>
    <t>CWIP  Spend</t>
  </si>
  <si>
    <t>Net Change In Account</t>
  </si>
  <si>
    <t>Property, plant and equipment:</t>
  </si>
  <si>
    <t>Regulated utility plant - electric and gas</t>
  </si>
  <si>
    <t>Nonregulated plant</t>
  </si>
  <si>
    <t>Accumulated depreciation</t>
  </si>
  <si>
    <t>CWIP</t>
  </si>
  <si>
    <t>Other long-term intangibles</t>
  </si>
  <si>
    <t>Accumulated cost of removal of utility plant</t>
  </si>
  <si>
    <t xml:space="preserve">Intangible Plant Detail - </t>
  </si>
  <si>
    <t>389.20</t>
  </si>
  <si>
    <t>Common Land Rights</t>
  </si>
  <si>
    <t>350.20</t>
  </si>
  <si>
    <t>Gas Land Rights</t>
  </si>
  <si>
    <t>374.22</t>
  </si>
  <si>
    <t>352.10</t>
  </si>
  <si>
    <t>365.20</t>
  </si>
  <si>
    <t>350.10</t>
  </si>
  <si>
    <t>Electric Land Rights</t>
  </si>
  <si>
    <t>302.00</t>
  </si>
  <si>
    <t>Common Franch and Consents</t>
  </si>
  <si>
    <t>Electric Franch and Consent</t>
  </si>
  <si>
    <t>Gas Franch and Consent</t>
  </si>
  <si>
    <t>101 Balance</t>
  </si>
  <si>
    <t>Elect Land Rights</t>
  </si>
  <si>
    <t>108 Balance</t>
  </si>
  <si>
    <t>Other long-term intangibles (net of Depr)</t>
  </si>
  <si>
    <t>Plus:</t>
  </si>
  <si>
    <t>Less:</t>
  </si>
  <si>
    <t>CWIP Spend</t>
  </si>
  <si>
    <t>SUMMARY OF UTILITY PLANT (FINANCIAL AND PURCHASE ACCOUNTING)</t>
  </si>
  <si>
    <t>SUMMARY OF UTILITY PLANT - FINANCIAL ACCOUNTING</t>
  </si>
  <si>
    <t>SUMMARY OF UTILITY PLANT - PURCHASE ACCOUNTING</t>
  </si>
  <si>
    <t>SUMMARY OF UTILTIY PLANT - PURCHASE ACCOUNTING</t>
  </si>
  <si>
    <t>RWIP BY G/L ACCOUNT - PURCHASE ACCOUNTING</t>
  </si>
  <si>
    <t>DETAIL OF TRANSFERS - PURCHASE ACCOUNTING</t>
  </si>
  <si>
    <t>TOTAL COMPANY PLANT IN SERVICE - COMMON - NBV - PURCHASE ACCOUNTING</t>
  </si>
  <si>
    <t>TOTAL PLANT IN SERVICE - COMMON - PURCHASE ACCOUNTING</t>
  </si>
  <si>
    <t>KENTUCKY - TOTAL PLANT IN SERVICE - COMMON - NBV - PURCHASE ACCOUNTING</t>
  </si>
  <si>
    <t>KENTUCKY - PLANT IN SERVICE - COMMON - PURCHASE ACCOUNTING</t>
  </si>
  <si>
    <t>INDIANA - TOTAL PLANT IN SERVICE - COMMON - NBV - PURCHASE ACCOUNTING</t>
  </si>
  <si>
    <t>INDIANA - PLANT IN SERVICE - COMMON - PURCHASE ACCOUNTING</t>
  </si>
  <si>
    <t>TOTAL COMPANY PLANT IN SERVICE - ELECTRIC - NBV - PURCHASE ACCOUNTING</t>
  </si>
  <si>
    <t>TOTAL PLANT IN SERVICE - ELECTRIC - PURCHASE ACCOUNTING</t>
  </si>
  <si>
    <t>KENTUCKY - TOTAL PLANT IN SERVICE - ELECTRIC - NBV - PURCHASE ACCOUNTING</t>
  </si>
  <si>
    <t>KENTUCKY - PLANT IN SERVICE - ELECTRIC - PURCHASE ACCOUNTING</t>
  </si>
  <si>
    <t>INDIANA - TOTAL PLANT IN SERVICE - ELECTRIC - NBV - PURCHASE ACCOUNTING</t>
  </si>
  <si>
    <t>INDIANA - PLANT IN SERVICE - ELECTRIC - PURCHASE ACCOUNTING</t>
  </si>
  <si>
    <t>TOTAL COMPANY PLANT IN SERVICE - GAS - NBV - PURCHASE ACCOUNTING</t>
  </si>
  <si>
    <t>TOTAL - PLANT IN SERVICE - GAS - PURCHASE ACCOUNTING</t>
  </si>
  <si>
    <t>KENTUCKY - TOTAL PLANT IN SERVICE - GAS - NBV - PURCHASE ACCOUNTING</t>
  </si>
  <si>
    <t>KENTUCKY - PLANT IN SERVICE - GAS - PURCHASE ACCOUNTING</t>
  </si>
  <si>
    <t>INDIANA - TOTAL PLANT IN SERVICE - GAS - NBV - PURCHASE ACCOUNTING</t>
  </si>
  <si>
    <t>INDIANA - PLANT IN SERVICE - GAS - PURCHASE ACCOUNTING</t>
  </si>
  <si>
    <t>KENTUCKY - GAS STORED NONRECOVERABLE - GAS - PURCHASE ACCOUNTING</t>
  </si>
  <si>
    <t>INDIANA - GAS STORED NONRECOVERABLE - GAS - PURCHASE ACCOUNTING</t>
  </si>
  <si>
    <t>PROPERTY UNDER CAPITAL LEASES - PURCHASE ACCOUNTING</t>
  </si>
  <si>
    <t>PLANT HELD FOR FUTURE USE - PURCHASE ACCOUNTING</t>
  </si>
  <si>
    <t>NON UTILITY PROPERTY - PURCHASE ACCOUNTING</t>
  </si>
  <si>
    <t>PLANT PURCHASED AND SOLD - PURCHASE ACCOUNTING</t>
  </si>
  <si>
    <t>RESERVE FOR DEPRECIATION AND AMORTIZATION OF ELECTRIC PLANT IN SERVICE - KENTUCKY - PURCHASE ACCOUNTING</t>
  </si>
  <si>
    <t>RESERVE FOR DEPRECIATION AND AMORTIZATION OF PLANT IN SERVICE - INDIANA - PURCHASE ACCOUNTING</t>
  </si>
  <si>
    <t>SUMMARY OF UTILTIY PLANT (FINANCIAL AND PURCHASE ACCOUNTING)</t>
  </si>
  <si>
    <t>RWIP BY G/L ACCOUNT (FINANCIAL AND PURCHASE ACCOUNTING)</t>
  </si>
  <si>
    <t>DETAIL OF TRANSFERS (FINANCIAL AND PURCHASE ACCOUNTING)</t>
  </si>
  <si>
    <t>Land and Vehicle Retirements - 2010 (FINANCIAL AND PURCHASE ACCOUNTING)</t>
  </si>
  <si>
    <t>RECONCILIATION OF SUMMARY OF UTILITY PLANT TO INCOME STATEMENT DEPRECIATION AND AMORTIZATION (FINANCIAL AND PURCHASE ACCOUNTING)</t>
  </si>
  <si>
    <t>TOTAL COMPANY PLANT IN SERVICE - COMMON - NBV (FINANCIAL AND PURCHASE ACCOUNTING)</t>
  </si>
  <si>
    <t>TOTAL PLANT IN SERVICE - COMMON (FINANCIAL AND PURCHASE ACCOUNTING)</t>
  </si>
  <si>
    <t>KENTUCKY - TOTAL PLANT IN SERVICE - COMMON - NBV (FINANCIAL AND PURCHASE ACCOUNTING)</t>
  </si>
  <si>
    <t>KENTUCKY - PLANT IN SERVICE - COMMON (FINANCIAL AND PURCHASE ACCOUNTING)</t>
  </si>
  <si>
    <t>INDIANA - TOTAL PLANT IN SERVICE - COMMON - NBV (FINANCIAL AND PURCHASE ACCOUNTING)</t>
  </si>
  <si>
    <t>INDIANA - PLANT IN SERVICE - COMMON (FINANCIAL AND PURCHASE ACCOUNTING)</t>
  </si>
  <si>
    <t>TOTAL COMPANY PLANT IN SERVICE - ELECTRIC - NBV (FINANCIAL AND PURCHASE ACCOUNTING)</t>
  </si>
  <si>
    <t>TOTAL PLANT IN SERVICE - ELECTRIC (FINANCIAL AND PURCHASE ACCOUNTING)</t>
  </si>
  <si>
    <t>KENTUCKY - TOTAL PLANT IN SERVICE - ELECTRIC - NBV (FINANCIAL AND PURCHASE ACCOUNTING)</t>
  </si>
  <si>
    <t>KENTUCKY - PLANT IN SERVICE - ELECTRIC (FINANCIAL AND PURCHASE ACCOUNTING)</t>
  </si>
  <si>
    <t>INDIANA - TOTAL PLANT IN SERVICE - ELECTRIC - NBV (FINANCIAL AND PURCHASE ACCOUNTING)</t>
  </si>
  <si>
    <t>INDIANA - PLANT IN SERVICE - ELECTRIC (FINANCIAL AND PURCHASE ACCOUNTING)</t>
  </si>
  <si>
    <t>TOTAL COMPANY PLANT IN SERVICE - GAS - NBV (FINANCIAL AND PURCHASE ACCOUNTING)</t>
  </si>
  <si>
    <t>TOTAL - PLANT IN SERVICE - GAS (FINANCIAL AND PURCHASE ACCOUNTING)</t>
  </si>
  <si>
    <t>KENTUCKY - TOTAL PLANT IN SERVICE - GAS - NBV (FINANCIAL AND PURCHASE ACCOUNTING)</t>
  </si>
  <si>
    <t>KENTUCKY - PLANT IN SERVICE - GAS (FINANCIAL AND PURCHASE ACCOUNTING)</t>
  </si>
  <si>
    <t>INDIANA - TOTAL PLANT IN SERVICE - GAS - NBV (FINANCIAL AND PURCHASE ACCOUNTING)</t>
  </si>
  <si>
    <t>INDIANA - PLANT IN SERVICE - GAS (FINANCIAL AND PURCHASE ACCOUNTING)</t>
  </si>
  <si>
    <t>KENTUCKY - GAS STORED NONRECOVERABLE - GAS (FINANCIAL AND PURCHASE ACCOUNTING)</t>
  </si>
  <si>
    <t>INDIANA - GAS STORED NONRECOVERABLE - GAS (FINANCIAL AND PURCHASE ACCOUNTING)</t>
  </si>
  <si>
    <t>PROPERTY UNDER CAPITAL LEASES (FINANCIAL AND PURCHASE ACCOUNTING)</t>
  </si>
  <si>
    <t>PLANT HELD FOR FUTURE USE (FINANCIAL AND PURCHASE ACCOUNTING)</t>
  </si>
  <si>
    <t>NON UTILITY PROPERTY (FINANCIAL AND PURCHASE ACCOUNTING)</t>
  </si>
  <si>
    <t>PLANT PURCHASED AND SOLD (FINANCIAL AND PURCHASE ACCOUNTING)</t>
  </si>
  <si>
    <t>RESERVE FOR DEPRECIATION AND AMORTIZATION OF ELECTRIC PLANT IN SERVICE - KENTUCKY (FINANCIAL AND PURCHASE ACCOUNTING)</t>
  </si>
  <si>
    <t>RESERVE FOR DEPRECIATION AND AMORTIZATION OF PLANT IN SERVICE - INDIANA (FINANCIAL AND PURCHASE ACCOUNTING)</t>
  </si>
  <si>
    <t>RWIP BY G/L ACCOUNT - FINANCIAL ACCOUNTING</t>
  </si>
  <si>
    <t>SUMMARY OF CHANGES FOR CASH FLOW STATEMENT - FINANCIAL ACCOUNTING</t>
  </si>
  <si>
    <t>DETAIL OF TRANSFERS - FINANCIAL ACCOUNTING</t>
  </si>
  <si>
    <t>RECONCILIATION OF SUMMARY OF UTILITY PLANT TO INCOME STATEMENT DEPRECIATION AND AMORTIZATION - FINANCIAL ACCOUNTING</t>
  </si>
  <si>
    <t>TOTAL COMPANY PLANT IN SERVICE - COMMON - NBV - FINANCIAL ACCOUNTING</t>
  </si>
  <si>
    <t>TOTAL PLANT IN SERVICE - COMMON - FINANCIAL ACCOUNTING</t>
  </si>
  <si>
    <t>KENTUCKY - TOTAL PLANT IN SERVICE - COMMON - NBV - FINANCIAL ACCOUNTING</t>
  </si>
  <si>
    <t>KENTUCKY - PLANT IN SERVICE - COMMON - FINANCIAL ACCOUNTING</t>
  </si>
  <si>
    <t>INDIANA - TOTAL PLANT IN SERVICE - COMMON - NBV - FINANCIAL ACCOUNTING</t>
  </si>
  <si>
    <t>INDIANA - PLANT IN SERVICE - COMMON - FINANCIAL ACCOUNTING</t>
  </si>
  <si>
    <t>TOTAL COMPANY PLANT IN SERVICE - ELECTRIC - NBV - FINANCIAL ACCOUNTING</t>
  </si>
  <si>
    <t>TOTAL PLANT IN SERVICE - ELECTRIC - FINANCIAL ACCOUNTING</t>
  </si>
  <si>
    <t>KENTUCKY - TOTAL PLANT IN SERVICE - ELECTRIC - NBV - FINANCIAL ACCOUNTING</t>
  </si>
  <si>
    <t>INDIANA - TOTAL PLANT IN SERVICE - ELECTRIC - NBV - FINANCIAL ACCOUNTING</t>
  </si>
  <si>
    <t>KENTUCKY - PLANT IN SERVICE - ELECTRIC - FINANCIAL ACCOUNTING</t>
  </si>
  <si>
    <t>INDIANA - PLANT IN SERVICE - ELECTRIC - FINANCIAL ACCOUNTING</t>
  </si>
  <si>
    <t>TOTAL COMPANY PLANT IN SERVICE - GAS - NBV - FINANCIAL ACCOUNTING</t>
  </si>
  <si>
    <t>TOTAL - PLANT IN SERVICE - GAS - FINANCIAL ACCOUNTING</t>
  </si>
  <si>
    <t>KENTUCKY - TOTAL PLANT IN SERVICE - GAS - NBV - FINANCIAL ACCOUNTING</t>
  </si>
  <si>
    <t>KENTUCKY - PLANT IN SERVICE - GAS - FINANCIAL ACCOUNTING</t>
  </si>
  <si>
    <t>INDIANA - TOTAL PLANT IN SERVICE - GAS - NBV - FINANCIAL ACCOUNTING</t>
  </si>
  <si>
    <t>INDIANA - PLANT IN SERVICE - GAS - FINANCIAL ACCOUNTING</t>
  </si>
  <si>
    <t>KENTUCKY - GAS STORED NONRECOVERABLE - GAS - FINANCIAL ACCOUNTING</t>
  </si>
  <si>
    <t>INDIANA - GAS STORED NONRECOVERABLE - GAS - FINANCIAL ACCOUNTING</t>
  </si>
  <si>
    <t>PROPERTY UNDER CAPITAL LEASES - FINANCIAL ACCOUNTING</t>
  </si>
  <si>
    <t>PLANT HELD FOR FUTURE USE - FINANCIAL ACCOUNTING</t>
  </si>
  <si>
    <t>NON UTILITY PROPERTY - FINANCIAL ACCOUNTING</t>
  </si>
  <si>
    <t>PLANT PURCHASED AND SOLD - FINANCIAL ACCOUNTING</t>
  </si>
  <si>
    <t>RESERVE FOR DEPRECIATION AND AMORTIZATION OF ELECTRIC PLANT IN SERVICE - KENTUCKY - FINANCIAL ACCOUNTING</t>
  </si>
  <si>
    <t>RESERVE FOR DEPRECIATION AND AMORTIZATION OF PLANT IN SERVICE - INDIANA - FINANCIAL ACCOUNTING</t>
  </si>
  <si>
    <t>Nonutility Property</t>
  </si>
  <si>
    <t>Nonutility Plant</t>
  </si>
  <si>
    <t>Gains/Losses</t>
  </si>
  <si>
    <t>ARO Transfers</t>
  </si>
  <si>
    <t xml:space="preserve">Other Transfers </t>
  </si>
  <si>
    <t xml:space="preserve">Total 101 </t>
  </si>
  <si>
    <t>Regulatory Asset</t>
  </si>
  <si>
    <t>ARO Liability</t>
  </si>
  <si>
    <t>Depreciation/ Amortization Expense (403)</t>
  </si>
  <si>
    <t>ARO Depr Total Activity (403)</t>
  </si>
  <si>
    <t>ARO Accretion</t>
  </si>
  <si>
    <t>ARO Settlements (Gross)</t>
  </si>
  <si>
    <t>ARO Revaluation (Gross)</t>
  </si>
  <si>
    <t>Transfers from 101 and 108 to 182 (Gross)</t>
  </si>
  <si>
    <t>SUMMARY OF CHANGES FOR CASH FLOW STATEMENT - (FINANCIAL AND PURCHASE ACCOUNTING)</t>
  </si>
  <si>
    <t>ARO Purchase Accounting Adjustments</t>
  </si>
  <si>
    <t>Purchase Acct Netting  -  Net Book Value</t>
  </si>
  <si>
    <t>Current ARO Liability</t>
  </si>
  <si>
    <t>CASH FLOW SUMMARY</t>
  </si>
  <si>
    <t>2B</t>
  </si>
  <si>
    <t xml:space="preserve"> </t>
  </si>
  <si>
    <t>Total 101  &amp; 106</t>
  </si>
  <si>
    <t>Total 102001</t>
  </si>
  <si>
    <t>Total 101 Plant in Service - Common - IN</t>
  </si>
  <si>
    <t>Total 106 Plant in Service - Common - IN</t>
  </si>
  <si>
    <t>Total Common Plant in Service - IN</t>
  </si>
  <si>
    <t>LGE-131400-Trimble Unit 2 Turbogene</t>
  </si>
  <si>
    <t>LGE-131600-Trimble Unit 2 Misc. Pow</t>
  </si>
  <si>
    <t>Common Alloc (71%)</t>
  </si>
  <si>
    <t>Common Alloc (29%)</t>
  </si>
  <si>
    <t>Retirements    (FIN BOOKS)</t>
  </si>
  <si>
    <t>Retirements    (PA BOOKS)</t>
  </si>
  <si>
    <t>Depreciation/ Amortization Expense (403) (PA-Pension)</t>
  </si>
  <si>
    <t>Regulatory Liability ARO</t>
  </si>
  <si>
    <t>Electic</t>
  </si>
  <si>
    <t>Pension 107001 (PA)</t>
  </si>
  <si>
    <t>Depr Exp - YTD</t>
  </si>
  <si>
    <t>YTD Depreciation</t>
  </si>
  <si>
    <t>SUMMARY OF UTILTIY PLANT (Financial and Purchase Accounting)</t>
  </si>
  <si>
    <t>SUMMARY OF UTILTIY PLANT (Purchase Accounting)</t>
  </si>
  <si>
    <t>Schedule Page: 200    Line No.:3   Column: c</t>
  </si>
  <si>
    <t xml:space="preserve">Check column - </t>
  </si>
  <si>
    <t xml:space="preserve">  should all be zero</t>
  </si>
  <si>
    <t>Schedule Page: 200    Line No.:3   Column: d</t>
  </si>
  <si>
    <t>Schedule Page: 200    Line No.:3   Column: h</t>
  </si>
  <si>
    <t>Schedule Page: 200    Line No.:6   Column: c</t>
  </si>
  <si>
    <t>Schedule Page: 200    Line No.:6   Column: d</t>
  </si>
  <si>
    <t>Schedule Page: 200    Line No.:6   Column: h</t>
  </si>
  <si>
    <t>Schedule Page: 200    Line No.:10   Column: c</t>
  </si>
  <si>
    <t>Schedule Page: 200    Line No.:18   Column: c</t>
  </si>
  <si>
    <t>Schedule Page: 200    Line No.:18   Column: d</t>
  </si>
  <si>
    <t>Schedule Page: 200    Line No.:18   Column: h</t>
  </si>
  <si>
    <t>Schedule Page: 200    Line No.:20   Column: d</t>
  </si>
  <si>
    <t>Schedule Page: 200    Line No.:21   Column: c</t>
  </si>
  <si>
    <t>SUMMARY OF UTILITY PLANT</t>
  </si>
  <si>
    <t>FOOTNOTES FOR FORM 1 and 3Q</t>
  </si>
  <si>
    <t>Schedule Page: 200    Line No.:21   Column: h</t>
  </si>
  <si>
    <t>Schedule Page: 200    Line No.:28   Column: c</t>
  </si>
  <si>
    <t>Electric Held for Future Use Depreciation Non-Purchase Accounting Balance</t>
  </si>
  <si>
    <t>Electric Held for Future Use Depreciation Purchase Accounting Adjustment</t>
  </si>
  <si>
    <t>Total for Electric Held for Future Use Depreciation Purchase Accounting</t>
  </si>
  <si>
    <t>Used only if there is depreciation on assets held for future use.  Offset is Electric In-Service above.</t>
  </si>
  <si>
    <t>Rounded</t>
  </si>
  <si>
    <t>Schedule Page: 208    Line No.:1   Column: b</t>
  </si>
  <si>
    <t>QTR ONLY</t>
  </si>
  <si>
    <t>Without Purchase Accounting Balance</t>
  </si>
  <si>
    <t>Purchase Accounting Adjustment</t>
  </si>
  <si>
    <t>Schedule Page: 208    Line No.:1   Column: c</t>
  </si>
  <si>
    <t>Total for Electric Intangible Plant Amort</t>
  </si>
  <si>
    <t>Schedule Page: 208    Line No.:2   Column: b</t>
  </si>
  <si>
    <t>Schedule Page: 208    Line No.:2   Column: c</t>
  </si>
  <si>
    <t>Total for Electric Steam Production Plant Depreciation</t>
  </si>
  <si>
    <t>Schedule Page: 208    Line No.:4   Column: b</t>
  </si>
  <si>
    <t>Schedule Page: 208    Line No.:4   Column: c</t>
  </si>
  <si>
    <t>Total for Electric Hydraulic Production Plant Depreciation</t>
  </si>
  <si>
    <t>Schedule Page: 208    Line No.:6   Column: b</t>
  </si>
  <si>
    <t>Schedule Page: 208    Line No.:6   Column: c</t>
  </si>
  <si>
    <t>Total for Electric Other Production Plant Depreciation</t>
  </si>
  <si>
    <t>Schedule Page: 208    Line No.:7   Column: b</t>
  </si>
  <si>
    <t>Schedule Page: 208    Line No.:7   Column: c</t>
  </si>
  <si>
    <t>Schedule Page: 208    Line No.:8   Column: b</t>
  </si>
  <si>
    <t>Schedule Page: 208    Line No.:8   Column: c</t>
  </si>
  <si>
    <t>Schedule Page: 208    Line No.:10   Column: b</t>
  </si>
  <si>
    <t>Schedule Page: 208    Line No.:10   Column: c</t>
  </si>
  <si>
    <t>Still to build - Page 219 for year end.</t>
  </si>
  <si>
    <t>Without Purchase Accounting</t>
  </si>
  <si>
    <t>Electric Completed Construction not Classified was adjusted due to the purchase of LG&amp;E by PPL Corporation in November 2010.  To reflect the fair value of Electric Completed Construction not Classified, LG&amp;E netted previously recorded accumulated depreciation against the book value of assets as of the acquisition date. See footnote for Page 110, Line 2, Column c. The following reflects the purchase accounting adjustment:</t>
  </si>
  <si>
    <t>Gas Completed Construction not Classified was adjusted due to the purchase of LG&amp;E by PPL Corporation in November 2010.  To reflect the fair value of Gas Completed Construction not Classified, LG&amp;E netted previously recorded accumulated depreciation against the book value of assets as of the acquisition date. See footnote for Page 110, Line 2, Column c. The following reflects the purchase accounting adjustment:</t>
  </si>
  <si>
    <t>Common Completed Construction not Classified was adjusted due to the purchase of LG&amp;E by PPL Corporation in November 2010.  To reflect the fair value of Common Completed Construction not Classified, LG&amp;E netted previously recorded accumulated depreciation against the book value of assets as of the acquisition date. See footnote for Page 110, Line 2, Column c. The following reflects the purchase accounting adjustment:</t>
  </si>
  <si>
    <t>Electric Held for Future Use was adjusted due to the purchase of LG&amp;E by PPL Corporation in November 2010.  To reflect the fair value of Electric Held for Future Use, LG&amp;E netted previously recorded accumulated depreciation against the book value of assets as of the acquisition date. See footnote for Page 110, Line 2, Column c. The following reflects the purchase accounting adjustment:</t>
  </si>
  <si>
    <t>Total for Gas Amort of Underground Storage Land/Land Rights</t>
  </si>
  <si>
    <t>Total for Electric Amort of Other Utility Plant</t>
  </si>
  <si>
    <t>Total for Common Amort of Other Utility Plant</t>
  </si>
  <si>
    <t>Electric Held for Future Use Depreciation was adjusted due to the purchase of LG&amp;E by PPL Corporation in November 2010.  To reflect the fair value of Electric Held for Future Use Depreciation, LG&amp;E netted previously recorded accumulated depreciation against the book value of assets as of the acquisition date. See footnote for Page 110, Line 2, Column c. The following reflects the purchase accounting adjustment:</t>
  </si>
  <si>
    <t>Total for Electric Completed Construction not Classified</t>
  </si>
  <si>
    <t>Total for Gas Completed Construction not Classified</t>
  </si>
  <si>
    <t>Total for Common Completed Construction not Classified</t>
  </si>
  <si>
    <t>Total for Electric Held for Future Use</t>
  </si>
  <si>
    <t>Total for Electric In-Service Depreciation</t>
  </si>
  <si>
    <t>Electric In-Service Depreciation was adjusted due to the purchase of LG&amp;E by PPL Corporation in November 2010.  To reflect the fair value of Electric In-Service Depreciation, LG&amp;E netted previously recorded accumulated depreciation against the book value of assets as of the acquisition date. See footnote for Page 110, Line 5, Column c. The following reflects the purchase accounting adjustment:</t>
  </si>
  <si>
    <t>Gas In-Service Depreciation was adjusted due to the purchase of LG&amp;E by PPL Corporation in November 2010.  To reflect the fair value of Gas In-Service Depreciation, LG&amp;E netted previously recorded accumulated depreciation against the book value of assets as of the acquisition date. See footnote for Page 110, Line 5, Column c. The following reflects the purchase accounting adjustment:</t>
  </si>
  <si>
    <t>Total for Gas In-Service Depreciation</t>
  </si>
  <si>
    <t>Common In-Service Depreciation was adjusted due to the purchase of LG&amp;E by PPL Corporation in November 2010.  To reflect the fair value of Common In-Service Depreciation, LG&amp;E netted previously recorded accumulated depreciation against the book value of assets as of the acquisition date. See footnote for Page 110, Line 5, Column c. The following reflects the purchase accounting adjustment:</t>
  </si>
  <si>
    <t>Gas Amort of Underground Storage Land/Land Rights was adjusted due to the purchase of LG&amp;E by PPL Corporation in November 2010.  To reflect the fair value of Gas Amort of Underground Storage Land/Land Rights, LG&amp;E netted previously recorded accumulated depreciation against the book value of assets as of the acquisition date. See footnote for Page 110, Line 5, Column c. The following reflects the purchase accounting adjustment:</t>
  </si>
  <si>
    <t>Electric Amort of Other Utility Plant  was adjusted due to the purchase of LG&amp;E by PPL Corporation in November 2010.  To reflect the fair value of Electric Amort of Other Utility Plant, LG&amp;E netted previously recorded accumulated depreciation against the book value of assets as of the acquisition date. See footnote for Page 110, Line 5, Column c. The following reflects the purchase accounting adjustment:</t>
  </si>
  <si>
    <t>Common Amort of Other Utility Plant  was adjusted due to the purchase of LG&amp;E by PPL Corporation in November 2010.  To reflect the fair value of Common Amort of Other Utility Plant, LG&amp;E netted previously recorded accumulated depreciation against the book value of assets as of the acquisition date. See footnote for Page 110, Line 5, Column c. The following reflects the purchase accounting adjustment:</t>
  </si>
  <si>
    <t>Total for Electric Intangible Plant In-Service</t>
  </si>
  <si>
    <t>Electric Intangible Plant Amortization was adjusted due to the purchase of LG&amp;E by PPL Corporation in November 2010.  To reflect the fair value of Electric Intangible Plant In Amortization, LG&amp;E netted previously recorded accumulated depreciation against the book value of assets as of the acquisition date. See footnote for Page 110, Line 5, Column c. The following reflects the purchase accounting adjustment:</t>
  </si>
  <si>
    <t>Electric Steam Production Plant Depreciation was adjusted due to the purchase of LG&amp;E by PPL Corporation in November 2010.  To reflect the fair value of Electric Steam Production Plant Depreciation, LG&amp;E netted previously recorded accumulated depreciation against the book value of assets as of the acquisition date. See footnote for Page 110, Line 5, Column c. The following reflects the purchase accounting adjustment:</t>
  </si>
  <si>
    <t>Electric Hydraulic Production Plant Depreciation was adjusted due to the purchase of LG&amp;E by PPL Corporation in November 2010.  To reflect the fair value of Hydraulic Production Plant Depreciation, LG&amp;E netted previously recorded accumulated depreciation against the book value of assets as of the acquisition date. See footnote for Page 110, Line 5, Column c. The following reflects the purchase accounting adjustment:</t>
  </si>
  <si>
    <t>Remaining negative amount is due to salvage reserve balance.</t>
  </si>
  <si>
    <t>Electric Other Production Plant Depreciation was adjusted due to the purchase of LG&amp;E by PPL Corporation in November 2010.  To reflect the fair value of Other Production Plant Depreciation, LG&amp;E netted previously recorded accumulated depreciation against the book value of assets as of the acquisition date. See footnote for Page 110, Line 5, Column c. The following reflects the purchase accounting adjustment:</t>
  </si>
  <si>
    <t>Electric Plant In-Service (Classified) was adjusted due to the purchase of LG&amp;E by PPL Corporation in November 2010.  To reflect the fair value of Electric Plant In-Service (Classified), LG&amp;E netted previously recorded accumulated depreciation against the book value of assets as of the acquisition date. See footnote for Page 110, Line 2, Column c. The following reflects the purchase accounting adjustment:</t>
  </si>
  <si>
    <t>Total for Electric Plant In-Service (Classified)</t>
  </si>
  <si>
    <t>Gas Plant In-Service (Classified) was adjusted due to the purchase of LG&amp;E by PPL Corporation in November 2010.  To reflect the fair value of Gas Plant In-Service (Classified), LG&amp;E netted previously recorded accumulated depreciation against the book value of assets as of the acquisition date. See footnote for Page 110, Line 2, Column c. The following reflects the purchase accounting adjustment:</t>
  </si>
  <si>
    <t>Total for Gas Plant In-Service (Classified)</t>
  </si>
  <si>
    <t>Common Plant In-Service (Classified) was adjusted due to the purchase of LG&amp;E by PPL Corporation in November 2010.  To reflect the fair value of Common Plant In-Service (Classified), LG&amp;E netted previously recorded accumulated depreciation against the book value of assets as of the acquisition date. See footnote for Page 110, Line 2, Column c. The following reflects the purchase accounting adjustment:</t>
  </si>
  <si>
    <t>Total for Common Plant In-Service (Classified)</t>
  </si>
  <si>
    <t>Electric Intangible Plant In-Service was adjusted due to the purchase of LG&amp;E by PPL Corporation in November 2010.  To reflect the fair value of Electric Intangible Plant In-Service, LG&amp;E netted previously recorded accumulated depreciation against the book value of assets as of the acquisition date. See footnote for Page 110, Line 2, Column c. The following reflects the purchase accounting adjustment:</t>
  </si>
  <si>
    <t>Electric Steam Production Plant In-Service was adjusted due to the purchase of LG&amp;E by PPL Corporation in November 2010.  To reflect the fair value of Electric Steam Production Plant In-Service, LG&amp;E netted previously recorded accumulated depreciation against the book value of assets as of the acquisition date. See footnote for Page 110, Line 2, Column c. The following reflects the purchase accounting adjustment:</t>
  </si>
  <si>
    <t>Total for Electric Steam Production Plant In-Service</t>
  </si>
  <si>
    <t>Electric Hydraulic Production Plant In-Service was adjusted due to the purchase of LG&amp;E by PPL Corporation in November 2010.  To reflect the fair value of Electric Hydraulic Production Plant In-Service, LG&amp;E netted previously recorded accumulated depreciation against the book value of assets as of the acquisition date. See footnote for Page 110, Line 2, Column c. The following reflects the purchase accounting adjustment:</t>
  </si>
  <si>
    <t>Total for Electric Hydraulic Production Plant In-Service</t>
  </si>
  <si>
    <t>Electric Other Production Plant In-Service was adjusted due to the purchase of LG&amp;E by PPL Corporation in November 2010.  To reflect the fair value of Electric Other Production Plant In-Service, LG&amp;E netted previously recorded accumulated depreciation against the book value of assets as of the acquisition date. See footnote for Page 110, Line 2, Column c. The following reflects the purchase accounting adjustment:</t>
  </si>
  <si>
    <t>Total for Electric Other Production Plant In-Service</t>
  </si>
  <si>
    <t>Electric Transmission Plant In-Service was adjusted due to the purchase of LG&amp;E by PPL Corporation in November 2010.  To reflect the fair value of Electric Transmission Plant In-Service, LG&amp;E netted previously recorded accumulated depreciation against the book value of assets as of the acquisition date. See footnote for Page 110, Line 2, Column c. The following reflects the purchase accounting adjustment:</t>
  </si>
  <si>
    <t>Total for Electric Transmission Plant In-Service</t>
  </si>
  <si>
    <t>Electric Transmission Plant Depreciation was adjusted due to the purchase of LG&amp;E by PPL Corporation in November 2010.  To reflect the fair value of Transmission Plant Depreciation, LG&amp;E netted previously recorded accumulated depreciation against the book value of assets as of the acquisition date. See footnote for Page 110, Line 5, Column c. The following reflects the purchase accounting adjustment:</t>
  </si>
  <si>
    <t>Total for Electric Transmission Plant Depreciation</t>
  </si>
  <si>
    <t>Electric Distribution Plant In-Service was adjusted due to the purchase of LG&amp;E by PPL Corporation in November 2010.  To reflect the fair value of Electric Distribution Plant In-Service, LG&amp;E netted previously recorded accumulated depreciation against the book value of assets as of the acquisition date. See footnote for Page 110, Line 2, Column c. The following reflects the purchase accounting adjustment:</t>
  </si>
  <si>
    <t>Total for Electric Distribution Plant In-Service</t>
  </si>
  <si>
    <t>Electric Distribution Plant Depreciation was adjusted due to the purchase of LG&amp;E by PPL Corporation in November 2010.  To reflect the fair value of Distribution Plant Depreciation, LG&amp;E netted previously recorded accumulated depreciation against the book value of assets as of the acquisition date. See footnote for Page 110, Line 5, Column c. The following reflects the purchase accounting adjustment:</t>
  </si>
  <si>
    <t>Total for Electric Distribution Plant Depreciation</t>
  </si>
  <si>
    <t>Electric General Plant In-Service was adjusted due to the purchase of LG&amp;E by PPL Corporation in November 2010.  To reflect the fair value of Electric General Plant In-Service, LG&amp;E netted previously recorded accumulated depreciation against the book value of assets as of the acquisition date. See footnote for Page 110, Line 2, Column c. The following reflects the purchase accounting adjustment:</t>
  </si>
  <si>
    <t>Total for General Plant In-Service</t>
  </si>
  <si>
    <t>Electric General Plant Depreciation was adjusted due to the purchase of LG&amp;E by PPL Corporation in November 2010.  To reflect the fair value of General Plant Depreciation, LG&amp;E netted previously recorded accumulated depreciation against the book value of assets as of the acquisition date. See footnote for Page 110, Line 5, Column c. The following reflects the purchase accounting adjustment:</t>
  </si>
  <si>
    <t>Total for General Plant Depreciation</t>
  </si>
  <si>
    <t>Total for Common In-Service Depreciation</t>
  </si>
  <si>
    <t>ARO</t>
  </si>
  <si>
    <t>Settlements</t>
  </si>
  <si>
    <t>ARO 254 Activity (Parent COR)</t>
  </si>
  <si>
    <t>Reconciliation to Income Statement - Amortization Expense</t>
  </si>
  <si>
    <t>Amort YTD</t>
  </si>
  <si>
    <t>Note:</t>
  </si>
  <si>
    <t>Other long-term intangibles includes accounts beginning with 101, 108, and 111</t>
  </si>
  <si>
    <t>Current ARO Liability includes accounts 230022 and 230026.</t>
  </si>
  <si>
    <t>Regulatory Assets-Noncurrent- ARO</t>
  </si>
  <si>
    <t>LGE-131100-CR Unit 6 Struc</t>
  </si>
  <si>
    <t>LGE-131100-CR Unit 6 Struc ECR 2005</t>
  </si>
  <si>
    <t>LGE-131100-MC Unit 4 Struc</t>
  </si>
  <si>
    <t>LGE-131100-MC Unit 4 Struc ECR 2005</t>
  </si>
  <si>
    <t xml:space="preserve">LGE-131100-MC Unit 4 Struc </t>
  </si>
  <si>
    <t>LGE-131200-CR6 SO2 Boil ECR 2005</t>
  </si>
  <si>
    <t>LGE-131200-CR6 SO2 Boil</t>
  </si>
  <si>
    <t xml:space="preserve">LGE-131200-CR6 SO2 Boil </t>
  </si>
  <si>
    <t>LGE-131200-MC Unit 4 Boil</t>
  </si>
  <si>
    <t>LGE-131200-MC Unit 4 Boil ECR 2005</t>
  </si>
  <si>
    <t xml:space="preserve">LGE-131200-MC Unit 4 Boil </t>
  </si>
  <si>
    <t>LGE-131200-MC4 SO2 Boil</t>
  </si>
  <si>
    <t>LGE-131200-MC4 SO2 Boil ECR 2005</t>
  </si>
  <si>
    <t>LGE-131200-TC1 SO2 Boil</t>
  </si>
  <si>
    <t>LGE-131200-TC1 SO2 Boil ECR 2005</t>
  </si>
  <si>
    <t>LGE-131100-TC Unit 1 Struc</t>
  </si>
  <si>
    <t>LGE-131100-TC Unit 1 Struc ECR 2006</t>
  </si>
  <si>
    <t>LGE-131100-TC Unit 2 Struc</t>
  </si>
  <si>
    <t>LGE-131100-TC Unit 2 Struc ECR 2006</t>
  </si>
  <si>
    <t>LGE-131200-CR Unit 4 Boil</t>
  </si>
  <si>
    <t>LGE-131200-CR Unit 4 Boil ECR 2006</t>
  </si>
  <si>
    <t>LGE-131200-CR Unit 5 Boil</t>
  </si>
  <si>
    <t>LGE-131200-CR Unit 5 Boil ECR 2006</t>
  </si>
  <si>
    <t>LGE-131200-CR Unit 6 Boil</t>
  </si>
  <si>
    <t>LGE-131200-CR Unit 6 Boil ECR 2006</t>
  </si>
  <si>
    <t xml:space="preserve">LGE-131200-CR Unit 6 Boil </t>
  </si>
  <si>
    <t>LGE-131200-MC Unit 1 Boil</t>
  </si>
  <si>
    <t>LGE-131200-MC Unit 1 Boil ECR 2006</t>
  </si>
  <si>
    <t>LGE-131200-MC Unit 2 Boil</t>
  </si>
  <si>
    <t>LGE-131200-MC Unit 2 Boil ECR 2006</t>
  </si>
  <si>
    <t>LGE-131200-MC Unit 3 Boil</t>
  </si>
  <si>
    <t>LGE-131200-MC Unit 3 Boil ECR 2006</t>
  </si>
  <si>
    <t>LGE-131200-MC Unit 4 Boil ECR 2006</t>
  </si>
  <si>
    <t>LGE-131200-TC 2 FGD Boil</t>
  </si>
  <si>
    <t>LGE-131200-TC 2 FGD Boil ECR 2006</t>
  </si>
  <si>
    <t>LGE-131200-TC Unit 1 Boil</t>
  </si>
  <si>
    <t>LGE-131200-TC Unit 1 Boil ECR 2006</t>
  </si>
  <si>
    <t>LGE-131200-TC Unit 2 Boil</t>
  </si>
  <si>
    <t>LGE-131200-TC Unit 2 Boil ECR 2006</t>
  </si>
  <si>
    <t>LGE-131500-TC Unit 2 Acce</t>
  </si>
  <si>
    <t>LGE-131500-TC Unit 2 Acce ECR 2006</t>
  </si>
  <si>
    <t>LGE-131020-Steam - Land</t>
  </si>
  <si>
    <t>LGE-131020-Steam - Land ECR 2005</t>
  </si>
  <si>
    <t>LGE-339130-Computer Eq</t>
  </si>
  <si>
    <t>C391.33 Computer Equip ECR 2006</t>
  </si>
  <si>
    <t>E310.25-Land</t>
  </si>
  <si>
    <t>LGE-339133-Computer EQ ECR 2006</t>
  </si>
  <si>
    <t>LGE-339133-Computer Eq ECR 2006</t>
  </si>
  <si>
    <t>LGE-131025-Steam - Land ECR 2005</t>
  </si>
  <si>
    <t>Other balance sheet accounts affected (per Recon Depr Exp to IS)</t>
  </si>
  <si>
    <t>Fuel (151060 &amp; 151061)</t>
  </si>
  <si>
    <t>Other current assets (184315)</t>
  </si>
  <si>
    <t>nets to zero (b/s to b/s entry)</t>
  </si>
  <si>
    <t>Reviewed By/Date:</t>
  </si>
  <si>
    <t>Prepared By/Date:</t>
  </si>
  <si>
    <t xml:space="preserve">  ECR Depr - Comm</t>
  </si>
  <si>
    <t xml:space="preserve">   Common Alloc</t>
  </si>
  <si>
    <t>Gas Transmission - ARO</t>
  </si>
  <si>
    <t>G368.07-ARO Cost Gas Trans (Eqp)</t>
  </si>
  <si>
    <t>LGE-236807-ARO Cost Gas Trans (Eqp)</t>
  </si>
  <si>
    <t>ARO Revaluation / Addition  (Gross)</t>
  </si>
  <si>
    <t>E374.07-ARO Cost Elect Dist (Eqp)</t>
  </si>
  <si>
    <t>LGE-137407-ARO Cost Elec Dist (Eqp)</t>
  </si>
  <si>
    <t>E374.07-ARO Cost Elec Dist (Eqp)</t>
  </si>
  <si>
    <t>FERC FORM 1 COLUMN CLASSIFICATION:</t>
  </si>
  <si>
    <t>LGE-131100-TC Unit 2 Struc ECR 2009</t>
  </si>
  <si>
    <t>LGE-131101-AROP TC 2 Struct ECR 2009</t>
  </si>
  <si>
    <t>LGE-131200-TC Unit 2 Boil ECR 2009</t>
  </si>
  <si>
    <t>E311.01-AROP Structures and Improvements</t>
  </si>
  <si>
    <t>CWIP SPEND - YTD - FINANCIAL ACCOUNTING</t>
  </si>
  <si>
    <t>Project Number</t>
  </si>
  <si>
    <t>Project Description</t>
  </si>
  <si>
    <t>Total - CWIP Spend - YTD</t>
  </si>
  <si>
    <t>LGE DIST LINE TRANSFORMERS</t>
  </si>
  <si>
    <t>Gas Regulator Replacements</t>
  </si>
  <si>
    <t>PURCHASE REGULATORS</t>
  </si>
  <si>
    <t>CR Landfill Vertical Expansion</t>
  </si>
  <si>
    <t>Trimble County 2</t>
  </si>
  <si>
    <t>Accrued Labor - LGE</t>
  </si>
  <si>
    <t>Trimble 2 Transmission lge</t>
  </si>
  <si>
    <t>Clear 12/04 A&amp;G</t>
  </si>
  <si>
    <t>FARM TAP REGULATOR UPGR</t>
  </si>
  <si>
    <t>Cane Run - New Landfill</t>
  </si>
  <si>
    <t>TC Ash/Gypsum Ponds- LGE</t>
  </si>
  <si>
    <t>TC2 AQCS - LGE</t>
  </si>
  <si>
    <t>LGE Electric Meters &amp; Installs</t>
  </si>
  <si>
    <t>MT 138kV Collins termination</t>
  </si>
  <si>
    <t>Middletown-Collins 138kV Line</t>
  </si>
  <si>
    <t>Collins 138/69kV 150MVA Trnsfr</t>
  </si>
  <si>
    <t>LGE Gas Meters</t>
  </si>
  <si>
    <t>Museum Plaza Tower Reloc</t>
  </si>
  <si>
    <t>EASTWOOD CIRCUIT WORK</t>
  </si>
  <si>
    <t>EASTWOOD SUBSTATION</t>
  </si>
  <si>
    <t>MULD-DRILL 5  RECOVERY WELLS</t>
  </si>
  <si>
    <t>2008 GAS REGUL CAPACITY PROJ</t>
  </si>
  <si>
    <t>LG&amp;E POLE INSPECTION</t>
  </si>
  <si>
    <t>TC1 Catalyst Layer Install</t>
  </si>
  <si>
    <t>MC2 FGD Refurbishment</t>
  </si>
  <si>
    <t>GS LGE DQIStrat 2010</t>
  </si>
  <si>
    <t>MC3 EHC Upgrade</t>
  </si>
  <si>
    <t>MC2 DCS Hardware</t>
  </si>
  <si>
    <t>MC Wet Ash Loading System "A"</t>
  </si>
  <si>
    <t>MC2 Cooling Tower Headers</t>
  </si>
  <si>
    <t>MC Limestone Excavator</t>
  </si>
  <si>
    <t>CR4 4KV Switchgear Arc Flash</t>
  </si>
  <si>
    <t>PR11 GT Control Upgrade</t>
  </si>
  <si>
    <t>TC1 Ductwork/Mod Reline</t>
  </si>
  <si>
    <t>TC REPL PLANT INVERTERS</t>
  </si>
  <si>
    <t>TC1 UPGD GENERATOR RECTIFIERS</t>
  </si>
  <si>
    <t>TC AIR HEATER  BASKET REPL</t>
  </si>
  <si>
    <t>UPGR GAS CONTROL SCADA SYS</t>
  </si>
  <si>
    <t>OLD HENRY CIRCUIT WORK</t>
  </si>
  <si>
    <t>Identity Mgmt - LGE11</t>
  </si>
  <si>
    <t>IT Sec Mon/Aud/Mgt Tools-LGE11</t>
  </si>
  <si>
    <t>Server Hardware Refresh-LGE11</t>
  </si>
  <si>
    <t>Telephone Syst Cap Exp-LGE11</t>
  </si>
  <si>
    <t>PowerPlant Upgrade (LG&amp;E %)</t>
  </si>
  <si>
    <t>DFR</t>
  </si>
  <si>
    <t>MC2 345kV Isol Disconnects</t>
  </si>
  <si>
    <t>DOIT GAS EMER MGMT SYSTEM</t>
  </si>
  <si>
    <t>2010 Dist. Wildlife Protection</t>
  </si>
  <si>
    <t>JEFFERSONTOWN SUB EXPANSION</t>
  </si>
  <si>
    <t>2010 RELIEF VALVE CAPACITY</t>
  </si>
  <si>
    <t>UPGRADE REGULATION FACILITIES</t>
  </si>
  <si>
    <t>TC CT HGPI LGE #3</t>
  </si>
  <si>
    <t>GS-LGE-Gen Dist Monit Equip</t>
  </si>
  <si>
    <t>GS-LGE-Cyber Security</t>
  </si>
  <si>
    <t>Jeffersontown Circuit Work</t>
  </si>
  <si>
    <t>URD MV Cable Rejuvenation</t>
  </si>
  <si>
    <t>Worthington Sub Expansion</t>
  </si>
  <si>
    <t>Worthington Circuit Work</t>
  </si>
  <si>
    <t>Ohio Falls Redev. #3</t>
  </si>
  <si>
    <t>Ohio Falls Redev. #4</t>
  </si>
  <si>
    <t>Ohio Falls Redev. #5</t>
  </si>
  <si>
    <t>Ohio Falls Redev. #8</t>
  </si>
  <si>
    <t>TC CCP LANDFILL PH1 RAV-LGE</t>
  </si>
  <si>
    <t>Ohio Falls Redev. #1</t>
  </si>
  <si>
    <t>Ohio Falls Redev. #2</t>
  </si>
  <si>
    <t>Third Party PAR</t>
  </si>
  <si>
    <t>TC2 CAPITAL SPARES - LGE</t>
  </si>
  <si>
    <t>PENILE CITY GATE ST REDESIGN</t>
  </si>
  <si>
    <t>PaddRun-XFMR-Rep</t>
  </si>
  <si>
    <t>Symrna Cap Bank</t>
  </si>
  <si>
    <t>TWIN FALLS RIVERCREST REG FAC</t>
  </si>
  <si>
    <t>MAGNOLIA TO PICCADILLY MODIF</t>
  </si>
  <si>
    <t>WK BLUE &amp; GREEN MODIFICATIONS</t>
  </si>
  <si>
    <t>Ener Eff -Operations Auto LGE</t>
  </si>
  <si>
    <t>NBU NGCC CR</t>
  </si>
  <si>
    <t>MC2 CT Distribution Mods</t>
  </si>
  <si>
    <t>MC1 Boiler Room Roofing</t>
  </si>
  <si>
    <t>MC2 Boiler Room Roofing</t>
  </si>
  <si>
    <t>MC3 Burners</t>
  </si>
  <si>
    <t>IMPLEMENT SOA-LGE</t>
  </si>
  <si>
    <t>CIP COMPLIANCE INFRASTR-LGE11</t>
  </si>
  <si>
    <t>CIP COMPLIANCE TOOLS-LGE11</t>
  </si>
  <si>
    <t>RISS REPLACEMENT-LGE11</t>
  </si>
  <si>
    <t>Mill Creek LS Grinding Upgrade</t>
  </si>
  <si>
    <t>MULD MODIFY ST FLD LINES</t>
  </si>
  <si>
    <t>2011 UPGR MAJOR STAT REGS</t>
  </si>
  <si>
    <t>UPGRADE VALVE ACTUATORS Prj</t>
  </si>
  <si>
    <t>COMM HP SERV COMPLIANCE Prj</t>
  </si>
  <si>
    <t>GAS REG CAPACITY PROG</t>
  </si>
  <si>
    <t>GAS COMPRESSOR REP/ADD</t>
  </si>
  <si>
    <t>REPLACE PURIFIER #1 REBOIL</t>
  </si>
  <si>
    <t>MULD STATION TRANSM</t>
  </si>
  <si>
    <t>TIP TOP (Ft. Knox) RECONDCTR</t>
  </si>
  <si>
    <t>Tip Top Breaker Replacement</t>
  </si>
  <si>
    <t>LGE Wildlife Protection</t>
  </si>
  <si>
    <t>Harrods Creek Substation</t>
  </si>
  <si>
    <t>Harrods Creek Sub Exp CW</t>
  </si>
  <si>
    <t>2011 Dist Regulator Upgrades</t>
  </si>
  <si>
    <t>SCM 2011 Rplc FPE Xfmr LTCs</t>
  </si>
  <si>
    <t>SCM 2011 LGE Rpl Sub Batteries</t>
  </si>
  <si>
    <t>SCM 2011 LGE Misc Dist Proj</t>
  </si>
  <si>
    <t>MAGN REPACK #1 PURIFIER</t>
  </si>
  <si>
    <t>MC1&amp;2 FGD, MC1FF, MC2FF</t>
  </si>
  <si>
    <t>MC3 FGD &amp; FABRIC FILTER</t>
  </si>
  <si>
    <t>Env Comp MC4 SCR Upgrade</t>
  </si>
  <si>
    <t>TC1 FABRIC FILTER</t>
  </si>
  <si>
    <t>Lou Upgd-Middletown 345kV Brkr</t>
  </si>
  <si>
    <t>MULD STA ACID BERM</t>
  </si>
  <si>
    <t>DRILL WELLS IN CENTER</t>
  </si>
  <si>
    <t>2011 INST GATE VALVES</t>
  </si>
  <si>
    <t>RELINE GAS STORAGE WELL</t>
  </si>
  <si>
    <t>WK YELLOW LINE MODIFICATIONS</t>
  </si>
  <si>
    <t>MULD GAS TRANSMISSION</t>
  </si>
  <si>
    <t>DIST REG FACILITY REPL</t>
  </si>
  <si>
    <t>Mobile Auto Dispatch - LGE</t>
  </si>
  <si>
    <t>Rptg Business Intelligence LGE</t>
  </si>
  <si>
    <t>Smallworld_GIS Upgrade LGE</t>
  </si>
  <si>
    <t>Hardware Infrastructure - LGE</t>
  </si>
  <si>
    <t>METER LGE EQUIP</t>
  </si>
  <si>
    <t>Retail Hardware IFS - LGE</t>
  </si>
  <si>
    <t>BRCT 5, 6 &amp; 7 HMI Upgr 12 LGE</t>
  </si>
  <si>
    <t>Tip Top Substation project</t>
  </si>
  <si>
    <t>PR12 Diesel Engine</t>
  </si>
  <si>
    <t>Retail System Enhncmnts - LGE</t>
  </si>
  <si>
    <t>TC1 BOILER SH PENDANT</t>
  </si>
  <si>
    <t>TC1 BOILER REPL FIN SH PENDANT</t>
  </si>
  <si>
    <t>TC1 BOILER REAR REHEAT REPL</t>
  </si>
  <si>
    <t>TC1 BOILER FRONT RH REPLACE</t>
  </si>
  <si>
    <t>TC1 TURBINE/GEN SPRINKLER SYS</t>
  </si>
  <si>
    <t>CARPET - LGE FACILITIES</t>
  </si>
  <si>
    <t>REMODEL LGE OFFICES</t>
  </si>
  <si>
    <t>OFFICE FURNITURE - LGE</t>
  </si>
  <si>
    <t>LGE CYBER SECURITY EQP</t>
  </si>
  <si>
    <t>Envir Compliance Study-Air-LGE</t>
  </si>
  <si>
    <t>Service Pilot UG</t>
  </si>
  <si>
    <t>2010 LGE Transformer rewind #3</t>
  </si>
  <si>
    <t>NERC Volt Reg</t>
  </si>
  <si>
    <t>Impoundment Cap-LGE</t>
  </si>
  <si>
    <t>GSU Light Arrst</t>
  </si>
  <si>
    <t>Metallurgy Lab</t>
  </si>
  <si>
    <t>CENTER MODIFICATIONS</t>
  </si>
  <si>
    <t>WK YELLOW LINE REPL 4 ELLS</t>
  </si>
  <si>
    <t>Breckenridge TR5 Rewind</t>
  </si>
  <si>
    <t>CENTER BY-PASS</t>
  </si>
  <si>
    <t>MORGANFIELD OFFICE BLDG LGE</t>
  </si>
  <si>
    <t>INTERIM MORGANFLD CALL CTR LGE</t>
  </si>
  <si>
    <t>PowerBase - LGE</t>
  </si>
  <si>
    <t>PENILE TO PADDY'S RUN PIPELINE</t>
  </si>
  <si>
    <t>Cooper Chapel Rd Gas Main Relo</t>
  </si>
  <si>
    <t>DIST-NA-MDLTWN-T.C</t>
  </si>
  <si>
    <t>MC 4C Transformer Bushings</t>
  </si>
  <si>
    <t>MY ACCOUNT 2011 FIRST RELEASE</t>
  </si>
  <si>
    <t>MILL CREEK LINE MODIFICATIONS</t>
  </si>
  <si>
    <t>QAS for EMS LGE</t>
  </si>
  <si>
    <t>MAG-16 DENTS</t>
  </si>
  <si>
    <t>EDI IMPLEMENTATION-LGE 11</t>
  </si>
  <si>
    <t>4535 NRTHSD SBSTN PARA</t>
  </si>
  <si>
    <t>4533 MILL CREEK 345 PARA</t>
  </si>
  <si>
    <t>4531 MILL CREEK 345 PARA</t>
  </si>
  <si>
    <t>4532 MILL CREEK 345 PARA</t>
  </si>
  <si>
    <t>EMS CC Switchover - LG&amp;E</t>
  </si>
  <si>
    <t>MC2 Clg Tower Fan Stacks</t>
  </si>
  <si>
    <t>MT-Relays-2011</t>
  </si>
  <si>
    <t>MC-Relays-2011</t>
  </si>
  <si>
    <t>PW-Relays-2011</t>
  </si>
  <si>
    <t>MC2 Warm-Up Gas System</t>
  </si>
  <si>
    <t>CCS LOW INCOME COMMITMENT-LGE</t>
  </si>
  <si>
    <t>KY HWY 22 RELOC - PHASE 3</t>
  </si>
  <si>
    <t>CR4 Expansion Joint Repl</t>
  </si>
  <si>
    <t>MC4 FGD, FF</t>
  </si>
  <si>
    <t>OF Station Admin Bldg</t>
  </si>
  <si>
    <t>CR4 Thickener Floculent Bldg</t>
  </si>
  <si>
    <t>CR I/E Test Equipment</t>
  </si>
  <si>
    <t>BALLARDSVILLE LINE @ HWY 146</t>
  </si>
  <si>
    <t>VIRTUAL DESKTOP - LGE</t>
  </si>
  <si>
    <t>MC4 Boiler Room Sump Piping</t>
  </si>
  <si>
    <t>DIST-NA-CNRN-CNRNS1</t>
  </si>
  <si>
    <t>ROD DROP INSTRUMENTATION</t>
  </si>
  <si>
    <t>Resource Mgmt Tool-LGE</t>
  </si>
  <si>
    <t>PADDYSRUN TR4A REPL</t>
  </si>
  <si>
    <t>MAGNOLIA  LEAK SURVEY INSTRU</t>
  </si>
  <si>
    <t>8 New EMS Workstations LGE</t>
  </si>
  <si>
    <t>Aiken 1290</t>
  </si>
  <si>
    <t>SV Drainage Issue</t>
  </si>
  <si>
    <t>QUALITY OF SERVICE-LGE 2011</t>
  </si>
  <si>
    <t>SCM2012 FPE TAPCHGR-NORMANDY</t>
  </si>
  <si>
    <t>SCM2012 RPL GE SFC PRTCT RELAY</t>
  </si>
  <si>
    <t>CR4A Trav Water Screen Repl</t>
  </si>
  <si>
    <t>ALLEN BRADLEY PLC_H2S FLARE</t>
  </si>
  <si>
    <t>COOPER CHAPEL RD ELECOVHD RELO</t>
  </si>
  <si>
    <t>PEOPLESOFT 9.1 LGE</t>
  </si>
  <si>
    <t>MC4 Front Reheat Tubing</t>
  </si>
  <si>
    <t>NUCLEUS PROJECT VAULT</t>
  </si>
  <si>
    <t>CSXT RELO 6649</t>
  </si>
  <si>
    <t>6TH FLOOR CONSTRUCTION-LGE11</t>
  </si>
  <si>
    <t>REGULATORS FOR MU1101 &amp; BB1103</t>
  </si>
  <si>
    <t>REPLACE WESTERN KY YELLOW LINE</t>
  </si>
  <si>
    <t>MAGNOLIA 20" REPAIRS</t>
  </si>
  <si>
    <t>LGE Sftwr EGOR/DSL</t>
  </si>
  <si>
    <t>Contact Center - CTI - LGE11</t>
  </si>
  <si>
    <t>MicroSCADA Generation LGE</t>
  </si>
  <si>
    <t>CR HEPA Filtration System</t>
  </si>
  <si>
    <t>Taylor 1106 Add</t>
  </si>
  <si>
    <t>WT 1210</t>
  </si>
  <si>
    <t>TC1 BURNER COMPONENTS</t>
  </si>
  <si>
    <t>Madison TR2 Rewind</t>
  </si>
  <si>
    <t>CENTER TRAN LINE REPLACEMENT</t>
  </si>
  <si>
    <t>REPL PIECE PENILE TO PADDY'S</t>
  </si>
  <si>
    <t>GS GE Test Equip LGE</t>
  </si>
  <si>
    <t>CR Fuel Mgmt System</t>
  </si>
  <si>
    <t>Auburndale Pole Racks</t>
  </si>
  <si>
    <t>EMS Backup Hware/Sware-LGE</t>
  </si>
  <si>
    <t>CR4 Turbine Valve Fast Repl</t>
  </si>
  <si>
    <t>Repl fail Pot Trans, Tip Top.</t>
  </si>
  <si>
    <t>131487LGE</t>
  </si>
  <si>
    <t>TC REPLACE 12KV CP SWITCHGEARS</t>
  </si>
  <si>
    <t>131535LGE</t>
  </si>
  <si>
    <t>TC CHANGE HVAC UNITS</t>
  </si>
  <si>
    <t>131543LGE</t>
  </si>
  <si>
    <t>TC LAPE LIMESTONE TRIPPER</t>
  </si>
  <si>
    <t>132872LGE</t>
  </si>
  <si>
    <t>TC2 SPARES ECR LGE</t>
  </si>
  <si>
    <t>133534LGE</t>
  </si>
  <si>
    <t>TC2 Boiler MTCE WP</t>
  </si>
  <si>
    <t>133586LGE</t>
  </si>
  <si>
    <t>TC1 FD FAN ROOF REPL</t>
  </si>
  <si>
    <t>133588LGE</t>
  </si>
  <si>
    <t>TC RCT PREP BLDG ROOF REPL</t>
  </si>
  <si>
    <t>135353LGE</t>
  </si>
  <si>
    <t>TC THERMAL IMAGE DEVICE</t>
  </si>
  <si>
    <t>135689LGE</t>
  </si>
  <si>
    <t>Bill Redesign-LGE11</t>
  </si>
  <si>
    <t>135695LGE</t>
  </si>
  <si>
    <t>SAP Testing Automation-LGE11</t>
  </si>
  <si>
    <t>135697LGE</t>
  </si>
  <si>
    <t>Revenue Collect Enh-LGE11</t>
  </si>
  <si>
    <t>135719LGE</t>
  </si>
  <si>
    <t>TDMS Implementation-LGE11</t>
  </si>
  <si>
    <t>135905LGE</t>
  </si>
  <si>
    <t>TC Misc Plt Equip LGE</t>
  </si>
  <si>
    <t>CABLE341</t>
  </si>
  <si>
    <t>Blanket cable for joint trench</t>
  </si>
  <si>
    <t>ECAPRR340</t>
  </si>
  <si>
    <t>CAP, REG, RECLOSERS 340</t>
  </si>
  <si>
    <t>GME406</t>
  </si>
  <si>
    <t>GAS MAIN EXT 406</t>
  </si>
  <si>
    <t>L6-2011</t>
  </si>
  <si>
    <t>NEW FACILITIES T-LINE LGE 2011</t>
  </si>
  <si>
    <t>L7-2011</t>
  </si>
  <si>
    <t>PARAM UPGRADE T LINE LGE 2011</t>
  </si>
  <si>
    <t>L8-2011</t>
  </si>
  <si>
    <t>STORM DAMAGE T-LINE LGE 2011</t>
  </si>
  <si>
    <t>L9-2011</t>
  </si>
  <si>
    <t>PRIORITY REPL T-LINES LGE 2011</t>
  </si>
  <si>
    <t>LBR-11</t>
  </si>
  <si>
    <t>LGE Breakers11</t>
  </si>
  <si>
    <t>LDISCAP11</t>
  </si>
  <si>
    <t>LGE DISTRIBUTION CAPACITOR11</t>
  </si>
  <si>
    <t>LINSTRF11</t>
  </si>
  <si>
    <t>INSTRUMENT TRANSFMR LGE 2011</t>
  </si>
  <si>
    <t>LMS042011</t>
  </si>
  <si>
    <t>LGE MAJOR STORM 042011</t>
  </si>
  <si>
    <t>LMS052311</t>
  </si>
  <si>
    <t>LGE MAJOR STORM 052311</t>
  </si>
  <si>
    <t>LMS081311</t>
  </si>
  <si>
    <t>LG&amp;E MAJOR STORM 081311</t>
  </si>
  <si>
    <t>LRSUB-11</t>
  </si>
  <si>
    <t>LG&amp;E Routine - Subs-11</t>
  </si>
  <si>
    <t>LSMR414</t>
  </si>
  <si>
    <t>Large Scale Main Replacements</t>
  </si>
  <si>
    <t>LSURGE-11</t>
  </si>
  <si>
    <t>Surge Arrestors LGE-11</t>
  </si>
  <si>
    <t>MCAPRR340</t>
  </si>
  <si>
    <t>MAINT CAP, REG, REC 340</t>
  </si>
  <si>
    <t>NBCD340OH</t>
  </si>
  <si>
    <t>NEW BUS COMM OH 340</t>
  </si>
  <si>
    <t>NBCD340UG</t>
  </si>
  <si>
    <t>NEW BUS COMM UG 340</t>
  </si>
  <si>
    <t>NBGS341</t>
  </si>
  <si>
    <t>INSTALL GAS SVC-JOINT TRENCH</t>
  </si>
  <si>
    <t>NBGS419</t>
  </si>
  <si>
    <t>NEW BUS GAS SERV 419</t>
  </si>
  <si>
    <t>NBGS421</t>
  </si>
  <si>
    <t>NEW BUS GAS SERV 421</t>
  </si>
  <si>
    <t>NBGS422</t>
  </si>
  <si>
    <t>NBRD340OH</t>
  </si>
  <si>
    <t>NEW BUS RES OH 340</t>
  </si>
  <si>
    <t>NBRD340UG</t>
  </si>
  <si>
    <t>NEW BUS RES UG</t>
  </si>
  <si>
    <t>NBRD341UG</t>
  </si>
  <si>
    <t>NEW BUS RESID UG 341</t>
  </si>
  <si>
    <t>NBSB340OH</t>
  </si>
  <si>
    <t>NEW BUS SUB OH 340</t>
  </si>
  <si>
    <t>NBSB341UG</t>
  </si>
  <si>
    <t>NEW BUS SUB 341 UG</t>
  </si>
  <si>
    <t>NBSV340OH</t>
  </si>
  <si>
    <t>NEW ELECTRIC SERVICES</t>
  </si>
  <si>
    <t>NBSV340UG</t>
  </si>
  <si>
    <t>NEW EL SERV UG</t>
  </si>
  <si>
    <t>NETVLT343</t>
  </si>
  <si>
    <t>Network Vaults 003430</t>
  </si>
  <si>
    <t>PBWK340OH</t>
  </si>
  <si>
    <t>PUB WORKS RELOC OH</t>
  </si>
  <si>
    <t>PBWK406G</t>
  </si>
  <si>
    <t>PUB WORKS GAS 406</t>
  </si>
  <si>
    <t>PMR414</t>
  </si>
  <si>
    <t>Priority Main Replacement</t>
  </si>
  <si>
    <t>RCST340</t>
  </si>
  <si>
    <t>CUST REQ 340</t>
  </si>
  <si>
    <t>RCST406G</t>
  </si>
  <si>
    <t>Customer requested - Gas</t>
  </si>
  <si>
    <t>RDCBL340</t>
  </si>
  <si>
    <t>Replace Defective Cable 003400</t>
  </si>
  <si>
    <t>RDDD340OH</t>
  </si>
  <si>
    <t>REP DEF EQ OH 340</t>
  </si>
  <si>
    <t>RDDD340UG</t>
  </si>
  <si>
    <t>REP DEF EQ UG 340</t>
  </si>
  <si>
    <t>RDMV332</t>
  </si>
  <si>
    <t>MERCURY BULB REPL PROJECT</t>
  </si>
  <si>
    <t>RDPOLE340</t>
  </si>
  <si>
    <t>Replace Defective Poles 340</t>
  </si>
  <si>
    <t>RDSTLT332</t>
  </si>
  <si>
    <t>REPAIR STREET LIGHTING</t>
  </si>
  <si>
    <t>RELD01015</t>
  </si>
  <si>
    <t>LGE GEN RELIABILITY</t>
  </si>
  <si>
    <t>RELD340OH</t>
  </si>
  <si>
    <t>OH Reliability 003400</t>
  </si>
  <si>
    <t>RELD340UG</t>
  </si>
  <si>
    <t>UG Reliability 003400</t>
  </si>
  <si>
    <t>RNTPD340</t>
  </si>
  <si>
    <t>REP THR PARTY DAM 340</t>
  </si>
  <si>
    <t>RNTPD419</t>
  </si>
  <si>
    <t>Repair Third Party Damages-419</t>
  </si>
  <si>
    <t>RRCS419G</t>
  </si>
  <si>
    <t>REP CO GAS SERV 419</t>
  </si>
  <si>
    <t>RRCS422G</t>
  </si>
  <si>
    <t>STLT332OH</t>
  </si>
  <si>
    <t>STREET LIGHT OVERHEAD</t>
  </si>
  <si>
    <t>STLT332UG</t>
  </si>
  <si>
    <t>STREET LIGHT UNDERGROUND</t>
  </si>
  <si>
    <t>STRM03230</t>
  </si>
  <si>
    <t>LGE Minor Storm Events</t>
  </si>
  <si>
    <t>SYSEN406G</t>
  </si>
  <si>
    <t>System enhancements - Gas</t>
  </si>
  <si>
    <t>SYSENH340</t>
  </si>
  <si>
    <t>SYS ENH EXIST CUST 340</t>
  </si>
  <si>
    <t>TBRD340OH</t>
  </si>
  <si>
    <t>Trouble OH 003400</t>
  </si>
  <si>
    <t>TBRD340UG</t>
  </si>
  <si>
    <t>Trouble UG 003400</t>
  </si>
  <si>
    <t>TBRD419G</t>
  </si>
  <si>
    <t>MISC GAS MAIN LEAK REPAIR/REM</t>
  </si>
  <si>
    <t>TLEQ340</t>
  </si>
  <si>
    <t>TOOLS AND EQ 340</t>
  </si>
  <si>
    <t>TLEQ448</t>
  </si>
  <si>
    <t>Tools and Equipment 448</t>
  </si>
  <si>
    <t>XFRM340</t>
  </si>
  <si>
    <t>TRANSFORMER LABOR 340</t>
  </si>
  <si>
    <t>XFRM341</t>
  </si>
  <si>
    <t>TRANSFORMER LABOR 341</t>
  </si>
  <si>
    <t>Land and Vehicle Retirements - 2012 - FINANCIAL ACCOUNTING</t>
  </si>
  <si>
    <t>L5-2012</t>
  </si>
  <si>
    <t>L8-2012</t>
  </si>
  <si>
    <t>L9-2012</t>
  </si>
  <si>
    <t>LMS011712</t>
  </si>
  <si>
    <t>FAILED EQUIPMT REPLACE</t>
  </si>
  <si>
    <t>Skylight-Penal Farm 69kV</t>
  </si>
  <si>
    <t>NTWK TRAN PRTCT AUTO PILOT</t>
  </si>
  <si>
    <t>Lou Racks &amp; Furniture-LGE12</t>
  </si>
  <si>
    <t>Server Hardware Refresh-LGE12</t>
  </si>
  <si>
    <t>NtwkAccessDev/Site Infrs-LGE12</t>
  </si>
  <si>
    <t>EVALUATE TOOLS&amp;UTILITIES-LGE12</t>
  </si>
  <si>
    <t>Tucker Stat Sub Property</t>
  </si>
  <si>
    <t>2012 LGE LTC Oil Filtration</t>
  </si>
  <si>
    <t>2012 LGE Misc Dist Projects</t>
  </si>
  <si>
    <t>2012 Rplc 15KV Circuit Brkr-CD</t>
  </si>
  <si>
    <t>2012 LGE Rplc Sub Batteries</t>
  </si>
  <si>
    <t>MC2 Service Water Piping</t>
  </si>
  <si>
    <t>NERCALRT-CNTRFD-MDTN</t>
  </si>
  <si>
    <t>NERCALRT-HNCK-MGZN</t>
  </si>
  <si>
    <t>NERCALRT-CNL-WTRSD</t>
  </si>
  <si>
    <t>CR4 GSU Trans Cooling System</t>
  </si>
  <si>
    <t>2012 Hardware Infra-LGE</t>
  </si>
  <si>
    <t>2012 Retail HW Infra-LGE</t>
  </si>
  <si>
    <t>Watterson 1154</t>
  </si>
  <si>
    <t>SCM2012 FPE TAPCHGR-REINHAUSEN</t>
  </si>
  <si>
    <t>SCM2012 RPL SEMINOLE TR4 BRKR</t>
  </si>
  <si>
    <t>PE Vehicle Purchase LGE</t>
  </si>
  <si>
    <t>DIST-NA-MGZN-WTRSD</t>
  </si>
  <si>
    <t>LGE OPERATIONS TRAILERS</t>
  </si>
  <si>
    <t>RELOCATIONS T-LINES LGE 2012</t>
  </si>
  <si>
    <t>STORM DAMAGE T-LINE LGE 2012</t>
  </si>
  <si>
    <t>PRIORITY REPL T-LINE LGE 2012</t>
  </si>
  <si>
    <t>LGE MAJOR STORM 011712</t>
  </si>
  <si>
    <t>Adjustment</t>
  </si>
  <si>
    <t>135814LGE</t>
  </si>
  <si>
    <t>LBR-12</t>
  </si>
  <si>
    <t>LDISCAP12</t>
  </si>
  <si>
    <t>LGRNDRP12</t>
  </si>
  <si>
    <t>LRELAY-12</t>
  </si>
  <si>
    <t>LRSUB-12</t>
  </si>
  <si>
    <t>MAN414</t>
  </si>
  <si>
    <t>NBCD341UG</t>
  </si>
  <si>
    <t>NBVLT343</t>
  </si>
  <si>
    <t>RRCS421G</t>
  </si>
  <si>
    <t>MILL CREEK GAS MEASUREMENT</t>
  </si>
  <si>
    <t>CONESTOGA CIRCUIT WORK</t>
  </si>
  <si>
    <t>UPS ASHBOTTOM (GAS)</t>
  </si>
  <si>
    <t>MC2 Front Lower Waterwall</t>
  </si>
  <si>
    <t>MC2 Condenser Tubing</t>
  </si>
  <si>
    <t>CR Service Water Pump Repl</t>
  </si>
  <si>
    <t>TC REPLACE W BOILER SLP TUBE</t>
  </si>
  <si>
    <t>TC1 SCR STRUCT REPL /EXP JOINT</t>
  </si>
  <si>
    <t>HW/SW Dev Tools 026580-LGE11</t>
  </si>
  <si>
    <t>Wireless Buildout-LGE11</t>
  </si>
  <si>
    <t>Outside Cable Plant -LGE11</t>
  </si>
  <si>
    <t>MULD ENGINE COOLING</t>
  </si>
  <si>
    <t>MC2 Boiler Lower Sidewall</t>
  </si>
  <si>
    <t>MULD 2010 REP/REPL DEF EQ</t>
  </si>
  <si>
    <t>MULD STORAGE PIPELINE</t>
  </si>
  <si>
    <t>MULD TRANSMISSION LINE REPL</t>
  </si>
  <si>
    <t>GAS REGULATORY TOOLS &amp; EQ</t>
  </si>
  <si>
    <t>TC CT HGPI LGE#4</t>
  </si>
  <si>
    <t>Comp HW Cap for LOB's-LGE12</t>
  </si>
  <si>
    <t>Monitor Replacement-LGE12</t>
  </si>
  <si>
    <t>Simpsonville Elect Upg-LGE12</t>
  </si>
  <si>
    <t>Cabling for Server Conn-LGE12</t>
  </si>
  <si>
    <t>Ntwk Tools/Test Equip-LGE12</t>
  </si>
  <si>
    <t>Phone Sys Capacity Exp-LGE12</t>
  </si>
  <si>
    <t>MC2 Partial Radiant Reheater</t>
  </si>
  <si>
    <t>MC 2D Coal Mill Gearbox</t>
  </si>
  <si>
    <t>MC 2C Coal Mill Gearbox</t>
  </si>
  <si>
    <t>MAGNOLIA UPGRADE STATION PLCs</t>
  </si>
  <si>
    <t>CIP COMPLIANCE TOOLS-LGE12</t>
  </si>
  <si>
    <t>UPGR DR &amp; ELLINGSWORTH</t>
  </si>
  <si>
    <t>MULD COMPRESSOR PIPE REP</t>
  </si>
  <si>
    <t>Manslick Substation Exp</t>
  </si>
  <si>
    <t>MAGN OIL &amp; WATER COOLING CONTR</t>
  </si>
  <si>
    <t>Mobile GIS Enhancements LGE</t>
  </si>
  <si>
    <t>ERTS LGE</t>
  </si>
  <si>
    <t>Middletown Control House</t>
  </si>
  <si>
    <t>CR Station Battery 2011</t>
  </si>
  <si>
    <t>TC1 A-BCWP OVERHAUL</t>
  </si>
  <si>
    <t>TC1 SCR Catalyst Re-gen</t>
  </si>
  <si>
    <t>STRAT ASSET INVEST SFTWR LGE</t>
  </si>
  <si>
    <t>MC1B Circulating Water Pump</t>
  </si>
  <si>
    <t>MC4 Cooling Tower Pump</t>
  </si>
  <si>
    <t>4560 MILCRK SBSTN PARA</t>
  </si>
  <si>
    <t>MC1 Feeder Bunker Valves</t>
  </si>
  <si>
    <t>NS-Relays-2011</t>
  </si>
  <si>
    <t>4533 LRC RE-SAG</t>
  </si>
  <si>
    <t>CCS ARCHIVE/PURGE TECH-LGE</t>
  </si>
  <si>
    <t>NERCALRT-MGZN-WTRSD</t>
  </si>
  <si>
    <t>DIST-NA-WTRSN-MDLTN</t>
  </si>
  <si>
    <t>DIST-NA-BRKRDG-ETHL</t>
  </si>
  <si>
    <t>CR4 Mist Eliminators Repl</t>
  </si>
  <si>
    <t>MAGN FAC IMPROV_EQ REP</t>
  </si>
  <si>
    <t>VISTA SWITCH_ELEC LINE FEEDS</t>
  </si>
  <si>
    <t>Reporting/Bus Intel-LGE</t>
  </si>
  <si>
    <t>Retail Sys Enhance-LGE</t>
  </si>
  <si>
    <t>UPG CG TRANMITTERS</t>
  </si>
  <si>
    <t>HYDRAULIC VALVE OPERATOR</t>
  </si>
  <si>
    <t>LGE-OFFICE RENOVATIONS-2012</t>
  </si>
  <si>
    <t>CRESTWOOD CITY GATE</t>
  </si>
  <si>
    <t>MC 1B Ash Water Pump Mtr</t>
  </si>
  <si>
    <t>REPL ACTUATOR CONTROLLERS</t>
  </si>
  <si>
    <t>CR C1 Coal Crusher Repl</t>
  </si>
  <si>
    <t>SSC BUILDING</t>
  </si>
  <si>
    <t>GAS VACUUM EXCAV RIG</t>
  </si>
  <si>
    <t>MC Spare Sump Pump 2012</t>
  </si>
  <si>
    <t>LG&amp;E Spare 138-13kV 44.8 MVA</t>
  </si>
  <si>
    <t>LG&amp;E Spare 69-13kV 44.8 MVA</t>
  </si>
  <si>
    <t>MC JB Coal Conv Belt 2011</t>
  </si>
  <si>
    <t>SMALL TOOLS 2012 - 004190</t>
  </si>
  <si>
    <t>DIST-NA-HNCK-MGZN</t>
  </si>
  <si>
    <t>NERCALRT-APPRK-MDLTN</t>
  </si>
  <si>
    <t>TLEQ340 - 2012</t>
  </si>
  <si>
    <t>ELECTRIC PUMP JACK FOR DOE RUN</t>
  </si>
  <si>
    <t>Draw DT/Enhance AutoCAD-LGE</t>
  </si>
  <si>
    <t>SECURITY OFFICE REMODEL</t>
  </si>
  <si>
    <t>MC 4B Flyash Blower 2012</t>
  </si>
  <si>
    <t>MC Yard Fire Protection</t>
  </si>
  <si>
    <t>BRI-MAR DUMP TRAILER</t>
  </si>
  <si>
    <t>MC LA Conveyor Belt 2012</t>
  </si>
  <si>
    <t>MC 2A Condenser Vacuum Pump</t>
  </si>
  <si>
    <t>TC2 Mercury Monitors</t>
  </si>
  <si>
    <t>LGE Breakers Replacements-2012</t>
  </si>
  <si>
    <t>LGE DISTRIBUTION CAPACITOR12</t>
  </si>
  <si>
    <t>Grounding RepairsLGE-2012</t>
  </si>
  <si>
    <t>LG&amp;E RELAY-12</t>
  </si>
  <si>
    <t>LG&amp;E Routine - Subs-12</t>
  </si>
  <si>
    <t>ELECTRIC/GAS MANHOLE CONFLICTS</t>
  </si>
  <si>
    <t>NEW BUS COMM 341 UG</t>
  </si>
  <si>
    <t>New Network Vaults - 003430</t>
  </si>
  <si>
    <t>REM/REPL CO GAS SERVICE-421</t>
  </si>
  <si>
    <t>ARO Revaluation - Establishment of new ARO's.  True-up of ARO's manually recorded in December 2012 for</t>
  </si>
  <si>
    <t xml:space="preserve">   electric distribution.  When the ARO's were established in PP in January, minor differences occurred.</t>
  </si>
  <si>
    <t>LGE-339010-Struct-LGE Bldg Owned</t>
  </si>
  <si>
    <t>LGE-339010-Struct Broad.-LGE Owned</t>
  </si>
  <si>
    <t>LGE-339010-Struct Broad.-Joint Use</t>
  </si>
  <si>
    <t>LGE-339010-Str LGE BLDG - Joint Use</t>
  </si>
  <si>
    <t>MARCH 2012</t>
  </si>
  <si>
    <t>Mar-2012 (A)</t>
  </si>
  <si>
    <t>Mar-2012 (B)</t>
  </si>
  <si>
    <t>Mar-2012 ( C)</t>
  </si>
  <si>
    <t>Transfer of assets between Utility accounts to match utility accounts with locations of assets.</t>
  </si>
  <si>
    <t>Correct E/G/C Split</t>
  </si>
  <si>
    <t>N/A</t>
  </si>
  <si>
    <t>Transfer</t>
  </si>
  <si>
    <t>Transfer of Eastwood Substation land from plant held for future use to plant-in-service.</t>
  </si>
  <si>
    <t>Misc. A/R Uncollect - LGE Cap</t>
  </si>
  <si>
    <t>MC4 FGD Refurbishment</t>
  </si>
  <si>
    <t>LGE BRCT7 A/B Conversion 08</t>
  </si>
  <si>
    <t>MC2 Generator Stator Rewedge</t>
  </si>
  <si>
    <t>MC2 Turbine TIL1292</t>
  </si>
  <si>
    <t>MC2 Turbine HP/IP Seals</t>
  </si>
  <si>
    <t>MC2 Turbine Diaphragms</t>
  </si>
  <si>
    <t>PowerPlant - Version (LG&amp;E %)</t>
  </si>
  <si>
    <t>MC4 Hydrosteps</t>
  </si>
  <si>
    <t>MC4 SCR Catalyst Layer 2</t>
  </si>
  <si>
    <t>MC2 Turbine HP Snout Rings</t>
  </si>
  <si>
    <t>HW/SW Dev Tools 026540-LGE12</t>
  </si>
  <si>
    <t>Tech Refresh - LGE12</t>
  </si>
  <si>
    <t>Lou Electrical Upg-LGE12</t>
  </si>
  <si>
    <t>Upgrd Vmware Infrast-LGE12</t>
  </si>
  <si>
    <t>Core Network Infra-LGE12</t>
  </si>
  <si>
    <t>Data Networks Test Tools-LGE12</t>
  </si>
  <si>
    <t>Vulnerability Scanning-LGE12</t>
  </si>
  <si>
    <t>CR Asbestos Abatement 2012</t>
  </si>
  <si>
    <t>TC CCP RIVER FLY ASH BARGE-LGE</t>
  </si>
  <si>
    <t>SP ADMIN TOOL RENEWAL-LGE12</t>
  </si>
  <si>
    <t>NETAPP NAS REFRESH-LGE13</t>
  </si>
  <si>
    <t>MAGN FACILITY IMPROV</t>
  </si>
  <si>
    <t>2012 LGE Misc NESC Compl</t>
  </si>
  <si>
    <t>2012 LGE Rplc Fire Detctn Syst</t>
  </si>
  <si>
    <t>CR6 Mist Eliminators Repl</t>
  </si>
  <si>
    <t>NEW ALBANY LINES-345KV</t>
  </si>
  <si>
    <t>Lou Upgrades-Midtown 4th Xfrmr</t>
  </si>
  <si>
    <t>Dix Dam Boiler-LG&amp;E</t>
  </si>
  <si>
    <t>AP-Relays-2011</t>
  </si>
  <si>
    <t>MC2 Turbine Bolting</t>
  </si>
  <si>
    <t>DIST-NA-APPRK-MDLTN</t>
  </si>
  <si>
    <t>UPGRADE TO LYNC SERV-LGE12</t>
  </si>
  <si>
    <t>IT DOCUMENT MGR UPG - LGE12</t>
  </si>
  <si>
    <t>NE WD ARA NWK RFAS &amp; RT- LGE12</t>
  </si>
  <si>
    <t>REPL INSULATION_PIPING PURIF</t>
  </si>
  <si>
    <t>SECURITY UPGR MAGN &amp; CANMER</t>
  </si>
  <si>
    <t>SEP HP &amp; LOW PRESSURE AIR SYS</t>
  </si>
  <si>
    <t>Electric OMS Replace/Upg-LGE</t>
  </si>
  <si>
    <t>INSTALL CONTROL VALVES ON WELL</t>
  </si>
  <si>
    <t>RELINE GAS STORAGE WELLS_2012</t>
  </si>
  <si>
    <t>TIP TOP PHASE 3</t>
  </si>
  <si>
    <t>DOZER WITH TRAILER</t>
  </si>
  <si>
    <t>LGE FAILED EQP-2011</t>
  </si>
  <si>
    <t>LGE-FURNITURE AND EQPMT 2011</t>
  </si>
  <si>
    <t>PIPE SUPPORTS_CG_REG</t>
  </si>
  <si>
    <t>COMM HP SERVICE UPGRADES</t>
  </si>
  <si>
    <t>EMS Laptops LGE</t>
  </si>
  <si>
    <t>EMS Satellite Servers LGE</t>
  </si>
  <si>
    <t>CR Safety Tagging Sys Upgrade</t>
  </si>
  <si>
    <t>Ckt HC-1293</t>
  </si>
  <si>
    <t>2012 MULDRAUGH SMALL TOOLS</t>
  </si>
  <si>
    <t>MC Screenwell Air Hoist</t>
  </si>
  <si>
    <t>J GALT FC X (LGE)</t>
  </si>
  <si>
    <t>DIST-NA-CNTRFD-MDTN</t>
  </si>
  <si>
    <t>MC Scissors Lift 2012</t>
  </si>
  <si>
    <t>CR62 BFP Motor Rewind</t>
  </si>
  <si>
    <t>Ethel TR 6 LTC Rebuild</t>
  </si>
  <si>
    <t>Cane Run Landfill MSE Wall</t>
  </si>
  <si>
    <t>133555LGE</t>
  </si>
  <si>
    <t>TC2 DCS COMP &amp; NTWRK UPGRD</t>
  </si>
  <si>
    <t>135675LGE</t>
  </si>
  <si>
    <t>PPL Alternate Data Ctr-LGE11</t>
  </si>
  <si>
    <t>135810LGE</t>
  </si>
  <si>
    <t>Billing Enhancement-LGE12</t>
  </si>
  <si>
    <t>136126LGE</t>
  </si>
  <si>
    <t>CIP - PACS isolation-LGE12</t>
  </si>
  <si>
    <t>136147LGE</t>
  </si>
  <si>
    <t>Auto Reconnects Enh-LGE12</t>
  </si>
  <si>
    <t>L9-2010</t>
  </si>
  <si>
    <t>PRIORITY REPL T-LINES LGE 2010</t>
  </si>
  <si>
    <t>LFENCE-12</t>
  </si>
  <si>
    <t>LMS030212</t>
  </si>
  <si>
    <t>LG&amp;E MAJOR STORM 030212</t>
  </si>
  <si>
    <t>LSURGE-12</t>
  </si>
  <si>
    <t>Surge Arrestors LGE-12</t>
  </si>
  <si>
    <t>Production</t>
  </si>
  <si>
    <t>General &amp; Common</t>
  </si>
  <si>
    <t>Reserves</t>
  </si>
  <si>
    <t>Removal</t>
  </si>
  <si>
    <t>Amortization</t>
  </si>
  <si>
    <t>Prod</t>
  </si>
  <si>
    <t>Trans</t>
  </si>
</sst>
</file>

<file path=xl/styles.xml><?xml version="1.0" encoding="utf-8"?>
<styleSheet xmlns="http://schemas.openxmlformats.org/spreadsheetml/2006/main">
  <numFmts count="9">
    <numFmt numFmtId="8" formatCode="&quot;$&quot;#,##0.00_);[Red]\(&quot;$&quot;#,##0.00\)"/>
    <numFmt numFmtId="44" formatCode="_(&quot;$&quot;* #,##0.00_);_(&quot;$&quot;* \(#,##0.00\);_(&quot;$&quot;* &quot;-&quot;??_);_(@_)"/>
    <numFmt numFmtId="43" formatCode="_(* #,##0.00_);_(* \(#,##0.00\);_(* &quot;-&quot;??_);_(@_)"/>
    <numFmt numFmtId="164" formatCode="mmm\-yyyy"/>
    <numFmt numFmtId="165" formatCode="0_);\(0\)"/>
    <numFmt numFmtId="166" formatCode="#,##0.00;[Red]\(#,##0.00\)"/>
    <numFmt numFmtId="167" formatCode="_(&quot;$&quot;* #,##0_);_(&quot;$&quot;* \(#,##0\);_(&quot;$&quot;* &quot;-&quot;??_);_(@_)"/>
    <numFmt numFmtId="168" formatCode="_(* #,##0_);_(* \(#,##0\);_(* &quot;-&quot;??_);_(@_)"/>
    <numFmt numFmtId="169" formatCode="[$-409]mmmm\-yy;@"/>
  </numFmts>
  <fonts count="59">
    <font>
      <sz val="10"/>
      <name val="Arial"/>
    </font>
    <font>
      <sz val="11"/>
      <color theme="1"/>
      <name val="Calibri"/>
      <family val="2"/>
      <scheme val="minor"/>
    </font>
    <font>
      <sz val="10"/>
      <name val="Arial"/>
      <family val="2"/>
    </font>
    <font>
      <b/>
      <sz val="10"/>
      <name val="Arial"/>
      <family val="2"/>
    </font>
    <font>
      <sz val="8"/>
      <name val="Arial"/>
      <family val="2"/>
    </font>
    <font>
      <sz val="11"/>
      <name val="Arial"/>
      <family val="2"/>
    </font>
    <font>
      <b/>
      <u/>
      <sz val="10"/>
      <name val="Arial"/>
      <family val="2"/>
    </font>
    <font>
      <sz val="10"/>
      <color indexed="10"/>
      <name val="Arial"/>
      <family val="2"/>
    </font>
    <font>
      <sz val="10"/>
      <name val="Courier New"/>
      <family val="3"/>
    </font>
    <font>
      <sz val="8"/>
      <color indexed="81"/>
      <name val="Tahoma"/>
      <family val="2"/>
    </font>
    <font>
      <b/>
      <sz val="10"/>
      <color indexed="8"/>
      <name val="Arial"/>
      <family val="2"/>
    </font>
    <font>
      <b/>
      <sz val="12"/>
      <color indexed="8"/>
      <name val="Arial"/>
      <family val="2"/>
    </font>
    <font>
      <b/>
      <sz val="10"/>
      <color indexed="9"/>
      <name val="Arial"/>
      <family val="2"/>
    </font>
    <font>
      <b/>
      <sz val="8"/>
      <color indexed="9"/>
      <name val="Arial"/>
      <family val="2"/>
    </font>
    <font>
      <b/>
      <sz val="8"/>
      <color indexed="8"/>
      <name val="Courier New"/>
      <family val="3"/>
    </font>
    <font>
      <b/>
      <sz val="8"/>
      <color indexed="8"/>
      <name val="Arial"/>
      <family val="2"/>
    </font>
    <font>
      <sz val="8"/>
      <color indexed="8"/>
      <name val="Arial"/>
      <family val="2"/>
    </font>
    <font>
      <sz val="8"/>
      <color indexed="12"/>
      <name val="Arial"/>
      <family val="2"/>
    </font>
    <font>
      <sz val="8"/>
      <color indexed="8"/>
      <name val="Wingdings"/>
      <charset val="2"/>
    </font>
    <font>
      <b/>
      <sz val="10"/>
      <color indexed="17"/>
      <name val="Arial"/>
      <family val="2"/>
    </font>
    <font>
      <sz val="10"/>
      <color indexed="8"/>
      <name val="Arial"/>
      <family val="2"/>
    </font>
    <font>
      <b/>
      <i/>
      <sz val="10"/>
      <color indexed="8"/>
      <name val="Arial"/>
      <family val="2"/>
    </font>
    <font>
      <b/>
      <sz val="10"/>
      <color indexed="13"/>
      <name val="Arial"/>
      <family val="2"/>
    </font>
    <font>
      <b/>
      <sz val="12"/>
      <name val="Times New Roman"/>
      <family val="1"/>
    </font>
    <font>
      <sz val="12"/>
      <name val="Times New Roman"/>
      <family val="1"/>
    </font>
    <font>
      <u/>
      <sz val="10"/>
      <name val="Arial"/>
      <family val="2"/>
    </font>
    <font>
      <u val="singleAccounting"/>
      <sz val="10"/>
      <name val="Arial"/>
      <family val="2"/>
    </font>
    <font>
      <b/>
      <sz val="10"/>
      <name val="Times New Roman"/>
      <family val="1"/>
    </font>
    <font>
      <sz val="10"/>
      <name val="Arial"/>
      <family val="2"/>
    </font>
    <font>
      <b/>
      <sz val="10"/>
      <name val="Arial"/>
      <family val="2"/>
    </font>
    <font>
      <b/>
      <sz val="16"/>
      <name val="Arial"/>
      <family val="2"/>
    </font>
    <font>
      <i/>
      <sz val="10"/>
      <name val="Arial"/>
      <family val="2"/>
    </font>
    <font>
      <b/>
      <sz val="8"/>
      <color indexed="81"/>
      <name val="Tahoma"/>
      <family val="2"/>
    </font>
    <font>
      <u val="singleAccounting"/>
      <sz val="12"/>
      <name val="Times New Roman"/>
      <family val="1"/>
    </font>
    <font>
      <i/>
      <sz val="10"/>
      <name val="Times New Roman"/>
      <family val="1"/>
    </font>
    <font>
      <b/>
      <sz val="12"/>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9"/>
      <color indexed="81"/>
      <name val="Tahoma"/>
      <family val="2"/>
    </font>
    <font>
      <b/>
      <sz val="9"/>
      <color indexed="81"/>
      <name val="Tahoma"/>
      <family val="2"/>
    </font>
    <font>
      <sz val="10"/>
      <color rgb="FF7030A0"/>
      <name val="Arial"/>
      <family val="2"/>
    </font>
    <font>
      <sz val="10"/>
      <name val="Tahoma"/>
      <family val="2"/>
    </font>
    <font>
      <b/>
      <sz val="11"/>
      <color indexed="16"/>
      <name val="Times New Roman"/>
      <family val="1"/>
    </font>
    <font>
      <b/>
      <sz val="11"/>
      <name val="Arial"/>
      <family val="2"/>
    </font>
    <font>
      <sz val="12"/>
      <name val="Helv"/>
    </font>
  </fonts>
  <fills count="53">
    <fill>
      <patternFill patternType="none"/>
    </fill>
    <fill>
      <patternFill patternType="gray125"/>
    </fill>
    <fill>
      <patternFill patternType="solid">
        <fgColor indexed="47"/>
      </patternFill>
    </fill>
    <fill>
      <patternFill patternType="solid">
        <fgColor indexed="43"/>
      </patternFill>
    </fill>
    <fill>
      <patternFill patternType="solid">
        <fgColor indexed="9"/>
      </patternFill>
    </fill>
    <fill>
      <patternFill patternType="solid">
        <fgColor indexed="12"/>
      </patternFill>
    </fill>
    <fill>
      <patternFill patternType="solid">
        <fgColor indexed="13"/>
      </patternFill>
    </fill>
    <fill>
      <patternFill patternType="solid">
        <fgColor indexed="17"/>
      </patternFill>
    </fill>
    <fill>
      <patternFill patternType="solid">
        <fgColor indexed="13"/>
        <bgColor indexed="64"/>
      </patternFill>
    </fill>
    <fill>
      <patternFill patternType="solid">
        <fgColor indexed="41"/>
        <bgColor indexed="64"/>
      </patternFill>
    </fill>
    <fill>
      <patternFill patternType="solid">
        <fgColor indexed="11"/>
        <bgColor indexed="64"/>
      </patternFill>
    </fill>
    <fill>
      <patternFill patternType="solid">
        <fgColor indexed="47"/>
        <bgColor indexed="64"/>
      </patternFill>
    </fill>
    <fill>
      <patternFill patternType="solid">
        <fgColor indexed="40"/>
        <bgColor indexed="64"/>
      </patternFill>
    </fill>
    <fill>
      <patternFill patternType="solid">
        <fgColor rgb="FFFFFF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theme="0" tint="-0.14999847407452621"/>
        <bgColor indexed="64"/>
      </patternFill>
    </fill>
    <fill>
      <patternFill patternType="solid">
        <fgColor theme="8" tint="0.79998168889431442"/>
        <bgColor indexed="64"/>
      </patternFill>
    </fill>
    <fill>
      <patternFill patternType="solid">
        <fgColor rgb="FF00B050"/>
        <bgColor indexed="64"/>
      </patternFill>
    </fill>
    <fill>
      <patternFill patternType="solid">
        <fgColor rgb="FF00B0F0"/>
        <bgColor indexed="64"/>
      </patternFill>
    </fill>
    <fill>
      <patternFill patternType="solid">
        <fgColor theme="7" tint="0.59999389629810485"/>
        <bgColor indexed="64"/>
      </patternFill>
    </fill>
    <fill>
      <patternFill patternType="solid">
        <fgColor theme="4" tint="0.59999389629810485"/>
        <bgColor indexed="64"/>
      </patternFill>
    </fill>
    <fill>
      <patternFill patternType="solid">
        <fgColor indexed="9"/>
        <bgColor indexed="64"/>
      </patternFill>
    </fill>
  </fills>
  <borders count="22">
    <border>
      <left/>
      <right/>
      <top/>
      <bottom/>
      <diagonal/>
    </border>
    <border>
      <left/>
      <right/>
      <top style="thin">
        <color indexed="64"/>
      </top>
      <bottom style="thin">
        <color indexed="64"/>
      </bottom>
      <diagonal/>
    </border>
    <border>
      <left/>
      <right/>
      <top/>
      <bottom style="thin">
        <color indexed="64"/>
      </bottom>
      <diagonal/>
    </border>
    <border>
      <left/>
      <right/>
      <top style="thin">
        <color indexed="64"/>
      </top>
      <bottom style="double">
        <color indexed="64"/>
      </bottom>
      <diagonal/>
    </border>
    <border>
      <left/>
      <right/>
      <top/>
      <bottom style="double">
        <color indexed="64"/>
      </bottom>
      <diagonal/>
    </border>
    <border>
      <left/>
      <right/>
      <top style="thin">
        <color indexed="64"/>
      </top>
      <bottom/>
      <diagonal/>
    </border>
    <border>
      <left/>
      <right style="thin">
        <color indexed="64"/>
      </right>
      <top/>
      <bottom/>
      <diagonal/>
    </border>
    <border>
      <left/>
      <right style="thin">
        <color indexed="64"/>
      </right>
      <top style="double">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s>
  <cellStyleXfs count="193">
    <xf numFmtId="0" fontId="0" fillId="0" borderId="0"/>
    <xf numFmtId="0" fontId="12" fillId="5" borderId="0">
      <alignment horizontal="left"/>
    </xf>
    <xf numFmtId="0" fontId="13" fillId="5" borderId="0">
      <alignment horizontal="right"/>
    </xf>
    <xf numFmtId="0" fontId="15" fillId="4" borderId="0">
      <alignment horizontal="center"/>
    </xf>
    <xf numFmtId="0" fontId="13" fillId="5" borderId="0">
      <alignment horizontal="right"/>
    </xf>
    <xf numFmtId="0" fontId="14" fillId="4" borderId="0">
      <alignment horizontal="left"/>
    </xf>
    <xf numFmtId="43" fontId="2" fillId="0" borderId="0" applyFont="0" applyFill="0" applyBorder="0" applyAlignment="0" applyProtection="0"/>
    <xf numFmtId="44" fontId="2" fillId="0" borderId="0" applyFont="0" applyFill="0" applyBorder="0" applyAlignment="0" applyProtection="0"/>
    <xf numFmtId="0" fontId="12" fillId="5" borderId="0">
      <alignment horizontal="left"/>
    </xf>
    <xf numFmtId="0" fontId="10" fillId="4" borderId="0">
      <alignment horizontal="left"/>
    </xf>
    <xf numFmtId="166" fontId="20" fillId="4" borderId="0">
      <alignment horizontal="right"/>
    </xf>
    <xf numFmtId="0" fontId="21" fillId="6" borderId="0">
      <alignment horizontal="center"/>
    </xf>
    <xf numFmtId="0" fontId="12" fillId="7" borderId="0"/>
    <xf numFmtId="0" fontId="19" fillId="4" borderId="0" applyBorder="0">
      <alignment horizontal="centerContinuous"/>
    </xf>
    <xf numFmtId="0" fontId="22" fillId="7" borderId="0" applyBorder="0">
      <alignment horizontal="centerContinuous"/>
    </xf>
    <xf numFmtId="0" fontId="10" fillId="3" borderId="0">
      <alignment horizontal="center"/>
    </xf>
    <xf numFmtId="49" fontId="11" fillId="4" borderId="0">
      <alignment horizontal="center"/>
    </xf>
    <xf numFmtId="0" fontId="13" fillId="5" borderId="0">
      <alignment horizontal="center"/>
    </xf>
    <xf numFmtId="0" fontId="13" fillId="5" borderId="0">
      <alignment horizontal="centerContinuous"/>
    </xf>
    <xf numFmtId="0" fontId="16" fillId="4" borderId="0">
      <alignment horizontal="left"/>
    </xf>
    <xf numFmtId="49" fontId="16" fillId="4" borderId="0">
      <alignment horizontal="center"/>
    </xf>
    <xf numFmtId="0" fontId="12" fillId="5" borderId="0">
      <alignment horizontal="left"/>
    </xf>
    <xf numFmtId="49" fontId="16" fillId="4" borderId="0">
      <alignment horizontal="left"/>
    </xf>
    <xf numFmtId="0" fontId="12" fillId="5" borderId="0">
      <alignment horizontal="centerContinuous"/>
    </xf>
    <xf numFmtId="0" fontId="12" fillId="5" borderId="0">
      <alignment horizontal="right"/>
    </xf>
    <xf numFmtId="49" fontId="10" fillId="4" borderId="0">
      <alignment horizontal="left"/>
    </xf>
    <xf numFmtId="0" fontId="13" fillId="5" borderId="0">
      <alignment horizontal="right"/>
    </xf>
    <xf numFmtId="0" fontId="16" fillId="2" borderId="0">
      <alignment horizontal="center"/>
    </xf>
    <xf numFmtId="0" fontId="17" fillId="2" borderId="0">
      <alignment horizontal="center"/>
    </xf>
    <xf numFmtId="0" fontId="18" fillId="4" borderId="0">
      <alignment horizontal="center"/>
    </xf>
    <xf numFmtId="0" fontId="36" fillId="0" borderId="0" applyNumberFormat="0" applyFill="0" applyBorder="0" applyAlignment="0" applyProtection="0"/>
    <xf numFmtId="0" fontId="37" fillId="0" borderId="10" applyNumberFormat="0" applyFill="0" applyAlignment="0" applyProtection="0"/>
    <xf numFmtId="0" fontId="38" fillId="0" borderId="11" applyNumberFormat="0" applyFill="0" applyAlignment="0" applyProtection="0"/>
    <xf numFmtId="0" fontId="39" fillId="0" borderId="12" applyNumberFormat="0" applyFill="0" applyAlignment="0" applyProtection="0"/>
    <xf numFmtId="0" fontId="39" fillId="0" borderId="0" applyNumberFormat="0" applyFill="0" applyBorder="0" applyAlignment="0" applyProtection="0"/>
    <xf numFmtId="0" fontId="40" fillId="14" borderId="0" applyNumberFormat="0" applyBorder="0" applyAlignment="0" applyProtection="0"/>
    <xf numFmtId="0" fontId="41" fillId="15" borderId="0" applyNumberFormat="0" applyBorder="0" applyAlignment="0" applyProtection="0"/>
    <xf numFmtId="0" fontId="42" fillId="16" borderId="0" applyNumberFormat="0" applyBorder="0" applyAlignment="0" applyProtection="0"/>
    <xf numFmtId="0" fontId="43" fillId="17" borderId="13" applyNumberFormat="0" applyAlignment="0" applyProtection="0"/>
    <xf numFmtId="0" fontId="44" fillId="18" borderId="14" applyNumberFormat="0" applyAlignment="0" applyProtection="0"/>
    <xf numFmtId="0" fontId="45" fillId="18" borderId="13" applyNumberFormat="0" applyAlignment="0" applyProtection="0"/>
    <xf numFmtId="0" fontId="46" fillId="0" borderId="15" applyNumberFormat="0" applyFill="0" applyAlignment="0" applyProtection="0"/>
    <xf numFmtId="0" fontId="47" fillId="19" borderId="16" applyNumberFormat="0" applyAlignment="0" applyProtection="0"/>
    <xf numFmtId="0" fontId="48" fillId="0" borderId="0" applyNumberFormat="0" applyFill="0" applyBorder="0" applyAlignment="0" applyProtection="0"/>
    <xf numFmtId="0" fontId="49" fillId="0" borderId="0" applyNumberFormat="0" applyFill="0" applyBorder="0" applyAlignment="0" applyProtection="0"/>
    <xf numFmtId="0" fontId="50" fillId="0" borderId="18" applyNumberFormat="0" applyFill="0" applyAlignment="0" applyProtection="0"/>
    <xf numFmtId="0" fontId="5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51" fillId="24" borderId="0" applyNumberFormat="0" applyBorder="0" applyAlignment="0" applyProtection="0"/>
    <xf numFmtId="0" fontId="5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51" fillId="28" borderId="0" applyNumberFormat="0" applyBorder="0" applyAlignment="0" applyProtection="0"/>
    <xf numFmtId="0" fontId="5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51" fillId="32" borderId="0" applyNumberFormat="0" applyBorder="0" applyAlignment="0" applyProtection="0"/>
    <xf numFmtId="0" fontId="5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51" fillId="36" borderId="0" applyNumberFormat="0" applyBorder="0" applyAlignment="0" applyProtection="0"/>
    <xf numFmtId="0" fontId="5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51" fillId="40" borderId="0" applyNumberFormat="0" applyBorder="0" applyAlignment="0" applyProtection="0"/>
    <xf numFmtId="0" fontId="51" fillId="41"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51" fillId="44" borderId="0" applyNumberFormat="0" applyBorder="0" applyAlignment="0" applyProtection="0"/>
    <xf numFmtId="0" fontId="1" fillId="0" borderId="0"/>
    <xf numFmtId="0" fontId="1" fillId="20" borderId="17" applyNumberFormat="0" applyFont="0" applyAlignment="0" applyProtection="0"/>
    <xf numFmtId="0" fontId="2" fillId="0" borderId="0"/>
    <xf numFmtId="169" fontId="2" fillId="0" borderId="0"/>
    <xf numFmtId="169" fontId="2" fillId="0" borderId="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55"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1"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9" fontId="2" fillId="0" borderId="0"/>
    <xf numFmtId="169" fontId="2" fillId="0" borderId="0"/>
    <xf numFmtId="169" fontId="2" fillId="0" borderId="0"/>
    <xf numFmtId="169" fontId="2" fillId="0" borderId="0"/>
    <xf numFmtId="169" fontId="2" fillId="0" borderId="0"/>
    <xf numFmtId="169" fontId="2" fillId="0" borderId="0"/>
    <xf numFmtId="169" fontId="2" fillId="0" borderId="0"/>
    <xf numFmtId="169" fontId="2" fillId="0" borderId="0"/>
    <xf numFmtId="0" fontId="1" fillId="0" borderId="0"/>
    <xf numFmtId="0" fontId="1" fillId="0" borderId="0"/>
    <xf numFmtId="169" fontId="2" fillId="0" borderId="0"/>
    <xf numFmtId="0" fontId="1" fillId="0" borderId="0"/>
    <xf numFmtId="169" fontId="2" fillId="0" borderId="0"/>
    <xf numFmtId="169" fontId="2" fillId="0" borderId="0"/>
    <xf numFmtId="169" fontId="2" fillId="0" borderId="0"/>
    <xf numFmtId="169" fontId="2" fillId="0" borderId="0"/>
    <xf numFmtId="169" fontId="2" fillId="0" borderId="0"/>
    <xf numFmtId="169" fontId="2" fillId="0" borderId="0"/>
    <xf numFmtId="169" fontId="2" fillId="0" borderId="0"/>
    <xf numFmtId="169" fontId="2" fillId="0" borderId="0"/>
    <xf numFmtId="169" fontId="2" fillId="0" borderId="0"/>
    <xf numFmtId="169" fontId="2" fillId="0" borderId="0"/>
    <xf numFmtId="169" fontId="2" fillId="0" borderId="0"/>
    <xf numFmtId="169" fontId="2" fillId="0" borderId="0"/>
    <xf numFmtId="169" fontId="2" fillId="0" borderId="0"/>
    <xf numFmtId="169" fontId="2" fillId="0" borderId="0"/>
    <xf numFmtId="169" fontId="2" fillId="0" borderId="0"/>
    <xf numFmtId="169" fontId="2" fillId="0" borderId="0"/>
    <xf numFmtId="169" fontId="2" fillId="0" borderId="0"/>
    <xf numFmtId="169" fontId="2" fillId="0" borderId="0"/>
    <xf numFmtId="169" fontId="2"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2" fillId="0" borderId="0"/>
    <xf numFmtId="169" fontId="2" fillId="0" borderId="0"/>
    <xf numFmtId="169" fontId="2" fillId="0" borderId="0"/>
    <xf numFmtId="169" fontId="2" fillId="0" borderId="0"/>
    <xf numFmtId="169" fontId="2" fillId="0" borderId="0"/>
    <xf numFmtId="169" fontId="2" fillId="0" borderId="0"/>
    <xf numFmtId="169" fontId="2" fillId="0" borderId="0"/>
    <xf numFmtId="169" fontId="2" fillId="0" borderId="0"/>
    <xf numFmtId="169" fontId="2" fillId="0" borderId="0"/>
    <xf numFmtId="169" fontId="2" fillId="0" borderId="0"/>
    <xf numFmtId="169" fontId="2" fillId="0" borderId="0"/>
    <xf numFmtId="169" fontId="2" fillId="0" borderId="0"/>
    <xf numFmtId="169" fontId="2" fillId="0" borderId="0"/>
    <xf numFmtId="169" fontId="2" fillId="0" borderId="0"/>
    <xf numFmtId="169" fontId="2" fillId="0" borderId="0"/>
    <xf numFmtId="169" fontId="2" fillId="0" borderId="0"/>
    <xf numFmtId="169" fontId="2" fillId="0" borderId="0"/>
    <xf numFmtId="169" fontId="2" fillId="0" borderId="0"/>
    <xf numFmtId="169" fontId="2" fillId="0" borderId="0"/>
    <xf numFmtId="169" fontId="56" fillId="52" borderId="6"/>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39" fontId="58" fillId="0" borderId="0"/>
  </cellStyleXfs>
  <cellXfs count="371">
    <xf numFmtId="0" fontId="0" fillId="0" borderId="0" xfId="0"/>
    <xf numFmtId="44" fontId="0" fillId="0" borderId="0" xfId="7" applyFont="1"/>
    <xf numFmtId="0" fontId="3" fillId="0" borderId="0" xfId="0" applyFont="1" applyAlignment="1">
      <alignment horizontal="right"/>
    </xf>
    <xf numFmtId="0" fontId="3" fillId="0" borderId="0" xfId="0" applyFont="1"/>
    <xf numFmtId="44" fontId="2" fillId="0" borderId="0" xfId="7"/>
    <xf numFmtId="44" fontId="0" fillId="0" borderId="0" xfId="0" applyNumberFormat="1"/>
    <xf numFmtId="44" fontId="0" fillId="0" borderId="0" xfId="7" applyFont="1" applyBorder="1"/>
    <xf numFmtId="0" fontId="0" fillId="0" borderId="0" xfId="0" applyBorder="1"/>
    <xf numFmtId="44" fontId="0" fillId="0" borderId="0" xfId="7" applyFont="1" applyFill="1"/>
    <xf numFmtId="164" fontId="0" fillId="0" borderId="0" xfId="0" applyNumberFormat="1" applyFill="1" applyAlignment="1">
      <alignment horizontal="center"/>
    </xf>
    <xf numFmtId="0" fontId="0" fillId="0" borderId="0" xfId="0" applyFill="1"/>
    <xf numFmtId="0" fontId="3" fillId="0" borderId="0" xfId="0" applyFont="1" applyFill="1" applyAlignment="1">
      <alignment horizontal="right"/>
    </xf>
    <xf numFmtId="0" fontId="3" fillId="0" borderId="0" xfId="0" applyFont="1" applyFill="1"/>
    <xf numFmtId="0" fontId="7" fillId="0" borderId="0" xfId="0" applyFont="1" applyFill="1"/>
    <xf numFmtId="0" fontId="8" fillId="0" borderId="0" xfId="0" applyFont="1"/>
    <xf numFmtId="22" fontId="0" fillId="0" borderId="0" xfId="0" applyNumberFormat="1"/>
    <xf numFmtId="15" fontId="8" fillId="0" borderId="0" xfId="0" applyNumberFormat="1" applyFont="1"/>
    <xf numFmtId="0" fontId="8" fillId="0" borderId="0" xfId="0" quotePrefix="1" applyFont="1"/>
    <xf numFmtId="22" fontId="8" fillId="0" borderId="0" xfId="0" applyNumberFormat="1" applyFont="1"/>
    <xf numFmtId="0" fontId="0" fillId="0" borderId="0" xfId="0" quotePrefix="1"/>
    <xf numFmtId="19" fontId="0" fillId="0" borderId="0" xfId="0" applyNumberFormat="1"/>
    <xf numFmtId="44" fontId="0" fillId="0" borderId="0" xfId="0" applyNumberFormat="1" applyFill="1"/>
    <xf numFmtId="43" fontId="0" fillId="0" borderId="0" xfId="6" applyFont="1" applyFill="1" applyAlignment="1">
      <alignment horizontal="center"/>
    </xf>
    <xf numFmtId="43" fontId="25" fillId="0" borderId="0" xfId="6" applyFont="1" applyFill="1" applyAlignment="1">
      <alignment horizontal="center"/>
    </xf>
    <xf numFmtId="43" fontId="0" fillId="0" borderId="0" xfId="6" applyFont="1" applyFill="1"/>
    <xf numFmtId="43" fontId="0" fillId="0" borderId="1" xfId="6" applyFont="1" applyFill="1" applyBorder="1"/>
    <xf numFmtId="43" fontId="7" fillId="0" borderId="0" xfId="6" applyFont="1" applyFill="1"/>
    <xf numFmtId="43" fontId="0" fillId="0" borderId="0" xfId="6" applyFont="1" applyFill="1" applyBorder="1"/>
    <xf numFmtId="43" fontId="0" fillId="0" borderId="2" xfId="6" applyFont="1" applyFill="1" applyBorder="1"/>
    <xf numFmtId="0" fontId="3" fillId="0" borderId="0" xfId="0" applyFont="1" applyAlignment="1">
      <alignment horizontal="center"/>
    </xf>
    <xf numFmtId="164" fontId="3" fillId="0" borderId="0" xfId="0" applyNumberFormat="1" applyFont="1" applyAlignment="1">
      <alignment horizontal="center"/>
    </xf>
    <xf numFmtId="164" fontId="0" fillId="0" borderId="0" xfId="0" applyNumberFormat="1" applyFill="1" applyAlignment="1">
      <alignment horizontal="left"/>
    </xf>
    <xf numFmtId="0" fontId="0" fillId="0" borderId="0" xfId="0" applyFill="1" applyAlignment="1">
      <alignment horizontal="left"/>
    </xf>
    <xf numFmtId="43" fontId="0" fillId="0" borderId="0" xfId="6" applyFont="1"/>
    <xf numFmtId="43" fontId="0" fillId="0" borderId="1" xfId="6" applyFont="1" applyBorder="1"/>
    <xf numFmtId="43" fontId="0" fillId="0" borderId="2" xfId="6" applyFont="1" applyBorder="1"/>
    <xf numFmtId="43" fontId="0" fillId="0" borderId="0" xfId="6" applyFont="1" applyAlignment="1">
      <alignment horizontal="center"/>
    </xf>
    <xf numFmtId="43" fontId="0" fillId="0" borderId="0" xfId="6" applyFont="1" applyBorder="1"/>
    <xf numFmtId="0" fontId="24" fillId="0" borderId="0" xfId="0" applyFont="1" applyFill="1" applyProtection="1">
      <protection locked="0"/>
    </xf>
    <xf numFmtId="0" fontId="24" fillId="0" borderId="0" xfId="0" applyFont="1" applyFill="1" applyBorder="1" applyProtection="1">
      <protection locked="0"/>
    </xf>
    <xf numFmtId="164" fontId="3" fillId="0" borderId="0" xfId="0" applyNumberFormat="1" applyFont="1" applyAlignment="1"/>
    <xf numFmtId="43" fontId="3" fillId="0" borderId="0" xfId="6" applyFont="1" applyAlignment="1">
      <alignment horizontal="center"/>
    </xf>
    <xf numFmtId="43" fontId="3" fillId="0" borderId="2" xfId="6" applyFont="1" applyBorder="1" applyAlignment="1">
      <alignment horizontal="center"/>
    </xf>
    <xf numFmtId="43" fontId="3" fillId="0" borderId="2" xfId="6" applyFont="1" applyFill="1" applyBorder="1" applyAlignment="1">
      <alignment horizontal="center"/>
    </xf>
    <xf numFmtId="43" fontId="0" fillId="0" borderId="3" xfId="6" applyFont="1" applyBorder="1"/>
    <xf numFmtId="43" fontId="2" fillId="0" borderId="0" xfId="6"/>
    <xf numFmtId="43" fontId="2" fillId="0" borderId="3" xfId="6" applyBorder="1"/>
    <xf numFmtId="0" fontId="3" fillId="0" borderId="0" xfId="0" applyFont="1" applyBorder="1" applyAlignment="1">
      <alignment horizontal="right"/>
    </xf>
    <xf numFmtId="43" fontId="2" fillId="0" borderId="2" xfId="6" applyBorder="1"/>
    <xf numFmtId="39" fontId="0" fillId="0" borderId="0" xfId="0" applyNumberFormat="1"/>
    <xf numFmtId="164" fontId="28" fillId="0" borderId="0" xfId="0" applyNumberFormat="1" applyFont="1" applyAlignment="1">
      <alignment horizontal="center"/>
    </xf>
    <xf numFmtId="43" fontId="2" fillId="0" borderId="0" xfId="6" applyFont="1" applyBorder="1" applyAlignment="1">
      <alignment horizontal="center"/>
    </xf>
    <xf numFmtId="43" fontId="2" fillId="0" borderId="0" xfId="6" applyBorder="1"/>
    <xf numFmtId="164" fontId="3" fillId="0" borderId="0" xfId="0" applyNumberFormat="1" applyFont="1" applyBorder="1" applyAlignment="1">
      <alignment horizontal="center"/>
    </xf>
    <xf numFmtId="43" fontId="3" fillId="0" borderId="0" xfId="6" applyFont="1" applyBorder="1" applyAlignment="1">
      <alignment horizontal="center"/>
    </xf>
    <xf numFmtId="44" fontId="2" fillId="0" borderId="0" xfId="7" applyBorder="1"/>
    <xf numFmtId="43" fontId="0" fillId="0" borderId="4" xfId="6" applyFont="1" applyFill="1" applyBorder="1"/>
    <xf numFmtId="164" fontId="29" fillId="0" borderId="0" xfId="0" applyNumberFormat="1" applyFont="1" applyFill="1" applyAlignment="1">
      <alignment horizontal="center"/>
    </xf>
    <xf numFmtId="0" fontId="29" fillId="0" borderId="0" xfId="0" applyFont="1" applyFill="1"/>
    <xf numFmtId="0" fontId="3" fillId="0" borderId="0" xfId="0" applyFont="1" applyFill="1" applyAlignment="1">
      <alignment horizontal="left"/>
    </xf>
    <xf numFmtId="0" fontId="0" fillId="9" borderId="0" xfId="0" applyFill="1"/>
    <xf numFmtId="43" fontId="2" fillId="9" borderId="0" xfId="6" applyFill="1"/>
    <xf numFmtId="43" fontId="2" fillId="9" borderId="0" xfId="6" applyFill="1" applyBorder="1"/>
    <xf numFmtId="43" fontId="0" fillId="9" borderId="0" xfId="6" applyFont="1" applyFill="1"/>
    <xf numFmtId="43" fontId="2" fillId="0" borderId="0" xfId="6" applyFill="1"/>
    <xf numFmtId="43" fontId="2" fillId="0" borderId="0" xfId="6" applyFill="1" applyBorder="1"/>
    <xf numFmtId="43" fontId="0" fillId="9" borderId="0" xfId="6" applyFont="1" applyFill="1" applyBorder="1"/>
    <xf numFmtId="43" fontId="28" fillId="0" borderId="2" xfId="6" applyFont="1" applyBorder="1"/>
    <xf numFmtId="43" fontId="28" fillId="0" borderId="0" xfId="6" applyFont="1" applyBorder="1"/>
    <xf numFmtId="43" fontId="5" fillId="0" borderId="0" xfId="6" applyNumberFormat="1" applyFont="1" applyFill="1"/>
    <xf numFmtId="164" fontId="3" fillId="0" borderId="0" xfId="0" applyNumberFormat="1" applyFont="1" applyFill="1" applyAlignment="1">
      <alignment horizontal="center"/>
    </xf>
    <xf numFmtId="0" fontId="0" fillId="0" borderId="0" xfId="0" applyFill="1" applyBorder="1"/>
    <xf numFmtId="43" fontId="0" fillId="0" borderId="0" xfId="0" applyNumberFormat="1" applyFill="1"/>
    <xf numFmtId="43" fontId="0" fillId="0" borderId="3" xfId="6" applyFont="1" applyFill="1" applyBorder="1"/>
    <xf numFmtId="43" fontId="0" fillId="0" borderId="0" xfId="6" applyFont="1" applyFill="1" applyBorder="1" applyAlignment="1">
      <alignment horizontal="center"/>
    </xf>
    <xf numFmtId="44" fontId="0" fillId="0" borderId="3" xfId="0" applyNumberFormat="1" applyBorder="1"/>
    <xf numFmtId="0" fontId="3" fillId="10" borderId="0" xfId="0" applyFont="1" applyFill="1"/>
    <xf numFmtId="0" fontId="0" fillId="10" borderId="0" xfId="0" applyFill="1"/>
    <xf numFmtId="44" fontId="0" fillId="10" borderId="0" xfId="0" applyNumberFormat="1" applyFill="1"/>
    <xf numFmtId="43" fontId="0" fillId="10" borderId="0" xfId="6" applyFont="1" applyFill="1"/>
    <xf numFmtId="44" fontId="0" fillId="10" borderId="3" xfId="0" applyNumberFormat="1" applyFill="1" applyBorder="1"/>
    <xf numFmtId="43" fontId="0" fillId="10" borderId="1" xfId="6" applyFont="1" applyFill="1" applyBorder="1"/>
    <xf numFmtId="44" fontId="0" fillId="0" borderId="0" xfId="0" applyNumberFormat="1" applyFill="1" applyBorder="1"/>
    <xf numFmtId="43" fontId="0" fillId="0" borderId="0" xfId="0" applyNumberFormat="1" applyBorder="1"/>
    <xf numFmtId="43" fontId="3" fillId="0" borderId="0" xfId="6" applyFont="1" applyFill="1" applyAlignment="1">
      <alignment horizontal="center"/>
    </xf>
    <xf numFmtId="43" fontId="3" fillId="0" borderId="0" xfId="6" applyFont="1" applyFill="1" applyBorder="1" applyAlignment="1">
      <alignment horizontal="center"/>
    </xf>
    <xf numFmtId="43" fontId="2" fillId="0" borderId="0" xfId="6" applyFont="1" applyFill="1" applyBorder="1" applyAlignment="1">
      <alignment horizontal="center"/>
    </xf>
    <xf numFmtId="43" fontId="26" fillId="0" borderId="0" xfId="6" applyFont="1" applyFill="1" applyBorder="1" applyAlignment="1">
      <alignment horizontal="center"/>
    </xf>
    <xf numFmtId="43" fontId="2" fillId="0" borderId="1" xfId="6" applyBorder="1"/>
    <xf numFmtId="43" fontId="0" fillId="0" borderId="0" xfId="0" applyNumberFormat="1"/>
    <xf numFmtId="43" fontId="0" fillId="0" borderId="2" xfId="0" applyNumberFormat="1" applyBorder="1"/>
    <xf numFmtId="43" fontId="2" fillId="0" borderId="3" xfId="6" applyFill="1" applyBorder="1"/>
    <xf numFmtId="43" fontId="0" fillId="0" borderId="3" xfId="0" applyNumberFormat="1" applyBorder="1"/>
    <xf numFmtId="43" fontId="0" fillId="0" borderId="2" xfId="0" applyNumberFormat="1" applyFill="1" applyBorder="1"/>
    <xf numFmtId="0" fontId="30" fillId="0" borderId="0" xfId="0" quotePrefix="1" applyFont="1" applyFill="1" applyAlignment="1">
      <alignment horizontal="left"/>
    </xf>
    <xf numFmtId="0" fontId="3" fillId="0" borderId="0" xfId="0" quotePrefix="1" applyFont="1" applyAlignment="1">
      <alignment horizontal="left"/>
    </xf>
    <xf numFmtId="43" fontId="3" fillId="0" borderId="3" xfId="0" applyNumberFormat="1" applyFont="1" applyFill="1" applyBorder="1" applyAlignment="1">
      <alignment horizontal="right"/>
    </xf>
    <xf numFmtId="44" fontId="3" fillId="0" borderId="0" xfId="0" applyNumberFormat="1" applyFont="1" applyBorder="1" applyAlignment="1">
      <alignment horizontal="center"/>
    </xf>
    <xf numFmtId="44" fontId="3" fillId="0" borderId="2" xfId="0" applyNumberFormat="1" applyFont="1" applyBorder="1" applyAlignment="1">
      <alignment horizontal="center"/>
    </xf>
    <xf numFmtId="44" fontId="0" fillId="0" borderId="0" xfId="0" applyNumberFormat="1" applyBorder="1"/>
    <xf numFmtId="44" fontId="3" fillId="0" borderId="0" xfId="0" quotePrefix="1" applyNumberFormat="1" applyFont="1" applyAlignment="1">
      <alignment horizontal="center"/>
    </xf>
    <xf numFmtId="0" fontId="0" fillId="0" borderId="0" xfId="0" quotePrefix="1" applyAlignment="1">
      <alignment horizontal="left"/>
    </xf>
    <xf numFmtId="0" fontId="0" fillId="8" borderId="0" xfId="0" applyFill="1"/>
    <xf numFmtId="44" fontId="0" fillId="8" borderId="0" xfId="0" applyNumberFormat="1" applyFill="1"/>
    <xf numFmtId="39" fontId="0" fillId="8" borderId="0" xfId="0" applyNumberFormat="1" applyFill="1" applyAlignment="1">
      <alignment horizontal="center"/>
    </xf>
    <xf numFmtId="44" fontId="0" fillId="11" borderId="0" xfId="0" applyNumberFormat="1" applyFill="1"/>
    <xf numFmtId="44" fontId="0" fillId="11" borderId="3" xfId="0" applyNumberFormat="1" applyFill="1" applyBorder="1"/>
    <xf numFmtId="0" fontId="0" fillId="11" borderId="0" xfId="0" applyFill="1"/>
    <xf numFmtId="0" fontId="3" fillId="11" borderId="0" xfId="0" applyFont="1" applyFill="1"/>
    <xf numFmtId="0" fontId="3" fillId="11" borderId="0" xfId="0" quotePrefix="1" applyFont="1" applyFill="1" applyAlignment="1">
      <alignment horizontal="left"/>
    </xf>
    <xf numFmtId="0" fontId="29" fillId="11" borderId="0" xfId="0" applyFont="1" applyFill="1"/>
    <xf numFmtId="43" fontId="0" fillId="11" borderId="0" xfId="6" applyFont="1" applyFill="1" applyBorder="1"/>
    <xf numFmtId="43" fontId="0" fillId="11" borderId="2" xfId="6" applyFont="1" applyFill="1" applyBorder="1"/>
    <xf numFmtId="0" fontId="3" fillId="11" borderId="0" xfId="0" applyFont="1" applyFill="1" applyAlignment="1">
      <alignment horizontal="right"/>
    </xf>
    <xf numFmtId="165" fontId="3" fillId="0" borderId="2" xfId="6" applyNumberFormat="1" applyFont="1" applyBorder="1" applyAlignment="1">
      <alignment horizontal="center"/>
    </xf>
    <xf numFmtId="43" fontId="3" fillId="0" borderId="0" xfId="0" applyNumberFormat="1" applyFont="1" applyFill="1" applyBorder="1" applyAlignment="1">
      <alignment horizontal="right"/>
    </xf>
    <xf numFmtId="43" fontId="0" fillId="8" borderId="0" xfId="6" applyFont="1" applyFill="1"/>
    <xf numFmtId="43" fontId="0" fillId="12" borderId="1" xfId="6" applyFont="1" applyFill="1" applyBorder="1"/>
    <xf numFmtId="43" fontId="0" fillId="0" borderId="0" xfId="0" applyNumberFormat="1" applyFill="1" applyBorder="1"/>
    <xf numFmtId="43" fontId="0" fillId="0" borderId="0" xfId="6" quotePrefix="1" applyFont="1" applyFill="1"/>
    <xf numFmtId="0" fontId="3" fillId="0" borderId="0" xfId="0" applyFont="1" applyFill="1" applyBorder="1" applyAlignment="1">
      <alignment horizontal="right"/>
    </xf>
    <xf numFmtId="0" fontId="24" fillId="0" borderId="0" xfId="0" applyFont="1"/>
    <xf numFmtId="0" fontId="23" fillId="0" borderId="0" xfId="0" applyFont="1" applyAlignment="1">
      <alignment horizontal="center"/>
    </xf>
    <xf numFmtId="43" fontId="23" fillId="0" borderId="0" xfId="6" applyFont="1" applyAlignment="1">
      <alignment horizontal="center"/>
    </xf>
    <xf numFmtId="43" fontId="24" fillId="0" borderId="0" xfId="6" applyFont="1"/>
    <xf numFmtId="0" fontId="23" fillId="0" borderId="0" xfId="0" applyFont="1"/>
    <xf numFmtId="43" fontId="24" fillId="0" borderId="0" xfId="6" applyFont="1" applyAlignment="1">
      <alignment horizontal="center"/>
    </xf>
    <xf numFmtId="43" fontId="24" fillId="0" borderId="2" xfId="6" applyFont="1" applyBorder="1" applyAlignment="1">
      <alignment horizontal="center"/>
    </xf>
    <xf numFmtId="43" fontId="33" fillId="0" borderId="0" xfId="6" applyFont="1" applyAlignment="1">
      <alignment horizontal="center"/>
    </xf>
    <xf numFmtId="0" fontId="24" fillId="0" borderId="0" xfId="0" applyFont="1" applyAlignment="1">
      <alignment horizontal="center"/>
    </xf>
    <xf numFmtId="16" fontId="24" fillId="0" borderId="0" xfId="0" applyNumberFormat="1" applyFont="1" applyFill="1"/>
    <xf numFmtId="43" fontId="24" fillId="0" borderId="0" xfId="6" applyFont="1" applyBorder="1"/>
    <xf numFmtId="0" fontId="24" fillId="0" borderId="0" xfId="0" applyNumberFormat="1" applyFont="1" applyFill="1"/>
    <xf numFmtId="0" fontId="24" fillId="0" borderId="0" xfId="0" applyNumberFormat="1" applyFont="1"/>
    <xf numFmtId="43" fontId="24" fillId="0" borderId="1" xfId="6" applyFont="1" applyBorder="1"/>
    <xf numFmtId="0" fontId="24" fillId="0" borderId="1" xfId="0" applyFont="1" applyBorder="1"/>
    <xf numFmtId="0" fontId="24" fillId="0" borderId="0" xfId="0" applyFont="1" applyBorder="1"/>
    <xf numFmtId="0" fontId="34" fillId="0" borderId="0" xfId="0" applyFont="1" applyBorder="1"/>
    <xf numFmtId="43" fontId="2" fillId="0" borderId="0" xfId="6" applyNumberFormat="1"/>
    <xf numFmtId="43" fontId="2" fillId="0" borderId="0" xfId="6" applyNumberFormat="1" applyBorder="1"/>
    <xf numFmtId="43" fontId="28" fillId="0" borderId="2" xfId="6" applyNumberFormat="1" applyFont="1" applyBorder="1"/>
    <xf numFmtId="43" fontId="2" fillId="9" borderId="0" xfId="6" applyNumberFormat="1" applyFill="1" applyBorder="1"/>
    <xf numFmtId="43" fontId="2" fillId="0" borderId="0" xfId="6" applyNumberFormat="1" applyFill="1" applyBorder="1"/>
    <xf numFmtId="43" fontId="2" fillId="0" borderId="2" xfId="6" applyNumberFormat="1" applyBorder="1"/>
    <xf numFmtId="43" fontId="2" fillId="0" borderId="3" xfId="6" applyNumberFormat="1" applyBorder="1"/>
    <xf numFmtId="43" fontId="2" fillId="0" borderId="0" xfId="7" applyNumberFormat="1"/>
    <xf numFmtId="43" fontId="2" fillId="0" borderId="0" xfId="7" applyNumberFormat="1" applyBorder="1"/>
    <xf numFmtId="43" fontId="28" fillId="0" borderId="0" xfId="6" applyNumberFormat="1" applyFont="1" applyBorder="1"/>
    <xf numFmtId="43" fontId="3" fillId="0" borderId="2" xfId="6" applyNumberFormat="1" applyFont="1" applyBorder="1"/>
    <xf numFmtId="43" fontId="0" fillId="0" borderId="0" xfId="6" applyNumberFormat="1" applyFont="1" applyBorder="1"/>
    <xf numFmtId="43" fontId="0" fillId="0" borderId="0" xfId="6" applyNumberFormat="1" applyFont="1"/>
    <xf numFmtId="43" fontId="0" fillId="0" borderId="3" xfId="6" applyNumberFormat="1" applyFont="1" applyBorder="1"/>
    <xf numFmtId="43" fontId="0" fillId="0" borderId="0" xfId="6" applyNumberFormat="1" applyFont="1" applyFill="1" applyBorder="1"/>
    <xf numFmtId="0" fontId="0" fillId="0" borderId="0" xfId="0" applyAlignment="1">
      <alignment horizontal="right"/>
    </xf>
    <xf numFmtId="0" fontId="6" fillId="0" borderId="0" xfId="0" applyFont="1" applyAlignment="1">
      <alignment horizontal="right"/>
    </xf>
    <xf numFmtId="0" fontId="3" fillId="0" borderId="2" xfId="0" applyFont="1" applyBorder="1" applyAlignment="1">
      <alignment horizontal="center"/>
    </xf>
    <xf numFmtId="43" fontId="0" fillId="11" borderId="0" xfId="6" applyFont="1" applyFill="1"/>
    <xf numFmtId="44" fontId="0" fillId="0" borderId="0" xfId="0" applyNumberFormat="1" applyAlignment="1">
      <alignment horizontal="center"/>
    </xf>
    <xf numFmtId="44" fontId="0" fillId="0" borderId="0" xfId="0" applyNumberFormat="1" applyAlignment="1">
      <alignment horizontal="center" vertical="center"/>
    </xf>
    <xf numFmtId="43" fontId="2" fillId="0" borderId="2" xfId="6" applyFill="1" applyBorder="1"/>
    <xf numFmtId="43" fontId="2" fillId="0" borderId="1" xfId="6" applyFill="1" applyBorder="1"/>
    <xf numFmtId="44" fontId="2" fillId="0" borderId="0" xfId="7" applyFill="1"/>
    <xf numFmtId="44" fontId="28" fillId="0" borderId="0" xfId="0" applyNumberFormat="1" applyFont="1"/>
    <xf numFmtId="0" fontId="3" fillId="0" borderId="0" xfId="0" applyFont="1" applyFill="1" applyAlignment="1">
      <alignment horizontal="center"/>
    </xf>
    <xf numFmtId="44" fontId="28" fillId="0" borderId="0" xfId="0" applyNumberFormat="1" applyFont="1" applyAlignment="1">
      <alignment horizontal="center" vertical="center"/>
    </xf>
    <xf numFmtId="44" fontId="31" fillId="0" borderId="0" xfId="0" applyNumberFormat="1" applyFont="1" applyFill="1" applyAlignment="1">
      <alignment horizontal="center"/>
    </xf>
    <xf numFmtId="44" fontId="3" fillId="0" borderId="2" xfId="0" applyNumberFormat="1" applyFont="1" applyFill="1" applyBorder="1" applyAlignment="1">
      <alignment horizontal="center"/>
    </xf>
    <xf numFmtId="43" fontId="0" fillId="9" borderId="0" xfId="6" applyNumberFormat="1" applyFont="1" applyFill="1" applyBorder="1"/>
    <xf numFmtId="43" fontId="28" fillId="0" borderId="0" xfId="6" applyFont="1"/>
    <xf numFmtId="164" fontId="3" fillId="0" borderId="0" xfId="0" applyNumberFormat="1" applyFont="1" applyFill="1" applyAlignment="1">
      <alignment horizontal="center"/>
    </xf>
    <xf numFmtId="43" fontId="0" fillId="0" borderId="3" xfId="0" applyNumberFormat="1" applyFill="1" applyBorder="1"/>
    <xf numFmtId="44" fontId="0" fillId="0" borderId="6" xfId="0" applyNumberFormat="1" applyBorder="1"/>
    <xf numFmtId="0" fontId="0" fillId="0" borderId="6" xfId="0" applyFill="1" applyBorder="1"/>
    <xf numFmtId="0" fontId="0" fillId="0" borderId="7" xfId="0" applyBorder="1"/>
    <xf numFmtId="0" fontId="0" fillId="0" borderId="8" xfId="0" applyFill="1" applyBorder="1"/>
    <xf numFmtId="0" fontId="0" fillId="0" borderId="2" xfId="0" applyFill="1" applyBorder="1"/>
    <xf numFmtId="0" fontId="0" fillId="0" borderId="9" xfId="0" applyFill="1" applyBorder="1"/>
    <xf numFmtId="44" fontId="3" fillId="0" borderId="0" xfId="0" applyNumberFormat="1" applyFont="1"/>
    <xf numFmtId="44" fontId="3" fillId="0" borderId="0" xfId="0" applyNumberFormat="1" applyFont="1" applyFill="1"/>
    <xf numFmtId="0" fontId="2" fillId="0" borderId="0" xfId="0" applyFont="1"/>
    <xf numFmtId="43" fontId="2" fillId="0" borderId="0" xfId="6" applyFont="1"/>
    <xf numFmtId="43" fontId="2" fillId="0" borderId="0" xfId="6" applyFont="1" applyFill="1"/>
    <xf numFmtId="43" fontId="2" fillId="0" borderId="0" xfId="6"/>
    <xf numFmtId="44" fontId="2" fillId="8" borderId="0" xfId="0" applyNumberFormat="1" applyFont="1" applyFill="1"/>
    <xf numFmtId="0" fontId="2" fillId="0" borderId="0" xfId="0" applyFont="1" applyFill="1"/>
    <xf numFmtId="0" fontId="0" fillId="0" borderId="0" xfId="0" applyFont="1" applyFill="1" applyBorder="1"/>
    <xf numFmtId="43" fontId="2" fillId="0" borderId="2" xfId="6" applyNumberFormat="1" applyFont="1" applyBorder="1"/>
    <xf numFmtId="43" fontId="0" fillId="45" borderId="0" xfId="6" applyFont="1" applyFill="1"/>
    <xf numFmtId="43" fontId="2" fillId="0" borderId="0" xfId="6" applyFont="1" applyFill="1" applyBorder="1"/>
    <xf numFmtId="164" fontId="3" fillId="0" borderId="0" xfId="0" applyNumberFormat="1" applyFont="1" applyFill="1" applyAlignment="1">
      <alignment horizontal="center"/>
    </xf>
    <xf numFmtId="164" fontId="3" fillId="0" borderId="0" xfId="0" applyNumberFormat="1" applyFont="1" applyAlignment="1">
      <alignment horizontal="center"/>
    </xf>
    <xf numFmtId="164" fontId="3" fillId="0" borderId="0" xfId="0" applyNumberFormat="1" applyFont="1" applyFill="1" applyAlignment="1">
      <alignment horizontal="center"/>
    </xf>
    <xf numFmtId="0" fontId="23" fillId="0" borderId="0" xfId="0" applyFont="1" applyAlignment="1">
      <alignment horizontal="center"/>
    </xf>
    <xf numFmtId="164" fontId="2" fillId="0" borderId="0" xfId="0" applyNumberFormat="1" applyFont="1" applyFill="1" applyAlignment="1">
      <alignment horizontal="left"/>
    </xf>
    <xf numFmtId="164" fontId="2" fillId="0" borderId="0" xfId="0" applyNumberFormat="1" applyFont="1" applyFill="1" applyAlignment="1">
      <alignment horizontal="center"/>
    </xf>
    <xf numFmtId="0" fontId="2" fillId="0" borderId="0" xfId="0" applyFont="1" applyFill="1" applyAlignment="1">
      <alignment horizontal="center"/>
    </xf>
    <xf numFmtId="43" fontId="2" fillId="0" borderId="0" xfId="6" applyFont="1" applyFill="1" applyAlignment="1">
      <alignment horizontal="center"/>
    </xf>
    <xf numFmtId="43" fontId="3" fillId="46" borderId="0" xfId="6" applyFont="1" applyFill="1" applyAlignment="1">
      <alignment horizontal="center"/>
    </xf>
    <xf numFmtId="0" fontId="2" fillId="0" borderId="0" xfId="0" applyFont="1" applyFill="1" applyAlignment="1">
      <alignment horizontal="center"/>
    </xf>
    <xf numFmtId="0" fontId="2" fillId="46" borderId="0" xfId="0" applyFont="1" applyFill="1"/>
    <xf numFmtId="43" fontId="3" fillId="46" borderId="0" xfId="6" applyFont="1" applyFill="1" applyBorder="1" applyAlignment="1">
      <alignment horizontal="center"/>
    </xf>
    <xf numFmtId="43" fontId="2" fillId="0" borderId="0" xfId="6" applyFont="1" applyFill="1" applyBorder="1" applyAlignment="1">
      <alignment horizontal="center" wrapText="1"/>
    </xf>
    <xf numFmtId="0" fontId="2" fillId="0" borderId="0" xfId="0" applyFont="1" applyFill="1" applyAlignment="1">
      <alignment horizontal="center" wrapText="1"/>
    </xf>
    <xf numFmtId="0" fontId="2" fillId="0" borderId="19" xfId="0" applyFont="1" applyFill="1" applyBorder="1" applyAlignment="1">
      <alignment horizontal="center" wrapText="1"/>
    </xf>
    <xf numFmtId="0" fontId="2" fillId="0" borderId="0" xfId="0" applyFont="1" applyFill="1" applyBorder="1" applyAlignment="1">
      <alignment horizontal="center" wrapText="1"/>
    </xf>
    <xf numFmtId="0" fontId="2" fillId="46" borderId="0" xfId="0" applyFont="1" applyFill="1" applyAlignment="1">
      <alignment horizontal="center" wrapText="1"/>
    </xf>
    <xf numFmtId="0" fontId="2" fillId="0" borderId="19" xfId="0" applyFont="1" applyFill="1" applyBorder="1"/>
    <xf numFmtId="0" fontId="2" fillId="0" borderId="0" xfId="0" applyFont="1" applyFill="1" applyBorder="1"/>
    <xf numFmtId="0" fontId="2" fillId="0" borderId="0" xfId="0" applyNumberFormat="1" applyFont="1" applyFill="1" applyBorder="1" applyAlignment="1">
      <alignment horizontal="left"/>
    </xf>
    <xf numFmtId="0" fontId="2" fillId="0" borderId="0" xfId="0" applyNumberFormat="1" applyFont="1" applyFill="1" applyAlignment="1"/>
    <xf numFmtId="43" fontId="2" fillId="46" borderId="0" xfId="6" applyFont="1" applyFill="1" applyBorder="1"/>
    <xf numFmtId="43" fontId="2" fillId="0" borderId="0" xfId="0" applyNumberFormat="1" applyFont="1" applyFill="1"/>
    <xf numFmtId="43" fontId="2" fillId="0" borderId="19" xfId="0" applyNumberFormat="1" applyFont="1" applyFill="1" applyBorder="1"/>
    <xf numFmtId="43" fontId="2" fillId="0" borderId="0" xfId="0" applyNumberFormat="1" applyFont="1" applyFill="1" applyBorder="1"/>
    <xf numFmtId="43" fontId="2" fillId="46" borderId="0" xfId="0" applyNumberFormat="1" applyFont="1" applyFill="1"/>
    <xf numFmtId="0" fontId="2" fillId="0" borderId="0" xfId="0" applyNumberFormat="1" applyFont="1" applyFill="1" applyAlignment="1">
      <alignment horizontal="left"/>
    </xf>
    <xf numFmtId="43" fontId="2" fillId="0" borderId="1" xfId="6" applyFont="1" applyFill="1" applyBorder="1"/>
    <xf numFmtId="43" fontId="2" fillId="0" borderId="20" xfId="6" applyFont="1" applyFill="1" applyBorder="1"/>
    <xf numFmtId="0" fontId="2" fillId="47" borderId="0" xfId="0" applyFont="1" applyFill="1" applyAlignment="1">
      <alignment horizontal="left"/>
    </xf>
    <xf numFmtId="0" fontId="3" fillId="47" borderId="0" xfId="0" applyFont="1" applyFill="1"/>
    <xf numFmtId="0" fontId="2" fillId="47" borderId="0" xfId="0" applyFont="1" applyFill="1"/>
    <xf numFmtId="0" fontId="2" fillId="47" borderId="0" xfId="0" applyFont="1" applyFill="1" applyAlignment="1">
      <alignment horizontal="center"/>
    </xf>
    <xf numFmtId="43" fontId="2" fillId="47" borderId="0" xfId="6" applyFont="1" applyFill="1" applyBorder="1"/>
    <xf numFmtId="43" fontId="2" fillId="47" borderId="0" xfId="6" applyFont="1" applyFill="1"/>
    <xf numFmtId="43" fontId="2" fillId="47" borderId="0" xfId="6" applyFont="1" applyFill="1" applyAlignment="1">
      <alignment horizontal="center"/>
    </xf>
    <xf numFmtId="43" fontId="2" fillId="47" borderId="2" xfId="6" applyFont="1" applyFill="1" applyBorder="1"/>
    <xf numFmtId="43" fontId="2" fillId="47" borderId="0" xfId="6" applyFont="1" applyFill="1" applyBorder="1" applyAlignment="1">
      <alignment horizontal="center"/>
    </xf>
    <xf numFmtId="0" fontId="3" fillId="47" borderId="0" xfId="0" applyFont="1" applyFill="1" applyAlignment="1">
      <alignment horizontal="right"/>
    </xf>
    <xf numFmtId="43" fontId="2" fillId="47" borderId="1" xfId="6" applyFont="1" applyFill="1" applyBorder="1"/>
    <xf numFmtId="0" fontId="2" fillId="47" borderId="0" xfId="0" quotePrefix="1" applyFont="1" applyFill="1" applyAlignment="1">
      <alignment horizontal="left"/>
    </xf>
    <xf numFmtId="0" fontId="2" fillId="0" borderId="0" xfId="0" applyFont="1" applyFill="1" applyAlignment="1">
      <alignment horizontal="left"/>
    </xf>
    <xf numFmtId="0" fontId="2" fillId="0" borderId="0" xfId="0" applyNumberFormat="1" applyFont="1" applyFill="1" applyAlignment="1">
      <alignment horizontal="left" indent="1"/>
    </xf>
    <xf numFmtId="44" fontId="2" fillId="47" borderId="0" xfId="0" applyNumberFormat="1" applyFont="1" applyFill="1"/>
    <xf numFmtId="44" fontId="2" fillId="0" borderId="0" xfId="7" applyFont="1" applyFill="1"/>
    <xf numFmtId="44" fontId="2" fillId="47" borderId="0" xfId="7" applyFont="1" applyFill="1"/>
    <xf numFmtId="43" fontId="3" fillId="47" borderId="0" xfId="6" applyFont="1" applyFill="1" applyAlignment="1">
      <alignment horizontal="center"/>
    </xf>
    <xf numFmtId="43" fontId="3" fillId="47" borderId="0" xfId="6" applyFont="1" applyFill="1" applyBorder="1" applyAlignment="1">
      <alignment horizontal="center"/>
    </xf>
    <xf numFmtId="43" fontId="3" fillId="47" borderId="2" xfId="6" applyFont="1" applyFill="1" applyBorder="1" applyAlignment="1">
      <alignment horizontal="center"/>
    </xf>
    <xf numFmtId="44" fontId="2" fillId="0" borderId="0" xfId="0" applyNumberFormat="1" applyFont="1" applyFill="1" applyAlignment="1">
      <alignment horizontal="center"/>
    </xf>
    <xf numFmtId="0" fontId="2" fillId="47" borderId="0" xfId="0" applyFont="1" applyFill="1" applyBorder="1"/>
    <xf numFmtId="43" fontId="2" fillId="13" borderId="0" xfId="0" applyNumberFormat="1" applyFont="1" applyFill="1"/>
    <xf numFmtId="0" fontId="2" fillId="13" borderId="0" xfId="0" applyFont="1" applyFill="1"/>
    <xf numFmtId="44" fontId="2" fillId="0" borderId="0" xfId="0" applyNumberFormat="1" applyFont="1" applyFill="1" applyAlignment="1">
      <alignment horizontal="left"/>
    </xf>
    <xf numFmtId="44" fontId="2" fillId="0" borderId="0" xfId="0" applyNumberFormat="1" applyFont="1" applyFill="1"/>
    <xf numFmtId="43" fontId="26" fillId="47" borderId="0" xfId="6" applyFont="1" applyFill="1" applyBorder="1" applyAlignment="1">
      <alignment horizontal="center"/>
    </xf>
    <xf numFmtId="0" fontId="2" fillId="0" borderId="0" xfId="0" applyNumberFormat="1" applyFont="1" applyFill="1" applyAlignment="1">
      <alignment horizontal="left" indent="2"/>
    </xf>
    <xf numFmtId="43" fontId="2" fillId="0" borderId="0" xfId="0" applyNumberFormat="1" applyFont="1" applyFill="1" applyAlignment="1">
      <alignment horizontal="center"/>
    </xf>
    <xf numFmtId="164" fontId="3" fillId="0" borderId="0" xfId="0" applyNumberFormat="1" applyFont="1" applyFill="1" applyAlignment="1">
      <alignment horizontal="center"/>
    </xf>
    <xf numFmtId="164" fontId="3" fillId="0" borderId="0" xfId="0" applyNumberFormat="1" applyFont="1" applyFill="1" applyAlignment="1">
      <alignment horizontal="center"/>
    </xf>
    <xf numFmtId="0" fontId="2" fillId="0" borderId="0" xfId="0" applyFont="1" applyFill="1" applyAlignment="1">
      <alignment horizontal="center"/>
    </xf>
    <xf numFmtId="0" fontId="0" fillId="47" borderId="0" xfId="0" applyFill="1"/>
    <xf numFmtId="43" fontId="0" fillId="47" borderId="0" xfId="6" applyFont="1" applyFill="1" applyBorder="1"/>
    <xf numFmtId="44" fontId="0" fillId="47" borderId="0" xfId="7" applyFont="1" applyFill="1" applyBorder="1"/>
    <xf numFmtId="43" fontId="0" fillId="47" borderId="2" xfId="6" applyFont="1" applyFill="1" applyBorder="1"/>
    <xf numFmtId="43" fontId="0" fillId="47" borderId="1" xfId="6" applyFont="1" applyFill="1" applyBorder="1"/>
    <xf numFmtId="43" fontId="0" fillId="47" borderId="0" xfId="6" applyFont="1" applyFill="1"/>
    <xf numFmtId="44" fontId="0" fillId="47" borderId="0" xfId="7" applyFont="1" applyFill="1"/>
    <xf numFmtId="0" fontId="2" fillId="0" borderId="0" xfId="0" applyFont="1" applyFill="1" applyAlignment="1">
      <alignment horizontal="center"/>
    </xf>
    <xf numFmtId="43" fontId="2" fillId="0" borderId="21" xfId="6" applyFont="1" applyFill="1" applyBorder="1"/>
    <xf numFmtId="43" fontId="2" fillId="51" borderId="1" xfId="6" applyFont="1" applyFill="1" applyBorder="1"/>
    <xf numFmtId="43" fontId="2" fillId="48" borderId="1" xfId="6" applyFont="1" applyFill="1" applyBorder="1"/>
    <xf numFmtId="164" fontId="3" fillId="0" borderId="0" xfId="0" applyNumberFormat="1" applyFont="1" applyFill="1" applyAlignment="1">
      <alignment horizontal="center"/>
    </xf>
    <xf numFmtId="44" fontId="0" fillId="0" borderId="0" xfId="7" applyFont="1" applyFill="1" applyBorder="1"/>
    <xf numFmtId="44" fontId="2" fillId="0" borderId="0" xfId="7" applyFill="1" applyBorder="1"/>
    <xf numFmtId="43" fontId="0" fillId="0" borderId="5" xfId="6" applyFont="1" applyFill="1" applyBorder="1"/>
    <xf numFmtId="164" fontId="3" fillId="0" borderId="0" xfId="0" applyNumberFormat="1" applyFont="1" applyFill="1" applyAlignment="1">
      <alignment horizontal="center"/>
    </xf>
    <xf numFmtId="164" fontId="3" fillId="0" borderId="0" xfId="0" applyNumberFormat="1" applyFont="1" applyFill="1" applyAlignment="1">
      <alignment horizontal="center"/>
    </xf>
    <xf numFmtId="164" fontId="3" fillId="0" borderId="0" xfId="0" applyNumberFormat="1" applyFont="1" applyFill="1" applyAlignment="1">
      <alignment horizontal="center"/>
    </xf>
    <xf numFmtId="0" fontId="2" fillId="0" borderId="0" xfId="0" applyFont="1" applyFill="1" applyAlignment="1">
      <alignment horizontal="center"/>
    </xf>
    <xf numFmtId="17" fontId="3" fillId="0" borderId="0" xfId="0" quotePrefix="1" applyNumberFormat="1" applyFont="1" applyFill="1"/>
    <xf numFmtId="164" fontId="3" fillId="0" borderId="0" xfId="0" applyNumberFormat="1" applyFont="1" applyAlignment="1">
      <alignment horizontal="center"/>
    </xf>
    <xf numFmtId="164" fontId="3" fillId="0" borderId="0" xfId="0" applyNumberFormat="1" applyFont="1" applyFill="1" applyAlignment="1">
      <alignment horizontal="center"/>
    </xf>
    <xf numFmtId="0" fontId="24" fillId="49" borderId="0" xfId="0" applyFont="1" applyFill="1" applyAlignment="1">
      <alignment wrapText="1"/>
    </xf>
    <xf numFmtId="0" fontId="24" fillId="49" borderId="0" xfId="0" applyFont="1" applyFill="1"/>
    <xf numFmtId="0" fontId="24" fillId="0" borderId="0" xfId="0" applyFont="1" applyAlignment="1">
      <alignment wrapText="1"/>
    </xf>
    <xf numFmtId="0" fontId="24" fillId="50" borderId="0" xfId="0" applyFont="1" applyFill="1"/>
    <xf numFmtId="0" fontId="24" fillId="0" borderId="0" xfId="0" applyFont="1" applyFill="1" applyAlignment="1">
      <alignment horizontal="left" wrapText="1"/>
    </xf>
    <xf numFmtId="0" fontId="24" fillId="0" borderId="0" xfId="0" applyFont="1" applyFill="1"/>
    <xf numFmtId="0" fontId="24" fillId="0" borderId="0" xfId="0" applyFont="1" applyFill="1" applyAlignment="1">
      <alignment wrapText="1"/>
    </xf>
    <xf numFmtId="44" fontId="24" fillId="0" borderId="0" xfId="7" applyFont="1"/>
    <xf numFmtId="43" fontId="24" fillId="0" borderId="0" xfId="0" applyNumberFormat="1" applyFont="1"/>
    <xf numFmtId="44" fontId="24" fillId="0" borderId="5" xfId="7" applyFont="1" applyBorder="1"/>
    <xf numFmtId="44" fontId="24" fillId="0" borderId="0" xfId="7" applyFont="1" applyFill="1"/>
    <xf numFmtId="43" fontId="24" fillId="0" borderId="0" xfId="0" applyNumberFormat="1" applyFont="1" applyFill="1"/>
    <xf numFmtId="0" fontId="24" fillId="0" borderId="0" xfId="0" applyFont="1" applyAlignment="1">
      <alignment horizontal="center" wrapText="1"/>
    </xf>
    <xf numFmtId="0" fontId="24" fillId="0" borderId="0" xfId="0" applyFont="1" applyAlignment="1">
      <alignment horizontal="left" wrapText="1"/>
    </xf>
    <xf numFmtId="0" fontId="24" fillId="13" borderId="0" xfId="0" applyFont="1" applyFill="1" applyAlignment="1">
      <alignment wrapText="1"/>
    </xf>
    <xf numFmtId="0" fontId="24" fillId="13" borderId="0" xfId="0" applyFont="1" applyFill="1"/>
    <xf numFmtId="0" fontId="24" fillId="13" borderId="0" xfId="0" applyFont="1" applyFill="1" applyAlignment="1">
      <alignment horizontal="left" wrapText="1"/>
    </xf>
    <xf numFmtId="43" fontId="24" fillId="13" borderId="0" xfId="0" applyNumberFormat="1" applyFont="1" applyFill="1"/>
    <xf numFmtId="44" fontId="24" fillId="13" borderId="5" xfId="7" applyFont="1" applyFill="1" applyBorder="1"/>
    <xf numFmtId="44" fontId="24" fillId="0" borderId="0" xfId="7" applyFont="1" applyBorder="1"/>
    <xf numFmtId="44" fontId="24" fillId="13" borderId="0" xfId="7" applyFont="1" applyFill="1" applyBorder="1"/>
    <xf numFmtId="44" fontId="24" fillId="0" borderId="5" xfId="7" applyFont="1" applyFill="1" applyBorder="1"/>
    <xf numFmtId="44" fontId="24" fillId="0" borderId="0" xfId="7" applyFont="1" applyFill="1" applyBorder="1"/>
    <xf numFmtId="167" fontId="24" fillId="0" borderId="0" xfId="7" applyNumberFormat="1" applyFont="1"/>
    <xf numFmtId="167" fontId="24" fillId="0" borderId="5" xfId="7" applyNumberFormat="1" applyFont="1" applyBorder="1"/>
    <xf numFmtId="168" fontId="24" fillId="0" borderId="0" xfId="6" applyNumberFormat="1" applyFont="1"/>
    <xf numFmtId="164" fontId="3" fillId="0" borderId="0" xfId="0" applyNumberFormat="1" applyFont="1" applyFill="1" applyAlignment="1">
      <alignment horizontal="center"/>
    </xf>
    <xf numFmtId="0" fontId="2" fillId="0" borderId="0" xfId="0" applyFont="1" applyFill="1" applyAlignment="1">
      <alignment horizontal="center"/>
    </xf>
    <xf numFmtId="43" fontId="0" fillId="0" borderId="0" xfId="6" applyFont="1"/>
    <xf numFmtId="0" fontId="2" fillId="0" borderId="0" xfId="0" applyFont="1" applyFill="1" applyAlignment="1">
      <alignment horizontal="center" wrapText="1"/>
    </xf>
    <xf numFmtId="43" fontId="0" fillId="0" borderId="5" xfId="6" applyFont="1" applyBorder="1"/>
    <xf numFmtId="8" fontId="2" fillId="0" borderId="0" xfId="0" applyNumberFormat="1" applyFont="1" applyFill="1"/>
    <xf numFmtId="164" fontId="3" fillId="0" borderId="0" xfId="0" quotePrefix="1" applyNumberFormat="1" applyFont="1" applyFill="1" applyAlignment="1">
      <alignment horizontal="center"/>
    </xf>
    <xf numFmtId="164" fontId="3" fillId="0" borderId="0" xfId="0" applyNumberFormat="1" applyFont="1" applyFill="1" applyAlignment="1">
      <alignment horizontal="center"/>
    </xf>
    <xf numFmtId="43" fontId="2" fillId="46" borderId="0" xfId="6" applyFont="1" applyFill="1" applyBorder="1" applyAlignment="1">
      <alignment horizontal="center"/>
    </xf>
    <xf numFmtId="0" fontId="2" fillId="9" borderId="0" xfId="0" applyFont="1" applyFill="1"/>
    <xf numFmtId="164" fontId="3" fillId="0" borderId="0" xfId="0" applyNumberFormat="1" applyFont="1" applyFill="1" applyAlignment="1">
      <alignment horizontal="center"/>
    </xf>
    <xf numFmtId="0" fontId="0" fillId="46" borderId="0" xfId="0" applyFill="1"/>
    <xf numFmtId="43" fontId="0" fillId="50" borderId="0" xfId="0" applyNumberFormat="1" applyFill="1"/>
    <xf numFmtId="43" fontId="2" fillId="50" borderId="0" xfId="0" applyNumberFormat="1" applyFont="1" applyFill="1"/>
    <xf numFmtId="0" fontId="0" fillId="0" borderId="2" xfId="0" applyBorder="1"/>
    <xf numFmtId="164" fontId="3" fillId="0" borderId="0" xfId="0" applyNumberFormat="1" applyFont="1" applyFill="1" applyAlignment="1">
      <alignment horizontal="center"/>
    </xf>
    <xf numFmtId="43" fontId="2" fillId="0" borderId="0" xfId="6" applyFont="1" applyFill="1"/>
    <xf numFmtId="43" fontId="54" fillId="0" borderId="0" xfId="6" applyFont="1" applyFill="1"/>
    <xf numFmtId="44" fontId="54" fillId="0" borderId="0" xfId="72" applyNumberFormat="1" applyFont="1" applyFill="1" applyAlignment="1">
      <alignment horizontal="center"/>
    </xf>
    <xf numFmtId="164" fontId="3" fillId="0" borderId="0" xfId="0" applyNumberFormat="1" applyFont="1" applyFill="1" applyAlignment="1">
      <alignment horizontal="center"/>
    </xf>
    <xf numFmtId="164" fontId="3" fillId="0" borderId="0" xfId="0" applyNumberFormat="1" applyFont="1" applyFill="1" applyAlignment="1">
      <alignment horizontal="center"/>
    </xf>
    <xf numFmtId="164" fontId="3" fillId="0" borderId="0" xfId="0" applyNumberFormat="1" applyFont="1" applyFill="1" applyAlignment="1">
      <alignment horizontal="center"/>
    </xf>
    <xf numFmtId="164" fontId="3" fillId="0" borderId="0" xfId="0" quotePrefix="1" applyNumberFormat="1" applyFont="1" applyFill="1" applyAlignment="1">
      <alignment horizontal="center"/>
    </xf>
    <xf numFmtId="164" fontId="3" fillId="0" borderId="0" xfId="0" applyNumberFormat="1" applyFont="1" applyFill="1" applyAlignment="1">
      <alignment horizontal="center"/>
    </xf>
    <xf numFmtId="0" fontId="0" fillId="0" borderId="0" xfId="0" applyAlignment="1">
      <alignment horizontal="center"/>
    </xf>
    <xf numFmtId="44" fontId="2" fillId="0" borderId="0" xfId="7"/>
    <xf numFmtId="43" fontId="2" fillId="0" borderId="0" xfId="6" applyFill="1" applyBorder="1"/>
    <xf numFmtId="43" fontId="2" fillId="0" borderId="0" xfId="6"/>
    <xf numFmtId="43" fontId="2" fillId="0" borderId="0" xfId="6" applyBorder="1"/>
    <xf numFmtId="43" fontId="2" fillId="0" borderId="2" xfId="6" applyBorder="1"/>
    <xf numFmtId="43" fontId="2" fillId="9" borderId="0" xfId="6" applyFill="1"/>
    <xf numFmtId="164" fontId="3" fillId="0" borderId="0" xfId="0" applyNumberFormat="1" applyFont="1" applyFill="1" applyAlignment="1">
      <alignment horizontal="center"/>
    </xf>
    <xf numFmtId="164" fontId="3" fillId="0" borderId="0" xfId="0" quotePrefix="1" applyNumberFormat="1" applyFont="1" applyFill="1" applyAlignment="1">
      <alignment horizontal="center"/>
    </xf>
    <xf numFmtId="0" fontId="2" fillId="0" borderId="0" xfId="0" quotePrefix="1" applyFont="1" applyAlignment="1">
      <alignment horizontal="left"/>
    </xf>
    <xf numFmtId="0" fontId="0" fillId="9" borderId="0" xfId="0" quotePrefix="1" applyFill="1" applyAlignment="1">
      <alignment horizontal="left"/>
    </xf>
    <xf numFmtId="164" fontId="3" fillId="0" borderId="0" xfId="0" applyNumberFormat="1" applyFont="1" applyFill="1" applyAlignment="1">
      <alignment horizontal="center"/>
    </xf>
    <xf numFmtId="8" fontId="3" fillId="0" borderId="2" xfId="0" applyNumberFormat="1" applyFont="1" applyBorder="1" applyAlignment="1">
      <alignment horizontal="center"/>
    </xf>
    <xf numFmtId="8" fontId="0" fillId="0" borderId="0" xfId="0" applyNumberFormat="1"/>
    <xf numFmtId="8" fontId="3" fillId="0" borderId="3" xfId="0" applyNumberFormat="1" applyFont="1" applyBorder="1"/>
    <xf numFmtId="0" fontId="27" fillId="0" borderId="0" xfId="0" applyFont="1" applyAlignment="1"/>
    <xf numFmtId="164" fontId="3" fillId="0" borderId="0" xfId="0" applyNumberFormat="1" applyFont="1" applyFill="1" applyAlignment="1">
      <alignment horizontal="center"/>
    </xf>
    <xf numFmtId="164" fontId="3" fillId="0" borderId="0" xfId="0" applyNumberFormat="1" applyFont="1" applyFill="1" applyAlignment="1">
      <alignment horizontal="center"/>
    </xf>
    <xf numFmtId="0" fontId="27" fillId="0" borderId="0" xfId="0" applyFont="1" applyFill="1" applyAlignment="1">
      <alignment horizontal="center"/>
    </xf>
    <xf numFmtId="164" fontId="3" fillId="0" borderId="0" xfId="0" applyNumberFormat="1" applyFont="1" applyFill="1" applyAlignment="1">
      <alignment horizontal="center"/>
    </xf>
    <xf numFmtId="44" fontId="0" fillId="0" borderId="2" xfId="0" applyNumberFormat="1" applyFill="1" applyBorder="1"/>
    <xf numFmtId="44" fontId="0" fillId="0" borderId="1" xfId="0" applyNumberFormat="1" applyFill="1" applyBorder="1"/>
    <xf numFmtId="44" fontId="0" fillId="0" borderId="3" xfId="0" applyNumberFormat="1" applyFill="1" applyBorder="1"/>
    <xf numFmtId="9" fontId="0" fillId="0" borderId="0" xfId="0" applyNumberFormat="1" applyFill="1"/>
    <xf numFmtId="0" fontId="57" fillId="0" borderId="0" xfId="0" applyFont="1" applyFill="1" applyAlignment="1">
      <alignment horizontal="left"/>
    </xf>
    <xf numFmtId="0" fontId="57" fillId="0" borderId="0" xfId="0" applyFont="1" applyFill="1"/>
    <xf numFmtId="43" fontId="0" fillId="0" borderId="0" xfId="6" applyFont="1" applyFill="1" applyAlignment="1">
      <alignment horizontal="left"/>
    </xf>
    <xf numFmtId="43" fontId="0" fillId="48" borderId="0" xfId="0" applyNumberFormat="1" applyFill="1"/>
    <xf numFmtId="39" fontId="24" fillId="0" borderId="0" xfId="192" applyFont="1" applyFill="1"/>
    <xf numFmtId="0" fontId="24" fillId="13" borderId="0" xfId="0" applyFont="1" applyFill="1" applyAlignment="1">
      <alignment horizontal="center" wrapText="1"/>
    </xf>
    <xf numFmtId="0" fontId="24" fillId="0" borderId="0" xfId="0" applyFont="1" applyAlignment="1">
      <alignment horizontal="center" wrapText="1"/>
    </xf>
    <xf numFmtId="0" fontId="24" fillId="0" borderId="0" xfId="0" applyFont="1" applyFill="1" applyAlignment="1">
      <alignment horizontal="left" wrapText="1"/>
    </xf>
    <xf numFmtId="0" fontId="24" fillId="13" borderId="0" xfId="0" applyFont="1" applyFill="1" applyAlignment="1">
      <alignment horizontal="left" wrapText="1"/>
    </xf>
    <xf numFmtId="0" fontId="24" fillId="0" borderId="0" xfId="0" applyFont="1" applyAlignment="1">
      <alignment horizontal="left" wrapText="1"/>
    </xf>
    <xf numFmtId="0" fontId="27" fillId="0" borderId="0" xfId="0" applyFont="1" applyAlignment="1">
      <alignment horizontal="center"/>
    </xf>
    <xf numFmtId="164" fontId="3" fillId="0" borderId="0" xfId="0" applyNumberFormat="1" applyFont="1" applyAlignment="1">
      <alignment horizontal="center"/>
    </xf>
    <xf numFmtId="0" fontId="35" fillId="0" borderId="0" xfId="0" applyFont="1" applyAlignment="1">
      <alignment horizontal="center"/>
    </xf>
    <xf numFmtId="0" fontId="27" fillId="0" borderId="0" xfId="0" applyFont="1" applyFill="1" applyAlignment="1">
      <alignment horizontal="center"/>
    </xf>
    <xf numFmtId="164" fontId="3" fillId="0" borderId="0" xfId="0" quotePrefix="1" applyNumberFormat="1" applyFont="1" applyFill="1" applyAlignment="1">
      <alignment horizontal="center"/>
    </xf>
    <xf numFmtId="164" fontId="3" fillId="0" borderId="0" xfId="0" applyNumberFormat="1" applyFont="1" applyFill="1" applyAlignment="1">
      <alignment horizontal="center"/>
    </xf>
    <xf numFmtId="0" fontId="2" fillId="0" borderId="0" xfId="0" applyFont="1" applyFill="1" applyAlignment="1">
      <alignment horizontal="center"/>
    </xf>
    <xf numFmtId="0" fontId="2" fillId="0" borderId="19" xfId="0" applyFont="1" applyFill="1" applyBorder="1" applyAlignment="1">
      <alignment horizontal="center"/>
    </xf>
    <xf numFmtId="0" fontId="2" fillId="0" borderId="0" xfId="0" applyFont="1" applyFill="1" applyBorder="1" applyAlignment="1">
      <alignment horizontal="center"/>
    </xf>
    <xf numFmtId="0" fontId="23" fillId="0" borderId="0" xfId="0" applyFont="1" applyAlignment="1">
      <alignment horizontal="center"/>
    </xf>
    <xf numFmtId="0" fontId="27" fillId="0" borderId="0" xfId="0" applyFont="1" applyFill="1" applyAlignment="1" applyProtection="1">
      <alignment horizontal="center"/>
    </xf>
    <xf numFmtId="0" fontId="27" fillId="0" borderId="0" xfId="0" quotePrefix="1" applyFont="1" applyFill="1" applyAlignment="1" applyProtection="1">
      <alignment horizontal="center"/>
    </xf>
    <xf numFmtId="0" fontId="23" fillId="0" borderId="0" xfId="0" applyFont="1" applyFill="1" applyAlignment="1" applyProtection="1">
      <alignment horizontal="center"/>
    </xf>
    <xf numFmtId="0" fontId="3" fillId="0" borderId="0" xfId="0" applyFont="1" applyAlignment="1">
      <alignment horizontal="center"/>
    </xf>
    <xf numFmtId="168" fontId="0" fillId="0" borderId="0" xfId="6" applyNumberFormat="1" applyFont="1" applyFill="1"/>
  </cellXfs>
  <cellStyles count="193">
    <cellStyle name="=C:\WINNT\SYSTEM32\COMMAND.COM" xfId="73"/>
    <cellStyle name="=C:\WINNT\SYSTEM32\COMMAND.COM 2" xfId="74"/>
    <cellStyle name="20% - Accent1" xfId="47" builtinId="30" customBuiltin="1"/>
    <cellStyle name="20% - Accent2" xfId="51" builtinId="34" customBuiltin="1"/>
    <cellStyle name="20% - Accent3" xfId="55" builtinId="38" customBuiltin="1"/>
    <cellStyle name="20% - Accent4" xfId="59" builtinId="42" customBuiltin="1"/>
    <cellStyle name="20% - Accent5" xfId="63" builtinId="46" customBuiltin="1"/>
    <cellStyle name="20% - Accent6" xfId="67" builtinId="50" customBuiltin="1"/>
    <cellStyle name="40% - Accent1" xfId="48" builtinId="31" customBuiltin="1"/>
    <cellStyle name="40% - Accent2" xfId="52" builtinId="35" customBuiltin="1"/>
    <cellStyle name="40% - Accent3" xfId="56" builtinId="39" customBuiltin="1"/>
    <cellStyle name="40% - Accent4" xfId="60" builtinId="43" customBuiltin="1"/>
    <cellStyle name="40% - Accent5" xfId="64" builtinId="47" customBuiltin="1"/>
    <cellStyle name="40% - Accent6" xfId="68" builtinId="51" customBuiltin="1"/>
    <cellStyle name="60% - Accent1" xfId="49" builtinId="32" customBuiltin="1"/>
    <cellStyle name="60% - Accent2" xfId="53" builtinId="36" customBuiltin="1"/>
    <cellStyle name="60% - Accent3" xfId="57" builtinId="40" customBuiltin="1"/>
    <cellStyle name="60% - Accent4" xfId="61" builtinId="44" customBuiltin="1"/>
    <cellStyle name="60% - Accent5" xfId="65" builtinId="48" customBuiltin="1"/>
    <cellStyle name="60% - Accent6" xfId="69" builtinId="52" customBuiltin="1"/>
    <cellStyle name="Accent1" xfId="46" builtinId="29" customBuiltin="1"/>
    <cellStyle name="Accent2" xfId="50" builtinId="33" customBuiltin="1"/>
    <cellStyle name="Accent3" xfId="54" builtinId="37" customBuiltin="1"/>
    <cellStyle name="Accent4" xfId="58" builtinId="41" customBuiltin="1"/>
    <cellStyle name="Accent5" xfId="62" builtinId="45" customBuiltin="1"/>
    <cellStyle name="Accent6" xfId="66" builtinId="49" customBuiltin="1"/>
    <cellStyle name="Bad" xfId="36" builtinId="27" customBuiltin="1"/>
    <cellStyle name="Calculation" xfId="40" builtinId="22" customBuiltin="1"/>
    <cellStyle name="Check Cell" xfId="42" builtinId="23" customBuiltin="1"/>
    <cellStyle name="ColumnAttributeAbovePrompt" xfId="1"/>
    <cellStyle name="ColumnAttributePrompt" xfId="2"/>
    <cellStyle name="ColumnAttributeValue" xfId="3"/>
    <cellStyle name="ColumnHeadingPrompt" xfId="4"/>
    <cellStyle name="ColumnHeadingValue" xfId="5"/>
    <cellStyle name="Comma" xfId="6" builtinId="3"/>
    <cellStyle name="Comma 10" xfId="75"/>
    <cellStyle name="Comma 10 2" xfId="76"/>
    <cellStyle name="Comma 11" xfId="77"/>
    <cellStyle name="Comma 2" xfId="78"/>
    <cellStyle name="Comma 2 2" xfId="79"/>
    <cellStyle name="Comma 2 2 2" xfId="80"/>
    <cellStyle name="Comma 2 3" xfId="81"/>
    <cellStyle name="Comma 2 3 2" xfId="82"/>
    <cellStyle name="Comma 2 4" xfId="83"/>
    <cellStyle name="Comma 2 4 2" xfId="84"/>
    <cellStyle name="Comma 2 4 2 2" xfId="85"/>
    <cellStyle name="Comma 2 4 3" xfId="86"/>
    <cellStyle name="Comma 2 5" xfId="87"/>
    <cellStyle name="Comma 2 5 2" xfId="88"/>
    <cellStyle name="Comma 2 5 2 2" xfId="89"/>
    <cellStyle name="Comma 2 5 3" xfId="90"/>
    <cellStyle name="Comma 2 6" xfId="91"/>
    <cellStyle name="Comma 2 6 2" xfId="92"/>
    <cellStyle name="Comma 2 7" xfId="93"/>
    <cellStyle name="Comma 3" xfId="94"/>
    <cellStyle name="Comma 3 2" xfId="95"/>
    <cellStyle name="Comma 3 2 2" xfId="96"/>
    <cellStyle name="Comma 3 3" xfId="97"/>
    <cellStyle name="Comma 3 3 2" xfId="98"/>
    <cellStyle name="Comma 4" xfId="99"/>
    <cellStyle name="Comma 4 2" xfId="100"/>
    <cellStyle name="Comma 4 2 2" xfId="101"/>
    <cellStyle name="Comma 5" xfId="102"/>
    <cellStyle name="Comma 6" xfId="103"/>
    <cellStyle name="Comma 6 2" xfId="104"/>
    <cellStyle name="Comma 6 2 2" xfId="105"/>
    <cellStyle name="Comma 6 3" xfId="106"/>
    <cellStyle name="Comma 7" xfId="107"/>
    <cellStyle name="Comma 7 2" xfId="108"/>
    <cellStyle name="Comma 7 2 2" xfId="109"/>
    <cellStyle name="Comma 8" xfId="110"/>
    <cellStyle name="Comma 8 2" xfId="111"/>
    <cellStyle name="Comma 8 2 2" xfId="112"/>
    <cellStyle name="Comma 8 3" xfId="113"/>
    <cellStyle name="Comma 9" xfId="114"/>
    <cellStyle name="Comma 9 2" xfId="115"/>
    <cellStyle name="Currency" xfId="7" builtinId="4"/>
    <cellStyle name="Currency 2" xfId="116"/>
    <cellStyle name="Currency 2 2" xfId="117"/>
    <cellStyle name="Currency 2 2 2" xfId="118"/>
    <cellStyle name="Currency 3" xfId="119"/>
    <cellStyle name="Currency 4" xfId="120"/>
    <cellStyle name="Currency 5" xfId="121"/>
    <cellStyle name="Currency 6" xfId="122"/>
    <cellStyle name="Currency 8" xfId="123"/>
    <cellStyle name="Currency 8 2" xfId="124"/>
    <cellStyle name="Explanatory Text" xfId="44" builtinId="53" customBuiltin="1"/>
    <cellStyle name="Good" xfId="35" builtinId="26" customBuiltin="1"/>
    <cellStyle name="Heading 1" xfId="31" builtinId="16" customBuiltin="1"/>
    <cellStyle name="Heading 2" xfId="32" builtinId="17" customBuiltin="1"/>
    <cellStyle name="Heading 3" xfId="33" builtinId="18" customBuiltin="1"/>
    <cellStyle name="Heading 4" xfId="34" builtinId="19" customBuiltin="1"/>
    <cellStyle name="Input" xfId="38" builtinId="20" customBuiltin="1"/>
    <cellStyle name="LineItemPrompt" xfId="8"/>
    <cellStyle name="LineItemValue" xfId="9"/>
    <cellStyle name="Linked Cell" xfId="41" builtinId="24" customBuiltin="1"/>
    <cellStyle name="Neutral" xfId="37" builtinId="28" customBuiltin="1"/>
    <cellStyle name="Normal" xfId="0" builtinId="0"/>
    <cellStyle name="Normal 10" xfId="125"/>
    <cellStyle name="Normal 11" xfId="126"/>
    <cellStyle name="Normal 12" xfId="127"/>
    <cellStyle name="Normal 12 2" xfId="128"/>
    <cellStyle name="Normal 12 2 2" xfId="129"/>
    <cellStyle name="Normal 13" xfId="130"/>
    <cellStyle name="Normal 13 2" xfId="131"/>
    <cellStyle name="Normal 14" xfId="132"/>
    <cellStyle name="Normal 15" xfId="133"/>
    <cellStyle name="Normal 15 2" xfId="134"/>
    <cellStyle name="Normal 16" xfId="135"/>
    <cellStyle name="Normal 17" xfId="136"/>
    <cellStyle name="Normal 2" xfId="70"/>
    <cellStyle name="Normal 2 2" xfId="137"/>
    <cellStyle name="Normal 2 2 2" xfId="138"/>
    <cellStyle name="Normal 2 2 2 2" xfId="139"/>
    <cellStyle name="Normal 2 2 2 3" xfId="140"/>
    <cellStyle name="Normal 2 2 2 4" xfId="141"/>
    <cellStyle name="Normal 2 2 3" xfId="142"/>
    <cellStyle name="Normal 2 3" xfId="143"/>
    <cellStyle name="Normal 2 3 2" xfId="144"/>
    <cellStyle name="Normal 2 4" xfId="145"/>
    <cellStyle name="Normal 2 4 2" xfId="146"/>
    <cellStyle name="Normal 2 4 3" xfId="147"/>
    <cellStyle name="Normal 2 4 4" xfId="148"/>
    <cellStyle name="Normal 2 5" xfId="149"/>
    <cellStyle name="Normal 2 6" xfId="150"/>
    <cellStyle name="Normal 3" xfId="72"/>
    <cellStyle name="Normal 3 2" xfId="151"/>
    <cellStyle name="Normal 3 2 2" xfId="152"/>
    <cellStyle name="Normal 3 3" xfId="153"/>
    <cellStyle name="Normal 3 4" xfId="154"/>
    <cellStyle name="Normal 4" xfId="155"/>
    <cellStyle name="Normal 4 2" xfId="156"/>
    <cellStyle name="Normal 4 2 2" xfId="157"/>
    <cellStyle name="Normal 4 2 2 2" xfId="158"/>
    <cellStyle name="Normal 4 2 2 2 2" xfId="159"/>
    <cellStyle name="Normal 4 2 2 3" xfId="160"/>
    <cellStyle name="Normal 4 2 3" xfId="161"/>
    <cellStyle name="Normal 4 2 3 2" xfId="162"/>
    <cellStyle name="Normal 4 2 3 2 2" xfId="163"/>
    <cellStyle name="Normal 4 2 3 3" xfId="164"/>
    <cellStyle name="Normal 4 2 4" xfId="165"/>
    <cellStyle name="Normal 4 2 4 2" xfId="166"/>
    <cellStyle name="Normal 4 2 5" xfId="167"/>
    <cellStyle name="Normal 4 3" xfId="168"/>
    <cellStyle name="Normal 5" xfId="169"/>
    <cellStyle name="Normal 5 2" xfId="170"/>
    <cellStyle name="Normal 6" xfId="171"/>
    <cellStyle name="Normal 6 2" xfId="172"/>
    <cellStyle name="Normal 6 2 2" xfId="173"/>
    <cellStyle name="Normal 6 3" xfId="174"/>
    <cellStyle name="Normal 7" xfId="175"/>
    <cellStyle name="Normal 7 2" xfId="176"/>
    <cellStyle name="Normal 7 2 2" xfId="177"/>
    <cellStyle name="Normal 7 3" xfId="178"/>
    <cellStyle name="Normal 8" xfId="179"/>
    <cellStyle name="Normal 8 2" xfId="180"/>
    <cellStyle name="Normal 8 2 2" xfId="181"/>
    <cellStyle name="Normal 8 3" xfId="182"/>
    <cellStyle name="Normal 9" xfId="183"/>
    <cellStyle name="Normal 9 2" xfId="184"/>
    <cellStyle name="Normal 9 2 2" xfId="185"/>
    <cellStyle name="Normal 9 3" xfId="186"/>
    <cellStyle name="Normal_dbase (2)" xfId="192"/>
    <cellStyle name="Note 2" xfId="71"/>
    <cellStyle name="Output" xfId="39" builtinId="21" customBuiltin="1"/>
    <cellStyle name="OUTPUT AMOUNTS" xfId="10"/>
    <cellStyle name="OUTPUT COLUMN HEADINGS" xfId="11"/>
    <cellStyle name="OUTPUT LINE ITEMS" xfId="12"/>
    <cellStyle name="Output Line Items 2" xfId="187"/>
    <cellStyle name="OUTPUT REPORT HEADING" xfId="13"/>
    <cellStyle name="OUTPUT REPORT TITLE" xfId="14"/>
    <cellStyle name="Percent 2" xfId="188"/>
    <cellStyle name="Percent 3" xfId="189"/>
    <cellStyle name="Percent 4" xfId="190"/>
    <cellStyle name="Percent 5" xfId="191"/>
    <cellStyle name="ReportTitlePrompt" xfId="15"/>
    <cellStyle name="ReportTitleValue" xfId="16"/>
    <cellStyle name="RowAcctAbovePrompt" xfId="17"/>
    <cellStyle name="RowAcctSOBAbovePrompt" xfId="18"/>
    <cellStyle name="RowAcctSOBValue" xfId="19"/>
    <cellStyle name="RowAcctValue" xfId="20"/>
    <cellStyle name="RowAttrAbovePrompt" xfId="21"/>
    <cellStyle name="RowAttrValue" xfId="22"/>
    <cellStyle name="RowColSetAbovePrompt" xfId="23"/>
    <cellStyle name="RowColSetLeftPrompt" xfId="24"/>
    <cellStyle name="RowColSetValue" xfId="25"/>
    <cellStyle name="RowLeftPrompt" xfId="26"/>
    <cellStyle name="SampleUsingFormatMask" xfId="27"/>
    <cellStyle name="SampleWithNoFormatMask" xfId="28"/>
    <cellStyle name="Title" xfId="30" builtinId="15" customBuiltin="1"/>
    <cellStyle name="Total" xfId="45" builtinId="25" customBuiltin="1"/>
    <cellStyle name="UploadThisRowValue" xfId="29"/>
    <cellStyle name="Warning Text" xfId="43" builtinId="11" customBuiltin="1"/>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38" Type="http://schemas.openxmlformats.org/officeDocument/2006/relationships/worksheet" Target="worksheets/sheet138.xml"/><Relationship Id="rId154" Type="http://schemas.openxmlformats.org/officeDocument/2006/relationships/sharedStrings" Target="sharedStrings.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worksheet" Target="worksheets/sheet128.xml"/><Relationship Id="rId144" Type="http://schemas.openxmlformats.org/officeDocument/2006/relationships/worksheet" Target="worksheets/sheet144.xml"/><Relationship Id="rId149" Type="http://schemas.openxmlformats.org/officeDocument/2006/relationships/worksheet" Target="worksheets/sheet149.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worksheet" Target="worksheets/sheet134.xml"/><Relationship Id="rId139" Type="http://schemas.openxmlformats.org/officeDocument/2006/relationships/worksheet" Target="worksheets/sheet139.xml"/><Relationship Id="rId80" Type="http://schemas.openxmlformats.org/officeDocument/2006/relationships/worksheet" Target="worksheets/sheet80.xml"/><Relationship Id="rId85" Type="http://schemas.openxmlformats.org/officeDocument/2006/relationships/worksheet" Target="worksheets/sheet85.xml"/><Relationship Id="rId150" Type="http://schemas.openxmlformats.org/officeDocument/2006/relationships/externalLink" Target="externalLinks/externalLink1.xml"/><Relationship Id="rId155" Type="http://schemas.openxmlformats.org/officeDocument/2006/relationships/calcChain" Target="calcChain.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worksheet" Target="worksheets/sheet103.xml"/><Relationship Id="rId108" Type="http://schemas.openxmlformats.org/officeDocument/2006/relationships/worksheet" Target="worksheets/sheet108.xml"/><Relationship Id="rId116" Type="http://schemas.openxmlformats.org/officeDocument/2006/relationships/worksheet" Target="worksheets/sheet116.xml"/><Relationship Id="rId124" Type="http://schemas.openxmlformats.org/officeDocument/2006/relationships/worksheet" Target="worksheets/sheet124.xml"/><Relationship Id="rId129" Type="http://schemas.openxmlformats.org/officeDocument/2006/relationships/worksheet" Target="worksheets/sheet129.xml"/><Relationship Id="rId137" Type="http://schemas.openxmlformats.org/officeDocument/2006/relationships/worksheet" Target="worksheets/sheet13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11" Type="http://schemas.openxmlformats.org/officeDocument/2006/relationships/worksheet" Target="worksheets/sheet111.xml"/><Relationship Id="rId132" Type="http://schemas.openxmlformats.org/officeDocument/2006/relationships/worksheet" Target="worksheets/sheet132.xml"/><Relationship Id="rId140" Type="http://schemas.openxmlformats.org/officeDocument/2006/relationships/worksheet" Target="worksheets/sheet140.xml"/><Relationship Id="rId145" Type="http://schemas.openxmlformats.org/officeDocument/2006/relationships/worksheet" Target="worksheets/sheet145.xml"/><Relationship Id="rId153"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worksheet" Target="worksheets/sheet106.xml"/><Relationship Id="rId114" Type="http://schemas.openxmlformats.org/officeDocument/2006/relationships/worksheet" Target="worksheets/sheet114.xml"/><Relationship Id="rId119" Type="http://schemas.openxmlformats.org/officeDocument/2006/relationships/worksheet" Target="worksheets/sheet119.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30" Type="http://schemas.openxmlformats.org/officeDocument/2006/relationships/worksheet" Target="worksheets/sheet130.xml"/><Relationship Id="rId135" Type="http://schemas.openxmlformats.org/officeDocument/2006/relationships/worksheet" Target="worksheets/sheet135.xml"/><Relationship Id="rId143" Type="http://schemas.openxmlformats.org/officeDocument/2006/relationships/worksheet" Target="worksheets/sheet143.xml"/><Relationship Id="rId148" Type="http://schemas.openxmlformats.org/officeDocument/2006/relationships/worksheet" Target="worksheets/sheet148.xml"/><Relationship Id="rId151"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theme" Target="theme/theme1.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3" Type="http://schemas.openxmlformats.org/officeDocument/2006/relationships/worksheet" Target="worksheets/sheet3.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Revenue%20Volume%20Analysis/2011/Revenue%20Volume%20Analysis%202011.12.xlsb"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LG&amp;E%20Elec%20Cost%20of%20Service%20Preliminary%202012.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Home"/>
      <sheetName val="Overview"/>
      <sheetName val="PVA"/>
      <sheetName val="PVA for Purchase Power"/>
      <sheetName val="RBC Summary"/>
      <sheetName val="RBC Detail"/>
      <sheetName val="Information for SEC Table"/>
      <sheetName val="Curr Mo. Error Checks"/>
      <sheetName val="Qtd Error Checks"/>
      <sheetName val="Ytd Error Checks"/>
      <sheetName val="12 Mo. Ending error checks"/>
      <sheetName val="Weather Check"/>
      <sheetName val="DataChecks"/>
      <sheetName val="PVA - Variance Checks"/>
      <sheetName val="Data"/>
      <sheetName val="ListsValues"/>
      <sheetName val="VersionHis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3">
          <cell r="F3">
            <v>40878</v>
          </cell>
        </row>
        <row r="7">
          <cell r="F7">
            <v>40513</v>
          </cell>
        </row>
        <row r="14">
          <cell r="C14">
            <v>40878</v>
          </cell>
        </row>
        <row r="15">
          <cell r="C15">
            <v>40848</v>
          </cell>
        </row>
        <row r="16">
          <cell r="C16">
            <v>40817</v>
          </cell>
        </row>
        <row r="17">
          <cell r="C17">
            <v>40787</v>
          </cell>
        </row>
        <row r="18">
          <cell r="C18">
            <v>40756</v>
          </cell>
        </row>
        <row r="19">
          <cell r="C19">
            <v>40725</v>
          </cell>
        </row>
        <row r="20">
          <cell r="C20">
            <v>40695</v>
          </cell>
        </row>
        <row r="21">
          <cell r="C21">
            <v>40664</v>
          </cell>
        </row>
        <row r="22">
          <cell r="C22">
            <v>40634</v>
          </cell>
        </row>
        <row r="23">
          <cell r="C23">
            <v>40603</v>
          </cell>
        </row>
        <row r="24">
          <cell r="C24">
            <v>40575</v>
          </cell>
        </row>
        <row r="25">
          <cell r="C25">
            <v>40544</v>
          </cell>
        </row>
        <row r="26">
          <cell r="C26">
            <v>40513</v>
          </cell>
        </row>
        <row r="29">
          <cell r="M29">
            <v>1000</v>
          </cell>
        </row>
        <row r="32">
          <cell r="C32" t="str">
            <v>A.  Whole Dollars</v>
          </cell>
        </row>
        <row r="33">
          <cell r="C33" t="str">
            <v>B.  Thousands of Dollars</v>
          </cell>
        </row>
        <row r="34">
          <cell r="C34" t="str">
            <v>C.  Millions of Dollars</v>
          </cell>
        </row>
        <row r="37">
          <cell r="M37">
            <v>1000</v>
          </cell>
        </row>
        <row r="40">
          <cell r="C40" t="str">
            <v>A.  KWH's</v>
          </cell>
        </row>
        <row r="41">
          <cell r="C41" t="str">
            <v>B.  MWH's</v>
          </cell>
        </row>
        <row r="44">
          <cell r="M44">
            <v>1</v>
          </cell>
        </row>
        <row r="47">
          <cell r="C47" t="str">
            <v>A.  Mcf</v>
          </cell>
        </row>
        <row r="50">
          <cell r="L50" t="str">
            <v>A</v>
          </cell>
        </row>
        <row r="53">
          <cell r="C53" t="str">
            <v>A.  Reporting Month vs. Budget</v>
          </cell>
        </row>
        <row r="54">
          <cell r="C54" t="str">
            <v>B.  Reporting Month vs. Reporting Month Last Year</v>
          </cell>
        </row>
        <row r="55">
          <cell r="C55" t="str">
            <v>C.  YTD as of Reporting Month vs. Budget</v>
          </cell>
        </row>
        <row r="56">
          <cell r="C56" t="str">
            <v>D.  YTD as of Reporting Month vs. Last Year</v>
          </cell>
        </row>
        <row r="57">
          <cell r="C57" t="str">
            <v>E.  12 Months Ending at Reporting Month vs. Budget</v>
          </cell>
        </row>
        <row r="58">
          <cell r="C58" t="str">
            <v>F.  12 Months Ending at Reporting Month vs. Last Year</v>
          </cell>
        </row>
        <row r="59">
          <cell r="C59" t="str">
            <v>G.  Quarter Ending as of Reporting Month vs. Budget</v>
          </cell>
        </row>
        <row r="60">
          <cell r="C60" t="str">
            <v>H.  Quarter Ending as of Reporting Month vs. Last Year</v>
          </cell>
        </row>
        <row r="62">
          <cell r="L62" t="str">
            <v>A</v>
          </cell>
        </row>
        <row r="65">
          <cell r="C65" t="str">
            <v>A.  Reporting Month vs. Budget</v>
          </cell>
        </row>
        <row r="66">
          <cell r="C66" t="str">
            <v>B.  YTD as of Reporting Month vs. Budget</v>
          </cell>
        </row>
        <row r="67">
          <cell r="C67" t="str">
            <v>C.  12 Months Ending of Reporting Month vs. Budget</v>
          </cell>
        </row>
        <row r="68">
          <cell r="C68" t="str">
            <v>D.  Quarter Ending as of Reporting Month vs. Budget</v>
          </cell>
        </row>
      </sheetData>
      <sheetData sheetId="16"/>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Functional Assignment"/>
      <sheetName val="Allocation ProForma"/>
      <sheetName val="Res Unit Costs"/>
      <sheetName val="GS Unit Costs"/>
      <sheetName val="PSP Unit Costs"/>
      <sheetName val="PSS Unit Costs"/>
      <sheetName val="CTODP Unit Costs"/>
      <sheetName val="CTODS Unit Costs"/>
      <sheetName val="ITODP Unit Costs"/>
      <sheetName val="ITODS Unit Costs"/>
      <sheetName val="Summary of Returns"/>
      <sheetName val="Billing Det"/>
      <sheetName val="Meters"/>
      <sheetName val="Services"/>
      <sheetName val="Lighting"/>
      <sheetName val="Customer Accounting"/>
    </sheetNames>
    <sheetDataSet>
      <sheetData sheetId="0">
        <row r="576">
          <cell r="F576">
            <v>121970362.90470001</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0.xml.rels><?xml version="1.0" encoding="UTF-8" standalone="yes"?>
<Relationships xmlns="http://schemas.openxmlformats.org/package/2006/relationships"><Relationship Id="rId2" Type="http://schemas.openxmlformats.org/officeDocument/2006/relationships/printerSettings" Target="../printerSettings/printerSettings75.bin"/><Relationship Id="rId1" Type="http://schemas.openxmlformats.org/officeDocument/2006/relationships/printerSettings" Target="../printerSettings/printerSettings74.bin"/></Relationships>
</file>

<file path=xl/worksheets/_rels/sheet101.xml.rels><?xml version="1.0" encoding="UTF-8" standalone="yes"?>
<Relationships xmlns="http://schemas.openxmlformats.org/package/2006/relationships"><Relationship Id="rId2" Type="http://schemas.openxmlformats.org/officeDocument/2006/relationships/printerSettings" Target="../printerSettings/printerSettings77.bin"/><Relationship Id="rId1" Type="http://schemas.openxmlformats.org/officeDocument/2006/relationships/printerSettings" Target="../printerSettings/printerSettings76.bin"/></Relationships>
</file>

<file path=xl/worksheets/_rels/sheet102.xml.rels><?xml version="1.0" encoding="UTF-8" standalone="yes"?>
<Relationships xmlns="http://schemas.openxmlformats.org/package/2006/relationships"><Relationship Id="rId2" Type="http://schemas.openxmlformats.org/officeDocument/2006/relationships/printerSettings" Target="../printerSettings/printerSettings79.bin"/><Relationship Id="rId1" Type="http://schemas.openxmlformats.org/officeDocument/2006/relationships/printerSettings" Target="../printerSettings/printerSettings78.bin"/></Relationships>
</file>

<file path=xl/worksheets/_rels/sheet103.xml.rels><?xml version="1.0" encoding="UTF-8" standalone="yes"?>
<Relationships xmlns="http://schemas.openxmlformats.org/package/2006/relationships"><Relationship Id="rId2" Type="http://schemas.openxmlformats.org/officeDocument/2006/relationships/printerSettings" Target="../printerSettings/printerSettings81.bin"/><Relationship Id="rId1" Type="http://schemas.openxmlformats.org/officeDocument/2006/relationships/printerSettings" Target="../printerSettings/printerSettings80.bin"/></Relationships>
</file>

<file path=xl/worksheets/_rels/sheet104.xml.rels><?xml version="1.0" encoding="UTF-8" standalone="yes"?>
<Relationships xmlns="http://schemas.openxmlformats.org/package/2006/relationships"><Relationship Id="rId2" Type="http://schemas.openxmlformats.org/officeDocument/2006/relationships/printerSettings" Target="../printerSettings/printerSettings83.bin"/><Relationship Id="rId1" Type="http://schemas.openxmlformats.org/officeDocument/2006/relationships/printerSettings" Target="../printerSettings/printerSettings82.bin"/></Relationships>
</file>

<file path=xl/worksheets/_rels/sheet105.xml.rels><?xml version="1.0" encoding="UTF-8" standalone="yes"?>
<Relationships xmlns="http://schemas.openxmlformats.org/package/2006/relationships"><Relationship Id="rId2" Type="http://schemas.openxmlformats.org/officeDocument/2006/relationships/printerSettings" Target="../printerSettings/printerSettings85.bin"/><Relationship Id="rId1" Type="http://schemas.openxmlformats.org/officeDocument/2006/relationships/printerSettings" Target="../printerSettings/printerSettings84.bin"/></Relationships>
</file>

<file path=xl/worksheets/_rels/sheet106.xml.rels><?xml version="1.0" encoding="UTF-8" standalone="yes"?>
<Relationships xmlns="http://schemas.openxmlformats.org/package/2006/relationships"><Relationship Id="rId2" Type="http://schemas.openxmlformats.org/officeDocument/2006/relationships/printerSettings" Target="../printerSettings/printerSettings87.bin"/><Relationship Id="rId1" Type="http://schemas.openxmlformats.org/officeDocument/2006/relationships/printerSettings" Target="../printerSettings/printerSettings86.bin"/></Relationships>
</file>

<file path=xl/worksheets/_rels/sheet107.xml.rels><?xml version="1.0" encoding="UTF-8" standalone="yes"?>
<Relationships xmlns="http://schemas.openxmlformats.org/package/2006/relationships"><Relationship Id="rId2" Type="http://schemas.openxmlformats.org/officeDocument/2006/relationships/printerSettings" Target="../printerSettings/printerSettings89.bin"/><Relationship Id="rId1" Type="http://schemas.openxmlformats.org/officeDocument/2006/relationships/printerSettings" Target="../printerSettings/printerSettings88.bin"/></Relationships>
</file>

<file path=xl/worksheets/_rels/sheet108.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printerSettings" Target="../printerSettings/printerSettings91.bin"/><Relationship Id="rId1" Type="http://schemas.openxmlformats.org/officeDocument/2006/relationships/printerSettings" Target="../printerSettings/printerSettings90.bin"/><Relationship Id="rId4" Type="http://schemas.openxmlformats.org/officeDocument/2006/relationships/comments" Target="../comments13.xml"/></Relationships>
</file>

<file path=xl/worksheets/_rels/sheet109.xml.rels><?xml version="1.0" encoding="UTF-8" standalone="yes"?>
<Relationships xmlns="http://schemas.openxmlformats.org/package/2006/relationships"><Relationship Id="rId2" Type="http://schemas.openxmlformats.org/officeDocument/2006/relationships/printerSettings" Target="../printerSettings/printerSettings93.bin"/><Relationship Id="rId1" Type="http://schemas.openxmlformats.org/officeDocument/2006/relationships/printerSettings" Target="../printerSettings/printerSettings92.bin"/></Relationships>
</file>

<file path=xl/worksheets/_rels/sheet110.xml.rels><?xml version="1.0" encoding="UTF-8" standalone="yes"?>
<Relationships xmlns="http://schemas.openxmlformats.org/package/2006/relationships"><Relationship Id="rId2" Type="http://schemas.openxmlformats.org/officeDocument/2006/relationships/printerSettings" Target="../printerSettings/printerSettings95.bin"/><Relationship Id="rId1" Type="http://schemas.openxmlformats.org/officeDocument/2006/relationships/printerSettings" Target="../printerSettings/printerSettings94.bin"/></Relationships>
</file>

<file path=xl/worksheets/_rels/sheet111.xml.rels><?xml version="1.0" encoding="UTF-8" standalone="yes"?>
<Relationships xmlns="http://schemas.openxmlformats.org/package/2006/relationships"><Relationship Id="rId2" Type="http://schemas.openxmlformats.org/officeDocument/2006/relationships/printerSettings" Target="../printerSettings/printerSettings97.bin"/><Relationship Id="rId1" Type="http://schemas.openxmlformats.org/officeDocument/2006/relationships/printerSettings" Target="../printerSettings/printerSettings96.bin"/></Relationships>
</file>

<file path=xl/worksheets/_rels/sheet112.xml.rels><?xml version="1.0" encoding="UTF-8" standalone="yes"?>
<Relationships xmlns="http://schemas.openxmlformats.org/package/2006/relationships"><Relationship Id="rId2" Type="http://schemas.openxmlformats.org/officeDocument/2006/relationships/printerSettings" Target="../printerSettings/printerSettings99.bin"/><Relationship Id="rId1" Type="http://schemas.openxmlformats.org/officeDocument/2006/relationships/printerSettings" Target="../printerSettings/printerSettings98.bin"/></Relationships>
</file>

<file path=xl/worksheets/_rels/sheet113.xml.rels><?xml version="1.0" encoding="UTF-8" standalone="yes"?>
<Relationships xmlns="http://schemas.openxmlformats.org/package/2006/relationships"><Relationship Id="rId2" Type="http://schemas.openxmlformats.org/officeDocument/2006/relationships/printerSettings" Target="../printerSettings/printerSettings101.bin"/><Relationship Id="rId1" Type="http://schemas.openxmlformats.org/officeDocument/2006/relationships/printerSettings" Target="../printerSettings/printerSettings100.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15.xml.rels><?xml version="1.0" encoding="UTF-8" standalone="yes"?>
<Relationships xmlns="http://schemas.openxmlformats.org/package/2006/relationships"><Relationship Id="rId2" Type="http://schemas.openxmlformats.org/officeDocument/2006/relationships/printerSettings" Target="../printerSettings/printerSettings104.bin"/><Relationship Id="rId1" Type="http://schemas.openxmlformats.org/officeDocument/2006/relationships/printerSettings" Target="../printerSettings/printerSettings103.bin"/></Relationships>
</file>

<file path=xl/worksheets/_rels/sheet116.xml.rels><?xml version="1.0" encoding="UTF-8" standalone="yes"?>
<Relationships xmlns="http://schemas.openxmlformats.org/package/2006/relationships"><Relationship Id="rId2" Type="http://schemas.openxmlformats.org/officeDocument/2006/relationships/printerSettings" Target="../printerSettings/printerSettings106.bin"/><Relationship Id="rId1" Type="http://schemas.openxmlformats.org/officeDocument/2006/relationships/printerSettings" Target="../printerSettings/printerSettings105.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2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110.bin"/></Relationships>
</file>

<file path=xl/worksheets/_rels/sheet121.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2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112.bin"/></Relationships>
</file>

<file path=xl/worksheets/_rels/sheet123.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24.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25.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26.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27.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28.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29.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30.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131.xml.rels><?xml version="1.0" encoding="UTF-8" standalone="yes"?>
<Relationships xmlns="http://schemas.openxmlformats.org/package/2006/relationships"><Relationship Id="rId1" Type="http://schemas.openxmlformats.org/officeDocument/2006/relationships/printerSettings" Target="../printerSettings/printerSettings121.bin"/></Relationships>
</file>

<file path=xl/worksheets/_rels/sheet132.xml.rels><?xml version="1.0" encoding="UTF-8" standalone="yes"?>
<Relationships xmlns="http://schemas.openxmlformats.org/package/2006/relationships"><Relationship Id="rId1" Type="http://schemas.openxmlformats.org/officeDocument/2006/relationships/printerSettings" Target="../printerSettings/printerSettings122.bin"/></Relationships>
</file>

<file path=xl/worksheets/_rels/sheet133.xml.rels><?xml version="1.0" encoding="UTF-8" standalone="yes"?>
<Relationships xmlns="http://schemas.openxmlformats.org/package/2006/relationships"><Relationship Id="rId1" Type="http://schemas.openxmlformats.org/officeDocument/2006/relationships/printerSettings" Target="../printerSettings/printerSettings123.bin"/></Relationships>
</file>

<file path=xl/worksheets/_rels/sheet134.xml.rels><?xml version="1.0" encoding="UTF-8" standalone="yes"?>
<Relationships xmlns="http://schemas.openxmlformats.org/package/2006/relationships"><Relationship Id="rId1" Type="http://schemas.openxmlformats.org/officeDocument/2006/relationships/printerSettings" Target="../printerSettings/printerSettings124.bin"/></Relationships>
</file>

<file path=xl/worksheets/_rels/sheet135.xml.rels><?xml version="1.0" encoding="UTF-8" standalone="yes"?>
<Relationships xmlns="http://schemas.openxmlformats.org/package/2006/relationships"><Relationship Id="rId1" Type="http://schemas.openxmlformats.org/officeDocument/2006/relationships/printerSettings" Target="../printerSettings/printerSettings125.bin"/></Relationships>
</file>

<file path=xl/worksheets/_rels/sheet136.xml.rels><?xml version="1.0" encoding="UTF-8" standalone="yes"?>
<Relationships xmlns="http://schemas.openxmlformats.org/package/2006/relationships"><Relationship Id="rId1" Type="http://schemas.openxmlformats.org/officeDocument/2006/relationships/printerSettings" Target="../printerSettings/printerSettings126.bin"/></Relationships>
</file>

<file path=xl/worksheets/_rels/sheet137.xml.rels><?xml version="1.0" encoding="UTF-8" standalone="yes"?>
<Relationships xmlns="http://schemas.openxmlformats.org/package/2006/relationships"><Relationship Id="rId1" Type="http://schemas.openxmlformats.org/officeDocument/2006/relationships/printerSettings" Target="../printerSettings/printerSettings127.bin"/></Relationships>
</file>

<file path=xl/worksheets/_rels/sheet138.xml.rels><?xml version="1.0" encoding="UTF-8" standalone="yes"?>
<Relationships xmlns="http://schemas.openxmlformats.org/package/2006/relationships"><Relationship Id="rId1" Type="http://schemas.openxmlformats.org/officeDocument/2006/relationships/printerSettings" Target="../printerSettings/printerSettings128.bin"/></Relationships>
</file>

<file path=xl/worksheets/_rels/sheet139.xml.rels><?xml version="1.0" encoding="UTF-8" standalone="yes"?>
<Relationships xmlns="http://schemas.openxmlformats.org/package/2006/relationships"><Relationship Id="rId1" Type="http://schemas.openxmlformats.org/officeDocument/2006/relationships/printerSettings" Target="../printerSettings/printerSettings129.bin"/></Relationships>
</file>

<file path=xl/worksheets/_rels/sheet140.xml.rels><?xml version="1.0" encoding="UTF-8" standalone="yes"?>
<Relationships xmlns="http://schemas.openxmlformats.org/package/2006/relationships"><Relationship Id="rId1" Type="http://schemas.openxmlformats.org/officeDocument/2006/relationships/printerSettings" Target="../printerSettings/printerSettings130.bin"/></Relationships>
</file>

<file path=xl/worksheets/_rels/sheet141.xml.rels><?xml version="1.0" encoding="UTF-8" standalone="yes"?>
<Relationships xmlns="http://schemas.openxmlformats.org/package/2006/relationships"><Relationship Id="rId1" Type="http://schemas.openxmlformats.org/officeDocument/2006/relationships/printerSettings" Target="../printerSettings/printerSettings131.bin"/></Relationships>
</file>

<file path=xl/worksheets/_rels/sheet142.xml.rels><?xml version="1.0" encoding="UTF-8" standalone="yes"?>
<Relationships xmlns="http://schemas.openxmlformats.org/package/2006/relationships"><Relationship Id="rId1" Type="http://schemas.openxmlformats.org/officeDocument/2006/relationships/printerSettings" Target="../printerSettings/printerSettings132.bin"/></Relationships>
</file>

<file path=xl/worksheets/_rels/sheet143.xml.rels><?xml version="1.0" encoding="UTF-8" standalone="yes"?>
<Relationships xmlns="http://schemas.openxmlformats.org/package/2006/relationships"><Relationship Id="rId1" Type="http://schemas.openxmlformats.org/officeDocument/2006/relationships/printerSettings" Target="../printerSettings/printerSettings133.bin"/></Relationships>
</file>

<file path=xl/worksheets/_rels/sheet144.xml.rels><?xml version="1.0" encoding="UTF-8" standalone="yes"?>
<Relationships xmlns="http://schemas.openxmlformats.org/package/2006/relationships"><Relationship Id="rId1" Type="http://schemas.openxmlformats.org/officeDocument/2006/relationships/printerSettings" Target="../printerSettings/printerSettings134.bin"/></Relationships>
</file>

<file path=xl/worksheets/_rels/sheet145.xml.rels><?xml version="1.0" encoding="UTF-8" standalone="yes"?>
<Relationships xmlns="http://schemas.openxmlformats.org/package/2006/relationships"><Relationship Id="rId1" Type="http://schemas.openxmlformats.org/officeDocument/2006/relationships/printerSettings" Target="../printerSettings/printerSettings135.bin"/></Relationships>
</file>

<file path=xl/worksheets/_rels/sheet146.xml.rels><?xml version="1.0" encoding="UTF-8" standalone="yes"?>
<Relationships xmlns="http://schemas.openxmlformats.org/package/2006/relationships"><Relationship Id="rId1" Type="http://schemas.openxmlformats.org/officeDocument/2006/relationships/printerSettings" Target="../printerSettings/printerSettings136.bin"/></Relationships>
</file>

<file path=xl/worksheets/_rels/sheet147.xml.rels><?xml version="1.0" encoding="UTF-8" standalone="yes"?>
<Relationships xmlns="http://schemas.openxmlformats.org/package/2006/relationships"><Relationship Id="rId1" Type="http://schemas.openxmlformats.org/officeDocument/2006/relationships/printerSettings" Target="../printerSettings/printerSettings137.bin"/></Relationships>
</file>

<file path=xl/worksheets/_rels/sheet148.xml.rels><?xml version="1.0" encoding="UTF-8" standalone="yes"?>
<Relationships xmlns="http://schemas.openxmlformats.org/package/2006/relationships"><Relationship Id="rId1" Type="http://schemas.openxmlformats.org/officeDocument/2006/relationships/printerSettings" Target="../printerSettings/printerSettings138.bin"/></Relationships>
</file>

<file path=xl/worksheets/_rels/sheet149.xml.rels><?xml version="1.0" encoding="UTF-8" standalone="yes"?>
<Relationships xmlns="http://schemas.openxmlformats.org/package/2006/relationships"><Relationship Id="rId1" Type="http://schemas.openxmlformats.org/officeDocument/2006/relationships/printerSettings" Target="../printerSettings/printerSettings139.bin"/></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s>
</file>

<file path=xl/worksheets/_rels/sheet33.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s>
</file>

<file path=xl/worksheets/_rels/sheet46.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4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9.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51.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2.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5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4.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5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6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27.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74.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35.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8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42.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83.xml.rels><?xml version="1.0" encoding="UTF-8" standalone="yes"?>
<Relationships xmlns="http://schemas.openxmlformats.org/package/2006/relationships"><Relationship Id="rId2" Type="http://schemas.openxmlformats.org/officeDocument/2006/relationships/printerSettings" Target="../printerSettings/printerSettings45.bin"/><Relationship Id="rId1" Type="http://schemas.openxmlformats.org/officeDocument/2006/relationships/printerSettings" Target="../printerSettings/printerSettings44.bin"/></Relationships>
</file>

<file path=xl/worksheets/_rels/sheet84.xml.rels><?xml version="1.0" encoding="UTF-8" standalone="yes"?>
<Relationships xmlns="http://schemas.openxmlformats.org/package/2006/relationships"><Relationship Id="rId2" Type="http://schemas.openxmlformats.org/officeDocument/2006/relationships/printerSettings" Target="../printerSettings/printerSettings47.bin"/><Relationship Id="rId1" Type="http://schemas.openxmlformats.org/officeDocument/2006/relationships/printerSettings" Target="../printerSettings/printerSettings46.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86.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49.bin"/></Relationships>
</file>

<file path=xl/worksheets/_rels/sheet87.xml.rels><?xml version="1.0" encoding="UTF-8" standalone="yes"?>
<Relationships xmlns="http://schemas.openxmlformats.org/package/2006/relationships"><Relationship Id="rId2" Type="http://schemas.openxmlformats.org/officeDocument/2006/relationships/printerSettings" Target="../printerSettings/printerSettings51.bin"/><Relationship Id="rId1" Type="http://schemas.openxmlformats.org/officeDocument/2006/relationships/printerSettings" Target="../printerSettings/printerSettings50.bin"/></Relationships>
</file>

<file path=xl/worksheets/_rels/sheet8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52.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90.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printerSettings" Target="../printerSettings/printerSettings55.bin"/><Relationship Id="rId1" Type="http://schemas.openxmlformats.org/officeDocument/2006/relationships/printerSettings" Target="../printerSettings/printerSettings54.bin"/><Relationship Id="rId4" Type="http://schemas.openxmlformats.org/officeDocument/2006/relationships/comments" Target="../comments12.xml"/></Relationships>
</file>

<file path=xl/worksheets/_rels/sheet91.xml.rels><?xml version="1.0" encoding="UTF-8" standalone="yes"?>
<Relationships xmlns="http://schemas.openxmlformats.org/package/2006/relationships"><Relationship Id="rId2" Type="http://schemas.openxmlformats.org/officeDocument/2006/relationships/printerSettings" Target="../printerSettings/printerSettings57.bin"/><Relationship Id="rId1" Type="http://schemas.openxmlformats.org/officeDocument/2006/relationships/printerSettings" Target="../printerSettings/printerSettings56.bin"/></Relationships>
</file>

<file path=xl/worksheets/_rels/sheet92.xml.rels><?xml version="1.0" encoding="UTF-8" standalone="yes"?>
<Relationships xmlns="http://schemas.openxmlformats.org/package/2006/relationships"><Relationship Id="rId2" Type="http://schemas.openxmlformats.org/officeDocument/2006/relationships/printerSettings" Target="../printerSettings/printerSettings59.bin"/><Relationship Id="rId1" Type="http://schemas.openxmlformats.org/officeDocument/2006/relationships/printerSettings" Target="../printerSettings/printerSettings58.bin"/></Relationships>
</file>

<file path=xl/worksheets/_rels/sheet93.xml.rels><?xml version="1.0" encoding="UTF-8" standalone="yes"?>
<Relationships xmlns="http://schemas.openxmlformats.org/package/2006/relationships"><Relationship Id="rId2" Type="http://schemas.openxmlformats.org/officeDocument/2006/relationships/printerSettings" Target="../printerSettings/printerSettings61.bin"/><Relationship Id="rId1" Type="http://schemas.openxmlformats.org/officeDocument/2006/relationships/printerSettings" Target="../printerSettings/printerSettings60.bin"/></Relationships>
</file>

<file path=xl/worksheets/_rels/sheet94.xml.rels><?xml version="1.0" encoding="UTF-8" standalone="yes"?>
<Relationships xmlns="http://schemas.openxmlformats.org/package/2006/relationships"><Relationship Id="rId2" Type="http://schemas.openxmlformats.org/officeDocument/2006/relationships/printerSettings" Target="../printerSettings/printerSettings63.bin"/><Relationship Id="rId1" Type="http://schemas.openxmlformats.org/officeDocument/2006/relationships/printerSettings" Target="../printerSettings/printerSettings62.bin"/></Relationships>
</file>

<file path=xl/worksheets/_rels/sheet95.xml.rels><?xml version="1.0" encoding="UTF-8" standalone="yes"?>
<Relationships xmlns="http://schemas.openxmlformats.org/package/2006/relationships"><Relationship Id="rId2" Type="http://schemas.openxmlformats.org/officeDocument/2006/relationships/printerSettings" Target="../printerSettings/printerSettings65.bin"/><Relationship Id="rId1" Type="http://schemas.openxmlformats.org/officeDocument/2006/relationships/printerSettings" Target="../printerSettings/printerSettings64.bin"/></Relationships>
</file>

<file path=xl/worksheets/_rels/sheet96.xml.rels><?xml version="1.0" encoding="UTF-8" standalone="yes"?>
<Relationships xmlns="http://schemas.openxmlformats.org/package/2006/relationships"><Relationship Id="rId2" Type="http://schemas.openxmlformats.org/officeDocument/2006/relationships/printerSettings" Target="../printerSettings/printerSettings67.bin"/><Relationship Id="rId1" Type="http://schemas.openxmlformats.org/officeDocument/2006/relationships/printerSettings" Target="../printerSettings/printerSettings66.bin"/></Relationships>
</file>

<file path=xl/worksheets/_rels/sheet97.xml.rels><?xml version="1.0" encoding="UTF-8" standalone="yes"?>
<Relationships xmlns="http://schemas.openxmlformats.org/package/2006/relationships"><Relationship Id="rId2" Type="http://schemas.openxmlformats.org/officeDocument/2006/relationships/printerSettings" Target="../printerSettings/printerSettings69.bin"/><Relationship Id="rId1" Type="http://schemas.openxmlformats.org/officeDocument/2006/relationships/printerSettings" Target="../printerSettings/printerSettings68.bin"/></Relationships>
</file>

<file path=xl/worksheets/_rels/sheet98.xml.rels><?xml version="1.0" encoding="UTF-8" standalone="yes"?>
<Relationships xmlns="http://schemas.openxmlformats.org/package/2006/relationships"><Relationship Id="rId2" Type="http://schemas.openxmlformats.org/officeDocument/2006/relationships/printerSettings" Target="../printerSettings/printerSettings71.bin"/><Relationship Id="rId1" Type="http://schemas.openxmlformats.org/officeDocument/2006/relationships/printerSettings" Target="../printerSettings/printerSettings70.bin"/></Relationships>
</file>

<file path=xl/worksheets/_rels/sheet99.xml.rels><?xml version="1.0" encoding="UTF-8" standalone="yes"?>
<Relationships xmlns="http://schemas.openxmlformats.org/package/2006/relationships"><Relationship Id="rId2" Type="http://schemas.openxmlformats.org/officeDocument/2006/relationships/printerSettings" Target="../printerSettings/printerSettings73.bin"/><Relationship Id="rId1" Type="http://schemas.openxmlformats.org/officeDocument/2006/relationships/printerSettings" Target="../printerSettings/printerSettings72.bin"/></Relationships>
</file>

<file path=xl/worksheets/sheet1.xml><?xml version="1.0" encoding="utf-8"?>
<worksheet xmlns="http://schemas.openxmlformats.org/spreadsheetml/2006/main" xmlns:r="http://schemas.openxmlformats.org/officeDocument/2006/relationships">
  <sheetPr codeName="Sheet84">
    <tabColor theme="4" tint="0.39997558519241921"/>
    <pageSetUpPr fitToPage="1"/>
  </sheetPr>
  <dimension ref="A1:H291"/>
  <sheetViews>
    <sheetView topLeftCell="A82" zoomScaleNormal="100" workbookViewId="0">
      <selection activeCell="I63" sqref="I63"/>
    </sheetView>
  </sheetViews>
  <sheetFormatPr defaultRowHeight="15.75"/>
  <cols>
    <col min="1" max="1" width="85" style="274" customWidth="1"/>
    <col min="2" max="2" width="24.28515625" style="121" bestFit="1" customWidth="1"/>
    <col min="3" max="3" width="1.140625" style="121" customWidth="1"/>
    <col min="4" max="4" width="17.7109375" style="121" bestFit="1" customWidth="1"/>
    <col min="5" max="5" width="1.7109375" style="121" customWidth="1"/>
    <col min="6" max="6" width="20.5703125" style="121" customWidth="1"/>
    <col min="7" max="7" width="1.7109375" style="121" customWidth="1"/>
    <col min="8" max="8" width="19.7109375" style="121" bestFit="1" customWidth="1"/>
    <col min="9" max="16384" width="9.140625" style="121"/>
  </cols>
  <sheetData>
    <row r="1" spans="1:8">
      <c r="A1" s="352" t="s">
        <v>134</v>
      </c>
      <c r="B1" s="352"/>
      <c r="C1" s="352"/>
      <c r="D1" s="352"/>
      <c r="E1" s="284"/>
    </row>
    <row r="2" spans="1:8">
      <c r="A2" s="352" t="s">
        <v>1293</v>
      </c>
      <c r="B2" s="352"/>
      <c r="C2" s="352"/>
      <c r="D2" s="352"/>
      <c r="E2" s="284"/>
    </row>
    <row r="3" spans="1:8">
      <c r="A3" s="352" t="s">
        <v>1294</v>
      </c>
      <c r="B3" s="352"/>
      <c r="C3" s="352"/>
      <c r="D3" s="352"/>
      <c r="E3" s="284"/>
    </row>
    <row r="5" spans="1:8">
      <c r="B5" s="129" t="s">
        <v>1301</v>
      </c>
      <c r="H5" s="121" t="s">
        <v>1280</v>
      </c>
    </row>
    <row r="6" spans="1:8">
      <c r="A6" s="121"/>
      <c r="H6" s="121" t="s">
        <v>1281</v>
      </c>
    </row>
    <row r="7" spans="1:8">
      <c r="A7" s="274" t="s">
        <v>1279</v>
      </c>
    </row>
    <row r="9" spans="1:8" ht="62.25" customHeight="1">
      <c r="A9" s="355" t="s">
        <v>1351</v>
      </c>
      <c r="B9" s="355"/>
      <c r="C9" s="355"/>
      <c r="D9" s="355"/>
      <c r="E9" s="285"/>
    </row>
    <row r="11" spans="1:8">
      <c r="A11" s="274" t="s">
        <v>1324</v>
      </c>
      <c r="B11" s="274"/>
      <c r="C11" s="274"/>
      <c r="D11" s="295">
        <f>ROUND(F11,0)</f>
        <v>3667628159</v>
      </c>
      <c r="F11" s="279">
        <f>+'Summary - Cost - PG 1 (Fin)'!N22</f>
        <v>3667628159.0999994</v>
      </c>
      <c r="G11" s="279"/>
    </row>
    <row r="12" spans="1:8">
      <c r="A12" s="274" t="s">
        <v>1305</v>
      </c>
      <c r="B12" s="274"/>
      <c r="C12" s="274"/>
      <c r="D12" s="297">
        <f>ROUND(F12,0)</f>
        <v>-1474258332</v>
      </c>
      <c r="F12" s="280">
        <f>+'Summary - Cost - PG 1 (PA)'!D22+'Summary - Cost - PG 1 (PA)'!F22+'Summary - Cost - PG 1 (PA)'!J22+'Summary - Cost - PG 1 (PA)'!H22</f>
        <v>-1474258331.7</v>
      </c>
      <c r="G12" s="280"/>
    </row>
    <row r="13" spans="1:8">
      <c r="A13" s="274" t="s">
        <v>1352</v>
      </c>
      <c r="B13" s="274"/>
      <c r="C13" s="274"/>
      <c r="D13" s="296">
        <f>SUM(D11:D12)</f>
        <v>2193369827</v>
      </c>
      <c r="F13" s="281">
        <f>SUM(F11:F12)</f>
        <v>2193369827.3999996</v>
      </c>
      <c r="G13" s="291"/>
      <c r="H13" s="280">
        <f>+F13-'Summary - Cost - PG 1 (Tot)'!N22</f>
        <v>0</v>
      </c>
    </row>
    <row r="15" spans="1:8" s="273" customFormat="1">
      <c r="A15" s="272"/>
    </row>
    <row r="17" spans="1:8">
      <c r="A17" s="274" t="s">
        <v>1282</v>
      </c>
    </row>
    <row r="19" spans="1:8" ht="62.25" customHeight="1">
      <c r="A19" s="355" t="s">
        <v>1353</v>
      </c>
      <c r="B19" s="355"/>
      <c r="C19" s="355"/>
      <c r="D19" s="355"/>
      <c r="E19" s="285"/>
    </row>
    <row r="21" spans="1:8">
      <c r="A21" s="274" t="s">
        <v>1324</v>
      </c>
      <c r="B21" s="274"/>
      <c r="C21" s="274"/>
      <c r="D21" s="295">
        <f>ROUND(F21,0)</f>
        <v>708092407</v>
      </c>
      <c r="F21" s="279">
        <f>+'Summary - Cost - PG 1 (Fin)'!N30</f>
        <v>708092407.10000002</v>
      </c>
      <c r="G21" s="279"/>
    </row>
    <row r="22" spans="1:8">
      <c r="A22" s="274" t="s">
        <v>1305</v>
      </c>
      <c r="B22" s="274"/>
      <c r="C22" s="274"/>
      <c r="D22" s="297">
        <f>ROUND(F22,0)</f>
        <v>-168748793</v>
      </c>
      <c r="F22" s="280">
        <f>+'Summary - Cost - PG 1 (PA)'!D30+'Summary - Cost - PG 1 (PA)'!F30+'Summary - Cost - PG 1 (PA)'!J30+'Summary - Cost - PG 1 (PA)'!H30</f>
        <v>-168748793.44000003</v>
      </c>
      <c r="G22" s="280"/>
    </row>
    <row r="23" spans="1:8">
      <c r="A23" s="274" t="s">
        <v>1354</v>
      </c>
      <c r="B23" s="274"/>
      <c r="C23" s="274"/>
      <c r="D23" s="296">
        <f>SUM(D21:D22)</f>
        <v>539343614</v>
      </c>
      <c r="F23" s="281">
        <f>SUM(F21:F22)</f>
        <v>539343613.65999997</v>
      </c>
      <c r="G23" s="291"/>
      <c r="H23" s="280">
        <f>+F23-'Summary - Cost - PG 1 (Tot)'!N30</f>
        <v>0</v>
      </c>
    </row>
    <row r="25" spans="1:8" s="273" customFormat="1">
      <c r="A25" s="272"/>
    </row>
    <row r="27" spans="1:8">
      <c r="A27" s="274" t="s">
        <v>1283</v>
      </c>
    </row>
    <row r="29" spans="1:8" ht="62.25" customHeight="1">
      <c r="A29" s="355" t="s">
        <v>1355</v>
      </c>
      <c r="B29" s="355"/>
      <c r="C29" s="355"/>
      <c r="D29" s="355"/>
      <c r="E29" s="285"/>
    </row>
    <row r="31" spans="1:8">
      <c r="A31" s="274" t="s">
        <v>1324</v>
      </c>
      <c r="B31" s="274"/>
      <c r="C31" s="274"/>
      <c r="D31" s="295">
        <f>ROUND(F31,0)</f>
        <v>220137387</v>
      </c>
      <c r="F31" s="279">
        <f>+'Summary - Cost - PG 1 (Fin)'!N12</f>
        <v>220137386.69</v>
      </c>
      <c r="G31" s="279"/>
    </row>
    <row r="32" spans="1:8">
      <c r="A32" s="274" t="s">
        <v>1305</v>
      </c>
      <c r="B32" s="274"/>
      <c r="C32" s="274"/>
      <c r="D32" s="297">
        <f>ROUND(F32,0)</f>
        <v>-73505545</v>
      </c>
      <c r="F32" s="280">
        <f>+'Summary - Cost - PG 1 (PA)'!D12+'Summary - Cost - PG 1 (PA)'!F12+'Summary - Cost - PG 1 (PA)'!J12+'Summary - Cost - PG 1 (PA)'!H12</f>
        <v>-73505544.710000023</v>
      </c>
      <c r="G32" s="280"/>
    </row>
    <row r="33" spans="1:8">
      <c r="A33" s="274" t="s">
        <v>1356</v>
      </c>
      <c r="B33" s="274"/>
      <c r="C33" s="274"/>
      <c r="D33" s="296">
        <f>SUM(D31:D32)</f>
        <v>146631842</v>
      </c>
      <c r="F33" s="281">
        <f>SUM(F31:F32)</f>
        <v>146631841.97999996</v>
      </c>
      <c r="G33" s="291"/>
      <c r="H33" s="280">
        <f>+F33-'Summary - Cost - PG 1 (Tot)'!N12</f>
        <v>0</v>
      </c>
    </row>
    <row r="35" spans="1:8" s="273" customFormat="1">
      <c r="A35" s="272"/>
    </row>
    <row r="37" spans="1:8">
      <c r="A37" s="274" t="s">
        <v>1284</v>
      </c>
    </row>
    <row r="39" spans="1:8" ht="62.25" customHeight="1">
      <c r="A39" s="355" t="s">
        <v>1325</v>
      </c>
      <c r="B39" s="355"/>
      <c r="C39" s="355"/>
      <c r="D39" s="355"/>
      <c r="E39" s="285"/>
    </row>
    <row r="41" spans="1:8">
      <c r="A41" s="274" t="s">
        <v>1324</v>
      </c>
      <c r="B41" s="274"/>
      <c r="C41" s="274"/>
      <c r="D41" s="295">
        <f>ROUND(F41,0)</f>
        <v>104948941</v>
      </c>
      <c r="F41" s="279">
        <f>+'Summary - Cost - PG 1 (Fin)'!N74</f>
        <v>104948941.12000003</v>
      </c>
      <c r="G41" s="279"/>
    </row>
    <row r="42" spans="1:8">
      <c r="A42" s="274" t="s">
        <v>1305</v>
      </c>
      <c r="B42" s="274"/>
      <c r="C42" s="274"/>
      <c r="D42" s="297">
        <f>ROUND(F42,0)</f>
        <v>-212461</v>
      </c>
      <c r="F42" s="280">
        <f>+'Summary - Cost - PG 1 (PA)'!N74</f>
        <v>-212460.94</v>
      </c>
      <c r="G42" s="280"/>
    </row>
    <row r="43" spans="1:8">
      <c r="A43" s="274" t="s">
        <v>1333</v>
      </c>
      <c r="B43" s="274"/>
      <c r="C43" s="274"/>
      <c r="D43" s="296">
        <f>SUM(D41:D42)</f>
        <v>104736480</v>
      </c>
      <c r="F43" s="281">
        <f>SUM(F41:F42)</f>
        <v>104736480.18000004</v>
      </c>
      <c r="G43" s="291"/>
      <c r="H43" s="280">
        <f>+F43-'Summary - Cost - PG 1 (Tot)'!N74</f>
        <v>0</v>
      </c>
    </row>
    <row r="45" spans="1:8" s="273" customFormat="1">
      <c r="A45" s="272"/>
    </row>
    <row r="47" spans="1:8">
      <c r="A47" s="274" t="s">
        <v>1285</v>
      </c>
    </row>
    <row r="49" spans="1:8" ht="62.25" customHeight="1">
      <c r="A49" s="355" t="s">
        <v>1326</v>
      </c>
      <c r="B49" s="355"/>
      <c r="C49" s="355"/>
      <c r="D49" s="355"/>
      <c r="E49" s="285"/>
    </row>
    <row r="51" spans="1:8">
      <c r="A51" s="274" t="s">
        <v>1324</v>
      </c>
      <c r="B51" s="274"/>
      <c r="C51" s="274"/>
      <c r="D51" s="295">
        <f>ROUND(F51,0)</f>
        <v>38471068</v>
      </c>
      <c r="F51" s="279">
        <f>+'Summary - Cost - PG 1 (Fin)'!N82</f>
        <v>38471067.759999998</v>
      </c>
      <c r="G51" s="279"/>
    </row>
    <row r="52" spans="1:8">
      <c r="A52" s="274" t="s">
        <v>1305</v>
      </c>
      <c r="B52" s="274"/>
      <c r="C52" s="274"/>
      <c r="D52" s="297">
        <f>ROUND(F52,0)</f>
        <v>-2821</v>
      </c>
      <c r="F52" s="280">
        <f>+'Summary - Cost - PG 1 (PA)'!N82</f>
        <v>-2821.3899999999539</v>
      </c>
      <c r="G52" s="280"/>
    </row>
    <row r="53" spans="1:8">
      <c r="A53" s="274" t="s">
        <v>1334</v>
      </c>
      <c r="B53" s="274"/>
      <c r="C53" s="274"/>
      <c r="D53" s="296">
        <f>SUM(D51:D52)</f>
        <v>38468247</v>
      </c>
      <c r="F53" s="281">
        <f>SUM(F51:F52)</f>
        <v>38468246.369999997</v>
      </c>
      <c r="G53" s="291"/>
      <c r="H53" s="280">
        <f>+F53-'Summary - Cost - PG 1 (Tot)'!N82</f>
        <v>0</v>
      </c>
    </row>
    <row r="55" spans="1:8" s="273" customFormat="1">
      <c r="A55" s="272"/>
    </row>
    <row r="57" spans="1:8">
      <c r="A57" s="274" t="s">
        <v>1286</v>
      </c>
    </row>
    <row r="59" spans="1:8" ht="62.25" customHeight="1">
      <c r="A59" s="355" t="s">
        <v>1327</v>
      </c>
      <c r="B59" s="355"/>
      <c r="C59" s="355"/>
      <c r="D59" s="355"/>
      <c r="E59" s="285"/>
    </row>
    <row r="61" spans="1:8">
      <c r="A61" s="274" t="s">
        <v>1324</v>
      </c>
      <c r="B61" s="274"/>
      <c r="C61" s="274"/>
      <c r="D61" s="295">
        <f>ROUND(F61,0)</f>
        <v>7531529</v>
      </c>
      <c r="F61" s="279">
        <f>+'Summary - Cost - PG 1 (Fin)'!N64</f>
        <v>7531529.3199999966</v>
      </c>
      <c r="G61" s="279"/>
    </row>
    <row r="62" spans="1:8">
      <c r="A62" s="274" t="s">
        <v>1305</v>
      </c>
      <c r="B62" s="274"/>
      <c r="C62" s="274"/>
      <c r="D62" s="297">
        <f>ROUND(F62,0)</f>
        <v>0</v>
      </c>
      <c r="F62" s="280">
        <f>+'Summary - Cost - PG 1 (PA)'!N64</f>
        <v>0</v>
      </c>
      <c r="G62" s="280"/>
    </row>
    <row r="63" spans="1:8">
      <c r="A63" s="274" t="s">
        <v>1335</v>
      </c>
      <c r="B63" s="274"/>
      <c r="C63" s="274"/>
      <c r="D63" s="296">
        <f>SUM(D61:D62)</f>
        <v>7531529</v>
      </c>
      <c r="F63" s="281">
        <f>SUM(F61:F62)</f>
        <v>7531529.3199999966</v>
      </c>
      <c r="G63" s="291"/>
      <c r="H63" s="280">
        <f>+F63-'Summary - Cost - PG 1 (Tot)'!N64</f>
        <v>0</v>
      </c>
    </row>
    <row r="65" spans="1:8" s="273" customFormat="1">
      <c r="A65" s="272"/>
    </row>
    <row r="67" spans="1:8">
      <c r="A67" s="274" t="s">
        <v>1287</v>
      </c>
    </row>
    <row r="69" spans="1:8" ht="45" customHeight="1">
      <c r="A69" s="355" t="s">
        <v>1328</v>
      </c>
      <c r="B69" s="355"/>
      <c r="C69" s="355"/>
      <c r="D69" s="355"/>
      <c r="E69" s="285"/>
    </row>
    <row r="71" spans="1:8">
      <c r="A71" s="274" t="s">
        <v>1324</v>
      </c>
      <c r="B71" s="274"/>
      <c r="C71" s="274"/>
      <c r="D71" s="295">
        <f>ROUND(F71,0)</f>
        <v>627088</v>
      </c>
      <c r="F71" s="279">
        <f>+'Summary - Cost - PG 1 (Fin)'!N55</f>
        <v>627087.6</v>
      </c>
      <c r="G71" s="279"/>
    </row>
    <row r="72" spans="1:8">
      <c r="A72" s="274" t="s">
        <v>1305</v>
      </c>
      <c r="B72" s="274"/>
      <c r="C72" s="274"/>
      <c r="D72" s="297">
        <f>ROUND(F72,0)</f>
        <v>0</v>
      </c>
      <c r="F72" s="280">
        <f>+'Summary - Cost - PG 1 (PA)'!N55</f>
        <v>0</v>
      </c>
      <c r="G72" s="280"/>
    </row>
    <row r="73" spans="1:8">
      <c r="A73" s="274" t="s">
        <v>1336</v>
      </c>
      <c r="B73" s="274"/>
      <c r="C73" s="274"/>
      <c r="D73" s="296">
        <f>SUM(D71:D72)</f>
        <v>627088</v>
      </c>
      <c r="F73" s="281">
        <f>SUM(F71:F72)</f>
        <v>627087.6</v>
      </c>
      <c r="G73" s="291"/>
      <c r="H73" s="280">
        <f>+F73-'Summary - Cost - PG 1 (Tot)'!N57</f>
        <v>0</v>
      </c>
    </row>
    <row r="75" spans="1:8" s="273" customFormat="1">
      <c r="A75" s="272"/>
    </row>
    <row r="77" spans="1:8" s="277" customFormat="1">
      <c r="A77" s="278" t="s">
        <v>1288</v>
      </c>
    </row>
    <row r="78" spans="1:8" s="277" customFormat="1">
      <c r="A78" s="278"/>
    </row>
    <row r="79" spans="1:8" ht="62.25" customHeight="1">
      <c r="A79" s="355" t="s">
        <v>1338</v>
      </c>
      <c r="B79" s="355"/>
      <c r="C79" s="355"/>
      <c r="D79" s="355"/>
      <c r="E79" s="285"/>
    </row>
    <row r="80" spans="1:8" s="277" customFormat="1">
      <c r="A80" s="278"/>
    </row>
    <row r="81" spans="1:8" s="277" customFormat="1">
      <c r="A81" s="278" t="s">
        <v>1324</v>
      </c>
      <c r="B81" s="278"/>
      <c r="C81" s="278"/>
      <c r="D81" s="295">
        <f>ROUND(F81,0)</f>
        <v>-1814973852</v>
      </c>
      <c r="F81" s="282">
        <f>SUM('Summary - Reserve - PG 2 (Fin)'!U12:U22)+SUM('Summary - Reserve - PG 2 (Fin)'!U36:U41)+SUM('Summary - Reserve - PG 2 (Fin)'!U52:U57)</f>
        <v>-1814973851.99</v>
      </c>
      <c r="G81" s="282"/>
    </row>
    <row r="82" spans="1:8" s="277" customFormat="1">
      <c r="A82" s="278" t="s">
        <v>1305</v>
      </c>
      <c r="B82" s="278"/>
      <c r="C82" s="278"/>
      <c r="D82" s="297">
        <f>ROUND(F82,0)</f>
        <v>1474470389</v>
      </c>
      <c r="F82" s="283">
        <f>+SUM('Summary - Reserve - PG 2 (PA)'!S12:S22)-SUM('Summary - Reserve - PG 2 (PA)'!G12:G22)+SUM('Summary - Reserve - PG 2 (PA)'!S36:S41)-SUM('Summary - Reserve - PG 2 (PA)'!G36:G41)+SUM('Summary - Reserve - PG 2 (PA)'!S52:S57)-SUM('Summary - Reserve - PG 2 (PA)'!G52:G57)+SUM('Summary - Reserve - PG 2 (PA)'!G12:G22)+SUM('Summary - Reserve - PG 2 (PA)'!G36:G41)+SUM('Summary - Reserve - PG 2 (PA)'!G52:G57)</f>
        <v>1474470389.4300001</v>
      </c>
      <c r="G82" s="283"/>
    </row>
    <row r="83" spans="1:8" s="277" customFormat="1">
      <c r="A83" s="278" t="s">
        <v>1337</v>
      </c>
      <c r="B83" s="278"/>
      <c r="C83" s="278"/>
      <c r="D83" s="296">
        <f>SUM(D81:D82)</f>
        <v>-340503463</v>
      </c>
      <c r="F83" s="293">
        <f>SUM(F81:F82)</f>
        <v>-340503462.55999994</v>
      </c>
      <c r="G83" s="294"/>
      <c r="H83" s="283">
        <f>+F83-SUM('Summary - Reserve - PG 2 (Tot)'!U12:U22)-SUM('Summary - Reserve - PG 2 (Tot)'!U36:U41)-SUM('Summary - Reserve - PG 2 (Tot)'!U52:U57)</f>
        <v>2.6822090148925781E-7</v>
      </c>
    </row>
    <row r="85" spans="1:8" s="273" customFormat="1">
      <c r="A85" s="272"/>
    </row>
    <row r="87" spans="1:8">
      <c r="A87" s="274" t="s">
        <v>1289</v>
      </c>
    </row>
    <row r="89" spans="1:8" s="277" customFormat="1" ht="45" customHeight="1">
      <c r="A89" s="353" t="s">
        <v>1339</v>
      </c>
      <c r="B89" s="353"/>
      <c r="C89" s="353"/>
      <c r="D89" s="353"/>
      <c r="E89" s="276"/>
    </row>
    <row r="91" spans="1:8">
      <c r="A91" s="278" t="s">
        <v>1324</v>
      </c>
      <c r="B91" s="278"/>
      <c r="C91" s="278"/>
      <c r="D91" s="295">
        <f>ROUND(F91,0)</f>
        <v>-240694720</v>
      </c>
      <c r="F91" s="279">
        <f>+SUM('Summary - Reserve - PG 2 (Fin)'!U23:U29)+SUM('Summary - Reserve - PG 2 (Fin)'!U42:U46)+SUM('Summary - Reserve - PG 2 (Fin)'!U58:U62)+'Summary - Reserve - PG 2 (Fin)'!U75</f>
        <v>-240694719.75000006</v>
      </c>
      <c r="G91" s="279"/>
    </row>
    <row r="92" spans="1:8">
      <c r="A92" s="278" t="s">
        <v>1305</v>
      </c>
      <c r="B92" s="278"/>
      <c r="C92" s="278"/>
      <c r="D92" s="297">
        <f>ROUND(F92,0)</f>
        <v>168750951</v>
      </c>
      <c r="F92" s="280">
        <f>+SUM('Summary - Reserve - PG 2 (PA)'!S23:S29)-SUM('Summary - Reserve - PG 2 (PA)'!G23:G29)+SUM('Summary - Reserve - PG 2 (PA)'!S42:S46)-SUM('Summary - Reserve - PG 2 (PA)'!G42:G46)+SUM('Summary - Reserve - PG 2 (PA)'!S58:S62)-SUM('Summary - Reserve - PG 2 (PA)'!G58:G62)+'Summary - Reserve - PG 2 (PA)'!S75+SUM('Summary - Reserve - PG 2 (PA)'!G23:G29)+SUM('Summary - Reserve - PG 2 (PA)'!G42:G46)+SUM('Summary - Reserve - PG 2 (PA)'!G58:G62)</f>
        <v>168750950.86000001</v>
      </c>
      <c r="G92" s="280"/>
    </row>
    <row r="93" spans="1:8">
      <c r="A93" s="278" t="s">
        <v>1340</v>
      </c>
      <c r="B93" s="278"/>
      <c r="C93" s="278"/>
      <c r="D93" s="296">
        <f>SUM(D91:D92)</f>
        <v>-71943769</v>
      </c>
      <c r="F93" s="281">
        <f>SUM(F91:F92)</f>
        <v>-71943768.890000045</v>
      </c>
      <c r="G93" s="291"/>
      <c r="H93" s="280">
        <f>+F93-SUM('Summary - Reserve - PG 2 (Tot)'!U23:U29)-SUM('Summary - Reserve - PG 2 (Tot)'!U42:U46)-SUM('Summary - Reserve - PG 2 (Tot)'!U58:U62)-'Summary - Reserve - PG 2 (Tot)'!U75</f>
        <v>-5.0524249672889709E-8</v>
      </c>
    </row>
    <row r="95" spans="1:8" s="273" customFormat="1">
      <c r="A95" s="272"/>
    </row>
    <row r="97" spans="1:8">
      <c r="A97" s="274" t="s">
        <v>1290</v>
      </c>
    </row>
    <row r="99" spans="1:8" ht="62.25" customHeight="1">
      <c r="A99" s="355" t="s">
        <v>1341</v>
      </c>
      <c r="B99" s="355"/>
      <c r="C99" s="355"/>
      <c r="D99" s="355"/>
      <c r="E99" s="285"/>
    </row>
    <row r="101" spans="1:8">
      <c r="A101" s="278" t="s">
        <v>1324</v>
      </c>
      <c r="B101" s="278"/>
      <c r="C101" s="278"/>
      <c r="D101" s="295">
        <f>ROUND(F101,0)</f>
        <v>-80187908</v>
      </c>
      <c r="F101" s="279">
        <f>+SUM('Summary - Reserve - PG 2 (Fin)'!U10:U11)+'Summary - Reserve - PG 2 (Fin)'!U35+'Summary - Reserve - PG 2 (Fin)'!U51+'Summary - Reserve - PG 2 (Fin)'!U73</f>
        <v>-80187908.219999984</v>
      </c>
      <c r="G101" s="279"/>
    </row>
    <row r="102" spans="1:8">
      <c r="A102" s="278" t="s">
        <v>1305</v>
      </c>
      <c r="B102" s="278"/>
      <c r="C102" s="278"/>
      <c r="D102" s="297">
        <f>ROUND(F102,0)</f>
        <v>63031263</v>
      </c>
      <c r="F102" s="280">
        <f>+SUM('Summary - Reserve - PG 2 (PA)'!S10:S11)-SUM('Summary - Reserve - PG 2 (PA)'!G10:G11)+'Summary - Reserve - PG 2 (PA)'!S35-'Summary - Reserve - PG 2 (PA)'!G35+'Summary - Reserve - PG 2 (PA)'!S51-'Summary - Reserve - PG 2 (PA)'!G51+'Summary - Reserve - PG 2 (PA)'!S73+SUM('Summary - Reserve - PG 2 (PA)'!G10:G11)+'Summary - Reserve - PG 2 (PA)'!G35+'Summary - Reserve - PG 2 (PA)'!G51</f>
        <v>63031262.640000015</v>
      </c>
      <c r="G102" s="280"/>
    </row>
    <row r="103" spans="1:8">
      <c r="A103" s="278" t="s">
        <v>1376</v>
      </c>
      <c r="B103" s="278"/>
      <c r="C103" s="278"/>
      <c r="D103" s="296">
        <f>SUM(D101:D102)</f>
        <v>-17156645</v>
      </c>
      <c r="F103" s="281">
        <f>SUM(F101:F102)</f>
        <v>-17156645.579999968</v>
      </c>
      <c r="G103" s="291"/>
      <c r="H103" s="280">
        <f>+F103-SUM('Summary - Reserve - PG 2 (Tot)'!U10:U11)-'Summary - Reserve - PG 2 (Tot)'!U35-'Summary - Reserve - PG 2 (Tot)'!U51-'Summary - Reserve - PG 2 (Tot)'!U73</f>
        <v>1.8611899577081203E-8</v>
      </c>
    </row>
    <row r="105" spans="1:8" s="273" customFormat="1">
      <c r="A105" s="272"/>
    </row>
    <row r="107" spans="1:8">
      <c r="A107" s="274" t="s">
        <v>1291</v>
      </c>
    </row>
    <row r="109" spans="1:8" ht="62.25" customHeight="1">
      <c r="A109" s="355" t="s">
        <v>1342</v>
      </c>
      <c r="B109" s="355"/>
      <c r="C109" s="355"/>
      <c r="D109" s="355"/>
      <c r="E109" s="285"/>
    </row>
    <row r="111" spans="1:8">
      <c r="A111" s="278" t="s">
        <v>1324</v>
      </c>
      <c r="B111" s="278"/>
      <c r="C111" s="278"/>
      <c r="D111" s="295">
        <f>ROUND(F111,0)</f>
        <v>0</v>
      </c>
      <c r="F111" s="279">
        <f>+'Summary - Reserve - PG 2 (Fin)'!U83</f>
        <v>0</v>
      </c>
      <c r="G111" s="279"/>
    </row>
    <row r="112" spans="1:8">
      <c r="A112" s="278" t="s">
        <v>1305</v>
      </c>
      <c r="B112" s="278"/>
      <c r="C112" s="278"/>
      <c r="D112" s="297">
        <f>ROUND(F112,0)</f>
        <v>119</v>
      </c>
      <c r="F112" s="280">
        <f>+'Summary - Reserve - PG 2 (PA)'!S83</f>
        <v>119.15999999999997</v>
      </c>
      <c r="G112" s="280"/>
    </row>
    <row r="113" spans="1:8">
      <c r="A113" s="274" t="s">
        <v>1329</v>
      </c>
      <c r="B113" s="274"/>
      <c r="C113" s="274"/>
      <c r="D113" s="296">
        <f>SUM(D111:D112)</f>
        <v>119</v>
      </c>
      <c r="F113" s="281">
        <f>SUM(F111:F112)</f>
        <v>119.15999999999997</v>
      </c>
      <c r="G113" s="291"/>
      <c r="H113" s="280">
        <f>+F113-'Summary - Reserve - PG 2 (Tot)'!U83</f>
        <v>0</v>
      </c>
    </row>
    <row r="115" spans="1:8" s="273" customFormat="1">
      <c r="A115" s="272"/>
    </row>
    <row r="117" spans="1:8">
      <c r="A117" s="274" t="s">
        <v>1292</v>
      </c>
    </row>
    <row r="119" spans="1:8" ht="62.25" customHeight="1">
      <c r="A119" s="355" t="s">
        <v>1343</v>
      </c>
      <c r="B119" s="355"/>
      <c r="C119" s="355"/>
      <c r="D119" s="355"/>
      <c r="E119" s="285"/>
    </row>
    <row r="121" spans="1:8">
      <c r="A121" s="278" t="s">
        <v>1324</v>
      </c>
      <c r="B121" s="278"/>
      <c r="C121" s="278"/>
      <c r="D121" s="295">
        <f>ROUND(F121,0)</f>
        <v>0</v>
      </c>
      <c r="F121" s="279">
        <f>+'Summary - Reserve - PG 2 (Fin)'!U82</f>
        <v>0</v>
      </c>
      <c r="G121" s="279"/>
    </row>
    <row r="122" spans="1:8">
      <c r="A122" s="278" t="s">
        <v>1305</v>
      </c>
      <c r="B122" s="278"/>
      <c r="C122" s="278"/>
      <c r="D122" s="297">
        <f>ROUND(F122,0)</f>
        <v>0</v>
      </c>
      <c r="F122" s="280">
        <f>+'Summary - Reserve - PG 2 (PA)'!S82</f>
        <v>0</v>
      </c>
      <c r="G122" s="280"/>
    </row>
    <row r="123" spans="1:8">
      <c r="A123" s="274" t="s">
        <v>1330</v>
      </c>
      <c r="B123" s="274"/>
      <c r="C123" s="274"/>
      <c r="D123" s="296">
        <f>SUM(D121:D122)</f>
        <v>0</v>
      </c>
      <c r="F123" s="281">
        <f>SUM(F121:F122)</f>
        <v>0</v>
      </c>
      <c r="G123" s="291"/>
      <c r="H123" s="280">
        <f>+F123-'Summary - Reserve - PG 2 (Tot)'!U82</f>
        <v>0</v>
      </c>
    </row>
    <row r="125" spans="1:8" s="273" customFormat="1">
      <c r="A125" s="272"/>
    </row>
    <row r="127" spans="1:8">
      <c r="A127" s="274" t="s">
        <v>1295</v>
      </c>
    </row>
    <row r="129" spans="1:8" s="277" customFormat="1" ht="45" customHeight="1">
      <c r="A129" s="353" t="s">
        <v>1344</v>
      </c>
      <c r="B129" s="353"/>
      <c r="C129" s="353"/>
      <c r="D129" s="353"/>
      <c r="E129" s="276"/>
    </row>
    <row r="131" spans="1:8">
      <c r="A131" s="278" t="s">
        <v>1324</v>
      </c>
      <c r="B131" s="278"/>
      <c r="C131" s="278"/>
      <c r="D131" s="295">
        <f>ROUND(F131,0)</f>
        <v>-21054839</v>
      </c>
      <c r="F131" s="279">
        <f>+'Summary - Reserve - PG 2 (Fin)'!U81</f>
        <v>-21054838.750000004</v>
      </c>
      <c r="G131" s="279"/>
    </row>
    <row r="132" spans="1:8">
      <c r="A132" s="278" t="s">
        <v>1305</v>
      </c>
      <c r="B132" s="278"/>
      <c r="C132" s="278"/>
      <c r="D132" s="297">
        <f>ROUND(F132,0)</f>
        <v>10475230</v>
      </c>
      <c r="F132" s="280">
        <f>+'Summary - Reserve - PG 2 (PA)'!C81+'Summary - Reserve - PG 2 (PA)'!E81+'Summary - Reserve - PG 2 (PA)'!I81+'Summary - Reserve - PG 2 (PA)'!K81+'Summary - Reserve - PG 2 (PA)'!M81+'Summary - Reserve - PG 2 (PA)'!O81+'Summary - Reserve - PG 2 (PA)'!Q81+'Summary - Reserve - PG 2 (PA)'!G81</f>
        <v>10475230.08</v>
      </c>
      <c r="G132" s="280"/>
    </row>
    <row r="133" spans="1:8">
      <c r="A133" s="274" t="s">
        <v>1331</v>
      </c>
      <c r="B133" s="274"/>
      <c r="C133" s="274"/>
      <c r="D133" s="296">
        <f>SUM(D131:D132)</f>
        <v>-10579609</v>
      </c>
      <c r="F133" s="281">
        <f>SUM(F131:F132)</f>
        <v>-10579608.670000004</v>
      </c>
      <c r="G133" s="291"/>
      <c r="H133" s="280">
        <f>+F133-'Summary - Reserve - PG 2 (Tot)'!U81</f>
        <v>0</v>
      </c>
    </row>
    <row r="135" spans="1:8" s="273" customFormat="1">
      <c r="A135" s="272"/>
    </row>
    <row r="136" spans="1:8" hidden="1"/>
    <row r="137" spans="1:8" hidden="1">
      <c r="A137" s="286" t="s">
        <v>1296</v>
      </c>
      <c r="B137" s="287"/>
      <c r="C137" s="287"/>
      <c r="D137" s="287"/>
      <c r="E137" s="287"/>
      <c r="F137" s="287"/>
    </row>
    <row r="138" spans="1:8" hidden="1">
      <c r="A138" s="286"/>
      <c r="B138" s="287"/>
      <c r="C138" s="287"/>
      <c r="D138" s="287"/>
      <c r="E138" s="287"/>
      <c r="F138" s="351" t="s">
        <v>1300</v>
      </c>
    </row>
    <row r="139" spans="1:8" ht="47.25" hidden="1" customHeight="1">
      <c r="A139" s="354" t="s">
        <v>1332</v>
      </c>
      <c r="B139" s="354"/>
      <c r="C139" s="354"/>
      <c r="D139" s="354"/>
      <c r="E139" s="288"/>
      <c r="F139" s="351"/>
    </row>
    <row r="140" spans="1:8" hidden="1">
      <c r="A140" s="286"/>
      <c r="B140" s="287"/>
      <c r="C140" s="287"/>
      <c r="D140" s="287"/>
      <c r="E140" s="287"/>
      <c r="F140" s="351"/>
    </row>
    <row r="141" spans="1:8" hidden="1">
      <c r="A141" s="286" t="s">
        <v>1297</v>
      </c>
      <c r="B141" s="289"/>
      <c r="C141" s="287"/>
      <c r="D141" s="289"/>
      <c r="E141" s="289"/>
      <c r="F141" s="351"/>
    </row>
    <row r="142" spans="1:8" hidden="1">
      <c r="A142" s="286" t="s">
        <v>1298</v>
      </c>
      <c r="B142" s="289"/>
      <c r="C142" s="287"/>
      <c r="D142" s="289"/>
      <c r="E142" s="289"/>
      <c r="F142" s="287"/>
    </row>
    <row r="143" spans="1:8" hidden="1">
      <c r="A143" s="286" t="s">
        <v>1299</v>
      </c>
      <c r="B143" s="290">
        <f>SUM(B141:B142)</f>
        <v>0</v>
      </c>
      <c r="C143" s="287"/>
      <c r="D143" s="290">
        <f>SUM(D141:D142)</f>
        <v>0</v>
      </c>
      <c r="E143" s="292"/>
      <c r="F143" s="289"/>
    </row>
    <row r="144" spans="1:8" hidden="1"/>
    <row r="145" spans="1:8" s="273" customFormat="1" hidden="1">
      <c r="A145" s="272"/>
    </row>
    <row r="147" spans="1:8">
      <c r="A147" s="274" t="s">
        <v>1302</v>
      </c>
      <c r="B147" s="275" t="s">
        <v>1303</v>
      </c>
    </row>
    <row r="149" spans="1:8" ht="62.25" customHeight="1">
      <c r="A149" s="355" t="s">
        <v>1357</v>
      </c>
      <c r="B149" s="355"/>
      <c r="C149" s="355"/>
      <c r="D149" s="355"/>
      <c r="E149" s="285"/>
    </row>
    <row r="151" spans="1:8">
      <c r="A151" s="278" t="s">
        <v>1304</v>
      </c>
      <c r="B151" s="278"/>
      <c r="C151" s="278"/>
      <c r="D151" s="295" t="e">
        <f>ROUND(F151,0)</f>
        <v>#REF!</v>
      </c>
      <c r="F151" s="279" t="e">
        <f>+#REF!</f>
        <v>#REF!</v>
      </c>
      <c r="G151" s="279"/>
    </row>
    <row r="152" spans="1:8">
      <c r="A152" s="278" t="s">
        <v>1305</v>
      </c>
      <c r="B152" s="278"/>
      <c r="C152" s="278"/>
      <c r="D152" s="297">
        <f>ROUND(F152,0)</f>
        <v>0</v>
      </c>
      <c r="F152" s="280">
        <f>+'Form 3Q (PA)'!M103</f>
        <v>0</v>
      </c>
      <c r="G152" s="280"/>
    </row>
    <row r="153" spans="1:8">
      <c r="A153" s="274" t="s">
        <v>1345</v>
      </c>
      <c r="B153" s="274"/>
      <c r="C153" s="274"/>
      <c r="D153" s="296" t="e">
        <f>SUM(D151:D152)</f>
        <v>#REF!</v>
      </c>
      <c r="F153" s="281" t="e">
        <f>SUM(F151:F152)</f>
        <v>#REF!</v>
      </c>
      <c r="G153" s="291"/>
      <c r="H153" s="280" t="e">
        <f>+F153-'Summary - Cost - PG 1 (Tot)'!N18-'Summary - Cost - PG 1 (Tot)'!N70</f>
        <v>#REF!</v>
      </c>
    </row>
    <row r="155" spans="1:8" s="273" customFormat="1">
      <c r="A155" s="272"/>
    </row>
    <row r="157" spans="1:8">
      <c r="A157" s="274" t="s">
        <v>1306</v>
      </c>
      <c r="B157" s="275" t="s">
        <v>1303</v>
      </c>
    </row>
    <row r="159" spans="1:8" ht="62.25" customHeight="1">
      <c r="A159" s="355" t="s">
        <v>1346</v>
      </c>
      <c r="B159" s="355"/>
      <c r="C159" s="355"/>
      <c r="D159" s="355"/>
      <c r="E159" s="285"/>
    </row>
    <row r="161" spans="1:8">
      <c r="A161" s="278" t="s">
        <v>1304</v>
      </c>
      <c r="B161" s="278"/>
      <c r="C161" s="278"/>
      <c r="D161" s="295" t="e">
        <f>ROUND(F161,0)</f>
        <v>#REF!</v>
      </c>
      <c r="F161" s="282" t="e">
        <f>-#REF!</f>
        <v>#REF!</v>
      </c>
      <c r="G161" s="282"/>
    </row>
    <row r="162" spans="1:8">
      <c r="A162" s="278" t="s">
        <v>1305</v>
      </c>
      <c r="B162" s="278"/>
      <c r="C162" s="278"/>
      <c r="D162" s="297">
        <f>ROUND(F162,0)</f>
        <v>0</v>
      </c>
      <c r="F162" s="283">
        <f>-'Form 3Q (PA)'!V64</f>
        <v>0</v>
      </c>
      <c r="G162" s="283"/>
    </row>
    <row r="163" spans="1:8">
      <c r="A163" s="274" t="s">
        <v>1307</v>
      </c>
      <c r="B163" s="274"/>
      <c r="C163" s="274"/>
      <c r="D163" s="296" t="e">
        <f>SUM(D161:D162)</f>
        <v>#REF!</v>
      </c>
      <c r="F163" s="281" t="e">
        <f>SUM(F161:F162)</f>
        <v>#REF!</v>
      </c>
      <c r="G163" s="291"/>
      <c r="H163" s="280" t="e">
        <f>+F163+'Form 3Q (Total)'!V64</f>
        <v>#REF!</v>
      </c>
    </row>
    <row r="165" spans="1:8" s="273" customFormat="1">
      <c r="A165" s="272"/>
    </row>
    <row r="167" spans="1:8">
      <c r="A167" s="274" t="s">
        <v>1308</v>
      </c>
      <c r="B167" s="275" t="s">
        <v>1303</v>
      </c>
    </row>
    <row r="169" spans="1:8" ht="62.25" customHeight="1">
      <c r="A169" s="355" t="s">
        <v>1358</v>
      </c>
      <c r="B169" s="355"/>
      <c r="C169" s="355"/>
      <c r="D169" s="355"/>
      <c r="E169" s="285"/>
    </row>
    <row r="171" spans="1:8">
      <c r="A171" s="278" t="s">
        <v>1304</v>
      </c>
      <c r="B171" s="278"/>
      <c r="C171" s="278"/>
      <c r="D171" s="295" t="e">
        <f>ROUND(F171,0)</f>
        <v>#REF!</v>
      </c>
      <c r="F171" s="279" t="e">
        <f>+#REF!</f>
        <v>#REF!</v>
      </c>
      <c r="G171" s="279"/>
    </row>
    <row r="172" spans="1:8">
      <c r="A172" s="278" t="s">
        <v>1305</v>
      </c>
      <c r="B172" s="278"/>
      <c r="C172" s="278"/>
      <c r="D172" s="297">
        <f>ROUND(F172,0)</f>
        <v>-1008390504</v>
      </c>
      <c r="F172" s="280">
        <f>+'Form 3Q (PA)'!M105</f>
        <v>-1008390504.4400002</v>
      </c>
      <c r="G172" s="280"/>
    </row>
    <row r="173" spans="1:8">
      <c r="A173" s="274" t="s">
        <v>1359</v>
      </c>
      <c r="B173" s="274"/>
      <c r="C173" s="274"/>
      <c r="D173" s="296" t="e">
        <f>SUM(D171:D172)</f>
        <v>#REF!</v>
      </c>
      <c r="F173" s="281" t="e">
        <f>SUM(F171:F172)</f>
        <v>#REF!</v>
      </c>
      <c r="G173" s="291"/>
      <c r="H173" s="280" t="e">
        <f>+F173-'Summary - Cost - PG 1 (Tot)'!N20-'Summary - Cost - PG 1 (Tot)'!N54-'Summary - Cost - PG 1 (Tot)'!N72</f>
        <v>#REF!</v>
      </c>
    </row>
    <row r="175" spans="1:8" s="273" customFormat="1">
      <c r="A175" s="272"/>
    </row>
    <row r="177" spans="1:8">
      <c r="A177" s="274" t="s">
        <v>1309</v>
      </c>
      <c r="B177" s="275" t="s">
        <v>1303</v>
      </c>
    </row>
    <row r="179" spans="1:8" s="277" customFormat="1" ht="46.5" customHeight="1">
      <c r="A179" s="353" t="s">
        <v>1347</v>
      </c>
      <c r="B179" s="353"/>
      <c r="C179" s="353"/>
      <c r="D179" s="353"/>
      <c r="E179" s="276"/>
    </row>
    <row r="181" spans="1:8">
      <c r="A181" s="278" t="s">
        <v>1304</v>
      </c>
      <c r="B181" s="278"/>
      <c r="C181" s="278"/>
      <c r="D181" s="295" t="e">
        <f>ROUND(F181,0)</f>
        <v>#REF!</v>
      </c>
      <c r="F181" s="282" t="e">
        <f>-#REF!</f>
        <v>#REF!</v>
      </c>
      <c r="G181" s="282"/>
    </row>
    <row r="182" spans="1:8">
      <c r="A182" s="278" t="s">
        <v>1305</v>
      </c>
      <c r="B182" s="278"/>
      <c r="C182" s="278"/>
      <c r="D182" s="297">
        <f>ROUND(F182,0)</f>
        <v>-1008391919</v>
      </c>
      <c r="F182" s="283">
        <f>-'Form 3Q (PA)'!V65</f>
        <v>-1008391919.2099999</v>
      </c>
      <c r="G182" s="283"/>
    </row>
    <row r="183" spans="1:8">
      <c r="A183" s="274" t="s">
        <v>1310</v>
      </c>
      <c r="B183" s="274"/>
      <c r="C183" s="274"/>
      <c r="D183" s="296" t="e">
        <f>SUM(D181:D182)</f>
        <v>#REF!</v>
      </c>
      <c r="F183" s="281" t="e">
        <f>SUM(F181:F182)</f>
        <v>#REF!</v>
      </c>
      <c r="G183" s="291"/>
      <c r="H183" s="280" t="e">
        <f>+F183+'Form 3Q (Total)'!V65</f>
        <v>#REF!</v>
      </c>
    </row>
    <row r="185" spans="1:8" s="273" customFormat="1">
      <c r="A185" s="272"/>
    </row>
    <row r="187" spans="1:8">
      <c r="A187" s="274" t="s">
        <v>1311</v>
      </c>
      <c r="B187" s="275" t="s">
        <v>1303</v>
      </c>
    </row>
    <row r="189" spans="1:8" ht="62.25" customHeight="1">
      <c r="A189" s="355" t="s">
        <v>1360</v>
      </c>
      <c r="B189" s="355"/>
      <c r="C189" s="355"/>
      <c r="D189" s="355"/>
      <c r="E189" s="285"/>
    </row>
    <row r="191" spans="1:8">
      <c r="A191" s="278" t="s">
        <v>1304</v>
      </c>
      <c r="B191" s="278"/>
      <c r="C191" s="278"/>
      <c r="D191" s="295" t="e">
        <f>ROUND(F191,0)</f>
        <v>#REF!</v>
      </c>
      <c r="F191" s="279" t="e">
        <f>+#REF!</f>
        <v>#REF!</v>
      </c>
      <c r="G191" s="279"/>
    </row>
    <row r="192" spans="1:8">
      <c r="A192" s="278" t="s">
        <v>1305</v>
      </c>
      <c r="B192" s="278"/>
      <c r="C192" s="278"/>
      <c r="D192" s="297">
        <f>ROUND(F192,0)</f>
        <v>-9520806</v>
      </c>
      <c r="F192" s="280">
        <f>+'Form 3Q (PA)'!M102</f>
        <v>-9520806.4299999997</v>
      </c>
      <c r="G192" s="280"/>
    </row>
    <row r="193" spans="1:8">
      <c r="A193" s="274" t="s">
        <v>1361</v>
      </c>
      <c r="B193" s="274"/>
      <c r="C193" s="274"/>
      <c r="D193" s="296" t="e">
        <f>SUM(D191:D192)</f>
        <v>#REF!</v>
      </c>
      <c r="F193" s="281" t="e">
        <f>SUM(F191:F192)</f>
        <v>#REF!</v>
      </c>
      <c r="G193" s="291"/>
      <c r="H193" s="280" t="e">
        <f>+F193-'Summary - Cost - PG 1 (Tot)'!N17-'Summary - Cost - PG 1 (Tot)'!N69</f>
        <v>#REF!</v>
      </c>
    </row>
    <row r="195" spans="1:8" s="273" customFormat="1">
      <c r="A195" s="272"/>
    </row>
    <row r="197" spans="1:8">
      <c r="A197" s="274" t="s">
        <v>1312</v>
      </c>
      <c r="B197" s="275" t="s">
        <v>1303</v>
      </c>
    </row>
    <row r="199" spans="1:8" ht="62.25" customHeight="1">
      <c r="A199" s="355" t="s">
        <v>1348</v>
      </c>
      <c r="B199" s="355"/>
      <c r="C199" s="355"/>
      <c r="D199" s="355"/>
      <c r="E199" s="285"/>
    </row>
    <row r="201" spans="1:8">
      <c r="A201" s="278" t="s">
        <v>1304</v>
      </c>
      <c r="B201" s="278"/>
      <c r="C201" s="278"/>
      <c r="D201" s="295" t="e">
        <f>ROUND(F201,0)</f>
        <v>#REF!</v>
      </c>
      <c r="F201" s="282" t="e">
        <f>-#REF!</f>
        <v>#REF!</v>
      </c>
      <c r="G201" s="282"/>
    </row>
    <row r="202" spans="1:8">
      <c r="A202" s="278" t="s">
        <v>1305</v>
      </c>
      <c r="B202" s="278"/>
      <c r="C202" s="278"/>
      <c r="D202" s="297">
        <f>ROUND(F202,0)</f>
        <v>-9520806</v>
      </c>
      <c r="F202" s="283">
        <f>-'Form 3Q (PA)'!V66</f>
        <v>-9520806.4299999997</v>
      </c>
      <c r="G202" s="283"/>
    </row>
    <row r="203" spans="1:8">
      <c r="A203" s="274" t="s">
        <v>1313</v>
      </c>
      <c r="B203" s="274"/>
      <c r="C203" s="274"/>
      <c r="D203" s="296" t="e">
        <f>SUM(D201:D202)</f>
        <v>#REF!</v>
      </c>
      <c r="F203" s="281" t="e">
        <f>SUM(F201:F202)</f>
        <v>#REF!</v>
      </c>
      <c r="G203" s="291"/>
      <c r="H203" s="280" t="e">
        <f>+F203+'Form 3Q (Total)'!V66</f>
        <v>#REF!</v>
      </c>
    </row>
    <row r="205" spans="1:8">
      <c r="A205" s="274" t="s">
        <v>1349</v>
      </c>
    </row>
    <row r="207" spans="1:8" s="273" customFormat="1">
      <c r="A207" s="272"/>
    </row>
    <row r="209" spans="1:8">
      <c r="A209" s="274" t="s">
        <v>1314</v>
      </c>
      <c r="B209" s="275" t="s">
        <v>1303</v>
      </c>
    </row>
    <row r="211" spans="1:8" ht="62.25" customHeight="1">
      <c r="A211" s="355" t="s">
        <v>1362</v>
      </c>
      <c r="B211" s="355"/>
      <c r="C211" s="355"/>
      <c r="D211" s="355"/>
      <c r="E211" s="285"/>
    </row>
    <row r="213" spans="1:8">
      <c r="A213" s="278" t="s">
        <v>1304</v>
      </c>
      <c r="B213" s="278"/>
      <c r="C213" s="278"/>
      <c r="D213" s="295" t="e">
        <f>ROUND(F213,0)</f>
        <v>#REF!</v>
      </c>
      <c r="F213" s="279" t="e">
        <f>+#REF!</f>
        <v>#REF!</v>
      </c>
      <c r="G213" s="279"/>
    </row>
    <row r="214" spans="1:8">
      <c r="A214" s="278" t="s">
        <v>1305</v>
      </c>
      <c r="B214" s="278"/>
      <c r="C214" s="278"/>
      <c r="D214" s="297">
        <f>ROUND(F214,0)</f>
        <v>-58449821</v>
      </c>
      <c r="F214" s="280">
        <f>+'Form 3Q (PA)'!M104</f>
        <v>-58449821.309999995</v>
      </c>
      <c r="G214" s="280"/>
    </row>
    <row r="215" spans="1:8">
      <c r="A215" s="274" t="s">
        <v>1363</v>
      </c>
      <c r="B215" s="274"/>
      <c r="C215" s="274"/>
      <c r="D215" s="296" t="e">
        <f>SUM(D213:D214)</f>
        <v>#REF!</v>
      </c>
      <c r="F215" s="281" t="e">
        <f>SUM(F213:F214)</f>
        <v>#REF!</v>
      </c>
      <c r="G215" s="291"/>
      <c r="H215" s="280" t="e">
        <f>+F215-'Summary - Cost - PG 1 (Tot)'!N19-'Summary - Cost - PG 1 (Tot)'!N71</f>
        <v>#REF!</v>
      </c>
    </row>
    <row r="217" spans="1:8" s="273" customFormat="1">
      <c r="A217" s="272"/>
    </row>
    <row r="219" spans="1:8">
      <c r="A219" s="274" t="s">
        <v>1315</v>
      </c>
      <c r="B219" s="275" t="s">
        <v>1303</v>
      </c>
    </row>
    <row r="221" spans="1:8" ht="62.25" customHeight="1">
      <c r="A221" s="355" t="s">
        <v>1350</v>
      </c>
      <c r="B221" s="355"/>
      <c r="C221" s="355"/>
      <c r="D221" s="355"/>
      <c r="E221" s="285"/>
    </row>
    <row r="223" spans="1:8">
      <c r="A223" s="278" t="s">
        <v>1304</v>
      </c>
      <c r="B223" s="278"/>
      <c r="C223" s="278"/>
      <c r="D223" s="295" t="e">
        <f>ROUND(F223,0)</f>
        <v>#REF!</v>
      </c>
      <c r="F223" s="282" t="e">
        <f>-#REF!</f>
        <v>#REF!</v>
      </c>
      <c r="G223" s="282"/>
    </row>
    <row r="224" spans="1:8">
      <c r="A224" s="278" t="s">
        <v>1305</v>
      </c>
      <c r="B224" s="278"/>
      <c r="C224" s="278"/>
      <c r="D224" s="297">
        <f>ROUND(F224,0)</f>
        <v>-58448407</v>
      </c>
      <c r="F224" s="283">
        <f>-'Form 3Q (PA)'!V67</f>
        <v>-58448406.530000001</v>
      </c>
      <c r="G224" s="283"/>
    </row>
    <row r="225" spans="1:8">
      <c r="A225" s="274" t="s">
        <v>1316</v>
      </c>
      <c r="B225" s="274"/>
      <c r="C225" s="274"/>
      <c r="D225" s="296" t="e">
        <f>SUM(D223:D224)</f>
        <v>#REF!</v>
      </c>
      <c r="F225" s="281" t="e">
        <f>SUM(F223:F224)</f>
        <v>#REF!</v>
      </c>
      <c r="G225" s="291"/>
      <c r="H225" s="280" t="e">
        <f>+F225+'Form 3Q (Total)'!V67</f>
        <v>#REF!</v>
      </c>
    </row>
    <row r="227" spans="1:8" s="273" customFormat="1">
      <c r="A227" s="272"/>
    </row>
    <row r="229" spans="1:8">
      <c r="A229" s="274" t="s">
        <v>1317</v>
      </c>
      <c r="B229" s="275" t="s">
        <v>1303</v>
      </c>
    </row>
    <row r="231" spans="1:8" ht="62.25" customHeight="1">
      <c r="A231" s="355" t="s">
        <v>1364</v>
      </c>
      <c r="B231" s="355"/>
      <c r="C231" s="355"/>
      <c r="D231" s="355"/>
      <c r="E231" s="285"/>
    </row>
    <row r="233" spans="1:8">
      <c r="A233" s="278" t="s">
        <v>1304</v>
      </c>
      <c r="B233" s="278"/>
      <c r="C233" s="278"/>
      <c r="D233" s="295" t="e">
        <f>ROUND(F233,0)</f>
        <v>#REF!</v>
      </c>
      <c r="F233" s="279" t="e">
        <f>+#REF!</f>
        <v>#REF!</v>
      </c>
      <c r="G233" s="279"/>
    </row>
    <row r="234" spans="1:8">
      <c r="A234" s="278" t="s">
        <v>1305</v>
      </c>
      <c r="B234" s="278"/>
      <c r="C234" s="278"/>
      <c r="D234" s="297">
        <f>ROUND(F234,0)</f>
        <v>-116411505</v>
      </c>
      <c r="F234" s="280">
        <f>+'Form 3Q (PA)'!M106</f>
        <v>-116411504.66</v>
      </c>
      <c r="G234" s="280"/>
    </row>
    <row r="235" spans="1:8">
      <c r="A235" s="274" t="s">
        <v>1365</v>
      </c>
      <c r="B235" s="274"/>
      <c r="C235" s="274"/>
      <c r="D235" s="296" t="e">
        <f>SUM(D233:D234)</f>
        <v>#REF!</v>
      </c>
      <c r="F235" s="281" t="e">
        <f>SUM(F233:F234)</f>
        <v>#REF!</v>
      </c>
      <c r="G235" s="291"/>
      <c r="H235" s="280" t="e">
        <f>+F235-'Summary - Cost - PG 1 (Tot)'!N21-'Summary - Cost - PG 1 (Tot)'!N73</f>
        <v>#REF!</v>
      </c>
    </row>
    <row r="237" spans="1:8" s="273" customFormat="1">
      <c r="A237" s="272"/>
    </row>
    <row r="239" spans="1:8">
      <c r="A239" s="274" t="s">
        <v>1318</v>
      </c>
      <c r="B239" s="275" t="s">
        <v>1303</v>
      </c>
    </row>
    <row r="241" spans="1:8" ht="62.25" customHeight="1">
      <c r="A241" s="355" t="s">
        <v>1366</v>
      </c>
      <c r="B241" s="355"/>
      <c r="C241" s="355"/>
      <c r="D241" s="355"/>
      <c r="E241" s="285"/>
    </row>
    <row r="243" spans="1:8">
      <c r="A243" s="278" t="s">
        <v>1304</v>
      </c>
      <c r="B243" s="278"/>
      <c r="C243" s="278"/>
      <c r="D243" s="295" t="e">
        <f>ROUND(F243,0)</f>
        <v>#REF!</v>
      </c>
      <c r="F243" s="282" t="e">
        <f>-#REF!</f>
        <v>#REF!</v>
      </c>
      <c r="G243" s="282"/>
    </row>
    <row r="244" spans="1:8">
      <c r="A244" s="278" t="s">
        <v>1305</v>
      </c>
      <c r="B244" s="278"/>
      <c r="C244" s="278"/>
      <c r="D244" s="297">
        <f>ROUND(F244,0)</f>
        <v>-116411055</v>
      </c>
      <c r="F244" s="283">
        <f>-'Form 3Q (PA)'!V68</f>
        <v>-116411055.22</v>
      </c>
      <c r="G244" s="283"/>
    </row>
    <row r="245" spans="1:8">
      <c r="A245" s="274" t="s">
        <v>1367</v>
      </c>
      <c r="B245" s="274"/>
      <c r="C245" s="274"/>
      <c r="D245" s="296" t="e">
        <f>SUM(D243:D244)</f>
        <v>#REF!</v>
      </c>
      <c r="F245" s="281" t="e">
        <f>SUM(F243:F244)</f>
        <v>#REF!</v>
      </c>
      <c r="G245" s="291"/>
      <c r="H245" s="280" t="e">
        <f>+F245+'Form 3Q (Total)'!V68</f>
        <v>#REF!</v>
      </c>
    </row>
    <row r="247" spans="1:8" s="273" customFormat="1">
      <c r="A247" s="272"/>
    </row>
    <row r="249" spans="1:8">
      <c r="A249" s="274" t="s">
        <v>1319</v>
      </c>
      <c r="B249" s="275" t="s">
        <v>1303</v>
      </c>
    </row>
    <row r="251" spans="1:8" ht="62.25" customHeight="1">
      <c r="A251" s="355" t="s">
        <v>1368</v>
      </c>
      <c r="B251" s="355"/>
      <c r="C251" s="355"/>
      <c r="D251" s="355"/>
      <c r="E251" s="285"/>
    </row>
    <row r="253" spans="1:8">
      <c r="A253" s="278" t="s">
        <v>1304</v>
      </c>
      <c r="B253" s="278"/>
      <c r="C253" s="278"/>
      <c r="D253" s="295" t="e">
        <f>ROUND(F253,0)</f>
        <v>#REF!</v>
      </c>
      <c r="F253" s="279" t="e">
        <f>+#REF!</f>
        <v>#REF!</v>
      </c>
      <c r="G253" s="279"/>
    </row>
    <row r="254" spans="1:8">
      <c r="A254" s="278" t="s">
        <v>1305</v>
      </c>
      <c r="B254" s="278"/>
      <c r="C254" s="278"/>
      <c r="D254" s="297">
        <f>ROUND(F254,0)</f>
        <v>-270912093</v>
      </c>
      <c r="F254" s="280">
        <f>+'Form 3Q (PA)'!M100</f>
        <v>-270912092.75</v>
      </c>
      <c r="G254" s="280"/>
    </row>
    <row r="255" spans="1:8">
      <c r="A255" s="274" t="s">
        <v>1369</v>
      </c>
      <c r="B255" s="274"/>
      <c r="C255" s="274"/>
      <c r="D255" s="296" t="e">
        <f>SUM(D253:D254)</f>
        <v>#REF!</v>
      </c>
      <c r="F255" s="281" t="e">
        <f>SUM(F253:F254)</f>
        <v>#REF!</v>
      </c>
      <c r="G255" s="291"/>
      <c r="H255" s="280" t="e">
        <f>+F255-'Summary - Cost - PG 1 (Tot)'!N15-'Summary - Cost - PG 1 (Tot)'!N67</f>
        <v>#REF!</v>
      </c>
    </row>
    <row r="257" spans="1:8" s="273" customFormat="1">
      <c r="A257" s="272"/>
    </row>
    <row r="259" spans="1:8">
      <c r="A259" s="274" t="s">
        <v>1320</v>
      </c>
      <c r="B259" s="275" t="s">
        <v>1303</v>
      </c>
    </row>
    <row r="261" spans="1:8" ht="62.25" customHeight="1">
      <c r="A261" s="355" t="s">
        <v>1370</v>
      </c>
      <c r="B261" s="355"/>
      <c r="C261" s="355"/>
      <c r="D261" s="355"/>
      <c r="E261" s="285"/>
    </row>
    <row r="263" spans="1:8">
      <c r="A263" s="278" t="s">
        <v>1304</v>
      </c>
      <c r="B263" s="278"/>
      <c r="C263" s="278"/>
      <c r="D263" s="295" t="e">
        <f>ROUND(F263,0)</f>
        <v>#REF!</v>
      </c>
      <c r="F263" s="282" t="e">
        <f>-#REF!</f>
        <v>#REF!</v>
      </c>
      <c r="G263" s="282"/>
    </row>
    <row r="264" spans="1:8">
      <c r="A264" s="278" t="s">
        <v>1305</v>
      </c>
      <c r="B264" s="278"/>
      <c r="C264" s="278"/>
      <c r="D264" s="297">
        <f>ROUND(F264,0)</f>
        <v>-270912139</v>
      </c>
      <c r="F264" s="283">
        <f>-'Form 3Q (PA)'!V69</f>
        <v>-270912138.98999995</v>
      </c>
      <c r="G264" s="283"/>
    </row>
    <row r="265" spans="1:8">
      <c r="A265" s="274" t="s">
        <v>1371</v>
      </c>
      <c r="B265" s="274"/>
      <c r="C265" s="274"/>
      <c r="D265" s="296" t="e">
        <f>SUM(D263:D264)</f>
        <v>#REF!</v>
      </c>
      <c r="F265" s="281" t="e">
        <f>SUM(F263:F264)</f>
        <v>#REF!</v>
      </c>
      <c r="G265" s="291"/>
      <c r="H265" s="280" t="e">
        <f>+F265+'Form 3Q (Total)'!V69</f>
        <v>#REF!</v>
      </c>
    </row>
    <row r="267" spans="1:8" s="273" customFormat="1">
      <c r="A267" s="272"/>
    </row>
    <row r="269" spans="1:8">
      <c r="A269" s="274" t="s">
        <v>1321</v>
      </c>
      <c r="B269" s="275" t="s">
        <v>1303</v>
      </c>
    </row>
    <row r="271" spans="1:8" ht="62.25" customHeight="1">
      <c r="A271" s="355" t="s">
        <v>1372</v>
      </c>
      <c r="B271" s="355"/>
      <c r="C271" s="355"/>
      <c r="D271" s="355"/>
      <c r="E271" s="285"/>
    </row>
    <row r="273" spans="1:8">
      <c r="A273" s="278" t="s">
        <v>1304</v>
      </c>
      <c r="B273" s="278"/>
      <c r="C273" s="278"/>
      <c r="D273" s="295" t="e">
        <f>ROUND(F273,0)</f>
        <v>#REF!</v>
      </c>
      <c r="F273" s="279" t="e">
        <f>+#REF!</f>
        <v>#REF!</v>
      </c>
      <c r="G273" s="279"/>
    </row>
    <row r="274" spans="1:8">
      <c r="A274" s="278" t="s">
        <v>1305</v>
      </c>
      <c r="B274" s="278"/>
      <c r="C274" s="278"/>
      <c r="D274" s="297">
        <f>ROUND(F274,0)</f>
        <v>-10786063</v>
      </c>
      <c r="F274" s="280">
        <f>+'Form 3Q (PA)'!M101</f>
        <v>-10786063.049999999</v>
      </c>
      <c r="G274" s="280"/>
    </row>
    <row r="275" spans="1:8">
      <c r="A275" s="274" t="s">
        <v>1373</v>
      </c>
      <c r="B275" s="274"/>
      <c r="C275" s="274"/>
      <c r="D275" s="296" t="e">
        <f>SUM(D273:D274)</f>
        <v>#REF!</v>
      </c>
      <c r="F275" s="281" t="e">
        <f>SUM(F273:F274)</f>
        <v>#REF!</v>
      </c>
      <c r="G275" s="291"/>
      <c r="H275" s="280" t="e">
        <f>+F275-'Summary - Cost - PG 1 (Tot)'!N16-'Summary - Cost - PG 1 (Tot)'!N68</f>
        <v>#REF!</v>
      </c>
    </row>
    <row r="277" spans="1:8" s="273" customFormat="1">
      <c r="A277" s="272"/>
    </row>
    <row r="279" spans="1:8">
      <c r="A279" s="274" t="s">
        <v>1322</v>
      </c>
      <c r="B279" s="275" t="s">
        <v>1303</v>
      </c>
    </row>
    <row r="281" spans="1:8" ht="62.25" customHeight="1">
      <c r="A281" s="355" t="s">
        <v>1374</v>
      </c>
      <c r="B281" s="355"/>
      <c r="C281" s="355"/>
      <c r="D281" s="355"/>
      <c r="E281" s="285"/>
    </row>
    <row r="282" spans="1:8">
      <c r="D282" s="277"/>
      <c r="E282" s="277"/>
    </row>
    <row r="283" spans="1:8">
      <c r="A283" s="278" t="s">
        <v>1304</v>
      </c>
      <c r="B283" s="278"/>
      <c r="C283" s="278"/>
      <c r="D283" s="295" t="e">
        <f>ROUND(F283,0)</f>
        <v>#REF!</v>
      </c>
      <c r="F283" s="282" t="e">
        <f>-#REF!</f>
        <v>#REF!</v>
      </c>
      <c r="G283" s="282"/>
    </row>
    <row r="284" spans="1:8">
      <c r="A284" s="278" t="s">
        <v>1305</v>
      </c>
      <c r="B284" s="278"/>
      <c r="C284" s="278"/>
      <c r="D284" s="297">
        <f>ROUND(F284,0)</f>
        <v>-10786063</v>
      </c>
      <c r="F284" s="283">
        <f>-'Form 3Q (PA)'!V70</f>
        <v>-10786063.049999999</v>
      </c>
      <c r="G284" s="283"/>
    </row>
    <row r="285" spans="1:8">
      <c r="A285" s="274" t="s">
        <v>1375</v>
      </c>
      <c r="B285" s="274"/>
      <c r="C285" s="274"/>
      <c r="D285" s="296" t="e">
        <f>SUM(D283:D284)</f>
        <v>#REF!</v>
      </c>
      <c r="F285" s="281" t="e">
        <f>SUM(F283:F284)</f>
        <v>#REF!</v>
      </c>
      <c r="G285" s="291"/>
      <c r="H285" s="280" t="e">
        <f>+F285+'Form 3Q (Total)'!V70</f>
        <v>#REF!</v>
      </c>
    </row>
    <row r="287" spans="1:8">
      <c r="A287" s="274" t="s">
        <v>1349</v>
      </c>
    </row>
    <row r="289" spans="1:1" s="273" customFormat="1">
      <c r="A289" s="272"/>
    </row>
    <row r="290" spans="1:1">
      <c r="A290" s="274" t="s">
        <v>1323</v>
      </c>
    </row>
    <row r="291" spans="1:1" s="273" customFormat="1">
      <c r="A291" s="272"/>
    </row>
  </sheetData>
  <mergeCells count="32">
    <mergeCell ref="A281:D281"/>
    <mergeCell ref="A231:D231"/>
    <mergeCell ref="A241:D241"/>
    <mergeCell ref="A251:D251"/>
    <mergeCell ref="A261:D261"/>
    <mergeCell ref="A271:D271"/>
    <mergeCell ref="A179:D179"/>
    <mergeCell ref="A189:D189"/>
    <mergeCell ref="A199:D199"/>
    <mergeCell ref="A211:D211"/>
    <mergeCell ref="A221:D221"/>
    <mergeCell ref="A49:D49"/>
    <mergeCell ref="A59:D59"/>
    <mergeCell ref="A149:D149"/>
    <mergeCell ref="A159:D159"/>
    <mergeCell ref="A169:D169"/>
    <mergeCell ref="F138:F141"/>
    <mergeCell ref="A1:D1"/>
    <mergeCell ref="A2:D2"/>
    <mergeCell ref="A3:D3"/>
    <mergeCell ref="A129:D129"/>
    <mergeCell ref="A139:D139"/>
    <mergeCell ref="A69:D69"/>
    <mergeCell ref="A79:D79"/>
    <mergeCell ref="A89:D89"/>
    <mergeCell ref="A99:D99"/>
    <mergeCell ref="A109:D109"/>
    <mergeCell ref="A119:D119"/>
    <mergeCell ref="A9:D9"/>
    <mergeCell ref="A19:D19"/>
    <mergeCell ref="A29:D29"/>
    <mergeCell ref="A39:D39"/>
  </mergeCells>
  <pageMargins left="0.7" right="0.7" top="0.75" bottom="0.75" header="0.3" footer="0.3"/>
  <pageSetup scale="53" fitToHeight="0" orientation="portrait" r:id="rId1"/>
  <headerFooter>
    <oddFooter>&amp;Z&amp;F</oddFooter>
  </headerFooter>
  <rowBreaks count="3" manualBreakCount="3">
    <brk id="65" max="7" man="1"/>
    <brk id="125" max="7" man="1"/>
    <brk id="195" max="7" man="1"/>
  </rowBreaks>
</worksheet>
</file>

<file path=xl/worksheets/sheet10.xml><?xml version="1.0" encoding="utf-8"?>
<worksheet xmlns="http://schemas.openxmlformats.org/spreadsheetml/2006/main" xmlns:r="http://schemas.openxmlformats.org/officeDocument/2006/relationships">
  <sheetPr codeName="Sheet10"/>
  <dimension ref="A1:C1"/>
  <sheetViews>
    <sheetView workbookViewId="0"/>
  </sheetViews>
  <sheetFormatPr defaultColWidth="25.7109375" defaultRowHeight="13.5"/>
  <cols>
    <col min="1" max="16384" width="25.7109375" style="14"/>
  </cols>
  <sheetData>
    <row r="1" spans="1:3">
      <c r="A1" s="14">
        <v>0</v>
      </c>
      <c r="B1" s="14">
        <v>15</v>
      </c>
      <c r="C1" s="14" t="s">
        <v>789</v>
      </c>
    </row>
  </sheetData>
  <customSheetViews>
    <customSheetView guid="{6B74E52F-9552-408A-8775-25AFF24E6639}" state="hidden" showRuler="0">
      <pageMargins left="0.75" right="0.75" top="1" bottom="1" header="0.5" footer="0.5"/>
      <headerFooter alignWithMargins="0"/>
    </customSheetView>
  </customSheetViews>
  <phoneticPr fontId="4" type="noConversion"/>
  <pageMargins left="0.75" right="0.75" top="1" bottom="1" header="0.5" footer="0.5"/>
  <headerFooter alignWithMargins="0"/>
</worksheet>
</file>

<file path=xl/worksheets/sheet100.xml><?xml version="1.0" encoding="utf-8"?>
<worksheet xmlns="http://schemas.openxmlformats.org/spreadsheetml/2006/main" xmlns:r="http://schemas.openxmlformats.org/officeDocument/2006/relationships">
  <sheetPr codeName="Sheet55" enableFormatConditionsCalculation="0">
    <tabColor indexed="32"/>
    <pageSetUpPr fitToPage="1"/>
  </sheetPr>
  <dimension ref="A1:N187"/>
  <sheetViews>
    <sheetView zoomScaleNormal="100" workbookViewId="0">
      <pane xSplit="1" ySplit="7" topLeftCell="E143" activePane="bottomRight" state="frozen"/>
      <selection activeCell="C38" sqref="C38"/>
      <selection pane="topRight" activeCell="C38" sqref="C38"/>
      <selection pane="bottomLeft" activeCell="C38" sqref="C38"/>
      <selection pane="bottomRight" activeCell="L159" sqref="L159"/>
    </sheetView>
  </sheetViews>
  <sheetFormatPr defaultRowHeight="12.75"/>
  <cols>
    <col min="1" max="1" width="50.85546875" bestFit="1" customWidth="1"/>
    <col min="2" max="2" width="17.7109375" customWidth="1"/>
    <col min="3" max="3" width="1.7109375" customWidth="1"/>
    <col min="4" max="4" width="17.7109375" customWidth="1"/>
    <col min="5" max="5" width="1.7109375" customWidth="1"/>
    <col min="6" max="6" width="17.7109375" customWidth="1"/>
    <col min="7" max="7" width="1.7109375" customWidth="1"/>
    <col min="8" max="8" width="17.7109375" customWidth="1"/>
    <col min="9" max="9" width="1.7109375" customWidth="1"/>
    <col min="10" max="10" width="17.7109375" customWidth="1"/>
    <col min="11" max="11" width="1.7109375" customWidth="1"/>
    <col min="12" max="12" width="17.7109375" customWidth="1"/>
    <col min="13" max="13" width="12" customWidth="1"/>
    <col min="14" max="14" width="13" customWidth="1"/>
  </cols>
  <sheetData>
    <row r="1" spans="1:12" s="38" customFormat="1" ht="15.75">
      <c r="A1" s="366" t="s">
        <v>134</v>
      </c>
      <c r="B1" s="366"/>
      <c r="C1" s="366"/>
      <c r="D1" s="366"/>
      <c r="E1" s="366"/>
      <c r="F1" s="366"/>
      <c r="G1" s="366"/>
      <c r="H1" s="366"/>
      <c r="I1" s="366"/>
      <c r="J1" s="366"/>
      <c r="K1" s="366"/>
      <c r="L1" s="366"/>
    </row>
    <row r="2" spans="1:12" s="38" customFormat="1" ht="15.75">
      <c r="A2" s="366" t="s">
        <v>1223</v>
      </c>
      <c r="B2" s="366"/>
      <c r="C2" s="366"/>
      <c r="D2" s="366"/>
      <c r="E2" s="366"/>
      <c r="F2" s="366"/>
      <c r="G2" s="366"/>
      <c r="H2" s="366"/>
      <c r="I2" s="366"/>
      <c r="J2" s="366"/>
      <c r="K2" s="366"/>
      <c r="L2" s="366"/>
    </row>
    <row r="3" spans="1:12">
      <c r="A3" s="357" t="str">
        <f>'Summary - Cost - PG 1 (Fin)'!A3:N3</f>
        <v>MARCH 2012</v>
      </c>
      <c r="B3" s="357"/>
      <c r="C3" s="357"/>
      <c r="D3" s="357"/>
      <c r="E3" s="357"/>
      <c r="F3" s="357"/>
      <c r="G3" s="357"/>
      <c r="H3" s="357"/>
      <c r="I3" s="357"/>
      <c r="J3" s="357"/>
      <c r="K3" s="357"/>
      <c r="L3" s="357"/>
    </row>
    <row r="4" spans="1:12">
      <c r="A4" s="30"/>
      <c r="B4" s="30"/>
      <c r="C4" s="30"/>
      <c r="D4" s="30"/>
      <c r="E4" s="30"/>
      <c r="F4" s="30"/>
      <c r="G4" s="30"/>
      <c r="H4" s="30"/>
      <c r="I4" s="30"/>
      <c r="J4" s="30"/>
      <c r="K4" s="30"/>
      <c r="L4" s="30"/>
    </row>
    <row r="6" spans="1:12">
      <c r="B6" s="41" t="s">
        <v>25</v>
      </c>
      <c r="D6" s="33"/>
      <c r="F6" s="33"/>
      <c r="H6" s="41" t="s">
        <v>612</v>
      </c>
      <c r="J6" s="33"/>
      <c r="L6" s="41" t="s">
        <v>26</v>
      </c>
    </row>
    <row r="7" spans="1:12" s="10" customFormat="1">
      <c r="B7" s="42" t="s">
        <v>27</v>
      </c>
      <c r="C7"/>
      <c r="D7" s="42" t="s">
        <v>107</v>
      </c>
      <c r="E7"/>
      <c r="F7" s="42" t="s">
        <v>108</v>
      </c>
      <c r="G7"/>
      <c r="H7" s="42" t="s">
        <v>613</v>
      </c>
      <c r="I7"/>
      <c r="J7" s="42" t="s">
        <v>109</v>
      </c>
      <c r="K7"/>
      <c r="L7" s="42" t="s">
        <v>27</v>
      </c>
    </row>
    <row r="8" spans="1:12" s="10" customFormat="1">
      <c r="B8" s="54"/>
      <c r="C8"/>
      <c r="D8" s="54"/>
      <c r="E8"/>
      <c r="F8" s="54"/>
      <c r="G8"/>
      <c r="H8" s="54"/>
      <c r="I8"/>
      <c r="J8" s="54"/>
      <c r="K8"/>
      <c r="L8" s="54"/>
    </row>
    <row r="9" spans="1:12" s="10" customFormat="1">
      <c r="A9" s="12" t="s">
        <v>572</v>
      </c>
      <c r="B9"/>
      <c r="C9"/>
      <c r="D9"/>
      <c r="E9"/>
      <c r="F9"/>
      <c r="G9"/>
      <c r="H9"/>
      <c r="I9"/>
      <c r="J9"/>
      <c r="K9"/>
      <c r="L9"/>
    </row>
    <row r="10" spans="1:12" s="10" customFormat="1">
      <c r="A10" s="12" t="s">
        <v>691</v>
      </c>
      <c r="B10"/>
      <c r="C10"/>
      <c r="D10"/>
      <c r="E10"/>
      <c r="F10"/>
      <c r="G10"/>
      <c r="H10"/>
      <c r="I10"/>
      <c r="J10"/>
      <c r="K10"/>
      <c r="L10"/>
    </row>
    <row r="11" spans="1:12">
      <c r="A11" t="s">
        <v>274</v>
      </c>
      <c r="B11" s="33">
        <v>4110848.6500000004</v>
      </c>
      <c r="C11" s="33"/>
      <c r="D11" s="33">
        <f>0+760274.98+455614.16</f>
        <v>1215889.1399999999</v>
      </c>
      <c r="E11" s="33"/>
      <c r="F11" s="300">
        <v>0</v>
      </c>
      <c r="G11" s="33"/>
      <c r="H11" s="300">
        <v>21926.880000000001</v>
      </c>
      <c r="I11" s="33"/>
      <c r="J11" s="33">
        <f>H11+F11+D11</f>
        <v>1237816.0199999998</v>
      </c>
      <c r="K11" s="33"/>
      <c r="L11" s="33">
        <f>B11+J11</f>
        <v>5348664.67</v>
      </c>
    </row>
    <row r="12" spans="1:12">
      <c r="A12" t="s">
        <v>275</v>
      </c>
      <c r="B12" s="33">
        <v>4257660.38</v>
      </c>
      <c r="C12" s="33"/>
      <c r="D12" s="33">
        <v>0</v>
      </c>
      <c r="E12" s="33"/>
      <c r="F12" s="300">
        <v>-398.73</v>
      </c>
      <c r="G12" s="33"/>
      <c r="H12" s="300">
        <v>0</v>
      </c>
      <c r="I12" s="33"/>
      <c r="J12" s="33">
        <f t="shared" ref="J12:J92" si="0">H12+F12+D12</f>
        <v>-398.73</v>
      </c>
      <c r="K12" s="33"/>
      <c r="L12" s="33">
        <f t="shared" ref="L12:L92" si="1">B12+J12</f>
        <v>4257261.6499999994</v>
      </c>
    </row>
    <row r="13" spans="1:12">
      <c r="A13" t="s">
        <v>12</v>
      </c>
      <c r="B13" s="33">
        <v>97895768.549999997</v>
      </c>
      <c r="C13" s="33"/>
      <c r="D13" s="33">
        <f>47929.18+605283.2</f>
        <v>653212.38</v>
      </c>
      <c r="E13" s="33"/>
      <c r="F13" s="300">
        <f>-76777.47-4875.22</f>
        <v>-81652.69</v>
      </c>
      <c r="G13" s="33"/>
      <c r="H13" s="300">
        <v>0</v>
      </c>
      <c r="I13" s="33"/>
      <c r="J13" s="33">
        <f t="shared" si="0"/>
        <v>571559.68999999994</v>
      </c>
      <c r="K13" s="33"/>
      <c r="L13" s="33">
        <f t="shared" si="1"/>
        <v>98467328.239999995</v>
      </c>
    </row>
    <row r="14" spans="1:12">
      <c r="A14" t="s">
        <v>276</v>
      </c>
      <c r="B14" s="33">
        <v>133093684.14</v>
      </c>
      <c r="C14" s="33"/>
      <c r="D14" s="33">
        <f>1256926.13+433587.93+1267273.66</f>
        <v>2957787.7199999997</v>
      </c>
      <c r="E14" s="33"/>
      <c r="F14" s="300">
        <f>-114852.88-47086.5-165047.53</f>
        <v>-326986.91000000003</v>
      </c>
      <c r="G14" s="33"/>
      <c r="H14" s="300">
        <v>0</v>
      </c>
      <c r="I14" s="33"/>
      <c r="J14" s="33">
        <f t="shared" si="0"/>
        <v>2630800.8099999996</v>
      </c>
      <c r="K14" s="33"/>
      <c r="L14" s="33">
        <f t="shared" si="1"/>
        <v>135724484.94999999</v>
      </c>
    </row>
    <row r="15" spans="1:12">
      <c r="A15" t="s">
        <v>277</v>
      </c>
      <c r="B15" s="33">
        <v>229364063.57999998</v>
      </c>
      <c r="C15" s="33"/>
      <c r="D15" s="33">
        <f>2919894.63+850257.35+3378822.21</f>
        <v>7148974.1899999995</v>
      </c>
      <c r="E15" s="33"/>
      <c r="F15" s="300">
        <f>-222629.05-100120.97-303700.72</f>
        <v>-626450.74</v>
      </c>
      <c r="G15" s="33"/>
      <c r="H15" s="300">
        <v>0</v>
      </c>
      <c r="I15" s="33"/>
      <c r="J15" s="33">
        <f t="shared" si="0"/>
        <v>6522523.4499999993</v>
      </c>
      <c r="K15" s="33"/>
      <c r="L15" s="33">
        <f t="shared" si="1"/>
        <v>235886587.02999997</v>
      </c>
    </row>
    <row r="16" spans="1:12">
      <c r="A16" t="s">
        <v>278</v>
      </c>
      <c r="B16" s="33">
        <v>68309295.700000003</v>
      </c>
      <c r="C16" s="33"/>
      <c r="D16" s="33">
        <f>1502.5+121708.24+2220.11</f>
        <v>125430.85</v>
      </c>
      <c r="E16" s="33"/>
      <c r="F16" s="300">
        <f>-1566.44-264.66-10955.49</f>
        <v>-12786.59</v>
      </c>
      <c r="G16" s="33"/>
      <c r="H16" s="300">
        <v>0</v>
      </c>
      <c r="I16" s="33"/>
      <c r="J16" s="33">
        <f t="shared" si="0"/>
        <v>112644.26000000001</v>
      </c>
      <c r="K16" s="33"/>
      <c r="L16" s="33">
        <f t="shared" si="1"/>
        <v>68421939.960000008</v>
      </c>
    </row>
    <row r="17" spans="1:12">
      <c r="A17" t="s">
        <v>279</v>
      </c>
      <c r="B17" s="33">
        <v>141242429.60999998</v>
      </c>
      <c r="C17" s="33"/>
      <c r="D17" s="33">
        <f>1756330.08+1662606.03+137461.02</f>
        <v>3556397.1300000004</v>
      </c>
      <c r="E17" s="33"/>
      <c r="F17" s="300">
        <f>-101722.26-161752.85-75571.65</f>
        <v>-339046.76</v>
      </c>
      <c r="G17" s="33"/>
      <c r="H17" s="300">
        <v>0</v>
      </c>
      <c r="I17" s="33"/>
      <c r="J17" s="33">
        <f t="shared" si="0"/>
        <v>3217350.37</v>
      </c>
      <c r="K17" s="33"/>
      <c r="L17" s="33">
        <f t="shared" si="1"/>
        <v>144459779.97999999</v>
      </c>
    </row>
    <row r="18" spans="1:12">
      <c r="A18" t="s">
        <v>280</v>
      </c>
      <c r="B18" s="33">
        <v>138536012.84</v>
      </c>
      <c r="C18" s="33"/>
      <c r="D18" s="33">
        <f>911972.14+114407.21</f>
        <v>1026379.35</v>
      </c>
      <c r="E18" s="33"/>
      <c r="F18" s="300">
        <f>-3015.41-70034.95-1770.52</f>
        <v>-74820.88</v>
      </c>
      <c r="G18" s="33"/>
      <c r="H18" s="300">
        <v>0</v>
      </c>
      <c r="I18" s="33"/>
      <c r="J18" s="33">
        <f t="shared" si="0"/>
        <v>951558.47</v>
      </c>
      <c r="K18" s="33"/>
      <c r="L18" s="33">
        <f t="shared" si="1"/>
        <v>139487571.31</v>
      </c>
    </row>
    <row r="19" spans="1:12">
      <c r="A19" t="s">
        <v>308</v>
      </c>
      <c r="B19" s="33">
        <v>5972398.7800000003</v>
      </c>
      <c r="C19" s="33"/>
      <c r="D19" s="33">
        <f>7887.59-6481.41</f>
        <v>1406.1800000000003</v>
      </c>
      <c r="E19" s="33"/>
      <c r="F19" s="300">
        <f>-7190.84-5396.4-10338.23</f>
        <v>-22925.47</v>
      </c>
      <c r="G19" s="33"/>
      <c r="H19" s="300">
        <v>0</v>
      </c>
      <c r="I19" s="33"/>
      <c r="J19" s="33">
        <f t="shared" si="0"/>
        <v>-21519.29</v>
      </c>
      <c r="K19" s="33"/>
      <c r="L19" s="33">
        <f t="shared" si="1"/>
        <v>5950879.4900000002</v>
      </c>
    </row>
    <row r="20" spans="1:12">
      <c r="A20" t="s">
        <v>309</v>
      </c>
      <c r="B20" s="33">
        <v>21115396.680000003</v>
      </c>
      <c r="C20" s="33"/>
      <c r="D20" s="33">
        <f>0+1247192.02</f>
        <v>1247192.02</v>
      </c>
      <c r="E20" s="33"/>
      <c r="F20" s="300">
        <f>-18951.68-1949.29</f>
        <v>-20900.97</v>
      </c>
      <c r="G20" s="33"/>
      <c r="H20" s="300">
        <v>0</v>
      </c>
      <c r="I20" s="33"/>
      <c r="J20" s="33">
        <f t="shared" si="0"/>
        <v>1226291.05</v>
      </c>
      <c r="K20" s="33"/>
      <c r="L20" s="33">
        <f t="shared" si="1"/>
        <v>22341687.730000004</v>
      </c>
    </row>
    <row r="21" spans="1:12">
      <c r="A21" t="s">
        <v>310</v>
      </c>
      <c r="B21" s="33">
        <v>37655788.090000004</v>
      </c>
      <c r="C21" s="33"/>
      <c r="D21" s="180">
        <f>365288.08+104185.18</f>
        <v>469473.26</v>
      </c>
      <c r="E21" s="33"/>
      <c r="F21" s="300">
        <v>0</v>
      </c>
      <c r="G21" s="33"/>
      <c r="H21" s="300">
        <v>0</v>
      </c>
      <c r="I21" s="33"/>
      <c r="J21" s="33">
        <f t="shared" si="0"/>
        <v>469473.26</v>
      </c>
      <c r="K21" s="33"/>
      <c r="L21" s="33">
        <f t="shared" si="1"/>
        <v>38125261.350000001</v>
      </c>
    </row>
    <row r="22" spans="1:12">
      <c r="A22" t="s">
        <v>311</v>
      </c>
      <c r="B22" s="33">
        <v>34223760.439999998</v>
      </c>
      <c r="C22" s="33"/>
      <c r="D22" s="33">
        <f>637838.21+417821.7</f>
        <v>1055659.9099999999</v>
      </c>
      <c r="E22" s="33"/>
      <c r="F22" s="300">
        <f>-2505.62-223275.96</f>
        <v>-225781.58</v>
      </c>
      <c r="G22" s="33"/>
      <c r="H22" s="300">
        <v>0</v>
      </c>
      <c r="I22" s="33"/>
      <c r="J22" s="33">
        <f t="shared" si="0"/>
        <v>829878.33</v>
      </c>
      <c r="K22" s="33"/>
      <c r="L22" s="33">
        <f t="shared" si="1"/>
        <v>35053638.769999996</v>
      </c>
    </row>
    <row r="23" spans="1:12">
      <c r="A23" t="s">
        <v>312</v>
      </c>
      <c r="B23" s="33">
        <v>48109529.190000005</v>
      </c>
      <c r="C23" s="33"/>
      <c r="D23" s="33">
        <f>757403.46+2516.49</f>
        <v>759919.95</v>
      </c>
      <c r="E23" s="33"/>
      <c r="F23" s="300">
        <f>-2149.92-339.57-64052.05</f>
        <v>-66541.540000000008</v>
      </c>
      <c r="G23" s="33"/>
      <c r="H23" s="300">
        <v>0</v>
      </c>
      <c r="I23" s="33"/>
      <c r="J23" s="33">
        <f t="shared" si="0"/>
        <v>693378.40999999992</v>
      </c>
      <c r="K23" s="33"/>
      <c r="L23" s="33">
        <f t="shared" si="1"/>
        <v>48802907.600000001</v>
      </c>
    </row>
    <row r="24" spans="1:12">
      <c r="A24" t="s">
        <v>313</v>
      </c>
      <c r="B24" s="33">
        <v>0</v>
      </c>
      <c r="C24" s="33"/>
      <c r="D24" s="33">
        <v>0</v>
      </c>
      <c r="E24" s="33"/>
      <c r="F24" s="300">
        <v>0</v>
      </c>
      <c r="G24" s="33"/>
      <c r="H24" s="300">
        <v>0</v>
      </c>
      <c r="I24" s="33"/>
      <c r="J24" s="33">
        <f t="shared" si="0"/>
        <v>0</v>
      </c>
      <c r="K24" s="33"/>
      <c r="L24" s="33">
        <f t="shared" si="1"/>
        <v>0</v>
      </c>
    </row>
    <row r="25" spans="1:12">
      <c r="A25" t="s">
        <v>314</v>
      </c>
      <c r="B25" s="300">
        <v>481206.24000000005</v>
      </c>
      <c r="C25" s="37"/>
      <c r="D25" s="300">
        <v>0</v>
      </c>
      <c r="E25" s="37"/>
      <c r="F25" s="300">
        <v>0</v>
      </c>
      <c r="G25" s="37"/>
      <c r="H25" s="300">
        <v>0</v>
      </c>
      <c r="I25" s="37"/>
      <c r="J25" s="300">
        <f>H25+F25+D25</f>
        <v>0</v>
      </c>
      <c r="K25" s="37"/>
      <c r="L25" s="300">
        <f>B25+J25</f>
        <v>481206.24000000005</v>
      </c>
    </row>
    <row r="26" spans="1:12">
      <c r="A26" s="179" t="s">
        <v>1447</v>
      </c>
      <c r="B26" s="35">
        <v>145332.98000000001</v>
      </c>
      <c r="C26" s="300"/>
      <c r="D26" s="35">
        <v>0</v>
      </c>
      <c r="E26" s="300"/>
      <c r="F26" s="35">
        <v>0</v>
      </c>
      <c r="G26" s="300"/>
      <c r="H26" s="35">
        <f>145309.24-145332.98</f>
        <v>-23.740000000019791</v>
      </c>
      <c r="I26" s="300"/>
      <c r="J26" s="35">
        <f>H26+F26+D26</f>
        <v>-23.740000000019791</v>
      </c>
      <c r="K26" s="300"/>
      <c r="L26" s="35">
        <f>B26+J26</f>
        <v>145309.24</v>
      </c>
    </row>
    <row r="27" spans="1:12">
      <c r="B27" s="37">
        <f>SUM(B11:B26)</f>
        <v>964513175.85000014</v>
      </c>
      <c r="C27" s="37"/>
      <c r="D27" s="37">
        <f>SUM(D11:D26)</f>
        <v>20217722.080000002</v>
      </c>
      <c r="E27" s="37"/>
      <c r="F27" s="37">
        <f>SUM(F11:F26)</f>
        <v>-1798292.8599999999</v>
      </c>
      <c r="G27" s="37"/>
      <c r="H27" s="37">
        <f>SUM(H11:H26)</f>
        <v>21903.139999999981</v>
      </c>
      <c r="I27" s="37"/>
      <c r="J27" s="37">
        <f>SUM(J11:J26)</f>
        <v>18441332.359999999</v>
      </c>
      <c r="K27" s="37"/>
      <c r="L27" s="37">
        <f>SUM(L11:L26)</f>
        <v>982954508.21000004</v>
      </c>
    </row>
    <row r="28" spans="1:12">
      <c r="B28" s="37"/>
      <c r="C28" s="37"/>
      <c r="D28" s="37"/>
      <c r="E28" s="37"/>
      <c r="F28" s="37"/>
      <c r="G28" s="37"/>
      <c r="H28" s="37"/>
      <c r="I28" s="37"/>
      <c r="J28" s="37"/>
      <c r="K28" s="37"/>
      <c r="L28" s="37"/>
    </row>
    <row r="29" spans="1:12">
      <c r="A29" s="12" t="s">
        <v>808</v>
      </c>
      <c r="B29" s="37"/>
      <c r="C29" s="37"/>
      <c r="D29" s="37"/>
      <c r="E29" s="37"/>
      <c r="F29" s="37"/>
      <c r="G29" s="37"/>
      <c r="H29" s="37"/>
      <c r="I29" s="37"/>
      <c r="J29" s="37"/>
      <c r="K29" s="37"/>
      <c r="L29" s="37"/>
    </row>
    <row r="30" spans="1:12">
      <c r="A30" t="s">
        <v>315</v>
      </c>
      <c r="B30" s="37">
        <v>8184185.2400000002</v>
      </c>
      <c r="C30" s="37"/>
      <c r="D30" s="37">
        <v>118725.14</v>
      </c>
      <c r="E30" s="37"/>
      <c r="F30" s="37">
        <v>-39209.64</v>
      </c>
      <c r="G30" s="37"/>
      <c r="H30" s="37">
        <v>0</v>
      </c>
      <c r="I30" s="37"/>
      <c r="J30" s="37">
        <f t="shared" si="0"/>
        <v>79515.5</v>
      </c>
      <c r="K30" s="37"/>
      <c r="L30" s="37">
        <f t="shared" si="1"/>
        <v>8263700.7400000002</v>
      </c>
    </row>
    <row r="31" spans="1:12">
      <c r="A31" t="s">
        <v>316</v>
      </c>
      <c r="B31" s="37">
        <v>607413.67000000004</v>
      </c>
      <c r="C31" s="37"/>
      <c r="D31" s="37">
        <v>11695.62</v>
      </c>
      <c r="E31" s="37"/>
      <c r="F31" s="37">
        <v>0</v>
      </c>
      <c r="G31" s="37"/>
      <c r="H31" s="37">
        <v>0</v>
      </c>
      <c r="I31" s="37"/>
      <c r="J31" s="37">
        <f t="shared" si="0"/>
        <v>11695.62</v>
      </c>
      <c r="K31" s="37"/>
      <c r="L31" s="37">
        <f t="shared" si="1"/>
        <v>619109.29</v>
      </c>
    </row>
    <row r="32" spans="1:12">
      <c r="A32" t="s">
        <v>317</v>
      </c>
      <c r="B32" s="37">
        <v>4597160.37</v>
      </c>
      <c r="C32" s="37"/>
      <c r="D32" s="37">
        <v>48831.4</v>
      </c>
      <c r="E32" s="37"/>
      <c r="F32" s="37">
        <v>0</v>
      </c>
      <c r="G32" s="37"/>
      <c r="H32" s="37">
        <v>0</v>
      </c>
      <c r="I32" s="37"/>
      <c r="J32" s="37">
        <f t="shared" si="0"/>
        <v>48831.4</v>
      </c>
      <c r="K32" s="37"/>
      <c r="L32" s="37">
        <f t="shared" si="1"/>
        <v>4645991.7700000005</v>
      </c>
    </row>
    <row r="33" spans="1:12">
      <c r="A33" t="s">
        <v>318</v>
      </c>
      <c r="B33" s="37">
        <v>0</v>
      </c>
      <c r="C33" s="37"/>
      <c r="D33" s="37">
        <v>0</v>
      </c>
      <c r="E33" s="37"/>
      <c r="F33" s="37">
        <v>0</v>
      </c>
      <c r="G33" s="37"/>
      <c r="H33" s="37">
        <v>0</v>
      </c>
      <c r="I33" s="37"/>
      <c r="J33" s="37">
        <f t="shared" si="0"/>
        <v>0</v>
      </c>
      <c r="K33" s="37"/>
      <c r="L33" s="37">
        <f t="shared" si="1"/>
        <v>0</v>
      </c>
    </row>
    <row r="34" spans="1:12">
      <c r="A34" t="s">
        <v>319</v>
      </c>
      <c r="B34" s="37">
        <v>2403265.2799999998</v>
      </c>
      <c r="C34" s="37"/>
      <c r="D34" s="37">
        <v>0</v>
      </c>
      <c r="E34" s="37"/>
      <c r="F34" s="37">
        <v>0</v>
      </c>
      <c r="G34" s="37"/>
      <c r="H34" s="37">
        <v>0</v>
      </c>
      <c r="I34" s="37"/>
      <c r="J34" s="37">
        <f t="shared" si="0"/>
        <v>0</v>
      </c>
      <c r="K34" s="37"/>
      <c r="L34" s="37">
        <f t="shared" si="1"/>
        <v>2403265.2799999998</v>
      </c>
    </row>
    <row r="35" spans="1:12">
      <c r="A35" t="s">
        <v>320</v>
      </c>
      <c r="B35" s="35">
        <v>151086.93</v>
      </c>
      <c r="C35" s="37"/>
      <c r="D35" s="35">
        <v>0</v>
      </c>
      <c r="E35" s="37"/>
      <c r="F35" s="35">
        <v>0</v>
      </c>
      <c r="G35" s="37"/>
      <c r="H35" s="35">
        <v>0</v>
      </c>
      <c r="I35" s="37"/>
      <c r="J35" s="35">
        <f t="shared" si="0"/>
        <v>0</v>
      </c>
      <c r="K35" s="37"/>
      <c r="L35" s="35">
        <f t="shared" si="1"/>
        <v>151086.93</v>
      </c>
    </row>
    <row r="36" spans="1:12">
      <c r="B36" s="37">
        <f>SUM(B30:B35)</f>
        <v>15943111.49</v>
      </c>
      <c r="C36" s="37"/>
      <c r="D36" s="37">
        <f>SUM(D30:D35)</f>
        <v>179252.16</v>
      </c>
      <c r="E36" s="37"/>
      <c r="F36" s="37">
        <f>SUM(F30:F35)</f>
        <v>-39209.64</v>
      </c>
      <c r="G36" s="37"/>
      <c r="H36" s="37">
        <f>SUM(H30:H35)</f>
        <v>0</v>
      </c>
      <c r="I36" s="37"/>
      <c r="J36" s="37">
        <f>SUM(J30:J35)</f>
        <v>140042.51999999999</v>
      </c>
      <c r="K36" s="37"/>
      <c r="L36" s="37">
        <f>SUM(L30:L35)</f>
        <v>16083154.01</v>
      </c>
    </row>
    <row r="37" spans="1:12">
      <c r="B37" s="37"/>
      <c r="C37" s="37"/>
      <c r="D37" s="37"/>
      <c r="E37" s="37"/>
      <c r="F37" s="37"/>
      <c r="G37" s="37"/>
      <c r="H37" s="37"/>
      <c r="I37" s="37"/>
      <c r="J37" s="37"/>
      <c r="K37" s="37"/>
      <c r="L37" s="37"/>
    </row>
    <row r="38" spans="1:12">
      <c r="A38" s="12" t="s">
        <v>809</v>
      </c>
      <c r="B38" s="37"/>
      <c r="C38" s="37"/>
      <c r="D38" s="37"/>
      <c r="E38" s="37"/>
      <c r="F38" s="37"/>
      <c r="G38" s="37"/>
      <c r="H38" s="37"/>
      <c r="I38" s="37"/>
      <c r="J38" s="37"/>
      <c r="K38" s="37"/>
      <c r="L38" s="37"/>
    </row>
    <row r="39" spans="1:12">
      <c r="A39" t="s">
        <v>321</v>
      </c>
      <c r="B39" s="37">
        <v>6.5</v>
      </c>
      <c r="C39" s="37"/>
      <c r="D39" s="37">
        <v>0</v>
      </c>
      <c r="E39" s="37"/>
      <c r="F39" s="37">
        <v>0</v>
      </c>
      <c r="G39" s="37"/>
      <c r="H39" s="37">
        <v>0</v>
      </c>
      <c r="I39" s="37"/>
      <c r="J39" s="37">
        <f t="shared" si="0"/>
        <v>0</v>
      </c>
      <c r="K39" s="37"/>
      <c r="L39" s="37">
        <f t="shared" si="1"/>
        <v>6.5</v>
      </c>
    </row>
    <row r="40" spans="1:12">
      <c r="A40" t="s">
        <v>574</v>
      </c>
      <c r="B40" s="37">
        <v>4946919.47</v>
      </c>
      <c r="C40" s="37"/>
      <c r="D40" s="37">
        <v>16456.36</v>
      </c>
      <c r="E40" s="37"/>
      <c r="F40" s="37">
        <v>-507.91</v>
      </c>
      <c r="G40" s="37"/>
      <c r="H40" s="37">
        <v>0</v>
      </c>
      <c r="I40" s="37"/>
      <c r="J40" s="37">
        <f t="shared" si="0"/>
        <v>15948.45</v>
      </c>
      <c r="K40" s="37"/>
      <c r="L40" s="37">
        <f t="shared" si="1"/>
        <v>4962867.92</v>
      </c>
    </row>
    <row r="41" spans="1:12">
      <c r="A41" t="s">
        <v>575</v>
      </c>
      <c r="B41" s="37">
        <v>11690251.610000001</v>
      </c>
      <c r="C41" s="37"/>
      <c r="D41" s="37">
        <v>0</v>
      </c>
      <c r="E41" s="37"/>
      <c r="F41" s="37">
        <v>0</v>
      </c>
      <c r="G41" s="37"/>
      <c r="H41" s="37">
        <v>0</v>
      </c>
      <c r="I41" s="37"/>
      <c r="J41" s="37">
        <f t="shared" si="0"/>
        <v>0</v>
      </c>
      <c r="K41" s="37"/>
      <c r="L41" s="37">
        <f t="shared" si="1"/>
        <v>11690251.610000001</v>
      </c>
    </row>
    <row r="42" spans="1:12">
      <c r="A42" t="s">
        <v>576</v>
      </c>
      <c r="B42" s="37">
        <v>19945213.619999997</v>
      </c>
      <c r="C42" s="37"/>
      <c r="D42" s="37">
        <v>0</v>
      </c>
      <c r="E42" s="37"/>
      <c r="F42" s="37">
        <v>0</v>
      </c>
      <c r="G42" s="37"/>
      <c r="H42" s="37">
        <v>0</v>
      </c>
      <c r="I42" s="37"/>
      <c r="J42" s="37">
        <f t="shared" si="0"/>
        <v>0</v>
      </c>
      <c r="K42" s="37"/>
      <c r="L42" s="37">
        <f t="shared" si="1"/>
        <v>19945213.619999997</v>
      </c>
    </row>
    <row r="43" spans="1:12">
      <c r="A43" t="s">
        <v>577</v>
      </c>
      <c r="B43" s="37">
        <v>5509836.2199999997</v>
      </c>
      <c r="C43" s="37"/>
      <c r="D43" s="37">
        <v>0</v>
      </c>
      <c r="E43" s="37"/>
      <c r="F43" s="37">
        <v>0</v>
      </c>
      <c r="G43" s="37"/>
      <c r="H43" s="37">
        <v>0</v>
      </c>
      <c r="I43" s="37"/>
      <c r="J43" s="37">
        <f t="shared" si="0"/>
        <v>0</v>
      </c>
      <c r="K43" s="37"/>
      <c r="L43" s="37">
        <f t="shared" si="1"/>
        <v>5509836.2199999997</v>
      </c>
    </row>
    <row r="44" spans="1:12">
      <c r="A44" t="s">
        <v>281</v>
      </c>
      <c r="B44" s="37">
        <v>310247.09000000003</v>
      </c>
      <c r="C44" s="37"/>
      <c r="D44" s="37">
        <v>0</v>
      </c>
      <c r="E44" s="37"/>
      <c r="F44" s="37">
        <v>0</v>
      </c>
      <c r="G44" s="37"/>
      <c r="H44" s="37">
        <v>0</v>
      </c>
      <c r="I44" s="37"/>
      <c r="J44" s="37">
        <f t="shared" si="0"/>
        <v>0</v>
      </c>
      <c r="K44" s="37"/>
      <c r="L44" s="37">
        <f t="shared" si="1"/>
        <v>310247.09000000003</v>
      </c>
    </row>
    <row r="45" spans="1:12">
      <c r="A45" t="s">
        <v>282</v>
      </c>
      <c r="B45" s="37">
        <v>29930.61</v>
      </c>
      <c r="C45" s="37"/>
      <c r="D45" s="37">
        <v>0</v>
      </c>
      <c r="E45" s="37"/>
      <c r="F45" s="37">
        <v>0</v>
      </c>
      <c r="G45" s="37"/>
      <c r="H45" s="37">
        <v>0</v>
      </c>
      <c r="I45" s="37"/>
      <c r="J45" s="37">
        <f t="shared" si="0"/>
        <v>0</v>
      </c>
      <c r="K45" s="37"/>
      <c r="L45" s="37">
        <f t="shared" si="1"/>
        <v>29930.61</v>
      </c>
    </row>
    <row r="46" spans="1:12">
      <c r="A46" t="s">
        <v>283</v>
      </c>
      <c r="B46" s="35">
        <v>103528.98</v>
      </c>
      <c r="C46" s="37"/>
      <c r="D46" s="35">
        <v>0</v>
      </c>
      <c r="E46" s="37"/>
      <c r="F46" s="35">
        <v>0</v>
      </c>
      <c r="G46" s="37"/>
      <c r="H46" s="35">
        <v>0</v>
      </c>
      <c r="I46" s="37"/>
      <c r="J46" s="35">
        <f t="shared" si="0"/>
        <v>0</v>
      </c>
      <c r="K46" s="37"/>
      <c r="L46" s="35">
        <f t="shared" si="1"/>
        <v>103528.98</v>
      </c>
    </row>
    <row r="47" spans="1:12">
      <c r="B47" s="37">
        <f>SUM(B39:B46)</f>
        <v>42535934.100000001</v>
      </c>
      <c r="C47" s="37"/>
      <c r="D47" s="37">
        <f>SUM(D39:D46)</f>
        <v>16456.36</v>
      </c>
      <c r="E47" s="37"/>
      <c r="F47" s="37">
        <f>SUM(F39:F46)</f>
        <v>-507.91</v>
      </c>
      <c r="G47" s="37"/>
      <c r="H47" s="37">
        <f>SUM(H39:H46)</f>
        <v>0</v>
      </c>
      <c r="I47" s="37"/>
      <c r="J47" s="37">
        <f>SUM(J39:J46)</f>
        <v>15948.45</v>
      </c>
      <c r="K47" s="37"/>
      <c r="L47" s="37">
        <f>SUM(L39:L46)</f>
        <v>42551882.549999997</v>
      </c>
    </row>
    <row r="48" spans="1:12">
      <c r="B48" s="37"/>
      <c r="C48" s="37"/>
      <c r="D48" s="37"/>
      <c r="E48" s="37"/>
      <c r="F48" s="37"/>
      <c r="G48" s="37"/>
      <c r="H48" s="37"/>
      <c r="I48" s="37"/>
      <c r="J48" s="37"/>
      <c r="K48" s="37"/>
      <c r="L48" s="37"/>
    </row>
    <row r="49" spans="1:12">
      <c r="A49" s="3" t="s">
        <v>810</v>
      </c>
      <c r="B49" s="37"/>
      <c r="C49" s="37"/>
      <c r="D49" s="37"/>
      <c r="E49" s="37"/>
      <c r="F49" s="37"/>
      <c r="G49" s="37"/>
      <c r="H49" s="37"/>
      <c r="I49" s="37"/>
      <c r="J49" s="37"/>
      <c r="K49" s="37"/>
      <c r="L49" s="37"/>
    </row>
    <row r="50" spans="1:12">
      <c r="A50" t="s">
        <v>284</v>
      </c>
      <c r="B50" s="37">
        <v>2240.29</v>
      </c>
      <c r="C50" s="37"/>
      <c r="D50" s="37">
        <v>0</v>
      </c>
      <c r="E50" s="37"/>
      <c r="F50" s="37">
        <v>0</v>
      </c>
      <c r="G50" s="37"/>
      <c r="H50" s="37">
        <v>0</v>
      </c>
      <c r="I50" s="37"/>
      <c r="J50" s="37">
        <f t="shared" si="0"/>
        <v>0</v>
      </c>
      <c r="K50" s="37"/>
      <c r="L50" s="37">
        <f t="shared" si="1"/>
        <v>2240.29</v>
      </c>
    </row>
    <row r="51" spans="1:12">
      <c r="A51" t="s">
        <v>285</v>
      </c>
      <c r="B51" s="35">
        <v>0</v>
      </c>
      <c r="C51" s="37"/>
      <c r="D51" s="35">
        <v>0</v>
      </c>
      <c r="E51" s="37"/>
      <c r="F51" s="35">
        <v>0</v>
      </c>
      <c r="G51" s="37"/>
      <c r="H51" s="35">
        <v>0</v>
      </c>
      <c r="I51" s="37"/>
      <c r="J51" s="35">
        <f t="shared" si="0"/>
        <v>0</v>
      </c>
      <c r="K51" s="37"/>
      <c r="L51" s="35">
        <f t="shared" si="1"/>
        <v>0</v>
      </c>
    </row>
    <row r="52" spans="1:12">
      <c r="B52" s="37">
        <f>SUM(B50:B51)</f>
        <v>2240.29</v>
      </c>
      <c r="C52" s="37"/>
      <c r="D52" s="37">
        <f>SUM(D50:D51)</f>
        <v>0</v>
      </c>
      <c r="E52" s="37"/>
      <c r="F52" s="37">
        <f>SUM(F50:F51)</f>
        <v>0</v>
      </c>
      <c r="G52" s="37"/>
      <c r="H52" s="37">
        <f>SUM(H50:H51)</f>
        <v>0</v>
      </c>
      <c r="I52" s="37"/>
      <c r="J52" s="37">
        <f>SUM(J50:J51)</f>
        <v>0</v>
      </c>
      <c r="K52" s="37"/>
      <c r="L52" s="37">
        <f>SUM(L50:L51)</f>
        <v>2240.29</v>
      </c>
    </row>
    <row r="53" spans="1:12">
      <c r="B53" s="37"/>
      <c r="C53" s="37"/>
      <c r="D53" s="37"/>
      <c r="E53" s="37"/>
      <c r="F53" s="37"/>
      <c r="G53" s="37"/>
      <c r="H53" s="37"/>
      <c r="I53" s="37"/>
      <c r="J53" s="37"/>
      <c r="K53" s="37"/>
      <c r="L53" s="37"/>
    </row>
    <row r="54" spans="1:12">
      <c r="A54" s="3" t="s">
        <v>811</v>
      </c>
      <c r="B54" s="33"/>
      <c r="C54" s="33"/>
      <c r="D54" s="33"/>
      <c r="E54" s="33"/>
      <c r="F54" s="33"/>
      <c r="G54" s="33"/>
      <c r="H54" s="33"/>
      <c r="I54" s="33"/>
      <c r="J54" s="33"/>
      <c r="K54" s="33"/>
      <c r="L54" s="33"/>
    </row>
    <row r="55" spans="1:12">
      <c r="A55" t="s">
        <v>286</v>
      </c>
      <c r="B55" s="33">
        <v>8132.93</v>
      </c>
      <c r="C55" s="33"/>
      <c r="D55" s="33">
        <v>0</v>
      </c>
      <c r="E55" s="33"/>
      <c r="F55" s="300">
        <v>0</v>
      </c>
      <c r="G55" s="33"/>
      <c r="H55" s="300">
        <v>0</v>
      </c>
      <c r="I55" s="33"/>
      <c r="J55" s="33">
        <f t="shared" si="0"/>
        <v>0</v>
      </c>
      <c r="K55" s="33"/>
      <c r="L55" s="33">
        <f t="shared" si="1"/>
        <v>8132.93</v>
      </c>
    </row>
    <row r="56" spans="1:12">
      <c r="A56" t="s">
        <v>287</v>
      </c>
      <c r="B56" s="33">
        <v>15004439.449999999</v>
      </c>
      <c r="C56" s="33"/>
      <c r="D56" s="33">
        <v>0</v>
      </c>
      <c r="E56" s="33"/>
      <c r="F56" s="300">
        <v>0</v>
      </c>
      <c r="G56" s="33"/>
      <c r="H56" s="300">
        <v>0</v>
      </c>
      <c r="I56" s="33"/>
      <c r="J56" s="33">
        <f t="shared" si="0"/>
        <v>0</v>
      </c>
      <c r="K56" s="33"/>
      <c r="L56" s="33">
        <f t="shared" si="1"/>
        <v>15004439.449999999</v>
      </c>
    </row>
    <row r="57" spans="1:12">
      <c r="A57" t="s">
        <v>288</v>
      </c>
      <c r="B57" s="33">
        <v>7598823.620000001</v>
      </c>
      <c r="C57" s="33"/>
      <c r="D57" s="33">
        <v>0</v>
      </c>
      <c r="E57" s="33"/>
      <c r="F57" s="300">
        <v>0</v>
      </c>
      <c r="G57" s="33"/>
      <c r="H57" s="300">
        <v>0</v>
      </c>
      <c r="I57" s="33"/>
      <c r="J57" s="33">
        <f t="shared" si="0"/>
        <v>0</v>
      </c>
      <c r="K57" s="33"/>
      <c r="L57" s="33">
        <f t="shared" si="1"/>
        <v>7598823.620000001</v>
      </c>
    </row>
    <row r="58" spans="1:12">
      <c r="A58" t="s">
        <v>289</v>
      </c>
      <c r="B58" s="33">
        <v>153954210.49999997</v>
      </c>
      <c r="C58" s="33"/>
      <c r="D58" s="33">
        <v>3496324.74</v>
      </c>
      <c r="E58" s="33"/>
      <c r="F58" s="300">
        <v>-676874.51</v>
      </c>
      <c r="G58" s="33"/>
      <c r="H58" s="300">
        <v>0</v>
      </c>
      <c r="I58" s="33"/>
      <c r="J58" s="33">
        <f t="shared" si="0"/>
        <v>2819450.2300000004</v>
      </c>
      <c r="K58" s="33"/>
      <c r="L58" s="33">
        <f t="shared" si="1"/>
        <v>156773660.72999996</v>
      </c>
    </row>
    <row r="59" spans="1:12">
      <c r="A59" t="s">
        <v>290</v>
      </c>
      <c r="B59" s="33">
        <v>33171947.16</v>
      </c>
      <c r="C59" s="33"/>
      <c r="D59" s="33">
        <v>0</v>
      </c>
      <c r="E59" s="33"/>
      <c r="F59" s="300">
        <v>0</v>
      </c>
      <c r="G59" s="33"/>
      <c r="H59" s="300">
        <v>0</v>
      </c>
      <c r="I59" s="33"/>
      <c r="J59" s="33">
        <f t="shared" si="0"/>
        <v>0</v>
      </c>
      <c r="K59" s="33"/>
      <c r="L59" s="33">
        <f t="shared" si="1"/>
        <v>33171947.16</v>
      </c>
    </row>
    <row r="60" spans="1:12">
      <c r="A60" t="s">
        <v>291</v>
      </c>
      <c r="B60" s="33">
        <v>20674673.189999998</v>
      </c>
      <c r="C60" s="33"/>
      <c r="D60" s="300">
        <v>17830.12</v>
      </c>
      <c r="E60" s="33"/>
      <c r="F60" s="300">
        <v>0</v>
      </c>
      <c r="G60" s="33"/>
      <c r="H60" s="300">
        <v>0</v>
      </c>
      <c r="I60" s="33"/>
      <c r="J60" s="33">
        <f t="shared" si="0"/>
        <v>17830.12</v>
      </c>
      <c r="K60" s="33"/>
      <c r="L60" s="33">
        <f t="shared" si="1"/>
        <v>20692503.309999999</v>
      </c>
    </row>
    <row r="61" spans="1:12">
      <c r="A61" t="s">
        <v>292</v>
      </c>
      <c r="B61" s="33">
        <v>3796323</v>
      </c>
      <c r="C61" s="33"/>
      <c r="D61" s="33">
        <v>0</v>
      </c>
      <c r="E61" s="33"/>
      <c r="F61" s="300">
        <v>0</v>
      </c>
      <c r="G61" s="33"/>
      <c r="H61" s="300">
        <v>0</v>
      </c>
      <c r="I61" s="33"/>
      <c r="J61" s="33">
        <f t="shared" si="0"/>
        <v>0</v>
      </c>
      <c r="K61" s="33"/>
      <c r="L61" s="33">
        <f t="shared" si="1"/>
        <v>3796323</v>
      </c>
    </row>
    <row r="62" spans="1:12">
      <c r="A62" t="s">
        <v>293</v>
      </c>
      <c r="B62" s="33">
        <v>38429.14</v>
      </c>
      <c r="C62" s="33"/>
      <c r="D62" s="33">
        <v>0</v>
      </c>
      <c r="E62" s="33"/>
      <c r="F62" s="300">
        <v>0</v>
      </c>
      <c r="G62" s="33"/>
      <c r="H62" s="300">
        <v>0</v>
      </c>
      <c r="I62" s="33"/>
      <c r="J62" s="33">
        <f t="shared" si="0"/>
        <v>0</v>
      </c>
      <c r="K62" s="33"/>
      <c r="L62" s="33">
        <f t="shared" si="1"/>
        <v>38429.14</v>
      </c>
    </row>
    <row r="63" spans="1:12">
      <c r="A63" t="s">
        <v>294</v>
      </c>
      <c r="B63" s="35">
        <v>0</v>
      </c>
      <c r="C63" s="33"/>
      <c r="D63" s="35">
        <v>0</v>
      </c>
      <c r="E63" s="33"/>
      <c r="F63" s="35">
        <v>0</v>
      </c>
      <c r="G63" s="33"/>
      <c r="H63" s="35">
        <v>0</v>
      </c>
      <c r="I63" s="33"/>
      <c r="J63" s="35">
        <f t="shared" si="0"/>
        <v>0</v>
      </c>
      <c r="K63" s="33"/>
      <c r="L63" s="35">
        <f t="shared" si="1"/>
        <v>0</v>
      </c>
    </row>
    <row r="64" spans="1:12">
      <c r="B64" s="37">
        <f>SUM(B55:B63)</f>
        <v>234246978.98999995</v>
      </c>
      <c r="C64" s="37"/>
      <c r="D64" s="37">
        <f>SUM(D55:D63)</f>
        <v>3514154.8600000003</v>
      </c>
      <c r="E64" s="37"/>
      <c r="F64" s="37">
        <f>SUM(F55:F63)</f>
        <v>-676874.51</v>
      </c>
      <c r="G64" s="37"/>
      <c r="H64" s="37">
        <f>SUM(H55:H63)</f>
        <v>0</v>
      </c>
      <c r="I64" s="37"/>
      <c r="J64" s="37">
        <f>SUM(J55:J63)</f>
        <v>2837280.3500000006</v>
      </c>
      <c r="K64" s="37"/>
      <c r="L64" s="37">
        <f>SUM(L55:L63)</f>
        <v>237084259.33999994</v>
      </c>
    </row>
    <row r="65" spans="1:12">
      <c r="B65" s="37"/>
      <c r="C65" s="37"/>
      <c r="D65" s="37"/>
      <c r="E65" s="37"/>
      <c r="F65" s="37"/>
      <c r="G65" s="37"/>
      <c r="H65" s="37"/>
      <c r="I65" s="37"/>
      <c r="J65" s="37"/>
      <c r="K65" s="37"/>
      <c r="L65" s="37"/>
    </row>
    <row r="66" spans="1:12">
      <c r="A66" s="3" t="s">
        <v>812</v>
      </c>
      <c r="B66" s="37"/>
      <c r="C66" s="37"/>
      <c r="D66" s="37"/>
      <c r="E66" s="37"/>
      <c r="F66" s="37"/>
      <c r="G66" s="37"/>
      <c r="H66" s="37"/>
      <c r="I66" s="37"/>
      <c r="J66" s="37"/>
      <c r="K66" s="37"/>
      <c r="L66" s="37"/>
    </row>
    <row r="67" spans="1:12">
      <c r="A67" t="s">
        <v>295</v>
      </c>
      <c r="B67" s="37">
        <v>6193327.3699999992</v>
      </c>
      <c r="C67" s="37"/>
      <c r="D67" s="37">
        <v>0</v>
      </c>
      <c r="E67" s="37"/>
      <c r="F67" s="37">
        <v>0</v>
      </c>
      <c r="G67" s="37"/>
      <c r="H67" s="37">
        <v>0</v>
      </c>
      <c r="I67" s="37"/>
      <c r="J67" s="37">
        <f t="shared" si="0"/>
        <v>0</v>
      </c>
      <c r="K67" s="37"/>
      <c r="L67" s="37">
        <f t="shared" si="1"/>
        <v>6193327.3699999992</v>
      </c>
    </row>
    <row r="68" spans="1:12">
      <c r="A68" s="179" t="s">
        <v>1431</v>
      </c>
      <c r="B68" s="37">
        <v>100000</v>
      </c>
      <c r="C68" s="37"/>
      <c r="D68" s="37">
        <v>0</v>
      </c>
      <c r="E68" s="37"/>
      <c r="F68" s="37">
        <v>0</v>
      </c>
      <c r="G68" s="37"/>
      <c r="H68" s="37">
        <v>0</v>
      </c>
      <c r="I68" s="37"/>
      <c r="J68" s="37">
        <f t="shared" si="0"/>
        <v>0</v>
      </c>
      <c r="K68" s="37"/>
      <c r="L68" s="37">
        <f t="shared" si="1"/>
        <v>100000</v>
      </c>
    </row>
    <row r="69" spans="1:12">
      <c r="A69" t="s">
        <v>832</v>
      </c>
      <c r="B69" s="37">
        <v>294278907.96000004</v>
      </c>
      <c r="C69" s="37"/>
      <c r="D69" s="37">
        <f>359536.71+872077.86</f>
        <v>1231614.57</v>
      </c>
      <c r="E69" s="37"/>
      <c r="F69" s="37">
        <f>-51247.89-3229.97</f>
        <v>-54477.86</v>
      </c>
      <c r="G69" s="37"/>
      <c r="H69" s="37">
        <v>0</v>
      </c>
      <c r="I69" s="37"/>
      <c r="J69" s="37">
        <f t="shared" si="0"/>
        <v>1177136.71</v>
      </c>
      <c r="K69" s="37"/>
      <c r="L69" s="37">
        <f t="shared" si="1"/>
        <v>295456044.67000002</v>
      </c>
    </row>
    <row r="70" spans="1:12">
      <c r="A70" t="s">
        <v>833</v>
      </c>
      <c r="B70" s="37">
        <v>15770879.5</v>
      </c>
      <c r="C70" s="37"/>
      <c r="D70" s="37">
        <v>0</v>
      </c>
      <c r="E70" s="37"/>
      <c r="F70" s="37">
        <v>0</v>
      </c>
      <c r="G70" s="37"/>
      <c r="H70" s="37">
        <v>0</v>
      </c>
      <c r="I70" s="37"/>
      <c r="J70" s="37">
        <f t="shared" si="0"/>
        <v>0</v>
      </c>
      <c r="K70" s="37"/>
      <c r="L70" s="37">
        <f t="shared" si="1"/>
        <v>15770879.5</v>
      </c>
    </row>
    <row r="71" spans="1:12">
      <c r="A71" t="s">
        <v>834</v>
      </c>
      <c r="B71" s="37">
        <v>1365418875.78</v>
      </c>
      <c r="C71" s="37"/>
      <c r="D71" s="37">
        <f>956153.91+9197447.95</f>
        <v>10153601.859999999</v>
      </c>
      <c r="E71" s="37"/>
      <c r="F71" s="37">
        <f>-428645.92-399702.54</f>
        <v>-828348.46</v>
      </c>
      <c r="G71" s="37"/>
      <c r="H71" s="37">
        <v>0</v>
      </c>
      <c r="I71" s="37"/>
      <c r="J71" s="37">
        <f t="shared" si="0"/>
        <v>9325253.3999999985</v>
      </c>
      <c r="K71" s="37"/>
      <c r="L71" s="37">
        <f t="shared" si="1"/>
        <v>1374744129.1800001</v>
      </c>
    </row>
    <row r="72" spans="1:12">
      <c r="A72" t="s">
        <v>835</v>
      </c>
      <c r="B72" s="37">
        <v>638933.72</v>
      </c>
      <c r="C72" s="37"/>
      <c r="D72" s="37">
        <v>0</v>
      </c>
      <c r="E72" s="37"/>
      <c r="F72" s="37">
        <v>0</v>
      </c>
      <c r="G72" s="37"/>
      <c r="H72" s="37">
        <v>0</v>
      </c>
      <c r="I72" s="37"/>
      <c r="J72" s="37">
        <f t="shared" si="0"/>
        <v>0</v>
      </c>
      <c r="K72" s="37"/>
      <c r="L72" s="37">
        <f t="shared" si="1"/>
        <v>638933.72</v>
      </c>
    </row>
    <row r="73" spans="1:12">
      <c r="A73" t="s">
        <v>836</v>
      </c>
      <c r="B73" s="37">
        <v>212279087.56</v>
      </c>
      <c r="C73" s="37"/>
      <c r="D73" s="37">
        <f>93147.88+3054527.37</f>
        <v>3147675.25</v>
      </c>
      <c r="E73" s="37"/>
      <c r="F73" s="37">
        <f>-41203.41-148404.77</f>
        <v>-189608.18</v>
      </c>
      <c r="G73" s="37"/>
      <c r="H73" s="37">
        <v>0</v>
      </c>
      <c r="I73" s="37"/>
      <c r="J73" s="37">
        <f t="shared" si="0"/>
        <v>2958067.07</v>
      </c>
      <c r="K73" s="37"/>
      <c r="L73" s="37">
        <f t="shared" si="1"/>
        <v>215237154.63</v>
      </c>
    </row>
    <row r="74" spans="1:12">
      <c r="A74" t="s">
        <v>837</v>
      </c>
      <c r="B74" s="37">
        <v>175757254.49999997</v>
      </c>
      <c r="C74" s="37"/>
      <c r="D74" s="37">
        <f>2084458.81+249358.67</f>
        <v>2333817.48</v>
      </c>
      <c r="E74" s="37"/>
      <c r="F74" s="37">
        <f>1985.68-16250.57</f>
        <v>-14264.89</v>
      </c>
      <c r="G74" s="37"/>
      <c r="H74" s="37">
        <v>0</v>
      </c>
      <c r="I74" s="37"/>
      <c r="J74" s="37">
        <f t="shared" si="0"/>
        <v>2319552.59</v>
      </c>
      <c r="K74" s="37"/>
      <c r="L74" s="37">
        <f t="shared" si="1"/>
        <v>178076807.08999997</v>
      </c>
    </row>
    <row r="75" spans="1:12">
      <c r="A75" t="s">
        <v>1024</v>
      </c>
      <c r="B75" s="37">
        <v>0</v>
      </c>
      <c r="C75" s="37"/>
      <c r="D75" s="37">
        <v>0</v>
      </c>
      <c r="E75" s="37"/>
      <c r="F75" s="37">
        <v>0</v>
      </c>
      <c r="G75" s="37"/>
      <c r="H75" s="37">
        <v>0</v>
      </c>
      <c r="I75" s="37"/>
      <c r="J75" s="37">
        <f t="shared" si="0"/>
        <v>0</v>
      </c>
      <c r="K75" s="37"/>
      <c r="L75" s="37">
        <f t="shared" si="1"/>
        <v>0</v>
      </c>
    </row>
    <row r="76" spans="1:12">
      <c r="A76" t="s">
        <v>838</v>
      </c>
      <c r="B76" s="37">
        <v>16275331.010000002</v>
      </c>
      <c r="C76" s="37"/>
      <c r="D76" s="37">
        <v>6743.06</v>
      </c>
      <c r="E76" s="37"/>
      <c r="F76" s="37">
        <v>0</v>
      </c>
      <c r="G76" s="37"/>
      <c r="H76" s="37">
        <v>0</v>
      </c>
      <c r="I76" s="37"/>
      <c r="J76" s="37">
        <f t="shared" si="0"/>
        <v>6743.06</v>
      </c>
      <c r="K76" s="37"/>
      <c r="L76" s="37">
        <f t="shared" si="1"/>
        <v>16282074.070000002</v>
      </c>
    </row>
    <row r="77" spans="1:12">
      <c r="A77" t="s">
        <v>839</v>
      </c>
      <c r="B77" s="35">
        <v>27798267.339999996</v>
      </c>
      <c r="C77" s="37"/>
      <c r="D77" s="35">
        <v>0</v>
      </c>
      <c r="E77" s="37"/>
      <c r="F77" s="35">
        <v>0</v>
      </c>
      <c r="G77" s="37"/>
      <c r="H77" s="35">
        <f>-592005.19+592005.19</f>
        <v>0</v>
      </c>
      <c r="I77" s="37"/>
      <c r="J77" s="35">
        <f t="shared" si="0"/>
        <v>0</v>
      </c>
      <c r="K77" s="37"/>
      <c r="L77" s="35">
        <f t="shared" si="1"/>
        <v>27798267.339999996</v>
      </c>
    </row>
    <row r="78" spans="1:12">
      <c r="B78" s="37">
        <f>SUM(B67:B77)</f>
        <v>2114510864.74</v>
      </c>
      <c r="C78" s="37"/>
      <c r="D78" s="37">
        <f>SUM(D67:D77)</f>
        <v>16873452.219999999</v>
      </c>
      <c r="E78" s="37"/>
      <c r="F78" s="37">
        <f>SUM(F67:F77)</f>
        <v>-1086699.3899999999</v>
      </c>
      <c r="G78" s="37"/>
      <c r="H78" s="37">
        <f>SUM(H67:H77)</f>
        <v>0</v>
      </c>
      <c r="I78" s="37"/>
      <c r="J78" s="37">
        <f>SUM(J67:J77)</f>
        <v>15786752.83</v>
      </c>
      <c r="K78" s="37"/>
      <c r="L78" s="37">
        <f>SUM(L67:L77)</f>
        <v>2130297617.5699999</v>
      </c>
    </row>
    <row r="79" spans="1:12">
      <c r="B79" s="37"/>
      <c r="C79" s="37"/>
      <c r="D79" s="37"/>
      <c r="E79" s="37"/>
      <c r="F79" s="37"/>
      <c r="G79" s="37"/>
      <c r="H79" s="37"/>
      <c r="I79" s="37"/>
      <c r="J79" s="37"/>
      <c r="K79" s="37"/>
      <c r="L79" s="37"/>
    </row>
    <row r="80" spans="1:12">
      <c r="A80" s="3" t="s">
        <v>119</v>
      </c>
      <c r="B80" s="37"/>
      <c r="C80" s="37"/>
      <c r="D80" s="37"/>
      <c r="E80" s="37"/>
      <c r="F80" s="37"/>
      <c r="G80" s="37"/>
      <c r="H80" s="37"/>
      <c r="I80" s="37"/>
      <c r="J80" s="37"/>
      <c r="K80" s="37"/>
      <c r="L80" s="37"/>
    </row>
    <row r="81" spans="1:12">
      <c r="A81" t="s">
        <v>5</v>
      </c>
      <c r="B81" s="37">
        <v>7316310.5499999998</v>
      </c>
      <c r="C81" s="37"/>
      <c r="D81" s="37">
        <v>10100</v>
      </c>
      <c r="E81" s="37"/>
      <c r="F81" s="37">
        <v>0</v>
      </c>
      <c r="G81" s="37"/>
      <c r="H81" s="37">
        <v>0</v>
      </c>
      <c r="I81" s="37"/>
      <c r="J81" s="37">
        <f t="shared" si="0"/>
        <v>10100</v>
      </c>
      <c r="K81" s="37"/>
      <c r="L81" s="37">
        <f t="shared" si="1"/>
        <v>7326410.5499999998</v>
      </c>
    </row>
    <row r="82" spans="1:12">
      <c r="A82" t="s">
        <v>6</v>
      </c>
      <c r="B82" s="37">
        <v>1429627.28</v>
      </c>
      <c r="C82" s="37"/>
      <c r="D82" s="37">
        <v>0</v>
      </c>
      <c r="E82" s="37"/>
      <c r="F82" s="37">
        <v>0</v>
      </c>
      <c r="G82" s="37"/>
      <c r="H82" s="37">
        <v>0</v>
      </c>
      <c r="I82" s="37"/>
      <c r="J82" s="37">
        <f t="shared" si="0"/>
        <v>0</v>
      </c>
      <c r="K82" s="37"/>
      <c r="L82" s="37">
        <f t="shared" si="1"/>
        <v>1429627.28</v>
      </c>
    </row>
    <row r="83" spans="1:12">
      <c r="A83" t="s">
        <v>7</v>
      </c>
      <c r="B83" s="37">
        <v>6116137.5600000005</v>
      </c>
      <c r="C83" s="37"/>
      <c r="D83" s="37">
        <v>16561.57</v>
      </c>
      <c r="E83" s="37"/>
      <c r="F83" s="37">
        <v>0</v>
      </c>
      <c r="G83" s="37"/>
      <c r="H83" s="37">
        <v>0</v>
      </c>
      <c r="I83" s="37"/>
      <c r="J83" s="37">
        <f t="shared" si="0"/>
        <v>16561.57</v>
      </c>
      <c r="K83" s="37"/>
      <c r="L83" s="37">
        <f t="shared" si="1"/>
        <v>6132699.1300000008</v>
      </c>
    </row>
    <row r="84" spans="1:12">
      <c r="A84" t="s">
        <v>8</v>
      </c>
      <c r="B84" s="37">
        <v>110104864.34999999</v>
      </c>
      <c r="C84" s="37"/>
      <c r="D84" s="37">
        <f>424481.15+2004583.67+6154.93</f>
        <v>2435219.75</v>
      </c>
      <c r="E84" s="37"/>
      <c r="F84" s="37">
        <f>-92991.2-726991.97-178726.79</f>
        <v>-998709.96</v>
      </c>
      <c r="G84" s="37"/>
      <c r="H84" s="37">
        <v>0</v>
      </c>
      <c r="I84" s="37"/>
      <c r="J84" s="37">
        <f t="shared" si="0"/>
        <v>1436509.79</v>
      </c>
      <c r="K84" s="37"/>
      <c r="L84" s="37">
        <f t="shared" si="1"/>
        <v>111541374.14</v>
      </c>
    </row>
    <row r="85" spans="1:12">
      <c r="A85" t="s">
        <v>840</v>
      </c>
      <c r="B85" s="37">
        <v>0</v>
      </c>
      <c r="C85" s="37"/>
      <c r="D85" s="37">
        <v>0</v>
      </c>
      <c r="E85" s="37"/>
      <c r="F85" s="37">
        <v>0</v>
      </c>
      <c r="G85" s="37"/>
      <c r="H85" s="37">
        <v>0</v>
      </c>
      <c r="I85" s="37"/>
      <c r="J85" s="37">
        <f t="shared" si="0"/>
        <v>0</v>
      </c>
      <c r="K85" s="37"/>
      <c r="L85" s="37">
        <f t="shared" si="1"/>
        <v>0</v>
      </c>
    </row>
    <row r="86" spans="1:12">
      <c r="A86" t="s">
        <v>9</v>
      </c>
      <c r="B86" s="37">
        <v>18559366.159999996</v>
      </c>
      <c r="C86" s="37"/>
      <c r="D86" s="37">
        <v>0</v>
      </c>
      <c r="E86" s="37"/>
      <c r="F86" s="37">
        <v>-138836.94</v>
      </c>
      <c r="G86" s="37"/>
      <c r="H86" s="37">
        <v>0</v>
      </c>
      <c r="I86" s="37"/>
      <c r="J86" s="37">
        <f t="shared" si="0"/>
        <v>-138836.94</v>
      </c>
      <c r="K86" s="37"/>
      <c r="L86" s="37">
        <f t="shared" si="1"/>
        <v>18420529.219999995</v>
      </c>
    </row>
    <row r="87" spans="1:12">
      <c r="A87" t="s">
        <v>10</v>
      </c>
      <c r="B87" s="37">
        <v>41731467.869999997</v>
      </c>
      <c r="C87" s="37"/>
      <c r="D87" s="37">
        <f>430688.04+238182.8+208381.41</f>
        <v>877252.25</v>
      </c>
      <c r="E87" s="37"/>
      <c r="F87" s="37">
        <f>-18103.4-2609.95-23764.57</f>
        <v>-44477.919999999998</v>
      </c>
      <c r="G87" s="37"/>
      <c r="H87" s="37">
        <v>0</v>
      </c>
      <c r="I87" s="37"/>
      <c r="J87" s="37">
        <f t="shared" si="0"/>
        <v>832774.33</v>
      </c>
      <c r="K87" s="37"/>
      <c r="L87" s="37">
        <f t="shared" si="1"/>
        <v>42564242.199999996</v>
      </c>
    </row>
    <row r="88" spans="1:12">
      <c r="A88" t="s">
        <v>11</v>
      </c>
      <c r="B88" s="37">
        <v>37541913.340000004</v>
      </c>
      <c r="C88" s="37"/>
      <c r="D88" s="37">
        <f>195817.21+35560.73+83497.23</f>
        <v>314875.17</v>
      </c>
      <c r="E88" s="37"/>
      <c r="F88" s="37">
        <f>-11605.94-24002.07-88.79</f>
        <v>-35696.800000000003</v>
      </c>
      <c r="G88" s="37"/>
      <c r="H88" s="37">
        <v>0</v>
      </c>
      <c r="I88" s="37"/>
      <c r="J88" s="37">
        <f t="shared" si="0"/>
        <v>279178.37</v>
      </c>
      <c r="K88" s="37"/>
      <c r="L88" s="37">
        <f t="shared" si="1"/>
        <v>37821091.710000001</v>
      </c>
    </row>
    <row r="89" spans="1:12">
      <c r="A89" t="s">
        <v>841</v>
      </c>
      <c r="B89" s="37">
        <v>2437093.5699999998</v>
      </c>
      <c r="C89" s="37"/>
      <c r="D89" s="37">
        <v>8406.41</v>
      </c>
      <c r="E89" s="37"/>
      <c r="F89" s="37">
        <v>-166872.46</v>
      </c>
      <c r="G89" s="37"/>
      <c r="H89" s="37">
        <v>0</v>
      </c>
      <c r="I89" s="37"/>
      <c r="J89" s="37">
        <f t="shared" si="0"/>
        <v>-158466.04999999999</v>
      </c>
      <c r="K89" s="37"/>
      <c r="L89" s="37">
        <f t="shared" si="1"/>
        <v>2278627.52</v>
      </c>
    </row>
    <row r="90" spans="1:12">
      <c r="A90" t="s">
        <v>842</v>
      </c>
      <c r="B90" s="37">
        <v>5659798.3799999999</v>
      </c>
      <c r="C90" s="37"/>
      <c r="D90" s="37">
        <v>2004868.88</v>
      </c>
      <c r="E90" s="37"/>
      <c r="F90" s="37">
        <f>-45983.09-193400.6</f>
        <v>-239383.69</v>
      </c>
      <c r="G90" s="37"/>
      <c r="H90" s="37">
        <v>0</v>
      </c>
      <c r="I90" s="37"/>
      <c r="J90" s="37">
        <f t="shared" si="0"/>
        <v>1765485.19</v>
      </c>
      <c r="K90" s="37"/>
      <c r="L90" s="37">
        <f t="shared" si="1"/>
        <v>7425283.5700000003</v>
      </c>
    </row>
    <row r="91" spans="1:12">
      <c r="A91" t="s">
        <v>843</v>
      </c>
      <c r="B91" s="37">
        <v>13760.73</v>
      </c>
      <c r="C91" s="37"/>
      <c r="D91" s="37">
        <v>0</v>
      </c>
      <c r="E91" s="37"/>
      <c r="F91" s="37">
        <v>0</v>
      </c>
      <c r="G91" s="37"/>
      <c r="H91" s="37">
        <v>0</v>
      </c>
      <c r="I91" s="37"/>
      <c r="J91" s="37">
        <f t="shared" si="0"/>
        <v>0</v>
      </c>
      <c r="K91" s="37"/>
      <c r="L91" s="37">
        <f t="shared" si="1"/>
        <v>13760.73</v>
      </c>
    </row>
    <row r="92" spans="1:12">
      <c r="A92" t="s">
        <v>844</v>
      </c>
      <c r="B92" s="35">
        <v>238693.59</v>
      </c>
      <c r="C92" s="37"/>
      <c r="D92" s="35">
        <v>0</v>
      </c>
      <c r="E92" s="37"/>
      <c r="F92" s="35">
        <v>0</v>
      </c>
      <c r="G92" s="37"/>
      <c r="H92" s="35">
        <v>0</v>
      </c>
      <c r="I92" s="37"/>
      <c r="J92" s="35">
        <f t="shared" si="0"/>
        <v>0</v>
      </c>
      <c r="K92" s="37"/>
      <c r="L92" s="35">
        <f t="shared" si="1"/>
        <v>238693.59</v>
      </c>
    </row>
    <row r="93" spans="1:12">
      <c r="B93" s="37">
        <f>SUM(B81:B92)</f>
        <v>231149033.37999997</v>
      </c>
      <c r="C93" s="37"/>
      <c r="D93" s="37">
        <f>SUM(D81:D92)</f>
        <v>5667284.0299999993</v>
      </c>
      <c r="E93" s="37"/>
      <c r="F93" s="37">
        <f>SUM(F81:F92)</f>
        <v>-1623977.7699999998</v>
      </c>
      <c r="G93" s="37"/>
      <c r="H93" s="37">
        <f>SUM(H81:H92)</f>
        <v>0</v>
      </c>
      <c r="I93" s="37"/>
      <c r="J93" s="37">
        <f>SUM(J81:J92)</f>
        <v>4043306.2600000002</v>
      </c>
      <c r="K93" s="37"/>
      <c r="L93" s="37">
        <f>SUM(L81:L92)</f>
        <v>235192339.63999999</v>
      </c>
    </row>
    <row r="94" spans="1:12">
      <c r="B94" s="37"/>
      <c r="C94" s="37"/>
      <c r="D94" s="37"/>
      <c r="E94" s="37"/>
      <c r="F94" s="37"/>
      <c r="G94" s="37"/>
      <c r="H94" s="37"/>
      <c r="I94" s="37"/>
      <c r="J94" s="37"/>
      <c r="K94" s="37"/>
      <c r="L94" s="37"/>
    </row>
    <row r="95" spans="1:12">
      <c r="B95" s="33"/>
      <c r="C95" s="33"/>
      <c r="D95" s="33"/>
      <c r="E95" s="33"/>
      <c r="F95" s="33"/>
      <c r="G95" s="33"/>
      <c r="H95" s="33"/>
      <c r="I95" s="33"/>
      <c r="J95" s="33"/>
      <c r="K95" s="33"/>
      <c r="L95" s="33"/>
    </row>
    <row r="96" spans="1:12">
      <c r="A96" s="3" t="s">
        <v>688</v>
      </c>
      <c r="B96" s="34">
        <f>B93+B78+B64+B52+B47+B36+B27</f>
        <v>3602901338.8399992</v>
      </c>
      <c r="C96" s="37"/>
      <c r="D96" s="34">
        <f>D93+D78+D64+D52+D47+D36+D27</f>
        <v>46468321.710000001</v>
      </c>
      <c r="E96" s="37"/>
      <c r="F96" s="34">
        <f>F93+F78+F64+F52+F47+F36+F27</f>
        <v>-5225562.08</v>
      </c>
      <c r="G96" s="37"/>
      <c r="H96" s="34">
        <f>H93+H78+H64+H52+H47+H36+H27</f>
        <v>21903.139999999981</v>
      </c>
      <c r="I96" s="37"/>
      <c r="J96" s="34">
        <f>J93+J78+J64+J52+J47+J36+J27</f>
        <v>41264662.769999996</v>
      </c>
      <c r="K96" s="37"/>
      <c r="L96" s="34">
        <f>L93+L78+L64+L52+L47+L36+L27</f>
        <v>3644166001.6100006</v>
      </c>
    </row>
    <row r="97" spans="1:14">
      <c r="B97" s="33"/>
      <c r="C97" s="33"/>
      <c r="D97" s="33"/>
      <c r="E97" s="33"/>
      <c r="F97" s="33"/>
      <c r="G97" s="33"/>
      <c r="H97" s="33"/>
      <c r="I97" s="33"/>
      <c r="J97" s="33"/>
      <c r="K97" s="33"/>
      <c r="L97" s="33"/>
    </row>
    <row r="98" spans="1:14">
      <c r="A98" s="3" t="s">
        <v>689</v>
      </c>
      <c r="B98" s="33"/>
      <c r="C98" s="33"/>
      <c r="D98" s="33"/>
      <c r="E98" s="33"/>
      <c r="F98" s="33"/>
      <c r="G98" s="33"/>
      <c r="H98" s="33"/>
      <c r="I98" s="33"/>
      <c r="J98" s="33"/>
      <c r="K98" s="33"/>
      <c r="L98" s="33"/>
    </row>
    <row r="99" spans="1:14">
      <c r="A99" s="3" t="s">
        <v>691</v>
      </c>
      <c r="B99" s="33"/>
      <c r="C99" s="33"/>
      <c r="D99" s="33"/>
      <c r="E99" s="33"/>
      <c r="F99" s="33"/>
      <c r="G99" s="33"/>
      <c r="H99" s="33"/>
      <c r="I99" s="33"/>
      <c r="J99" s="33"/>
      <c r="K99" s="33"/>
      <c r="L99" s="33"/>
    </row>
    <row r="100" spans="1:14">
      <c r="A100" t="s">
        <v>275</v>
      </c>
      <c r="B100" s="33">
        <v>0</v>
      </c>
      <c r="C100" s="33"/>
      <c r="D100" s="33">
        <f>610627+20365.79</f>
        <v>630992.79</v>
      </c>
      <c r="E100" s="33"/>
      <c r="F100" s="33">
        <v>0</v>
      </c>
      <c r="G100" s="33"/>
      <c r="H100" s="33">
        <v>0</v>
      </c>
      <c r="I100" s="33"/>
      <c r="J100" s="33">
        <f>D100+F100+H100</f>
        <v>630992.79</v>
      </c>
      <c r="K100" s="33"/>
      <c r="L100" s="33">
        <f>J100+B100</f>
        <v>630992.79</v>
      </c>
    </row>
    <row r="101" spans="1:14">
      <c r="A101" t="s">
        <v>12</v>
      </c>
      <c r="B101" s="33">
        <v>8372262.6600000001</v>
      </c>
      <c r="C101" s="33"/>
      <c r="D101" s="33">
        <f>8937647.15-429921.03-583391.03</f>
        <v>7924335.0900000008</v>
      </c>
      <c r="E101" s="33"/>
      <c r="F101" s="33">
        <v>0</v>
      </c>
      <c r="G101" s="33"/>
      <c r="H101" s="33">
        <v>0</v>
      </c>
      <c r="I101" s="33"/>
      <c r="J101" s="33">
        <f t="shared" ref="J101:J110" si="2">D101+F101+H101</f>
        <v>7924335.0900000008</v>
      </c>
      <c r="K101" s="33"/>
      <c r="L101" s="33">
        <f t="shared" ref="L101:L110" si="3">J101+B101</f>
        <v>16296597.75</v>
      </c>
    </row>
    <row r="102" spans="1:14">
      <c r="A102" t="s">
        <v>276</v>
      </c>
      <c r="B102" s="33">
        <v>2388775.3600000003</v>
      </c>
      <c r="C102" s="33"/>
      <c r="D102" s="33">
        <f>2819184.24+306018.26-867326.83</f>
        <v>2257875.67</v>
      </c>
      <c r="E102" s="33"/>
      <c r="F102" s="33">
        <v>0</v>
      </c>
      <c r="G102" s="33"/>
      <c r="H102" s="33">
        <v>0</v>
      </c>
      <c r="I102" s="33"/>
      <c r="J102" s="33">
        <f t="shared" si="2"/>
        <v>2257875.67</v>
      </c>
      <c r="K102" s="33"/>
      <c r="L102" s="33">
        <f t="shared" si="3"/>
        <v>4646651.03</v>
      </c>
      <c r="N102" s="89"/>
    </row>
    <row r="103" spans="1:14">
      <c r="A103" t="s">
        <v>277</v>
      </c>
      <c r="B103" s="33">
        <v>4648597.76</v>
      </c>
      <c r="C103" s="33"/>
      <c r="D103" s="33">
        <f>3674238.05+353184.96-3011651.78</f>
        <v>1015771.23</v>
      </c>
      <c r="E103" s="33"/>
      <c r="F103" s="33">
        <v>0</v>
      </c>
      <c r="G103" s="33"/>
      <c r="H103" s="33">
        <v>0</v>
      </c>
      <c r="I103" s="33"/>
      <c r="J103" s="33">
        <f t="shared" si="2"/>
        <v>1015771.23</v>
      </c>
      <c r="K103" s="33"/>
      <c r="L103" s="33">
        <f t="shared" si="3"/>
        <v>5664368.9900000002</v>
      </c>
      <c r="N103" s="89"/>
    </row>
    <row r="104" spans="1:14">
      <c r="A104" t="s">
        <v>278</v>
      </c>
      <c r="B104" s="33">
        <v>1219068.4300000002</v>
      </c>
      <c r="C104" s="33"/>
      <c r="D104" s="33">
        <f>-845790.92+231619.97+6933.95</f>
        <v>-607237.00000000012</v>
      </c>
      <c r="E104" s="33"/>
      <c r="F104" s="33">
        <v>0</v>
      </c>
      <c r="G104" s="33"/>
      <c r="H104" s="33">
        <v>0</v>
      </c>
      <c r="I104" s="33"/>
      <c r="J104" s="33">
        <f t="shared" si="2"/>
        <v>-607237.00000000012</v>
      </c>
      <c r="K104" s="33"/>
      <c r="L104" s="33">
        <f t="shared" si="3"/>
        <v>611831.43000000005</v>
      </c>
    </row>
    <row r="105" spans="1:14">
      <c r="A105" t="s">
        <v>279</v>
      </c>
      <c r="B105" s="33">
        <v>4229112.799999998</v>
      </c>
      <c r="C105" s="33"/>
      <c r="D105" s="33">
        <f>2256334.18-1483075.48-97011.42</f>
        <v>676247.28000000014</v>
      </c>
      <c r="E105" s="33"/>
      <c r="F105" s="33">
        <v>0</v>
      </c>
      <c r="G105" s="33"/>
      <c r="H105" s="33">
        <v>0</v>
      </c>
      <c r="I105" s="33"/>
      <c r="J105" s="33">
        <f t="shared" si="2"/>
        <v>676247.28000000014</v>
      </c>
      <c r="K105" s="33"/>
      <c r="L105" s="33">
        <f t="shared" si="3"/>
        <v>4905360.0799999982</v>
      </c>
    </row>
    <row r="106" spans="1:14">
      <c r="A106" t="s">
        <v>280</v>
      </c>
      <c r="B106" s="33">
        <v>1810217.09</v>
      </c>
      <c r="C106" s="33"/>
      <c r="D106" s="33">
        <f>26952.55+274336.49-1809982.26+1126670.2+70868.48</f>
        <v>-311154.54000000004</v>
      </c>
      <c r="E106" s="33"/>
      <c r="F106" s="33">
        <v>0</v>
      </c>
      <c r="G106" s="33"/>
      <c r="H106" s="33">
        <v>0</v>
      </c>
      <c r="I106" s="33"/>
      <c r="J106" s="33">
        <f t="shared" si="2"/>
        <v>-311154.54000000004</v>
      </c>
      <c r="K106" s="33"/>
      <c r="L106" s="33">
        <f t="shared" si="3"/>
        <v>1499062.55</v>
      </c>
    </row>
    <row r="107" spans="1:14">
      <c r="A107" t="s">
        <v>308</v>
      </c>
      <c r="B107" s="33">
        <v>180402.7200000002</v>
      </c>
      <c r="C107" s="33"/>
      <c r="D107" s="33">
        <f>-57145.26-3663.65-5512.55</f>
        <v>-66321.460000000006</v>
      </c>
      <c r="E107" s="33"/>
      <c r="F107" s="33">
        <v>0</v>
      </c>
      <c r="G107" s="33"/>
      <c r="H107" s="33">
        <v>0</v>
      </c>
      <c r="I107" s="33"/>
      <c r="J107" s="33">
        <f t="shared" si="2"/>
        <v>-66321.460000000006</v>
      </c>
      <c r="K107" s="33"/>
      <c r="L107" s="33">
        <f t="shared" si="3"/>
        <v>114081.2600000002</v>
      </c>
    </row>
    <row r="108" spans="1:14">
      <c r="A108" t="s">
        <v>310</v>
      </c>
      <c r="B108" s="33">
        <v>0</v>
      </c>
      <c r="C108" s="33"/>
      <c r="D108" s="180">
        <f>104282.02+0.48-104282.5</f>
        <v>0</v>
      </c>
      <c r="E108" s="33"/>
      <c r="F108" s="180">
        <v>0</v>
      </c>
      <c r="G108" s="33"/>
      <c r="H108" s="180">
        <v>0</v>
      </c>
      <c r="I108" s="33"/>
      <c r="J108" s="33">
        <f t="shared" ref="J108" si="4">D108+F108+H108</f>
        <v>0</v>
      </c>
      <c r="K108" s="33"/>
      <c r="L108" s="33">
        <f t="shared" ref="L108" si="5">J108+B108</f>
        <v>0</v>
      </c>
    </row>
    <row r="109" spans="1:14">
      <c r="A109" t="s">
        <v>311</v>
      </c>
      <c r="B109" s="33">
        <v>284472.80000000028</v>
      </c>
      <c r="C109" s="33"/>
      <c r="D109" s="33">
        <f>362059.19-66854.63-3676.11</f>
        <v>291528.45</v>
      </c>
      <c r="E109" s="33"/>
      <c r="F109" s="33">
        <v>0</v>
      </c>
      <c r="G109" s="33"/>
      <c r="H109" s="33">
        <v>0</v>
      </c>
      <c r="I109" s="33"/>
      <c r="J109" s="33">
        <f t="shared" si="2"/>
        <v>291528.45</v>
      </c>
      <c r="K109" s="33"/>
      <c r="L109" s="33">
        <f t="shared" si="3"/>
        <v>576001.25000000023</v>
      </c>
    </row>
    <row r="110" spans="1:14">
      <c r="A110" t="s">
        <v>312</v>
      </c>
      <c r="B110" s="35">
        <v>79325.920000000217</v>
      </c>
      <c r="C110" s="37"/>
      <c r="D110" s="35">
        <f>34249.16-34462.2+34007.64</f>
        <v>33794.600000000006</v>
      </c>
      <c r="E110" s="37"/>
      <c r="F110" s="35">
        <v>0</v>
      </c>
      <c r="G110" s="37"/>
      <c r="H110" s="35">
        <v>0</v>
      </c>
      <c r="I110" s="37"/>
      <c r="J110" s="35">
        <f t="shared" si="2"/>
        <v>33794.600000000006</v>
      </c>
      <c r="K110" s="37"/>
      <c r="L110" s="35">
        <f t="shared" si="3"/>
        <v>113120.52000000022</v>
      </c>
      <c r="M110" s="7"/>
    </row>
    <row r="111" spans="1:14">
      <c r="B111" s="37">
        <f>SUM(B100:B110)</f>
        <v>23212235.539999999</v>
      </c>
      <c r="C111" s="37"/>
      <c r="D111" s="37">
        <f>SUM(D100:D110)</f>
        <v>11845832.109999998</v>
      </c>
      <c r="E111" s="37"/>
      <c r="F111" s="37">
        <f>SUM(F100:F110)</f>
        <v>0</v>
      </c>
      <c r="G111" s="37"/>
      <c r="H111" s="37">
        <f>SUM(H100:H110)</f>
        <v>0</v>
      </c>
      <c r="I111" s="37"/>
      <c r="J111" s="37">
        <f>SUM(J100:J110)</f>
        <v>11845832.109999998</v>
      </c>
      <c r="K111" s="37"/>
      <c r="L111" s="37">
        <f>SUM(L100:L110)</f>
        <v>35058067.649999999</v>
      </c>
      <c r="M111" s="7"/>
    </row>
    <row r="112" spans="1:14">
      <c r="B112" s="37"/>
      <c r="C112" s="37"/>
      <c r="D112" s="37"/>
      <c r="E112" s="37"/>
      <c r="F112" s="37"/>
      <c r="G112" s="37"/>
      <c r="H112" s="37"/>
      <c r="I112" s="37"/>
      <c r="J112" s="37"/>
      <c r="K112" s="37"/>
      <c r="L112" s="37"/>
      <c r="M112" s="7"/>
    </row>
    <row r="113" spans="1:13">
      <c r="A113" s="3" t="s">
        <v>813</v>
      </c>
      <c r="B113" s="37"/>
      <c r="C113" s="37"/>
      <c r="D113" s="37"/>
      <c r="E113" s="37"/>
      <c r="F113" s="37"/>
      <c r="G113" s="37"/>
      <c r="H113" s="37"/>
      <c r="I113" s="37"/>
      <c r="J113" s="37"/>
      <c r="K113" s="37"/>
      <c r="L113" s="37"/>
      <c r="M113" s="7"/>
    </row>
    <row r="114" spans="1:13">
      <c r="A114" t="s">
        <v>316</v>
      </c>
      <c r="B114" s="37">
        <v>0</v>
      </c>
      <c r="C114" s="37"/>
      <c r="D114" s="37">
        <v>63825.04</v>
      </c>
      <c r="E114" s="37"/>
      <c r="F114" s="37">
        <v>0</v>
      </c>
      <c r="G114" s="37"/>
      <c r="H114" s="37">
        <v>0</v>
      </c>
      <c r="I114" s="37"/>
      <c r="J114" s="37">
        <f>D114+F114+H114</f>
        <v>63825.04</v>
      </c>
      <c r="K114" s="37"/>
      <c r="L114" s="37">
        <f>J114+B114</f>
        <v>63825.04</v>
      </c>
      <c r="M114" s="7"/>
    </row>
    <row r="115" spans="1:13">
      <c r="A115" t="s">
        <v>973</v>
      </c>
      <c r="B115" s="37">
        <v>6763.2200000000084</v>
      </c>
      <c r="C115" s="37"/>
      <c r="D115" s="37">
        <v>0</v>
      </c>
      <c r="E115" s="37"/>
      <c r="F115" s="37">
        <v>0</v>
      </c>
      <c r="G115" s="37"/>
      <c r="H115" s="37">
        <v>0</v>
      </c>
      <c r="I115" s="37"/>
      <c r="J115" s="37">
        <f>D115+F115+H115</f>
        <v>0</v>
      </c>
      <c r="K115" s="37"/>
      <c r="L115" s="37">
        <f>J115+B115</f>
        <v>6763.2200000000084</v>
      </c>
      <c r="M115" s="7"/>
    </row>
    <row r="116" spans="1:13">
      <c r="A116" t="s">
        <v>320</v>
      </c>
      <c r="B116" s="37">
        <v>0</v>
      </c>
      <c r="C116" s="37"/>
      <c r="D116" s="37">
        <v>0</v>
      </c>
      <c r="E116" s="37"/>
      <c r="F116" s="37">
        <v>0</v>
      </c>
      <c r="G116" s="37"/>
      <c r="H116" s="37">
        <v>0</v>
      </c>
      <c r="I116" s="37"/>
      <c r="J116" s="37">
        <f>D116+F116+H116</f>
        <v>0</v>
      </c>
      <c r="K116" s="37"/>
      <c r="L116" s="37">
        <f>J116+B116</f>
        <v>0</v>
      </c>
      <c r="M116" s="7"/>
    </row>
    <row r="117" spans="1:13">
      <c r="B117" s="302">
        <f>SUM(B114:B116)</f>
        <v>6763.2200000000084</v>
      </c>
      <c r="C117" s="37"/>
      <c r="D117" s="302">
        <f>SUM(D114:D116)</f>
        <v>63825.04</v>
      </c>
      <c r="E117" s="37"/>
      <c r="F117" s="302">
        <f>SUM(F114:F116)</f>
        <v>0</v>
      </c>
      <c r="G117" s="37"/>
      <c r="H117" s="302">
        <f>SUM(H114:H116)</f>
        <v>0</v>
      </c>
      <c r="I117" s="37"/>
      <c r="J117" s="302">
        <f>SUM(J114:J116)</f>
        <v>63825.04</v>
      </c>
      <c r="K117" s="37"/>
      <c r="L117" s="302">
        <f>SUM(L114:L116)</f>
        <v>70588.260000000009</v>
      </c>
      <c r="M117" s="7"/>
    </row>
    <row r="118" spans="1:13">
      <c r="B118" s="37"/>
      <c r="C118" s="37"/>
      <c r="D118" s="37"/>
      <c r="E118" s="37"/>
      <c r="F118" s="37"/>
      <c r="G118" s="37"/>
      <c r="H118" s="37"/>
      <c r="I118" s="37"/>
      <c r="J118" s="37"/>
      <c r="K118" s="37"/>
      <c r="L118" s="37"/>
      <c r="M118" s="7"/>
    </row>
    <row r="119" spans="1:13">
      <c r="A119" s="3" t="s">
        <v>809</v>
      </c>
      <c r="B119" s="37"/>
      <c r="C119" s="37"/>
      <c r="D119" s="37"/>
      <c r="E119" s="37"/>
      <c r="F119" s="37"/>
      <c r="G119" s="37"/>
      <c r="H119" s="37"/>
      <c r="I119" s="37"/>
      <c r="J119" s="37"/>
      <c r="K119" s="37"/>
      <c r="L119" s="37"/>
      <c r="M119" s="7"/>
    </row>
    <row r="120" spans="1:13">
      <c r="A120" t="s">
        <v>574</v>
      </c>
      <c r="B120" s="37">
        <v>16456.36</v>
      </c>
      <c r="C120" s="37"/>
      <c r="D120" s="37">
        <v>-16456.36</v>
      </c>
      <c r="E120" s="37"/>
      <c r="F120" s="37">
        <v>0</v>
      </c>
      <c r="G120" s="37"/>
      <c r="H120" s="37">
        <v>0</v>
      </c>
      <c r="I120" s="37"/>
      <c r="J120" s="37">
        <f>D120+F120+H120</f>
        <v>-16456.36</v>
      </c>
      <c r="K120" s="37"/>
      <c r="L120" s="37">
        <f>J120+B120</f>
        <v>0</v>
      </c>
      <c r="M120" s="7"/>
    </row>
    <row r="121" spans="1:13">
      <c r="A121" t="s">
        <v>575</v>
      </c>
      <c r="B121" s="37">
        <v>0</v>
      </c>
      <c r="C121" s="37"/>
      <c r="D121" s="37">
        <v>0</v>
      </c>
      <c r="E121" s="37"/>
      <c r="F121" s="37">
        <v>0</v>
      </c>
      <c r="G121" s="37"/>
      <c r="H121" s="37">
        <v>0</v>
      </c>
      <c r="I121" s="37"/>
      <c r="J121" s="37">
        <f>D121+F121+H121</f>
        <v>0</v>
      </c>
      <c r="K121" s="37"/>
      <c r="L121" s="37">
        <f>J121+B121</f>
        <v>0</v>
      </c>
      <c r="M121" s="7"/>
    </row>
    <row r="122" spans="1:13">
      <c r="A122" t="s">
        <v>576</v>
      </c>
      <c r="B122" s="37">
        <v>0</v>
      </c>
      <c r="C122" s="37"/>
      <c r="D122" s="37">
        <v>0</v>
      </c>
      <c r="E122" s="37"/>
      <c r="F122" s="37">
        <v>0</v>
      </c>
      <c r="G122" s="37"/>
      <c r="H122" s="37">
        <v>0</v>
      </c>
      <c r="I122" s="37"/>
      <c r="J122" s="37">
        <f>D122+F122+H122</f>
        <v>0</v>
      </c>
      <c r="K122" s="37"/>
      <c r="L122" s="37">
        <f>J122+B122</f>
        <v>0</v>
      </c>
      <c r="M122" s="7"/>
    </row>
    <row r="123" spans="1:13">
      <c r="A123" t="s">
        <v>577</v>
      </c>
      <c r="B123" s="37">
        <v>0</v>
      </c>
      <c r="C123" s="37"/>
      <c r="D123" s="37">
        <v>0</v>
      </c>
      <c r="E123" s="37"/>
      <c r="F123" s="37">
        <v>0</v>
      </c>
      <c r="G123" s="37"/>
      <c r="H123" s="37">
        <v>0</v>
      </c>
      <c r="I123" s="37"/>
      <c r="J123" s="37">
        <f>D123+F123+H123</f>
        <v>0</v>
      </c>
      <c r="K123" s="37"/>
      <c r="L123" s="37">
        <f>J123+B123</f>
        <v>0</v>
      </c>
      <c r="M123" s="7"/>
    </row>
    <row r="124" spans="1:13">
      <c r="A124" t="s">
        <v>281</v>
      </c>
      <c r="B124" s="35">
        <v>0</v>
      </c>
      <c r="C124" s="37"/>
      <c r="D124" s="35">
        <v>0</v>
      </c>
      <c r="E124" s="37"/>
      <c r="F124" s="35">
        <v>0</v>
      </c>
      <c r="G124" s="37"/>
      <c r="H124" s="35">
        <v>0</v>
      </c>
      <c r="I124" s="37"/>
      <c r="J124" s="35">
        <f>D124+F124+H124</f>
        <v>0</v>
      </c>
      <c r="K124" s="37"/>
      <c r="L124" s="35">
        <f>J124+B124</f>
        <v>0</v>
      </c>
      <c r="M124" s="7"/>
    </row>
    <row r="125" spans="1:13">
      <c r="B125" s="37">
        <f>SUM(B120:B124)</f>
        <v>16456.36</v>
      </c>
      <c r="C125" s="37"/>
      <c r="D125" s="37">
        <f>SUM(D120:D124)</f>
        <v>-16456.36</v>
      </c>
      <c r="E125" s="37"/>
      <c r="F125" s="37">
        <f>SUM(F120:F124)</f>
        <v>0</v>
      </c>
      <c r="G125" s="37"/>
      <c r="H125" s="37">
        <f>SUM(H120:H124)</f>
        <v>0</v>
      </c>
      <c r="I125" s="37"/>
      <c r="J125" s="37">
        <f>SUM(J120:J124)</f>
        <v>-16456.36</v>
      </c>
      <c r="K125" s="37"/>
      <c r="L125" s="37">
        <f>SUM(L120:L124)</f>
        <v>0</v>
      </c>
      <c r="M125" s="7"/>
    </row>
    <row r="126" spans="1:13">
      <c r="B126" s="37"/>
      <c r="C126" s="37"/>
      <c r="D126" s="37"/>
      <c r="E126" s="37"/>
      <c r="F126" s="37"/>
      <c r="G126" s="37"/>
      <c r="H126" s="37"/>
      <c r="I126" s="37"/>
      <c r="J126" s="37"/>
      <c r="K126" s="37"/>
      <c r="L126" s="37"/>
      <c r="M126" s="7"/>
    </row>
    <row r="127" spans="1:13">
      <c r="A127" s="3" t="s">
        <v>811</v>
      </c>
      <c r="B127" s="37"/>
      <c r="C127" s="37"/>
      <c r="D127" s="37"/>
      <c r="E127" s="37"/>
      <c r="F127" s="37"/>
      <c r="G127" s="37"/>
      <c r="H127" s="37"/>
      <c r="I127" s="37"/>
      <c r="J127" s="37"/>
      <c r="K127" s="37"/>
      <c r="L127" s="37"/>
      <c r="M127" s="7"/>
    </row>
    <row r="128" spans="1:13">
      <c r="A128" t="s">
        <v>288</v>
      </c>
      <c r="B128" s="37">
        <v>0</v>
      </c>
      <c r="C128" s="37"/>
      <c r="D128" s="37">
        <v>0</v>
      </c>
      <c r="E128" s="37"/>
      <c r="F128" s="37">
        <v>0</v>
      </c>
      <c r="G128" s="37"/>
      <c r="H128" s="37">
        <v>0</v>
      </c>
      <c r="I128" s="37"/>
      <c r="J128" s="37">
        <f>D128+F128+H128</f>
        <v>0</v>
      </c>
      <c r="K128" s="37"/>
      <c r="L128" s="37">
        <f>J128+B128</f>
        <v>0</v>
      </c>
      <c r="M128" s="7"/>
    </row>
    <row r="129" spans="1:13">
      <c r="A129" t="s">
        <v>289</v>
      </c>
      <c r="B129" s="37">
        <v>3518129.62</v>
      </c>
      <c r="C129" s="37"/>
      <c r="D129" s="37">
        <f>-3496324.74+429269.99</f>
        <v>-3067054.75</v>
      </c>
      <c r="E129" s="37"/>
      <c r="F129" s="37">
        <v>0</v>
      </c>
      <c r="G129" s="37"/>
      <c r="H129" s="37">
        <v>0</v>
      </c>
      <c r="I129" s="37"/>
      <c r="J129" s="37">
        <f>D129+F129+H129</f>
        <v>-3067054.75</v>
      </c>
      <c r="K129" s="37"/>
      <c r="L129" s="37">
        <f>J129+B129</f>
        <v>451074.87000000011</v>
      </c>
      <c r="M129" s="7"/>
    </row>
    <row r="130" spans="1:13">
      <c r="A130" t="s">
        <v>290</v>
      </c>
      <c r="B130" s="37">
        <v>0</v>
      </c>
      <c r="C130" s="37"/>
      <c r="D130" s="37">
        <v>0</v>
      </c>
      <c r="E130" s="37"/>
      <c r="F130" s="37">
        <v>0</v>
      </c>
      <c r="G130" s="37"/>
      <c r="H130" s="37">
        <v>0</v>
      </c>
      <c r="I130" s="37"/>
      <c r="J130" s="37">
        <f>D130+F130+H130</f>
        <v>0</v>
      </c>
      <c r="K130" s="37"/>
      <c r="L130" s="37">
        <f>J130+B130</f>
        <v>0</v>
      </c>
      <c r="M130" s="7"/>
    </row>
    <row r="131" spans="1:13">
      <c r="A131" t="s">
        <v>975</v>
      </c>
      <c r="B131" s="37">
        <v>17830.119999999908</v>
      </c>
      <c r="C131" s="37"/>
      <c r="D131" s="37">
        <f>153975.46-17665.55</f>
        <v>136309.91</v>
      </c>
      <c r="E131" s="37"/>
      <c r="F131" s="37">
        <v>0</v>
      </c>
      <c r="G131" s="37"/>
      <c r="H131" s="37">
        <v>0</v>
      </c>
      <c r="I131" s="37"/>
      <c r="J131" s="37">
        <f>D131+F131+H131</f>
        <v>136309.91</v>
      </c>
      <c r="K131" s="37"/>
      <c r="L131" s="37">
        <f>J131+B131</f>
        <v>154140.02999999991</v>
      </c>
      <c r="M131" s="7"/>
    </row>
    <row r="132" spans="1:13">
      <c r="A132" t="s">
        <v>82</v>
      </c>
      <c r="B132" s="35">
        <v>0</v>
      </c>
      <c r="C132" s="37"/>
      <c r="D132" s="35">
        <v>0</v>
      </c>
      <c r="E132" s="37"/>
      <c r="F132" s="35">
        <v>0</v>
      </c>
      <c r="G132" s="37"/>
      <c r="H132" s="35">
        <v>0</v>
      </c>
      <c r="I132" s="37"/>
      <c r="J132" s="35">
        <f>D132+F132+H132</f>
        <v>0</v>
      </c>
      <c r="K132" s="37"/>
      <c r="L132" s="35">
        <f>J132+B132</f>
        <v>0</v>
      </c>
      <c r="M132" s="7"/>
    </row>
    <row r="133" spans="1:13">
      <c r="B133" s="37">
        <f>SUM(B128:B132)</f>
        <v>3535959.74</v>
      </c>
      <c r="C133" s="37"/>
      <c r="D133" s="37">
        <f>SUM(D128:D132)</f>
        <v>-2930744.84</v>
      </c>
      <c r="E133" s="37"/>
      <c r="F133" s="37">
        <f>SUM(F128:F132)</f>
        <v>0</v>
      </c>
      <c r="G133" s="37"/>
      <c r="H133" s="37">
        <f>SUM(H128:H132)</f>
        <v>0</v>
      </c>
      <c r="I133" s="37"/>
      <c r="J133" s="37">
        <f>SUM(J128:J132)</f>
        <v>-2930744.84</v>
      </c>
      <c r="K133" s="37"/>
      <c r="L133" s="37">
        <f>SUM(L128:L132)</f>
        <v>605214.9</v>
      </c>
      <c r="M133" s="7"/>
    </row>
    <row r="134" spans="1:13">
      <c r="A134" s="3" t="s">
        <v>812</v>
      </c>
      <c r="B134" s="37"/>
      <c r="C134" s="37"/>
      <c r="D134" s="37"/>
      <c r="E134" s="37"/>
      <c r="F134" s="37"/>
      <c r="G134" s="37"/>
      <c r="H134" s="37"/>
      <c r="I134" s="37"/>
      <c r="J134" s="37"/>
      <c r="K134" s="37"/>
      <c r="L134" s="37"/>
      <c r="M134" s="7"/>
    </row>
    <row r="135" spans="1:13">
      <c r="A135" t="s">
        <v>832</v>
      </c>
      <c r="B135" s="37">
        <v>1432534.8899999997</v>
      </c>
      <c r="C135" s="37"/>
      <c r="D135" s="37">
        <f>36874.43-341064.88+67166.81</f>
        <v>-237023.64</v>
      </c>
      <c r="E135" s="37"/>
      <c r="F135" s="37">
        <v>0</v>
      </c>
      <c r="G135" s="37"/>
      <c r="H135" s="37">
        <v>0</v>
      </c>
      <c r="I135" s="37"/>
      <c r="J135" s="37">
        <f t="shared" ref="J135:J140" si="6">D135+F135+H135</f>
        <v>-237023.64</v>
      </c>
      <c r="K135" s="37"/>
      <c r="L135" s="37">
        <f t="shared" ref="L135:L140" si="7">J135+B135</f>
        <v>1195511.2499999995</v>
      </c>
      <c r="M135" s="7"/>
    </row>
    <row r="136" spans="1:13">
      <c r="A136" t="s">
        <v>1454</v>
      </c>
      <c r="B136" s="37">
        <v>11254466.49</v>
      </c>
      <c r="C136" s="37"/>
      <c r="D136" s="37">
        <v>0</v>
      </c>
      <c r="E136" s="37"/>
      <c r="F136" s="37">
        <v>0</v>
      </c>
      <c r="G136" s="37"/>
      <c r="H136" s="37">
        <v>0</v>
      </c>
      <c r="I136" s="37"/>
      <c r="J136" s="37">
        <f t="shared" si="6"/>
        <v>0</v>
      </c>
      <c r="K136" s="37"/>
      <c r="L136" s="37">
        <f t="shared" si="7"/>
        <v>11254466.49</v>
      </c>
      <c r="M136" s="7"/>
    </row>
    <row r="137" spans="1:13">
      <c r="A137" t="s">
        <v>834</v>
      </c>
      <c r="B137" s="37">
        <v>20282374.520000011</v>
      </c>
      <c r="C137" s="37"/>
      <c r="D137" s="37">
        <f>2621382.5-937682.08-7803703.31</f>
        <v>-6120002.8899999997</v>
      </c>
      <c r="E137" s="37"/>
      <c r="F137" s="37">
        <v>0</v>
      </c>
      <c r="G137" s="37"/>
      <c r="H137" s="37">
        <v>0</v>
      </c>
      <c r="I137" s="37"/>
      <c r="J137" s="37">
        <f t="shared" si="6"/>
        <v>-6120002.8899999997</v>
      </c>
      <c r="K137" s="37"/>
      <c r="L137" s="37">
        <f t="shared" si="7"/>
        <v>14162371.63000001</v>
      </c>
      <c r="M137" s="7"/>
    </row>
    <row r="138" spans="1:13">
      <c r="A138" t="s">
        <v>836</v>
      </c>
      <c r="B138" s="37">
        <v>5880853.620000001</v>
      </c>
      <c r="C138" s="37"/>
      <c r="D138" s="37">
        <f>38776.36-74671.2-2864429.96</f>
        <v>-2900324.8</v>
      </c>
      <c r="E138" s="37"/>
      <c r="F138" s="37">
        <v>0</v>
      </c>
      <c r="G138" s="37"/>
      <c r="H138" s="37">
        <v>0</v>
      </c>
      <c r="I138" s="37"/>
      <c r="J138" s="37">
        <f t="shared" si="6"/>
        <v>-2900324.8</v>
      </c>
      <c r="K138" s="37"/>
      <c r="L138" s="37">
        <f t="shared" si="7"/>
        <v>2980528.8200000012</v>
      </c>
      <c r="M138" s="7"/>
    </row>
    <row r="139" spans="1:13">
      <c r="A139" t="s">
        <v>837</v>
      </c>
      <c r="B139" s="37">
        <v>2321591.8699999987</v>
      </c>
      <c r="C139" s="37"/>
      <c r="D139" s="37">
        <f>45075.09-2065986.98-109722.02</f>
        <v>-2130633.9099999997</v>
      </c>
      <c r="E139" s="37"/>
      <c r="F139" s="37">
        <v>0</v>
      </c>
      <c r="G139" s="37"/>
      <c r="H139" s="37">
        <v>0</v>
      </c>
      <c r="I139" s="37"/>
      <c r="J139" s="37">
        <f t="shared" si="6"/>
        <v>-2130633.9099999997</v>
      </c>
      <c r="K139" s="37"/>
      <c r="L139" s="37">
        <f t="shared" si="7"/>
        <v>190957.95999999903</v>
      </c>
      <c r="M139" s="7"/>
    </row>
    <row r="140" spans="1:13">
      <c r="A140" t="s">
        <v>838</v>
      </c>
      <c r="B140" s="35">
        <v>69853.190000000177</v>
      </c>
      <c r="C140" s="37"/>
      <c r="D140" s="35">
        <f>61855.84+18471.83+20044.35</f>
        <v>100372.01999999999</v>
      </c>
      <c r="E140" s="37"/>
      <c r="F140" s="35">
        <v>0</v>
      </c>
      <c r="G140" s="37"/>
      <c r="H140" s="35">
        <v>0</v>
      </c>
      <c r="I140" s="37"/>
      <c r="J140" s="35">
        <f t="shared" si="6"/>
        <v>100372.01999999999</v>
      </c>
      <c r="K140" s="37"/>
      <c r="L140" s="35">
        <f t="shared" si="7"/>
        <v>170225.21000000017</v>
      </c>
      <c r="M140" s="7"/>
    </row>
    <row r="141" spans="1:13">
      <c r="B141" s="37">
        <f>SUM(B135:B140)</f>
        <v>41241674.580000006</v>
      </c>
      <c r="C141" s="37"/>
      <c r="D141" s="37">
        <f>SUM(D135:D140)</f>
        <v>-11287613.219999999</v>
      </c>
      <c r="E141" s="37"/>
      <c r="F141" s="37">
        <f>SUM(F135:F140)</f>
        <v>0</v>
      </c>
      <c r="G141" s="37"/>
      <c r="H141" s="37">
        <f>SUM(H135:H140)</f>
        <v>0</v>
      </c>
      <c r="I141" s="37"/>
      <c r="J141" s="37">
        <f>SUM(J135:J140)</f>
        <v>-11287613.219999999</v>
      </c>
      <c r="K141" s="37"/>
      <c r="L141" s="37">
        <f>SUM(L135:L140)</f>
        <v>29954061.360000014</v>
      </c>
      <c r="M141" s="7"/>
    </row>
    <row r="142" spans="1:13">
      <c r="B142" s="37"/>
      <c r="C142" s="37"/>
      <c r="D142" s="37"/>
      <c r="E142" s="37"/>
      <c r="F142" s="37"/>
      <c r="G142" s="37"/>
      <c r="H142" s="37"/>
      <c r="I142" s="37"/>
      <c r="J142" s="37"/>
      <c r="K142" s="37"/>
      <c r="L142" s="37"/>
      <c r="M142" s="7"/>
    </row>
    <row r="143" spans="1:13">
      <c r="A143" s="3" t="s">
        <v>814</v>
      </c>
      <c r="B143" s="37"/>
      <c r="C143" s="37"/>
      <c r="D143" s="37"/>
      <c r="E143" s="37"/>
      <c r="F143" s="37"/>
      <c r="G143" s="37"/>
      <c r="H143" s="37"/>
      <c r="I143" s="37"/>
      <c r="J143" s="37"/>
      <c r="K143" s="37"/>
      <c r="L143" s="37"/>
      <c r="M143" s="7"/>
    </row>
    <row r="144" spans="1:13">
      <c r="A144" t="s">
        <v>6</v>
      </c>
      <c r="B144" s="37">
        <v>0</v>
      </c>
      <c r="C144" s="37"/>
      <c r="D144" s="37">
        <v>0</v>
      </c>
      <c r="E144" s="37"/>
      <c r="F144" s="37">
        <v>0</v>
      </c>
      <c r="G144" s="37"/>
      <c r="H144" s="37">
        <v>0</v>
      </c>
      <c r="I144" s="37"/>
      <c r="J144" s="37">
        <f t="shared" ref="J144:J149" si="8">D144+F144+H144</f>
        <v>0</v>
      </c>
      <c r="K144" s="37"/>
      <c r="L144" s="37">
        <f t="shared" ref="L144:L149" si="9">J144+B144</f>
        <v>0</v>
      </c>
      <c r="M144" s="7"/>
    </row>
    <row r="145" spans="1:13">
      <c r="A145" t="s">
        <v>7</v>
      </c>
      <c r="B145" s="37">
        <v>1716.5</v>
      </c>
      <c r="C145" s="37"/>
      <c r="D145" s="37">
        <v>-1716.5</v>
      </c>
      <c r="E145" s="37"/>
      <c r="F145" s="37">
        <v>0</v>
      </c>
      <c r="G145" s="37"/>
      <c r="H145" s="37">
        <v>0</v>
      </c>
      <c r="I145" s="37"/>
      <c r="J145" s="37">
        <f t="shared" si="8"/>
        <v>-1716.5</v>
      </c>
      <c r="K145" s="37"/>
      <c r="L145" s="37">
        <f t="shared" si="9"/>
        <v>0</v>
      </c>
      <c r="M145" s="7"/>
    </row>
    <row r="146" spans="1:13">
      <c r="A146" t="s">
        <v>8</v>
      </c>
      <c r="B146" s="37">
        <v>6382789.8599999994</v>
      </c>
      <c r="C146" s="37"/>
      <c r="D146" s="37">
        <f>4485.16-1307016.42-6481.04</f>
        <v>-1309012.3</v>
      </c>
      <c r="E146" s="37"/>
      <c r="F146" s="37">
        <v>0</v>
      </c>
      <c r="G146" s="37"/>
      <c r="H146" s="37">
        <v>0</v>
      </c>
      <c r="I146" s="37"/>
      <c r="J146" s="37">
        <f t="shared" si="8"/>
        <v>-1309012.3</v>
      </c>
      <c r="K146" s="37"/>
      <c r="L146" s="37">
        <f t="shared" si="9"/>
        <v>5073777.5599999996</v>
      </c>
      <c r="M146" s="7"/>
    </row>
    <row r="147" spans="1:13">
      <c r="A147" t="s">
        <v>9</v>
      </c>
      <c r="B147" s="37">
        <v>15536786.550000001</v>
      </c>
      <c r="C147" s="37"/>
      <c r="D147" s="37">
        <f>3196679.43-2210.52+123.2</f>
        <v>3194592.1100000003</v>
      </c>
      <c r="E147" s="37"/>
      <c r="F147" s="37">
        <v>0</v>
      </c>
      <c r="G147" s="37"/>
      <c r="H147" s="37">
        <v>0</v>
      </c>
      <c r="I147" s="37"/>
      <c r="J147" s="37">
        <f t="shared" si="8"/>
        <v>3194592.1100000003</v>
      </c>
      <c r="K147" s="37"/>
      <c r="L147" s="37">
        <f t="shared" si="9"/>
        <v>18731378.66</v>
      </c>
      <c r="M147" s="7"/>
    </row>
    <row r="148" spans="1:13">
      <c r="A148" t="s">
        <v>10</v>
      </c>
      <c r="B148" s="37">
        <v>9540815.8499999978</v>
      </c>
      <c r="C148" s="37"/>
      <c r="D148" s="37">
        <f>-359985+5174.02+99.76</f>
        <v>-354711.22</v>
      </c>
      <c r="E148" s="37"/>
      <c r="F148" s="37">
        <v>0</v>
      </c>
      <c r="G148" s="37"/>
      <c r="H148" s="37">
        <v>0</v>
      </c>
      <c r="I148" s="37"/>
      <c r="J148" s="37">
        <f t="shared" si="8"/>
        <v>-354711.22</v>
      </c>
      <c r="K148" s="37"/>
      <c r="L148" s="37">
        <f t="shared" si="9"/>
        <v>9186104.6299999971</v>
      </c>
      <c r="M148" s="7"/>
    </row>
    <row r="149" spans="1:13">
      <c r="A149" t="s">
        <v>11</v>
      </c>
      <c r="B149" s="35">
        <v>6229150.0999999996</v>
      </c>
      <c r="C149" s="37"/>
      <c r="D149" s="35">
        <f>18032.23+4491.1+61.74</f>
        <v>22585.070000000003</v>
      </c>
      <c r="E149" s="37"/>
      <c r="F149" s="35">
        <v>0</v>
      </c>
      <c r="G149" s="37"/>
      <c r="H149" s="35">
        <v>0</v>
      </c>
      <c r="I149" s="37"/>
      <c r="J149" s="35">
        <f t="shared" si="8"/>
        <v>22585.070000000003</v>
      </c>
      <c r="K149" s="37"/>
      <c r="L149" s="35">
        <f t="shared" si="9"/>
        <v>6251735.1699999999</v>
      </c>
      <c r="M149" s="7"/>
    </row>
    <row r="150" spans="1:13">
      <c r="B150" s="37">
        <f>SUM(B144:B149)</f>
        <v>37691258.859999999</v>
      </c>
      <c r="C150" s="37"/>
      <c r="D150" s="37">
        <f>SUM(D144:D149)</f>
        <v>1551737.1600000004</v>
      </c>
      <c r="E150" s="37"/>
      <c r="F150" s="37">
        <f>SUM(F144:F149)</f>
        <v>0</v>
      </c>
      <c r="G150" s="37"/>
      <c r="H150" s="37">
        <f>SUM(H144:H149)</f>
        <v>0</v>
      </c>
      <c r="I150" s="37"/>
      <c r="J150" s="37">
        <f>SUM(J144:J149)</f>
        <v>1551737.1600000004</v>
      </c>
      <c r="K150" s="37"/>
      <c r="L150" s="37">
        <f>SUM(L144:L149)</f>
        <v>39242996.019999996</v>
      </c>
      <c r="M150" s="7"/>
    </row>
    <row r="151" spans="1:13">
      <c r="B151" s="37"/>
      <c r="C151" s="37"/>
      <c r="D151" s="37"/>
      <c r="E151" s="37"/>
      <c r="F151" s="37"/>
      <c r="G151" s="37"/>
      <c r="H151" s="37"/>
      <c r="I151" s="37"/>
      <c r="J151" s="37"/>
      <c r="K151" s="37"/>
      <c r="L151" s="37"/>
      <c r="M151" s="7"/>
    </row>
    <row r="152" spans="1:13">
      <c r="B152" s="33"/>
      <c r="C152" s="33"/>
      <c r="D152" s="33"/>
      <c r="E152" s="33"/>
      <c r="F152" s="33"/>
      <c r="G152" s="33"/>
      <c r="H152" s="33"/>
      <c r="I152" s="33"/>
      <c r="J152" s="33"/>
      <c r="K152" s="33"/>
      <c r="L152" s="33"/>
    </row>
    <row r="153" spans="1:13">
      <c r="A153" s="3" t="s">
        <v>690</v>
      </c>
      <c r="B153" s="34">
        <f>B150+B141+B117+B111+B133+B125</f>
        <v>105704348.29999998</v>
      </c>
      <c r="C153" s="37"/>
      <c r="D153" s="34">
        <f>D150+D141+D117+D111+D133+D125</f>
        <v>-773420.11000000185</v>
      </c>
      <c r="E153" s="37"/>
      <c r="F153" s="34">
        <f>F150+F141+F117+F111+F133+F125</f>
        <v>0</v>
      </c>
      <c r="G153" s="37"/>
      <c r="H153" s="34">
        <f>H150+H141+H117+H111+H133+H125</f>
        <v>0</v>
      </c>
      <c r="I153" s="37"/>
      <c r="J153" s="34">
        <f>J150+J141+J117+J111+J133+J125</f>
        <v>-773420.11000000185</v>
      </c>
      <c r="K153" s="37"/>
      <c r="L153" s="34">
        <f>L150+L141+L117+L111+L133+L125</f>
        <v>104930928.19000003</v>
      </c>
    </row>
    <row r="154" spans="1:13">
      <c r="B154" s="37"/>
      <c r="C154" s="33"/>
      <c r="D154" s="37"/>
      <c r="E154" s="33"/>
      <c r="F154" s="37"/>
      <c r="G154" s="33"/>
      <c r="H154" s="37"/>
      <c r="I154" s="33"/>
      <c r="J154" s="37"/>
      <c r="K154" s="33"/>
      <c r="L154" s="37"/>
    </row>
    <row r="155" spans="1:13">
      <c r="B155" s="33"/>
      <c r="C155" s="33"/>
      <c r="D155" s="33"/>
      <c r="E155" s="33"/>
      <c r="F155" s="33"/>
      <c r="G155" s="33"/>
      <c r="H155" s="33"/>
      <c r="I155" s="33"/>
      <c r="J155" s="33"/>
      <c r="K155" s="33"/>
      <c r="L155" s="33"/>
    </row>
    <row r="156" spans="1:13" ht="13.5" thickBot="1">
      <c r="A156" s="3" t="s">
        <v>762</v>
      </c>
      <c r="B156" s="44">
        <f>B153+B96</f>
        <v>3708605687.1399994</v>
      </c>
      <c r="C156" s="33"/>
      <c r="D156" s="44">
        <f>D153+D96</f>
        <v>45694901.600000001</v>
      </c>
      <c r="E156" s="33"/>
      <c r="F156" s="44">
        <f>F153+F96</f>
        <v>-5225562.08</v>
      </c>
      <c r="G156" s="33"/>
      <c r="H156" s="44">
        <f>H153+H96</f>
        <v>21903.139999999981</v>
      </c>
      <c r="I156" s="33"/>
      <c r="J156" s="44">
        <f>J153+J96</f>
        <v>40491242.659999996</v>
      </c>
      <c r="K156" s="33"/>
      <c r="L156" s="44">
        <f>L153+L96</f>
        <v>3749096929.8000007</v>
      </c>
    </row>
    <row r="157" spans="1:13" ht="13.5" thickTop="1">
      <c r="B157" s="33"/>
      <c r="C157" s="33"/>
      <c r="D157" s="33"/>
      <c r="E157" s="33"/>
      <c r="F157" s="33"/>
      <c r="G157" s="33"/>
      <c r="H157" s="33"/>
      <c r="I157" s="33"/>
      <c r="J157" s="33"/>
      <c r="K157" s="33"/>
      <c r="L157" s="33"/>
    </row>
    <row r="158" spans="1:13">
      <c r="B158" s="33"/>
      <c r="C158" s="33"/>
      <c r="D158" s="33"/>
      <c r="E158" s="33"/>
      <c r="F158" s="33"/>
      <c r="G158" s="33"/>
      <c r="H158" s="33"/>
      <c r="I158" s="33"/>
      <c r="J158" s="33"/>
      <c r="K158" s="33"/>
      <c r="L158" s="300">
        <f>3910346476.69-L156</f>
        <v>161249546.88999939</v>
      </c>
    </row>
    <row r="159" spans="1:13">
      <c r="B159" s="1"/>
      <c r="C159" s="1"/>
      <c r="D159" s="1"/>
      <c r="E159" s="1"/>
      <c r="F159" s="1"/>
      <c r="G159" s="1"/>
      <c r="H159" s="1"/>
      <c r="I159" s="1"/>
      <c r="J159" s="1"/>
      <c r="K159" s="1"/>
      <c r="L159" s="1"/>
    </row>
    <row r="160" spans="1:13">
      <c r="B160" s="1"/>
      <c r="C160" s="1"/>
      <c r="D160" s="1"/>
      <c r="E160" s="1"/>
      <c r="F160" s="1"/>
      <c r="G160" s="1"/>
      <c r="H160" s="1"/>
      <c r="I160" s="1"/>
      <c r="J160" s="1"/>
      <c r="K160" s="1"/>
      <c r="L160" s="1"/>
    </row>
    <row r="161" spans="2:12">
      <c r="B161" s="1"/>
      <c r="C161" s="1"/>
      <c r="D161" s="1"/>
      <c r="E161" s="1"/>
      <c r="F161" s="1"/>
      <c r="G161" s="1"/>
      <c r="H161" s="1"/>
      <c r="I161" s="1"/>
      <c r="J161" s="1"/>
      <c r="K161" s="1"/>
      <c r="L161" s="1"/>
    </row>
    <row r="162" spans="2:12">
      <c r="B162" s="1"/>
      <c r="C162" s="1"/>
      <c r="D162" s="1"/>
      <c r="E162" s="1"/>
      <c r="F162" s="1"/>
      <c r="G162" s="1"/>
      <c r="H162" s="1"/>
      <c r="I162" s="1"/>
      <c r="J162" s="1"/>
      <c r="K162" s="1"/>
      <c r="L162" s="1"/>
    </row>
    <row r="163" spans="2:12">
      <c r="B163" s="1"/>
      <c r="C163" s="1"/>
      <c r="D163" s="1"/>
      <c r="E163" s="1"/>
      <c r="F163" s="1"/>
      <c r="G163" s="1"/>
      <c r="H163" s="1"/>
      <c r="I163" s="1"/>
      <c r="J163" s="1"/>
      <c r="K163" s="1"/>
      <c r="L163" s="1"/>
    </row>
    <row r="164" spans="2:12">
      <c r="B164" s="1"/>
      <c r="C164" s="1"/>
      <c r="D164" s="1"/>
      <c r="E164" s="1"/>
      <c r="F164" s="1"/>
      <c r="G164" s="1"/>
      <c r="H164" s="1"/>
      <c r="I164" s="1"/>
      <c r="J164" s="1"/>
      <c r="K164" s="1"/>
      <c r="L164" s="1"/>
    </row>
    <row r="165" spans="2:12">
      <c r="B165" s="1"/>
      <c r="C165" s="1"/>
      <c r="D165" s="1"/>
      <c r="E165" s="1"/>
      <c r="F165" s="1"/>
      <c r="G165" s="1"/>
      <c r="H165" s="1"/>
      <c r="I165" s="1"/>
      <c r="J165" s="1"/>
      <c r="K165" s="1"/>
      <c r="L165" s="1"/>
    </row>
    <row r="166" spans="2:12">
      <c r="B166" s="1"/>
      <c r="C166" s="1"/>
      <c r="D166" s="1"/>
      <c r="E166" s="1"/>
      <c r="F166" s="1"/>
      <c r="G166" s="1"/>
      <c r="H166" s="1"/>
      <c r="I166" s="1"/>
      <c r="J166" s="1"/>
      <c r="K166" s="1"/>
      <c r="L166" s="1"/>
    </row>
    <row r="167" spans="2:12">
      <c r="B167" s="1"/>
      <c r="C167" s="1"/>
      <c r="D167" s="1"/>
      <c r="E167" s="1"/>
      <c r="F167" s="1"/>
      <c r="G167" s="1"/>
      <c r="H167" s="1"/>
      <c r="I167" s="1"/>
      <c r="J167" s="1"/>
      <c r="K167" s="1"/>
      <c r="L167" s="1"/>
    </row>
    <row r="168" spans="2:12">
      <c r="B168" s="1"/>
      <c r="C168" s="1"/>
      <c r="D168" s="1"/>
      <c r="E168" s="1"/>
      <c r="F168" s="1"/>
      <c r="G168" s="1"/>
      <c r="H168" s="1"/>
      <c r="I168" s="1"/>
      <c r="J168" s="1"/>
      <c r="K168" s="1"/>
      <c r="L168" s="1"/>
    </row>
    <row r="169" spans="2:12">
      <c r="B169" s="1"/>
      <c r="C169" s="1"/>
      <c r="D169" s="1"/>
      <c r="E169" s="1"/>
      <c r="F169" s="1"/>
      <c r="G169" s="1"/>
      <c r="H169" s="1"/>
      <c r="I169" s="1"/>
      <c r="J169" s="1"/>
      <c r="K169" s="1"/>
      <c r="L169" s="1"/>
    </row>
    <row r="170" spans="2:12">
      <c r="B170" s="1"/>
      <c r="C170" s="1"/>
      <c r="D170" s="1"/>
      <c r="E170" s="1"/>
      <c r="F170" s="1"/>
      <c r="G170" s="1"/>
      <c r="H170" s="1"/>
      <c r="I170" s="1"/>
      <c r="J170" s="1"/>
      <c r="K170" s="1"/>
      <c r="L170" s="1"/>
    </row>
    <row r="171" spans="2:12">
      <c r="B171" s="1"/>
      <c r="C171" s="1"/>
      <c r="D171" s="1"/>
      <c r="E171" s="1"/>
      <c r="F171" s="1"/>
      <c r="G171" s="1"/>
      <c r="H171" s="1"/>
      <c r="I171" s="1"/>
      <c r="J171" s="1"/>
      <c r="K171" s="1"/>
      <c r="L171" s="1"/>
    </row>
    <row r="172" spans="2:12">
      <c r="B172" s="1"/>
      <c r="C172" s="1"/>
      <c r="D172" s="1"/>
      <c r="E172" s="1"/>
      <c r="F172" s="1"/>
      <c r="G172" s="1"/>
      <c r="H172" s="1"/>
      <c r="I172" s="1"/>
      <c r="J172" s="1"/>
      <c r="K172" s="1"/>
      <c r="L172" s="1"/>
    </row>
    <row r="173" spans="2:12">
      <c r="B173" s="1"/>
      <c r="C173" s="1"/>
      <c r="D173" s="1"/>
      <c r="E173" s="1"/>
      <c r="F173" s="1"/>
      <c r="G173" s="1"/>
      <c r="H173" s="1"/>
      <c r="I173" s="1"/>
      <c r="J173" s="1"/>
      <c r="K173" s="1"/>
      <c r="L173" s="1"/>
    </row>
    <row r="174" spans="2:12">
      <c r="B174" s="1"/>
      <c r="C174" s="1"/>
      <c r="D174" s="1"/>
      <c r="E174" s="1"/>
      <c r="F174" s="1"/>
      <c r="G174" s="1"/>
      <c r="H174" s="1"/>
      <c r="I174" s="1"/>
      <c r="J174" s="1"/>
      <c r="K174" s="1"/>
      <c r="L174" s="1"/>
    </row>
    <row r="175" spans="2:12">
      <c r="B175" s="1"/>
      <c r="C175" s="1"/>
      <c r="D175" s="1"/>
      <c r="E175" s="1"/>
      <c r="F175" s="1"/>
      <c r="G175" s="1"/>
      <c r="H175" s="1"/>
      <c r="I175" s="1"/>
      <c r="J175" s="1"/>
      <c r="K175" s="1"/>
      <c r="L175" s="1"/>
    </row>
    <row r="176" spans="2:12">
      <c r="B176" s="1"/>
      <c r="C176" s="1"/>
      <c r="D176" s="1"/>
      <c r="E176" s="1"/>
      <c r="F176" s="1"/>
      <c r="G176" s="1"/>
      <c r="H176" s="1"/>
      <c r="I176" s="1"/>
      <c r="J176" s="1"/>
      <c r="K176" s="1"/>
      <c r="L176" s="1"/>
    </row>
    <row r="177" spans="2:12">
      <c r="B177" s="1"/>
      <c r="C177" s="1"/>
      <c r="D177" s="1"/>
      <c r="E177" s="1"/>
      <c r="F177" s="1"/>
      <c r="G177" s="1"/>
      <c r="H177" s="1"/>
      <c r="I177" s="1"/>
      <c r="J177" s="1"/>
      <c r="K177" s="1"/>
      <c r="L177" s="1"/>
    </row>
    <row r="178" spans="2:12">
      <c r="B178" s="1"/>
      <c r="C178" s="1"/>
      <c r="D178" s="1"/>
      <c r="E178" s="1"/>
      <c r="F178" s="1"/>
      <c r="G178" s="1"/>
      <c r="H178" s="1"/>
      <c r="I178" s="1"/>
      <c r="J178" s="1"/>
      <c r="K178" s="1"/>
      <c r="L178" s="1"/>
    </row>
    <row r="179" spans="2:12">
      <c r="B179" s="1"/>
      <c r="C179" s="1"/>
      <c r="D179" s="1"/>
      <c r="E179" s="1"/>
      <c r="F179" s="1"/>
      <c r="G179" s="1"/>
      <c r="H179" s="1"/>
      <c r="I179" s="1"/>
      <c r="J179" s="1"/>
      <c r="K179" s="1"/>
      <c r="L179" s="1"/>
    </row>
    <row r="180" spans="2:12">
      <c r="B180" s="1"/>
      <c r="C180" s="1"/>
      <c r="D180" s="1"/>
      <c r="E180" s="1"/>
      <c r="F180" s="1"/>
      <c r="G180" s="1"/>
      <c r="H180" s="1"/>
      <c r="I180" s="1"/>
      <c r="J180" s="1"/>
      <c r="K180" s="1"/>
      <c r="L180" s="1"/>
    </row>
    <row r="181" spans="2:12">
      <c r="B181" s="1"/>
      <c r="C181" s="1"/>
      <c r="D181" s="1"/>
      <c r="E181" s="1"/>
      <c r="F181" s="1"/>
      <c r="G181" s="1"/>
      <c r="H181" s="1"/>
      <c r="I181" s="1"/>
      <c r="J181" s="1"/>
      <c r="K181" s="1"/>
      <c r="L181" s="1"/>
    </row>
    <row r="182" spans="2:12">
      <c r="B182" s="1"/>
      <c r="C182" s="1"/>
      <c r="D182" s="1"/>
      <c r="E182" s="1"/>
      <c r="F182" s="1"/>
      <c r="G182" s="1"/>
      <c r="H182" s="1"/>
      <c r="I182" s="1"/>
      <c r="J182" s="1"/>
      <c r="K182" s="1"/>
      <c r="L182" s="1"/>
    </row>
    <row r="183" spans="2:12">
      <c r="B183" s="1"/>
      <c r="C183" s="1"/>
      <c r="D183" s="1"/>
      <c r="E183" s="1"/>
      <c r="F183" s="1"/>
      <c r="G183" s="1"/>
      <c r="H183" s="1"/>
      <c r="I183" s="1"/>
      <c r="J183" s="1"/>
      <c r="K183" s="1"/>
      <c r="L183" s="1"/>
    </row>
    <row r="184" spans="2:12">
      <c r="B184" s="1"/>
      <c r="C184" s="1"/>
      <c r="D184" s="1"/>
      <c r="E184" s="1"/>
      <c r="F184" s="1"/>
      <c r="G184" s="1"/>
      <c r="H184" s="1"/>
      <c r="I184" s="1"/>
      <c r="J184" s="1"/>
      <c r="K184" s="1"/>
      <c r="L184" s="1"/>
    </row>
    <row r="185" spans="2:12">
      <c r="B185" s="1"/>
      <c r="C185" s="1"/>
      <c r="D185" s="1"/>
      <c r="E185" s="1"/>
      <c r="F185" s="1"/>
      <c r="G185" s="1"/>
      <c r="H185" s="1"/>
      <c r="I185" s="1"/>
      <c r="J185" s="1"/>
      <c r="K185" s="1"/>
      <c r="L185" s="1"/>
    </row>
    <row r="186" spans="2:12">
      <c r="B186" s="1"/>
      <c r="C186" s="1"/>
      <c r="D186" s="1"/>
      <c r="E186" s="1"/>
      <c r="F186" s="1"/>
      <c r="G186" s="1"/>
      <c r="H186" s="1"/>
      <c r="I186" s="1"/>
      <c r="J186" s="1"/>
      <c r="K186" s="1"/>
      <c r="L186" s="1"/>
    </row>
    <row r="187" spans="2:12">
      <c r="B187" s="1"/>
      <c r="C187" s="1"/>
      <c r="D187" s="1"/>
      <c r="E187" s="1"/>
      <c r="F187" s="1"/>
      <c r="G187" s="1"/>
      <c r="H187" s="1"/>
      <c r="I187" s="1"/>
      <c r="J187" s="1"/>
      <c r="K187" s="1"/>
      <c r="L187" s="1"/>
    </row>
  </sheetData>
  <sortState ref="A25:N26">
    <sortCondition ref="A25"/>
  </sortState>
  <customSheetViews>
    <customSheetView guid="{6B74E52F-9552-408A-8775-25AFF24E6639}" scale="75" showPageBreaks="1" fitToPage="1" showRuler="0" topLeftCell="A109">
      <selection activeCell="H99" sqref="H99"/>
      <rowBreaks count="3" manualBreakCount="3">
        <brk id="46" max="11" man="1"/>
        <brk id="77" max="16383" man="1"/>
        <brk id="113" max="16383" man="1"/>
      </rowBreaks>
      <pageMargins left="0.75" right="0.75" top="1" bottom="1" header="0.5" footer="0.5"/>
      <pageSetup scale="74" fitToHeight="0" orientation="landscape" r:id="rId1"/>
      <headerFooter alignWithMargins="0">
        <oddFooter>&amp;L&amp;Z
&amp;F&amp;C&amp;A&amp;R14.&amp;P</oddFooter>
      </headerFooter>
    </customSheetView>
  </customSheetViews>
  <mergeCells count="3">
    <mergeCell ref="A1:L1"/>
    <mergeCell ref="A2:L2"/>
    <mergeCell ref="A3:L3"/>
  </mergeCells>
  <phoneticPr fontId="0" type="noConversion"/>
  <pageMargins left="0.75" right="0.75" top="1" bottom="1" header="0.5" footer="0.5"/>
  <pageSetup scale="74" fitToHeight="0" orientation="landscape" r:id="rId2"/>
  <headerFooter alignWithMargins="0">
    <oddFooter>&amp;L&amp;Z
&amp;F&amp;C&amp;A&amp;R14.&amp;P</oddFooter>
  </headerFooter>
  <rowBreaks count="3" manualBreakCount="3">
    <brk id="47" max="11" man="1"/>
    <brk id="79" max="16383" man="1"/>
    <brk id="117" max="16383" man="1"/>
  </rowBreaks>
</worksheet>
</file>

<file path=xl/worksheets/sheet101.xml><?xml version="1.0" encoding="utf-8"?>
<worksheet xmlns="http://schemas.openxmlformats.org/spreadsheetml/2006/main" xmlns:r="http://schemas.openxmlformats.org/officeDocument/2006/relationships">
  <sheetPr codeName="Sheet70">
    <pageSetUpPr fitToPage="1"/>
  </sheetPr>
  <dimension ref="A1:P32"/>
  <sheetViews>
    <sheetView zoomScaleNormal="100" workbookViewId="0">
      <selection sqref="A1:P1"/>
    </sheetView>
  </sheetViews>
  <sheetFormatPr defaultRowHeight="12.75"/>
  <cols>
    <col min="1" max="1" width="43.85546875" bestFit="1" customWidth="1"/>
    <col min="2" max="2" width="17.7109375" customWidth="1"/>
    <col min="3" max="3" width="1.7109375" customWidth="1"/>
    <col min="4" max="4" width="17.7109375" customWidth="1"/>
    <col min="5" max="5" width="1.7109375" customWidth="1"/>
    <col min="6" max="6" width="17.7109375" customWidth="1"/>
    <col min="7" max="7" width="1.7109375" customWidth="1"/>
    <col min="8" max="8" width="17.7109375" customWidth="1"/>
    <col min="9" max="9" width="1.7109375" customWidth="1"/>
    <col min="10" max="10" width="17.7109375" customWidth="1"/>
    <col min="11" max="11" width="1.7109375" customWidth="1"/>
    <col min="12" max="12" width="17.7109375" customWidth="1"/>
    <col min="13" max="13" width="1.5703125" customWidth="1"/>
    <col min="14" max="14" width="16.140625" customWidth="1"/>
    <col min="15" max="15" width="1.28515625" customWidth="1"/>
    <col min="16" max="16" width="23.140625" bestFit="1" customWidth="1"/>
  </cols>
  <sheetData>
    <row r="1" spans="1:16" s="38" customFormat="1" ht="15.75">
      <c r="A1" s="366" t="s">
        <v>134</v>
      </c>
      <c r="B1" s="366"/>
      <c r="C1" s="366"/>
      <c r="D1" s="366"/>
      <c r="E1" s="366"/>
      <c r="F1" s="366"/>
      <c r="G1" s="366"/>
      <c r="H1" s="366"/>
      <c r="I1" s="366"/>
      <c r="J1" s="366"/>
      <c r="K1" s="366"/>
      <c r="L1" s="366"/>
      <c r="M1" s="366"/>
      <c r="N1" s="366"/>
      <c r="O1" s="366"/>
      <c r="P1" s="366"/>
    </row>
    <row r="2" spans="1:16" s="38" customFormat="1" ht="15.75">
      <c r="A2" s="366" t="s">
        <v>1222</v>
      </c>
      <c r="B2" s="366"/>
      <c r="C2" s="366"/>
      <c r="D2" s="366"/>
      <c r="E2" s="366"/>
      <c r="F2" s="366"/>
      <c r="G2" s="366"/>
      <c r="H2" s="366"/>
      <c r="I2" s="366"/>
      <c r="J2" s="366"/>
      <c r="K2" s="366"/>
      <c r="L2" s="366"/>
      <c r="M2" s="366"/>
      <c r="N2" s="366"/>
      <c r="O2" s="366"/>
      <c r="P2" s="366"/>
    </row>
    <row r="3" spans="1:16">
      <c r="A3" s="357" t="str">
        <f>'Summary - Cost - PG 1 (Fin)'!A3:N3</f>
        <v>MARCH 2012</v>
      </c>
      <c r="B3" s="357"/>
      <c r="C3" s="357"/>
      <c r="D3" s="357"/>
      <c r="E3" s="357"/>
      <c r="F3" s="357"/>
      <c r="G3" s="357"/>
      <c r="H3" s="357"/>
      <c r="I3" s="357"/>
      <c r="J3" s="357"/>
      <c r="K3" s="357"/>
      <c r="L3" s="357"/>
      <c r="M3" s="357"/>
      <c r="N3" s="357"/>
      <c r="O3" s="357"/>
      <c r="P3" s="357"/>
    </row>
    <row r="4" spans="1:16">
      <c r="A4" s="30"/>
      <c r="B4" s="30"/>
      <c r="C4" s="30"/>
      <c r="D4" s="30"/>
      <c r="E4" s="30"/>
      <c r="F4" s="30"/>
      <c r="G4" s="30"/>
      <c r="H4" s="30"/>
      <c r="I4" s="30"/>
      <c r="J4" s="30"/>
      <c r="K4" s="30"/>
      <c r="L4" s="30"/>
      <c r="M4" s="30"/>
    </row>
    <row r="6" spans="1:16">
      <c r="B6" s="41" t="s">
        <v>25</v>
      </c>
      <c r="D6" s="45"/>
      <c r="F6" s="45"/>
      <c r="H6" s="41" t="s">
        <v>612</v>
      </c>
      <c r="J6" s="45"/>
      <c r="L6" s="41" t="s">
        <v>26</v>
      </c>
      <c r="M6" s="41"/>
      <c r="P6" s="3" t="s">
        <v>422</v>
      </c>
    </row>
    <row r="7" spans="1:16" s="10" customFormat="1">
      <c r="B7" s="42" t="s">
        <v>27</v>
      </c>
      <c r="C7"/>
      <c r="D7" s="42" t="s">
        <v>107</v>
      </c>
      <c r="E7"/>
      <c r="F7" s="42" t="s">
        <v>108</v>
      </c>
      <c r="G7"/>
      <c r="H7" s="42" t="s">
        <v>613</v>
      </c>
      <c r="I7"/>
      <c r="J7" s="42" t="s">
        <v>109</v>
      </c>
      <c r="K7"/>
      <c r="L7" s="42" t="s">
        <v>27</v>
      </c>
      <c r="M7" s="54"/>
      <c r="N7" s="42" t="s">
        <v>46</v>
      </c>
      <c r="P7" s="42" t="s">
        <v>419</v>
      </c>
    </row>
    <row r="8" spans="1:16" s="10" customFormat="1">
      <c r="A8" s="12" t="s">
        <v>296</v>
      </c>
      <c r="B8" s="54"/>
      <c r="C8"/>
      <c r="D8" s="54"/>
      <c r="E8"/>
      <c r="F8" s="54"/>
      <c r="G8"/>
      <c r="H8" s="54"/>
      <c r="I8"/>
      <c r="J8" s="54"/>
      <c r="K8"/>
      <c r="L8" s="54"/>
      <c r="M8" s="54"/>
    </row>
    <row r="9" spans="1:16" s="10" customFormat="1">
      <c r="A9" s="12" t="s">
        <v>420</v>
      </c>
      <c r="B9"/>
      <c r="C9"/>
      <c r="D9"/>
      <c r="E9"/>
      <c r="F9"/>
      <c r="G9"/>
      <c r="H9"/>
      <c r="I9"/>
      <c r="J9"/>
      <c r="K9"/>
      <c r="L9"/>
      <c r="M9"/>
    </row>
    <row r="10" spans="1:16" s="10" customFormat="1">
      <c r="A10" s="3" t="s">
        <v>113</v>
      </c>
      <c r="B10"/>
      <c r="C10"/>
      <c r="D10"/>
      <c r="E10"/>
      <c r="F10"/>
      <c r="G10"/>
      <c r="H10"/>
      <c r="I10"/>
      <c r="J10"/>
      <c r="K10"/>
      <c r="L10"/>
      <c r="M10"/>
    </row>
    <row r="11" spans="1:16" s="10" customFormat="1">
      <c r="A11" t="s">
        <v>12</v>
      </c>
      <c r="B11" s="90">
        <f>'IN_Cost Plant Acct-Elec-P16(Fin'!B26</f>
        <v>0</v>
      </c>
      <c r="C11"/>
      <c r="D11" s="90">
        <f>'IN_Cost Plant Acct-Elec-P16(Fin'!D26</f>
        <v>0</v>
      </c>
      <c r="E11"/>
      <c r="F11" s="90">
        <f>'IN_Cost Plant Acct-Elec-P16(Fin'!F26</f>
        <v>0</v>
      </c>
      <c r="G11"/>
      <c r="H11" s="90">
        <f>'IN_Cost Plant Acct-Elec-P16(Fin'!H26</f>
        <v>0</v>
      </c>
      <c r="I11"/>
      <c r="J11" s="48">
        <f>H11+F11+D11</f>
        <v>0</v>
      </c>
      <c r="K11"/>
      <c r="L11" s="48">
        <f>J11+B11</f>
        <v>0</v>
      </c>
      <c r="M11"/>
      <c r="N11" s="93">
        <f>'IN_Res by Plant Acct-P30 (Fin)'!R10</f>
        <v>0</v>
      </c>
      <c r="P11" s="93">
        <f>L11+N11</f>
        <v>0</v>
      </c>
    </row>
    <row r="12" spans="1:16" s="10" customFormat="1">
      <c r="A12" s="12"/>
      <c r="B12" s="89">
        <f>SUM(B11)</f>
        <v>0</v>
      </c>
      <c r="C12"/>
      <c r="D12" s="89">
        <f>SUM(D11)</f>
        <v>0</v>
      </c>
      <c r="E12"/>
      <c r="F12" s="89">
        <f>SUM(F11)</f>
        <v>0</v>
      </c>
      <c r="G12"/>
      <c r="H12" s="89">
        <f>SUM(H11)</f>
        <v>0</v>
      </c>
      <c r="I12"/>
      <c r="J12" s="89">
        <f>SUM(J11)</f>
        <v>0</v>
      </c>
      <c r="K12"/>
      <c r="L12" s="89">
        <f>SUM(L11)</f>
        <v>0</v>
      </c>
      <c r="M12"/>
      <c r="N12" s="89">
        <f>SUM(N11)</f>
        <v>0</v>
      </c>
      <c r="P12" s="89">
        <f>SUM(P11)</f>
        <v>0</v>
      </c>
    </row>
    <row r="13" spans="1:16" s="10" customFormat="1">
      <c r="A13" s="12"/>
      <c r="B13"/>
      <c r="C13"/>
      <c r="D13"/>
      <c r="E13"/>
      <c r="F13"/>
      <c r="G13"/>
      <c r="H13"/>
      <c r="I13"/>
      <c r="J13"/>
      <c r="K13"/>
      <c r="L13"/>
      <c r="M13"/>
    </row>
    <row r="14" spans="1:16">
      <c r="A14" s="3" t="s">
        <v>119</v>
      </c>
    </row>
    <row r="15" spans="1:16">
      <c r="A15" t="s">
        <v>5</v>
      </c>
      <c r="B15" s="45">
        <f>'IN_Cost Plant Acct-Elec-P16(Fin'!B11</f>
        <v>465100.04</v>
      </c>
      <c r="C15" s="45"/>
      <c r="D15" s="45">
        <f>'IN_Cost Plant Acct-Elec-P16(Fin'!D11</f>
        <v>0</v>
      </c>
      <c r="E15" s="45"/>
      <c r="F15" s="45">
        <f>'IN_Cost Plant Acct-Elec-P16(Fin'!F11</f>
        <v>0</v>
      </c>
      <c r="G15" s="45"/>
      <c r="H15" s="45">
        <f>'IN_Cost Plant Acct-Elec-P16(Fin'!H11</f>
        <v>0</v>
      </c>
      <c r="I15" s="45"/>
      <c r="J15" s="45">
        <f t="shared" ref="J15:J21" si="0">H15+F15+D15</f>
        <v>0</v>
      </c>
      <c r="K15" s="45"/>
      <c r="L15" s="45">
        <f t="shared" ref="L15:L21" si="1">J15+B15</f>
        <v>465100.04</v>
      </c>
      <c r="M15" s="45"/>
      <c r="N15" s="45">
        <f>'IN_Res by Plant Acct-P30 (Fin)'!R15</f>
        <v>-284211.03999999998</v>
      </c>
      <c r="P15" s="89">
        <f>L15+N15</f>
        <v>180889</v>
      </c>
    </row>
    <row r="16" spans="1:16">
      <c r="A16" t="s">
        <v>6</v>
      </c>
      <c r="B16" s="45">
        <f>'IN_Cost Plant Acct-Elec-P16(Fin'!B12</f>
        <v>143421.71</v>
      </c>
      <c r="C16" s="45"/>
      <c r="D16" s="45">
        <f>'IN_Cost Plant Acct-Elec-P16(Fin'!D12</f>
        <v>0</v>
      </c>
      <c r="E16" s="45"/>
      <c r="F16" s="45">
        <f>'IN_Cost Plant Acct-Elec-P16(Fin'!F12</f>
        <v>0</v>
      </c>
      <c r="G16" s="45"/>
      <c r="H16" s="45">
        <f>'IN_Cost Plant Acct-Elec-P16(Fin'!H12</f>
        <v>0</v>
      </c>
      <c r="I16" s="45"/>
      <c r="J16" s="45">
        <f t="shared" si="0"/>
        <v>0</v>
      </c>
      <c r="K16" s="45"/>
      <c r="L16" s="45">
        <f t="shared" si="1"/>
        <v>143421.71</v>
      </c>
      <c r="M16" s="45"/>
      <c r="N16" s="45">
        <f>'IN_Res by Plant Acct-P30 (Fin)'!R16</f>
        <v>0</v>
      </c>
      <c r="P16" s="89">
        <f t="shared" ref="P16:P21" si="2">L16+N16</f>
        <v>143421.71</v>
      </c>
    </row>
    <row r="17" spans="1:16">
      <c r="A17" t="s">
        <v>7</v>
      </c>
      <c r="B17" s="45">
        <f>'IN_Cost Plant Acct-Elec-P16(Fin'!B13</f>
        <v>338701.07</v>
      </c>
      <c r="C17" s="45"/>
      <c r="D17" s="45">
        <f>'IN_Cost Plant Acct-Elec-P16(Fin'!D13</f>
        <v>0</v>
      </c>
      <c r="E17" s="45"/>
      <c r="F17" s="45">
        <f>'IN_Cost Plant Acct-Elec-P16(Fin'!F13</f>
        <v>0</v>
      </c>
      <c r="G17" s="45"/>
      <c r="H17" s="45">
        <f>'IN_Cost Plant Acct-Elec-P16(Fin'!H13</f>
        <v>0</v>
      </c>
      <c r="I17" s="45"/>
      <c r="J17" s="45">
        <f t="shared" si="0"/>
        <v>0</v>
      </c>
      <c r="K17" s="45"/>
      <c r="L17" s="45">
        <f t="shared" si="1"/>
        <v>338701.07</v>
      </c>
      <c r="M17" s="45"/>
      <c r="N17" s="45">
        <f>'IN_Res by Plant Acct-P30 (Fin)'!R17</f>
        <v>-224945.49000000002</v>
      </c>
      <c r="P17" s="89">
        <f t="shared" si="2"/>
        <v>113755.57999999999</v>
      </c>
    </row>
    <row r="18" spans="1:16">
      <c r="A18" t="s">
        <v>8</v>
      </c>
      <c r="B18" s="182">
        <f>'IN_Cost Plant Acct-Elec-P16(Fin'!B14+'IN_Cost Plant Acct-Elec-P16(Fin'!B30</f>
        <v>11076944.869999999</v>
      </c>
      <c r="C18" s="45"/>
      <c r="D18" s="45">
        <f>'IN_Cost Plant Acct-Elec-P16(Fin'!D14+'IN_Cost Plant Acct-Elec-P16(Fin'!D30</f>
        <v>488.77</v>
      </c>
      <c r="E18" s="45"/>
      <c r="F18" s="182">
        <f>'IN_Cost Plant Acct-Elec-P16(Fin'!F14+'IN_Cost Plant Acct-Elec-P16(Fin'!F30</f>
        <v>0</v>
      </c>
      <c r="G18" s="45"/>
      <c r="H18" s="182">
        <f>'IN_Cost Plant Acct-Elec-P16(Fin'!H14+'IN_Cost Plant Acct-Elec-P16(Fin'!H30</f>
        <v>0</v>
      </c>
      <c r="I18" s="45"/>
      <c r="J18" s="45">
        <f t="shared" si="0"/>
        <v>488.77</v>
      </c>
      <c r="K18" s="45"/>
      <c r="L18" s="45">
        <f t="shared" si="1"/>
        <v>11077433.639999999</v>
      </c>
      <c r="M18" s="45"/>
      <c r="N18" s="45">
        <f>'IN_Res by Plant Acct-P30 (Fin)'!R18</f>
        <v>-7307571.3500000006</v>
      </c>
      <c r="P18" s="89">
        <f t="shared" si="2"/>
        <v>3769862.2899999982</v>
      </c>
    </row>
    <row r="19" spans="1:16">
      <c r="A19" t="s">
        <v>9</v>
      </c>
      <c r="B19" s="45">
        <f>'IN_Cost Plant Acct-Elec-P16(Fin'!B15+'IN_Cost Plant Acct-Elec-P16(Fin'!B31</f>
        <v>5974342.3399999999</v>
      </c>
      <c r="C19" s="45"/>
      <c r="D19" s="45">
        <f>'IN_Cost Plant Acct-Elec-P16(Fin'!D31</f>
        <v>0</v>
      </c>
      <c r="E19" s="45"/>
      <c r="F19" s="45">
        <f>'IN_Cost Plant Acct-Elec-P16(Fin'!F15</f>
        <v>0</v>
      </c>
      <c r="G19" s="45"/>
      <c r="H19" s="45">
        <f>'IN_Cost Plant Acct-Elec-P16(Fin'!H15</f>
        <v>0</v>
      </c>
      <c r="I19" s="45"/>
      <c r="J19" s="45">
        <f t="shared" si="0"/>
        <v>0</v>
      </c>
      <c r="K19" s="45"/>
      <c r="L19" s="45">
        <f t="shared" si="1"/>
        <v>5974342.3399999999</v>
      </c>
      <c r="M19" s="45"/>
      <c r="N19" s="45">
        <f>'IN_Res by Plant Acct-P30 (Fin)'!R19</f>
        <v>-4585901.1000000006</v>
      </c>
      <c r="P19" s="89">
        <f t="shared" si="2"/>
        <v>1388441.2399999993</v>
      </c>
    </row>
    <row r="20" spans="1:16">
      <c r="A20" t="s">
        <v>10</v>
      </c>
      <c r="B20" s="45">
        <f>'IN_Cost Plant Acct-Elec-P16(Fin'!B16+'IN_Cost Plant Acct-Elec-P16(Fin'!B32</f>
        <v>2009928.2200000002</v>
      </c>
      <c r="C20" s="45"/>
      <c r="D20" s="182">
        <f>'IN_Cost Plant Acct-Elec-P16(Fin'!D16+'IN_Cost Plant Acct-Elec-P16(Fin'!D32</f>
        <v>0</v>
      </c>
      <c r="E20" s="45"/>
      <c r="F20" s="182">
        <f>'IN_Cost Plant Acct-Elec-P16(Fin'!F16+'IN_Cost Plant Acct-Elec-P16(Fin'!F32</f>
        <v>0</v>
      </c>
      <c r="G20" s="45"/>
      <c r="H20" s="182">
        <f>'IN_Cost Plant Acct-Elec-P16(Fin'!H16+'IN_Cost Plant Acct-Elec-P16(Fin'!H32</f>
        <v>0</v>
      </c>
      <c r="I20" s="45"/>
      <c r="J20" s="45">
        <f t="shared" si="0"/>
        <v>0</v>
      </c>
      <c r="K20" s="45"/>
      <c r="L20" s="45">
        <f t="shared" si="1"/>
        <v>2009928.2200000002</v>
      </c>
      <c r="M20" s="45"/>
      <c r="N20" s="45">
        <f>'IN_Res by Plant Acct-P30 (Fin)'!R20</f>
        <v>-1016017.8800000001</v>
      </c>
      <c r="P20" s="89">
        <f t="shared" si="2"/>
        <v>993910.34000000008</v>
      </c>
    </row>
    <row r="21" spans="1:16">
      <c r="A21" t="s">
        <v>11</v>
      </c>
      <c r="B21" s="48">
        <f>'IN_Cost Plant Acct-Elec-P16(Fin'!B17+'IN_Cost Plant Acct-Elec-P16(Fin'!B33</f>
        <v>3471243.4000000004</v>
      </c>
      <c r="C21" s="52"/>
      <c r="D21" s="48">
        <f>'IN_Cost Plant Acct-Elec-P16(Fin'!D17+'IN_Cost Plant Acct-Elec-P16(Fin'!D33</f>
        <v>0</v>
      </c>
      <c r="E21" s="52"/>
      <c r="F21" s="48">
        <f>'IN_Cost Plant Acct-Elec-P16(Fin'!F17+'IN_Cost Plant Acct-Elec-P16(Fin'!F33</f>
        <v>0</v>
      </c>
      <c r="G21" s="52"/>
      <c r="H21" s="48">
        <f>'IN_Cost Plant Acct-Elec-P16(Fin'!H17+'IN_Cost Plant Acct-Elec-P16(Fin'!H33</f>
        <v>0</v>
      </c>
      <c r="I21" s="52"/>
      <c r="J21" s="48">
        <f t="shared" si="0"/>
        <v>0</v>
      </c>
      <c r="K21" s="52"/>
      <c r="L21" s="48">
        <f t="shared" si="1"/>
        <v>3471243.4000000004</v>
      </c>
      <c r="M21" s="52"/>
      <c r="N21" s="48">
        <f>'IN_Res by Plant Acct-P30 (Fin)'!R21</f>
        <v>-2957945.66</v>
      </c>
      <c r="P21" s="90">
        <f t="shared" si="2"/>
        <v>513297.74000000022</v>
      </c>
    </row>
    <row r="22" spans="1:16">
      <c r="B22" s="52">
        <f>SUM(B15:B21)</f>
        <v>23479681.649999999</v>
      </c>
      <c r="C22" s="52"/>
      <c r="D22" s="52">
        <f>SUM(D15:D21)</f>
        <v>488.77</v>
      </c>
      <c r="E22" s="52"/>
      <c r="F22" s="52">
        <f>SUM(F15:F21)</f>
        <v>0</v>
      </c>
      <c r="G22" s="52"/>
      <c r="H22" s="52">
        <f>SUM(H15:H21)</f>
        <v>0</v>
      </c>
      <c r="I22" s="52"/>
      <c r="J22" s="52">
        <f>SUM(J15:J21)</f>
        <v>488.77</v>
      </c>
      <c r="K22" s="52"/>
      <c r="L22" s="52">
        <f>SUM(L15:L21)</f>
        <v>23480170.419999994</v>
      </c>
      <c r="M22" s="52"/>
      <c r="N22" s="52">
        <f>SUM(N15:N21)</f>
        <v>-16376592.520000001</v>
      </c>
      <c r="P22" s="52">
        <f>SUM(P15:P21)</f>
        <v>7103577.8999999976</v>
      </c>
    </row>
    <row r="23" spans="1:16">
      <c r="B23" s="52"/>
      <c r="C23" s="52"/>
      <c r="D23" s="52"/>
      <c r="E23" s="52"/>
      <c r="F23" s="52"/>
      <c r="G23" s="52"/>
      <c r="H23" s="52"/>
      <c r="I23" s="52"/>
      <c r="J23" s="52"/>
      <c r="K23" s="52"/>
      <c r="L23" s="52"/>
      <c r="M23" s="52"/>
      <c r="N23" s="52"/>
    </row>
    <row r="24" spans="1:16">
      <c r="B24" s="52"/>
      <c r="C24" s="52"/>
      <c r="D24" s="52"/>
      <c r="E24" s="52"/>
      <c r="F24" s="52"/>
      <c r="G24" s="52"/>
      <c r="H24" s="52"/>
      <c r="I24" s="52"/>
      <c r="J24" s="52"/>
      <c r="K24" s="52"/>
      <c r="L24" s="52"/>
      <c r="M24" s="52"/>
      <c r="N24" s="52"/>
    </row>
    <row r="25" spans="1:16" ht="13.5" thickBot="1">
      <c r="A25" s="3" t="s">
        <v>682</v>
      </c>
      <c r="B25" s="46">
        <f>B22+B12</f>
        <v>23479681.649999999</v>
      </c>
      <c r="C25" s="55"/>
      <c r="D25" s="46">
        <f>D22+D12</f>
        <v>488.77</v>
      </c>
      <c r="E25" s="55"/>
      <c r="F25" s="46">
        <f>F22+F12</f>
        <v>0</v>
      </c>
      <c r="G25" s="55"/>
      <c r="H25" s="46">
        <f>H22+H12</f>
        <v>0</v>
      </c>
      <c r="I25" s="55"/>
      <c r="J25" s="46">
        <f>J22+J12</f>
        <v>488.77</v>
      </c>
      <c r="K25" s="55"/>
      <c r="L25" s="46">
        <f>L22+L12</f>
        <v>23480170.419999994</v>
      </c>
      <c r="M25" s="52"/>
      <c r="N25" s="46">
        <f>N22+N12</f>
        <v>-16376592.520000001</v>
      </c>
      <c r="P25" s="46">
        <f>P22+P12</f>
        <v>7103577.8999999976</v>
      </c>
    </row>
    <row r="26" spans="1:16" ht="13.5" thickTop="1">
      <c r="A26" s="3"/>
      <c r="B26" s="52"/>
      <c r="C26" s="55"/>
      <c r="D26" s="52"/>
      <c r="E26" s="55"/>
      <c r="F26" s="52"/>
      <c r="G26" s="55"/>
      <c r="H26" s="52"/>
      <c r="I26" s="55"/>
      <c r="J26" s="52"/>
      <c r="K26" s="55"/>
      <c r="L26" s="52"/>
      <c r="M26" s="52"/>
      <c r="N26" s="55"/>
    </row>
    <row r="27" spans="1:16">
      <c r="B27" s="52"/>
      <c r="C27" s="52"/>
      <c r="D27" s="52"/>
      <c r="E27" s="52"/>
      <c r="F27" s="52"/>
      <c r="G27" s="52"/>
      <c r="H27" s="52"/>
      <c r="I27" s="52"/>
      <c r="J27" s="52"/>
      <c r="K27" s="52"/>
      <c r="L27" s="52"/>
      <c r="M27" s="52"/>
      <c r="N27" s="52"/>
    </row>
    <row r="28" spans="1:16">
      <c r="B28" s="45"/>
      <c r="C28" s="45"/>
      <c r="D28" s="45"/>
      <c r="E28" s="45"/>
      <c r="F28" s="45"/>
      <c r="G28" s="45"/>
      <c r="H28" s="45"/>
      <c r="I28" s="45"/>
      <c r="J28" s="45"/>
      <c r="K28" s="45"/>
      <c r="L28" s="45"/>
      <c r="M28" s="45"/>
      <c r="N28" s="45"/>
    </row>
    <row r="29" spans="1:16">
      <c r="B29" s="4"/>
      <c r="C29" s="4"/>
      <c r="D29" s="4"/>
      <c r="E29" s="4"/>
      <c r="F29" s="4"/>
      <c r="G29" s="4"/>
      <c r="H29" s="4"/>
      <c r="I29" s="4"/>
      <c r="J29" s="4"/>
      <c r="K29" s="4"/>
    </row>
    <row r="30" spans="1:16">
      <c r="B30" s="4"/>
      <c r="C30" s="4"/>
      <c r="D30" s="4"/>
      <c r="E30" s="4"/>
      <c r="F30" s="4"/>
      <c r="G30" s="4"/>
      <c r="H30" s="4"/>
      <c r="I30" s="4"/>
      <c r="J30" s="4"/>
      <c r="K30" s="4"/>
    </row>
    <row r="31" spans="1:16">
      <c r="B31" s="4"/>
      <c r="C31" s="4"/>
      <c r="D31" s="4"/>
      <c r="E31" s="4"/>
      <c r="F31" s="4"/>
      <c r="G31" s="4"/>
      <c r="H31" s="4"/>
      <c r="I31" s="4"/>
      <c r="J31" s="4"/>
      <c r="K31" s="4"/>
    </row>
    <row r="32" spans="1:16">
      <c r="B32" s="4"/>
      <c r="C32" s="4"/>
      <c r="D32" s="4"/>
      <c r="E32" s="4"/>
      <c r="F32" s="4"/>
      <c r="G32" s="4"/>
      <c r="H32" s="4"/>
      <c r="I32" s="4"/>
      <c r="J32" s="4"/>
      <c r="K32" s="4"/>
    </row>
  </sheetData>
  <customSheetViews>
    <customSheetView guid="{6B74E52F-9552-408A-8775-25AFF24E6639}" scale="75" showPageBreaks="1" fitToPage="1" showRuler="0">
      <selection activeCell="A6" sqref="A6"/>
      <pageMargins left="0.75" right="0.75" top="1" bottom="1" header="0.5" footer="0.5"/>
      <pageSetup scale="58" fitToHeight="2" orientation="landscape" r:id="rId1"/>
      <headerFooter alignWithMargins="0">
        <oddFooter>&amp;L&amp;Z
&amp;F&amp;C&amp;A&amp;R15.&amp;P</oddFooter>
      </headerFooter>
    </customSheetView>
  </customSheetViews>
  <mergeCells count="3">
    <mergeCell ref="A2:P2"/>
    <mergeCell ref="A1:P1"/>
    <mergeCell ref="A3:P3"/>
  </mergeCells>
  <phoneticPr fontId="4" type="noConversion"/>
  <pageMargins left="0.75" right="0.75" top="1" bottom="1" header="0.5" footer="0.5"/>
  <pageSetup scale="61" fitToHeight="2" orientation="landscape" r:id="rId2"/>
  <headerFooter alignWithMargins="0">
    <oddFooter>&amp;L&amp;Z
&amp;F&amp;C&amp;A&amp;R15.&amp;P</oddFooter>
  </headerFooter>
</worksheet>
</file>

<file path=xl/worksheets/sheet102.xml><?xml version="1.0" encoding="utf-8"?>
<worksheet xmlns="http://schemas.openxmlformats.org/spreadsheetml/2006/main" xmlns:r="http://schemas.openxmlformats.org/officeDocument/2006/relationships">
  <sheetPr codeName="Sheet58" enableFormatConditionsCalculation="0">
    <tabColor indexed="33"/>
    <pageSetUpPr fitToPage="1"/>
  </sheetPr>
  <dimension ref="A1:M44"/>
  <sheetViews>
    <sheetView zoomScaleNormal="100" workbookViewId="0">
      <selection sqref="A1:L1"/>
    </sheetView>
  </sheetViews>
  <sheetFormatPr defaultRowHeight="12.75"/>
  <cols>
    <col min="1" max="1" width="43.85546875" bestFit="1" customWidth="1"/>
    <col min="2" max="2" width="17.7109375" customWidth="1"/>
    <col min="3" max="3" width="1.7109375" customWidth="1"/>
    <col min="4" max="4" width="17.7109375" customWidth="1"/>
    <col min="5" max="5" width="1.7109375" customWidth="1"/>
    <col min="6" max="6" width="17.7109375" customWidth="1"/>
    <col min="7" max="7" width="1.7109375" customWidth="1"/>
    <col min="8" max="8" width="17.7109375" customWidth="1"/>
    <col min="9" max="9" width="1.7109375" customWidth="1"/>
    <col min="10" max="10" width="17.7109375" customWidth="1"/>
    <col min="11" max="11" width="1.7109375" customWidth="1"/>
    <col min="12" max="12" width="17.7109375" customWidth="1"/>
  </cols>
  <sheetData>
    <row r="1" spans="1:13" s="38" customFormat="1" ht="15.75">
      <c r="A1" s="366" t="s">
        <v>134</v>
      </c>
      <c r="B1" s="366"/>
      <c r="C1" s="366"/>
      <c r="D1" s="366"/>
      <c r="E1" s="366"/>
      <c r="F1" s="366"/>
      <c r="G1" s="366"/>
      <c r="H1" s="366"/>
      <c r="I1" s="366"/>
      <c r="J1" s="366"/>
      <c r="K1" s="366"/>
      <c r="L1" s="366"/>
    </row>
    <row r="2" spans="1:13" s="38" customFormat="1" ht="15.75">
      <c r="A2" s="366" t="s">
        <v>1224</v>
      </c>
      <c r="B2" s="366"/>
      <c r="C2" s="366"/>
      <c r="D2" s="366"/>
      <c r="E2" s="366"/>
      <c r="F2" s="366"/>
      <c r="G2" s="366"/>
      <c r="H2" s="366"/>
      <c r="I2" s="366"/>
      <c r="J2" s="366"/>
      <c r="K2" s="366"/>
      <c r="L2" s="366"/>
    </row>
    <row r="3" spans="1:13">
      <c r="A3" s="357" t="str">
        <f>'Summary - Cost - PG 1 (Fin)'!A3:N3</f>
        <v>MARCH 2012</v>
      </c>
      <c r="B3" s="357"/>
      <c r="C3" s="357"/>
      <c r="D3" s="357"/>
      <c r="E3" s="357"/>
      <c r="F3" s="357"/>
      <c r="G3" s="357"/>
      <c r="H3" s="357"/>
      <c r="I3" s="357"/>
      <c r="J3" s="357"/>
      <c r="K3" s="357"/>
      <c r="L3" s="357"/>
    </row>
    <row r="4" spans="1:13">
      <c r="A4" s="30"/>
      <c r="B4" s="30"/>
      <c r="C4" s="30"/>
      <c r="D4" s="30"/>
      <c r="E4" s="30"/>
      <c r="F4" s="30"/>
      <c r="G4" s="30"/>
      <c r="H4" s="30"/>
      <c r="I4" s="30"/>
      <c r="J4" s="30"/>
      <c r="K4" s="30"/>
      <c r="L4" s="30"/>
    </row>
    <row r="6" spans="1:13">
      <c r="B6" s="41" t="s">
        <v>25</v>
      </c>
      <c r="D6" s="33"/>
      <c r="F6" s="33"/>
      <c r="H6" s="41" t="s">
        <v>612</v>
      </c>
      <c r="J6" s="33"/>
      <c r="L6" s="41" t="s">
        <v>26</v>
      </c>
    </row>
    <row r="7" spans="1:13" s="10" customFormat="1">
      <c r="B7" s="42" t="s">
        <v>27</v>
      </c>
      <c r="C7"/>
      <c r="D7" s="42" t="s">
        <v>107</v>
      </c>
      <c r="E7"/>
      <c r="F7" s="42" t="s">
        <v>108</v>
      </c>
      <c r="G7"/>
      <c r="H7" s="42" t="s">
        <v>613</v>
      </c>
      <c r="I7"/>
      <c r="J7" s="42" t="s">
        <v>109</v>
      </c>
      <c r="K7"/>
      <c r="L7" s="42" t="s">
        <v>27</v>
      </c>
    </row>
    <row r="8" spans="1:13" s="10" customFormat="1">
      <c r="B8" s="54"/>
      <c r="C8"/>
      <c r="D8" s="54"/>
      <c r="E8"/>
      <c r="F8" s="54"/>
      <c r="G8"/>
      <c r="H8" s="54"/>
      <c r="I8"/>
      <c r="J8" s="54"/>
      <c r="K8"/>
      <c r="L8" s="54"/>
    </row>
    <row r="9" spans="1:13" s="10" customFormat="1">
      <c r="A9" s="12" t="s">
        <v>806</v>
      </c>
      <c r="B9"/>
      <c r="C9"/>
      <c r="D9"/>
      <c r="E9"/>
      <c r="F9"/>
      <c r="G9"/>
      <c r="H9"/>
      <c r="I9"/>
      <c r="J9"/>
      <c r="K9"/>
      <c r="L9"/>
    </row>
    <row r="10" spans="1:13">
      <c r="A10" s="3" t="s">
        <v>119</v>
      </c>
    </row>
    <row r="11" spans="1:13">
      <c r="A11" t="s">
        <v>5</v>
      </c>
      <c r="B11" s="33">
        <v>465100.04</v>
      </c>
      <c r="C11" s="33"/>
      <c r="D11" s="33">
        <v>0</v>
      </c>
      <c r="E11" s="33"/>
      <c r="F11" s="300">
        <v>0</v>
      </c>
      <c r="G11" s="33"/>
      <c r="H11" s="300">
        <v>0</v>
      </c>
      <c r="I11" s="33"/>
      <c r="J11" s="33">
        <f>H11+F11+D11</f>
        <v>0</v>
      </c>
      <c r="K11" s="33"/>
      <c r="L11" s="33">
        <f>J11+B11</f>
        <v>465100.04</v>
      </c>
      <c r="M11" s="33"/>
    </row>
    <row r="12" spans="1:13">
      <c r="A12" t="s">
        <v>6</v>
      </c>
      <c r="B12" s="33">
        <v>143421.71</v>
      </c>
      <c r="C12" s="33"/>
      <c r="D12" s="33">
        <v>0</v>
      </c>
      <c r="E12" s="33"/>
      <c r="F12" s="300">
        <v>0</v>
      </c>
      <c r="G12" s="33"/>
      <c r="H12" s="300">
        <v>0</v>
      </c>
      <c r="I12" s="33"/>
      <c r="J12" s="33">
        <f t="shared" ref="J12:J17" si="0">H12+F12+D12</f>
        <v>0</v>
      </c>
      <c r="K12" s="33"/>
      <c r="L12" s="33">
        <f t="shared" ref="L12:L17" si="1">J12+B12</f>
        <v>143421.71</v>
      </c>
      <c r="M12" s="33"/>
    </row>
    <row r="13" spans="1:13">
      <c r="A13" t="s">
        <v>7</v>
      </c>
      <c r="B13" s="33">
        <v>338701.07</v>
      </c>
      <c r="C13" s="33"/>
      <c r="D13" s="33">
        <v>0</v>
      </c>
      <c r="E13" s="33"/>
      <c r="F13" s="300">
        <v>0</v>
      </c>
      <c r="G13" s="33"/>
      <c r="H13" s="300">
        <v>0</v>
      </c>
      <c r="I13" s="33"/>
      <c r="J13" s="33">
        <f t="shared" si="0"/>
        <v>0</v>
      </c>
      <c r="K13" s="33"/>
      <c r="L13" s="33">
        <f t="shared" si="1"/>
        <v>338701.07</v>
      </c>
      <c r="M13" s="33"/>
    </row>
    <row r="14" spans="1:13">
      <c r="A14" t="s">
        <v>8</v>
      </c>
      <c r="B14" s="33">
        <v>11059420.709999999</v>
      </c>
      <c r="C14" s="33"/>
      <c r="D14" s="33">
        <v>0</v>
      </c>
      <c r="E14" s="33"/>
      <c r="F14" s="300">
        <v>0</v>
      </c>
      <c r="G14" s="33"/>
      <c r="H14" s="300">
        <v>0</v>
      </c>
      <c r="I14" s="33"/>
      <c r="J14" s="33">
        <f t="shared" si="0"/>
        <v>0</v>
      </c>
      <c r="K14" s="33"/>
      <c r="L14" s="33">
        <f t="shared" si="1"/>
        <v>11059420.709999999</v>
      </c>
      <c r="M14" s="33"/>
    </row>
    <row r="15" spans="1:13">
      <c r="A15" t="s">
        <v>9</v>
      </c>
      <c r="B15" s="33">
        <v>5974342.3399999999</v>
      </c>
      <c r="C15" s="33"/>
      <c r="D15" s="33">
        <v>0</v>
      </c>
      <c r="E15" s="33"/>
      <c r="F15" s="300">
        <v>0</v>
      </c>
      <c r="G15" s="33"/>
      <c r="H15" s="300">
        <v>0</v>
      </c>
      <c r="I15" s="33"/>
      <c r="J15" s="33">
        <f t="shared" si="0"/>
        <v>0</v>
      </c>
      <c r="K15" s="33"/>
      <c r="L15" s="33">
        <f t="shared" si="1"/>
        <v>5974342.3399999999</v>
      </c>
      <c r="M15" s="33"/>
    </row>
    <row r="16" spans="1:13">
      <c r="A16" t="s">
        <v>10</v>
      </c>
      <c r="B16" s="33">
        <v>2009928.2200000002</v>
      </c>
      <c r="C16" s="33"/>
      <c r="D16" s="33">
        <v>0</v>
      </c>
      <c r="E16" s="33"/>
      <c r="F16" s="300">
        <v>0</v>
      </c>
      <c r="G16" s="33"/>
      <c r="H16" s="300">
        <v>0</v>
      </c>
      <c r="I16" s="33"/>
      <c r="J16" s="33">
        <f t="shared" si="0"/>
        <v>0</v>
      </c>
      <c r="K16" s="33"/>
      <c r="L16" s="33">
        <f t="shared" si="1"/>
        <v>2009928.2200000002</v>
      </c>
      <c r="M16" s="33"/>
    </row>
    <row r="17" spans="1:13">
      <c r="A17" t="s">
        <v>11</v>
      </c>
      <c r="B17" s="35">
        <v>3471243.4000000004</v>
      </c>
      <c r="C17" s="37"/>
      <c r="D17" s="35">
        <v>0</v>
      </c>
      <c r="E17" s="37"/>
      <c r="F17" s="35">
        <v>0</v>
      </c>
      <c r="G17" s="37"/>
      <c r="H17" s="35">
        <v>0</v>
      </c>
      <c r="I17" s="37"/>
      <c r="J17" s="35">
        <f t="shared" si="0"/>
        <v>0</v>
      </c>
      <c r="K17" s="37"/>
      <c r="L17" s="35">
        <f t="shared" si="1"/>
        <v>3471243.4000000004</v>
      </c>
      <c r="M17" s="37"/>
    </row>
    <row r="18" spans="1:13">
      <c r="B18" s="37">
        <f>SUM(B11:B17)</f>
        <v>23462157.489999995</v>
      </c>
      <c r="C18" s="37"/>
      <c r="D18" s="37">
        <f>SUM(D11:D17)</f>
        <v>0</v>
      </c>
      <c r="E18" s="37"/>
      <c r="F18" s="37">
        <f>SUM(F11:F17)</f>
        <v>0</v>
      </c>
      <c r="G18" s="37"/>
      <c r="H18" s="37">
        <f>SUM(H11:H17)</f>
        <v>0</v>
      </c>
      <c r="I18" s="37"/>
      <c r="J18" s="37">
        <f>SUM(J11:J17)</f>
        <v>0</v>
      </c>
      <c r="K18" s="37"/>
      <c r="L18" s="37">
        <f>SUM(L11:L17)</f>
        <v>23462157.489999995</v>
      </c>
      <c r="M18" s="37"/>
    </row>
    <row r="19" spans="1:13">
      <c r="B19" s="37"/>
      <c r="C19" s="37"/>
      <c r="D19" s="37"/>
      <c r="E19" s="37"/>
      <c r="F19" s="37"/>
      <c r="G19" s="37"/>
      <c r="H19" s="37"/>
      <c r="I19" s="37"/>
      <c r="J19" s="37"/>
      <c r="K19" s="37"/>
      <c r="L19" s="37"/>
      <c r="M19" s="37"/>
    </row>
    <row r="20" spans="1:13">
      <c r="B20" s="37"/>
      <c r="C20" s="37"/>
      <c r="D20" s="37"/>
      <c r="E20" s="37"/>
      <c r="F20" s="37"/>
      <c r="G20" s="37"/>
      <c r="H20" s="37"/>
      <c r="I20" s="37"/>
      <c r="J20" s="37"/>
      <c r="K20" s="37"/>
      <c r="L20" s="37"/>
      <c r="M20" s="37"/>
    </row>
    <row r="21" spans="1:13">
      <c r="A21" s="3" t="s">
        <v>603</v>
      </c>
      <c r="B21" s="34">
        <f>B18</f>
        <v>23462157.489999995</v>
      </c>
      <c r="C21" s="6"/>
      <c r="D21" s="34">
        <f>D18</f>
        <v>0</v>
      </c>
      <c r="E21" s="6"/>
      <c r="F21" s="34">
        <f>F18</f>
        <v>0</v>
      </c>
      <c r="G21" s="6"/>
      <c r="H21" s="34">
        <f>H18</f>
        <v>0</v>
      </c>
      <c r="I21" s="6"/>
      <c r="J21" s="34">
        <f>J18</f>
        <v>0</v>
      </c>
      <c r="K21" s="6"/>
      <c r="L21" s="34">
        <f>L18</f>
        <v>23462157.489999995</v>
      </c>
      <c r="M21" s="6"/>
    </row>
    <row r="22" spans="1:13">
      <c r="A22" s="3"/>
      <c r="B22" s="37"/>
      <c r="C22" s="6"/>
      <c r="D22" s="37"/>
      <c r="E22" s="6"/>
      <c r="F22" s="37"/>
      <c r="G22" s="6"/>
      <c r="H22" s="37"/>
      <c r="I22" s="6"/>
      <c r="J22" s="37"/>
      <c r="K22" s="6"/>
      <c r="L22" s="37"/>
      <c r="M22" s="6"/>
    </row>
    <row r="23" spans="1:13">
      <c r="B23" s="37"/>
      <c r="C23" s="37"/>
      <c r="D23" s="37"/>
      <c r="E23" s="37"/>
      <c r="F23" s="37"/>
      <c r="G23" s="37"/>
      <c r="H23" s="37"/>
      <c r="I23" s="37"/>
      <c r="J23" s="37"/>
      <c r="K23" s="37"/>
      <c r="L23" s="37"/>
      <c r="M23" s="37"/>
    </row>
    <row r="24" spans="1:13">
      <c r="A24" s="3" t="s">
        <v>573</v>
      </c>
      <c r="B24" s="37"/>
      <c r="C24" s="37"/>
      <c r="D24" s="37"/>
      <c r="E24" s="37"/>
      <c r="F24" s="37"/>
      <c r="G24" s="37"/>
      <c r="H24" s="37"/>
      <c r="I24" s="37"/>
      <c r="J24" s="37"/>
      <c r="K24" s="37"/>
      <c r="L24" s="37"/>
      <c r="M24" s="37"/>
    </row>
    <row r="25" spans="1:13">
      <c r="A25" s="3" t="s">
        <v>113</v>
      </c>
      <c r="B25" s="37"/>
      <c r="C25" s="37"/>
      <c r="D25" s="37"/>
      <c r="E25" s="37"/>
      <c r="F25" s="37"/>
      <c r="G25" s="37"/>
      <c r="H25" s="37"/>
      <c r="I25" s="37"/>
      <c r="J25" s="37"/>
      <c r="K25" s="37"/>
      <c r="L25" s="37"/>
      <c r="M25" s="37"/>
    </row>
    <row r="26" spans="1:13">
      <c r="A26" t="s">
        <v>12</v>
      </c>
      <c r="B26" s="35">
        <v>0</v>
      </c>
      <c r="C26" s="37"/>
      <c r="D26" s="35">
        <v>0</v>
      </c>
      <c r="E26" s="37"/>
      <c r="F26" s="35">
        <v>0</v>
      </c>
      <c r="G26" s="37"/>
      <c r="H26" s="35">
        <v>0</v>
      </c>
      <c r="I26" s="37"/>
      <c r="J26" s="35">
        <f>H26+F26+D26</f>
        <v>0</v>
      </c>
      <c r="K26" s="37"/>
      <c r="L26" s="35">
        <f>J26+B26</f>
        <v>0</v>
      </c>
      <c r="M26" s="37"/>
    </row>
    <row r="27" spans="1:13">
      <c r="B27" s="37">
        <f>SUM(B26:B26)</f>
        <v>0</v>
      </c>
      <c r="C27" s="37"/>
      <c r="D27" s="37">
        <f>SUM(D26:D26)</f>
        <v>0</v>
      </c>
      <c r="E27" s="37"/>
      <c r="F27" s="37">
        <f>SUM(F26:F26)</f>
        <v>0</v>
      </c>
      <c r="G27" s="37"/>
      <c r="H27" s="37">
        <f>SUM(H26:H26)</f>
        <v>0</v>
      </c>
      <c r="I27" s="37"/>
      <c r="J27" s="37">
        <f>SUM(J26:J26)</f>
        <v>0</v>
      </c>
      <c r="K27" s="37"/>
      <c r="L27" s="37">
        <f>SUM(L26:L26)</f>
        <v>0</v>
      </c>
      <c r="M27" s="37"/>
    </row>
    <row r="28" spans="1:13">
      <c r="B28" s="37"/>
      <c r="C28" s="37"/>
      <c r="D28" s="37"/>
      <c r="E28" s="37"/>
      <c r="F28" s="37"/>
      <c r="G28" s="37"/>
      <c r="H28" s="37"/>
      <c r="I28" s="37"/>
      <c r="J28" s="37"/>
      <c r="K28" s="37"/>
      <c r="L28" s="37"/>
      <c r="M28" s="37"/>
    </row>
    <row r="29" spans="1:13">
      <c r="A29" s="3" t="s">
        <v>119</v>
      </c>
      <c r="B29" s="37"/>
      <c r="C29" s="37"/>
      <c r="D29" s="37"/>
      <c r="E29" s="37"/>
      <c r="F29" s="37"/>
      <c r="G29" s="37"/>
      <c r="H29" s="37"/>
      <c r="I29" s="37"/>
      <c r="J29" s="37"/>
      <c r="K29" s="37"/>
      <c r="L29" s="37"/>
      <c r="M29" s="37"/>
    </row>
    <row r="30" spans="1:13">
      <c r="A30" t="s">
        <v>8</v>
      </c>
      <c r="B30" s="37">
        <v>17524.160000000047</v>
      </c>
      <c r="C30" s="37"/>
      <c r="D30" s="37">
        <v>488.77</v>
      </c>
      <c r="E30" s="37"/>
      <c r="F30" s="37"/>
      <c r="G30" s="37"/>
      <c r="H30" s="37"/>
      <c r="I30" s="37"/>
      <c r="J30" s="37">
        <f>H30+F30+D30</f>
        <v>488.77</v>
      </c>
      <c r="K30" s="37"/>
      <c r="L30" s="37">
        <f>J30+B30</f>
        <v>18012.930000000048</v>
      </c>
      <c r="M30" s="37"/>
    </row>
    <row r="31" spans="1:13">
      <c r="A31" t="s">
        <v>9</v>
      </c>
      <c r="B31" s="37">
        <v>0</v>
      </c>
      <c r="C31" s="37"/>
      <c r="D31" s="37">
        <v>0</v>
      </c>
      <c r="E31" s="37"/>
      <c r="F31" s="37">
        <v>0</v>
      </c>
      <c r="G31" s="37"/>
      <c r="H31" s="37">
        <v>0</v>
      </c>
      <c r="I31" s="37"/>
      <c r="J31" s="37">
        <f>H31+F31+D31</f>
        <v>0</v>
      </c>
      <c r="K31" s="37"/>
      <c r="L31" s="37">
        <f>J31+B31</f>
        <v>0</v>
      </c>
      <c r="M31" s="37"/>
    </row>
    <row r="32" spans="1:13" s="7" customFormat="1">
      <c r="A32" s="7" t="s">
        <v>10</v>
      </c>
      <c r="B32" s="37">
        <v>0</v>
      </c>
      <c r="C32" s="37"/>
      <c r="D32" s="37">
        <v>0</v>
      </c>
      <c r="E32" s="37"/>
      <c r="F32" s="37">
        <v>0</v>
      </c>
      <c r="G32" s="37"/>
      <c r="H32" s="37">
        <v>0</v>
      </c>
      <c r="I32" s="37"/>
      <c r="J32" s="37">
        <f>H32+F32+D32</f>
        <v>0</v>
      </c>
      <c r="K32" s="37"/>
      <c r="L32" s="37">
        <f>J32+B32</f>
        <v>0</v>
      </c>
      <c r="M32" s="37"/>
    </row>
    <row r="33" spans="1:13" s="7" customFormat="1">
      <c r="A33" s="71" t="s">
        <v>11</v>
      </c>
      <c r="B33" s="37">
        <v>0</v>
      </c>
      <c r="C33" s="37"/>
      <c r="D33" s="37">
        <v>0</v>
      </c>
      <c r="E33" s="37"/>
      <c r="F33" s="37">
        <v>0</v>
      </c>
      <c r="G33" s="37"/>
      <c r="H33" s="37">
        <v>0</v>
      </c>
      <c r="I33" s="37"/>
      <c r="J33" s="37">
        <f>H33+F33+D33</f>
        <v>0</v>
      </c>
      <c r="K33" s="37"/>
      <c r="L33" s="37">
        <f>J33+B33</f>
        <v>0</v>
      </c>
      <c r="M33" s="37"/>
    </row>
    <row r="34" spans="1:13">
      <c r="B34" s="302">
        <f>SUM(B30:B33)</f>
        <v>17524.160000000047</v>
      </c>
      <c r="C34" s="37"/>
      <c r="D34" s="302">
        <f>SUM(D30:D33)</f>
        <v>488.77</v>
      </c>
      <c r="E34" s="37"/>
      <c r="F34" s="302">
        <f>SUM(F30:F33)</f>
        <v>0</v>
      </c>
      <c r="G34" s="37"/>
      <c r="H34" s="302">
        <f>SUM(H30:H33)</f>
        <v>0</v>
      </c>
      <c r="I34" s="37"/>
      <c r="J34" s="302">
        <f>SUM(J30:J33)</f>
        <v>488.77</v>
      </c>
      <c r="K34" s="37"/>
      <c r="L34" s="302">
        <f>SUM(L30:L33)</f>
        <v>18012.930000000048</v>
      </c>
      <c r="M34" s="37"/>
    </row>
    <row r="35" spans="1:13">
      <c r="B35" s="37"/>
      <c r="C35" s="37"/>
      <c r="D35" s="37"/>
      <c r="E35" s="37"/>
      <c r="F35" s="37"/>
      <c r="G35" s="37"/>
      <c r="H35" s="37"/>
      <c r="I35" s="37"/>
      <c r="J35" s="37"/>
      <c r="K35" s="37"/>
      <c r="L35" s="37"/>
      <c r="M35" s="37"/>
    </row>
    <row r="36" spans="1:13">
      <c r="B36" s="37"/>
      <c r="C36" s="37"/>
      <c r="D36" s="37"/>
      <c r="E36" s="37"/>
      <c r="F36" s="37"/>
      <c r="G36" s="37"/>
      <c r="H36" s="37"/>
      <c r="I36" s="37"/>
      <c r="J36" s="37"/>
      <c r="K36" s="37"/>
      <c r="L36" s="37"/>
      <c r="M36" s="37"/>
    </row>
    <row r="37" spans="1:13">
      <c r="A37" s="3" t="s">
        <v>604</v>
      </c>
      <c r="B37" s="34">
        <f>B27+B34</f>
        <v>17524.160000000047</v>
      </c>
      <c r="C37" s="6"/>
      <c r="D37" s="34">
        <f>D27+D34</f>
        <v>488.77</v>
      </c>
      <c r="E37" s="6"/>
      <c r="F37" s="34">
        <f>F27+F34</f>
        <v>0</v>
      </c>
      <c r="G37" s="6"/>
      <c r="H37" s="34">
        <f>H27+H34</f>
        <v>0</v>
      </c>
      <c r="I37" s="6"/>
      <c r="J37" s="34">
        <f>J27+J34</f>
        <v>488.77</v>
      </c>
      <c r="K37" s="6"/>
      <c r="L37" s="34">
        <f>L27+L34</f>
        <v>18012.930000000048</v>
      </c>
      <c r="M37" s="6"/>
    </row>
    <row r="38" spans="1:13">
      <c r="B38" s="37"/>
      <c r="C38" s="37"/>
      <c r="D38" s="37"/>
      <c r="E38" s="37"/>
      <c r="F38" s="37"/>
      <c r="G38" s="37"/>
      <c r="H38" s="37"/>
      <c r="I38" s="37"/>
      <c r="J38" s="37"/>
      <c r="K38" s="37"/>
      <c r="L38" s="37"/>
      <c r="M38" s="37"/>
    </row>
    <row r="39" spans="1:13">
      <c r="B39" s="33"/>
      <c r="C39" s="33"/>
      <c r="D39" s="33"/>
      <c r="E39" s="33"/>
      <c r="F39" s="33"/>
      <c r="G39" s="33"/>
      <c r="H39" s="33"/>
      <c r="I39" s="33"/>
      <c r="J39" s="33"/>
      <c r="K39" s="33"/>
      <c r="L39" s="33"/>
      <c r="M39" s="33"/>
    </row>
    <row r="40" spans="1:13" ht="13.5" thickBot="1">
      <c r="A40" s="3" t="s">
        <v>682</v>
      </c>
      <c r="B40" s="44">
        <f>B21+B37</f>
        <v>23479681.649999995</v>
      </c>
      <c r="C40" s="33"/>
      <c r="D40" s="44">
        <f>D21+D37</f>
        <v>488.77</v>
      </c>
      <c r="E40" s="33"/>
      <c r="F40" s="44">
        <f>F21+F37</f>
        <v>0</v>
      </c>
      <c r="G40" s="33"/>
      <c r="H40" s="44">
        <f>H21+H37</f>
        <v>0</v>
      </c>
      <c r="I40" s="33"/>
      <c r="J40" s="44">
        <f>J21+J37</f>
        <v>488.77</v>
      </c>
      <c r="K40" s="33"/>
      <c r="L40" s="44">
        <f>L21+L37</f>
        <v>23480170.419999994</v>
      </c>
      <c r="M40" s="33"/>
    </row>
    <row r="41" spans="1:13" ht="13.5" thickTop="1">
      <c r="B41" s="1"/>
      <c r="C41" s="1"/>
      <c r="D41" s="1"/>
      <c r="E41" s="1"/>
      <c r="F41" s="1"/>
      <c r="G41" s="1"/>
      <c r="H41" s="1"/>
      <c r="I41" s="1"/>
      <c r="J41" s="1"/>
      <c r="K41" s="1"/>
    </row>
    <row r="42" spans="1:13">
      <c r="B42" s="1"/>
      <c r="C42" s="1"/>
      <c r="D42" s="1"/>
      <c r="E42" s="1"/>
      <c r="F42" s="1"/>
      <c r="G42" s="1"/>
      <c r="H42" s="1"/>
      <c r="I42" s="1"/>
      <c r="J42" s="1"/>
      <c r="K42" s="1"/>
    </row>
    <row r="43" spans="1:13">
      <c r="B43" s="1"/>
      <c r="C43" s="1"/>
      <c r="D43" s="1"/>
      <c r="E43" s="1"/>
      <c r="F43" s="1"/>
      <c r="G43" s="1"/>
      <c r="H43" s="1"/>
      <c r="I43" s="1"/>
      <c r="J43" s="1"/>
      <c r="K43" s="1"/>
    </row>
    <row r="44" spans="1:13">
      <c r="B44" s="1"/>
      <c r="C44" s="1"/>
      <c r="D44" s="1"/>
      <c r="E44" s="1"/>
      <c r="F44" s="1"/>
      <c r="G44" s="1"/>
      <c r="H44" s="1"/>
      <c r="I44" s="1"/>
      <c r="J44" s="1"/>
      <c r="K44" s="1"/>
    </row>
  </sheetData>
  <customSheetViews>
    <customSheetView guid="{6B74E52F-9552-408A-8775-25AFF24E6639}" scale="75" showPageBreaks="1" fitToPage="1" showRuler="0">
      <selection activeCell="A5" sqref="A5"/>
      <pageMargins left="0.75" right="0.75" top="1" bottom="1" header="0.5" footer="0.5"/>
      <pageSetup scale="77" fitToHeight="2" orientation="landscape" r:id="rId1"/>
      <headerFooter alignWithMargins="0">
        <oddFooter>&amp;L&amp;Z
&amp;F&amp;C&amp;A&amp;R16.&amp;P</oddFooter>
      </headerFooter>
    </customSheetView>
  </customSheetViews>
  <mergeCells count="3">
    <mergeCell ref="A1:L1"/>
    <mergeCell ref="A2:L2"/>
    <mergeCell ref="A3:L3"/>
  </mergeCells>
  <phoneticPr fontId="4" type="noConversion"/>
  <pageMargins left="0.75" right="0.75" top="1" bottom="1" header="0.5" footer="0.5"/>
  <pageSetup scale="77" fitToHeight="2" orientation="landscape" r:id="rId2"/>
  <headerFooter alignWithMargins="0">
    <oddFooter>&amp;L&amp;Z
&amp;F&amp;C&amp;A&amp;R16.&amp;P</oddFooter>
  </headerFooter>
</worksheet>
</file>

<file path=xl/worksheets/sheet103.xml><?xml version="1.0" encoding="utf-8"?>
<worksheet xmlns="http://schemas.openxmlformats.org/spreadsheetml/2006/main" xmlns:r="http://schemas.openxmlformats.org/officeDocument/2006/relationships">
  <sheetPr codeName="Sheet75"/>
  <dimension ref="A1:P109"/>
  <sheetViews>
    <sheetView zoomScale="90" zoomScaleNormal="90" workbookViewId="0">
      <selection sqref="A1:P1"/>
    </sheetView>
  </sheetViews>
  <sheetFormatPr defaultRowHeight="12.75"/>
  <cols>
    <col min="1" max="1" width="45.7109375" bestFit="1" customWidth="1"/>
    <col min="2" max="2" width="17.7109375" customWidth="1"/>
    <col min="3" max="3" width="1.7109375" customWidth="1"/>
    <col min="4" max="4" width="17.7109375" customWidth="1"/>
    <col min="5" max="5" width="1.7109375" customWidth="1"/>
    <col min="6" max="6" width="17.7109375" customWidth="1"/>
    <col min="7" max="7" width="1.7109375" customWidth="1"/>
    <col min="8" max="8" width="17.7109375" customWidth="1"/>
    <col min="9" max="9" width="1.7109375" customWidth="1"/>
    <col min="10" max="10" width="17.7109375" customWidth="1"/>
    <col min="11" max="11" width="1.7109375" customWidth="1"/>
    <col min="12" max="12" width="17.7109375" customWidth="1"/>
    <col min="13" max="13" width="1.85546875" customWidth="1"/>
    <col min="14" max="14" width="16.42578125" customWidth="1"/>
    <col min="15" max="15" width="1.7109375" customWidth="1"/>
    <col min="16" max="16" width="23.140625" bestFit="1" customWidth="1"/>
  </cols>
  <sheetData>
    <row r="1" spans="1:16" s="38" customFormat="1" ht="15.75">
      <c r="A1" s="366" t="s">
        <v>134</v>
      </c>
      <c r="B1" s="366"/>
      <c r="C1" s="366"/>
      <c r="D1" s="366"/>
      <c r="E1" s="366"/>
      <c r="F1" s="366"/>
      <c r="G1" s="366"/>
      <c r="H1" s="366"/>
      <c r="I1" s="366"/>
      <c r="J1" s="366"/>
      <c r="K1" s="366"/>
      <c r="L1" s="366"/>
      <c r="M1" s="366"/>
      <c r="N1" s="366"/>
      <c r="O1" s="366"/>
      <c r="P1" s="366"/>
    </row>
    <row r="2" spans="1:16" s="38" customFormat="1" ht="15.75">
      <c r="A2" s="367" t="s">
        <v>1225</v>
      </c>
      <c r="B2" s="366"/>
      <c r="C2" s="366"/>
      <c r="D2" s="366"/>
      <c r="E2" s="366"/>
      <c r="F2" s="366"/>
      <c r="G2" s="366"/>
      <c r="H2" s="366"/>
      <c r="I2" s="366"/>
      <c r="J2" s="366"/>
      <c r="K2" s="366"/>
      <c r="L2" s="366"/>
      <c r="M2" s="366"/>
      <c r="N2" s="366"/>
      <c r="O2" s="366"/>
      <c r="P2" s="366"/>
    </row>
    <row r="3" spans="1:16">
      <c r="A3" s="357" t="str">
        <f>'Summary - Cost - PG 1 (Fin)'!A3:N3</f>
        <v>MARCH 2012</v>
      </c>
      <c r="B3" s="357"/>
      <c r="C3" s="357"/>
      <c r="D3" s="357"/>
      <c r="E3" s="357"/>
      <c r="F3" s="357"/>
      <c r="G3" s="357"/>
      <c r="H3" s="357"/>
      <c r="I3" s="357"/>
      <c r="J3" s="357"/>
      <c r="K3" s="357"/>
      <c r="L3" s="357"/>
      <c r="M3" s="357"/>
      <c r="N3" s="357"/>
      <c r="O3" s="357"/>
      <c r="P3" s="357"/>
    </row>
    <row r="4" spans="1:16">
      <c r="A4" s="30"/>
      <c r="B4" s="30"/>
      <c r="C4" s="30"/>
      <c r="D4" s="30"/>
      <c r="E4" s="30"/>
      <c r="F4" s="30"/>
      <c r="G4" s="30"/>
      <c r="H4" s="30"/>
      <c r="I4" s="30"/>
      <c r="J4" s="30"/>
      <c r="K4" s="30"/>
      <c r="L4" s="30"/>
    </row>
    <row r="6" spans="1:16">
      <c r="B6" s="41" t="s">
        <v>25</v>
      </c>
      <c r="D6" s="45"/>
      <c r="F6" s="45"/>
      <c r="H6" s="41" t="s">
        <v>612</v>
      </c>
      <c r="J6" s="45"/>
      <c r="L6" s="41" t="s">
        <v>26</v>
      </c>
      <c r="P6" s="29" t="s">
        <v>422</v>
      </c>
    </row>
    <row r="7" spans="1:16" s="10" customFormat="1">
      <c r="A7" s="12" t="s">
        <v>371</v>
      </c>
      <c r="B7" s="42" t="s">
        <v>27</v>
      </c>
      <c r="C7"/>
      <c r="D7" s="42" t="s">
        <v>107</v>
      </c>
      <c r="E7"/>
      <c r="F7" s="42" t="s">
        <v>108</v>
      </c>
      <c r="G7"/>
      <c r="H7" s="42" t="s">
        <v>613</v>
      </c>
      <c r="I7"/>
      <c r="J7" s="42" t="s">
        <v>109</v>
      </c>
      <c r="K7"/>
      <c r="L7" s="42" t="s">
        <v>27</v>
      </c>
      <c r="N7" s="42" t="s">
        <v>46</v>
      </c>
      <c r="P7" s="42" t="s">
        <v>419</v>
      </c>
    </row>
    <row r="8" spans="1:16" s="10" customFormat="1">
      <c r="A8" s="12" t="s">
        <v>296</v>
      </c>
      <c r="B8" s="54"/>
      <c r="C8"/>
      <c r="D8" s="54"/>
      <c r="E8"/>
      <c r="F8" s="54"/>
      <c r="G8"/>
      <c r="H8" s="54"/>
      <c r="I8"/>
      <c r="J8" s="54"/>
      <c r="K8"/>
      <c r="L8" s="54"/>
    </row>
    <row r="9" spans="1:16" s="10" customFormat="1">
      <c r="A9" s="12" t="s">
        <v>420</v>
      </c>
      <c r="B9" s="54"/>
      <c r="C9"/>
      <c r="D9" s="54"/>
      <c r="E9"/>
      <c r="F9" s="54"/>
      <c r="G9"/>
      <c r="H9" s="54"/>
      <c r="I9"/>
      <c r="J9" s="54"/>
      <c r="K9"/>
      <c r="L9" s="54"/>
    </row>
    <row r="10" spans="1:16">
      <c r="A10" s="3" t="s">
        <v>121</v>
      </c>
    </row>
    <row r="11" spans="1:16">
      <c r="A11" t="s">
        <v>848</v>
      </c>
      <c r="B11" s="45">
        <f>'KY_Cost Plant Acct-Gas-P20(Fin)'!B11</f>
        <v>59724.58</v>
      </c>
      <c r="C11" s="45"/>
      <c r="D11" s="45">
        <f>'KY_Cost Plant Acct-Gas-P20(Fin)'!D11</f>
        <v>0</v>
      </c>
      <c r="E11" s="45"/>
      <c r="F11" s="45">
        <f>'KY_Cost Plant Acct-Gas-P20(Fin)'!F11</f>
        <v>0</v>
      </c>
      <c r="G11" s="45"/>
      <c r="H11" s="45">
        <f>'KY_Cost Plant Acct-Gas-P20(Fin)'!H11</f>
        <v>0</v>
      </c>
      <c r="I11" s="45"/>
      <c r="J11" s="45">
        <f t="shared" ref="J11:J24" si="0">H11+F11+D11</f>
        <v>0</v>
      </c>
      <c r="K11" s="45"/>
      <c r="L11" s="45">
        <f t="shared" ref="L11:L24" si="1">J11+B11</f>
        <v>59724.58</v>
      </c>
      <c r="M11" s="4"/>
      <c r="N11" s="89">
        <f>'KY_Res by Plant Acct-P29 (Fin)'!R339</f>
        <v>0</v>
      </c>
      <c r="P11" s="89">
        <f t="shared" ref="P11:P24" si="2">L11+N11</f>
        <v>59724.58</v>
      </c>
    </row>
    <row r="12" spans="1:16">
      <c r="A12" t="s">
        <v>849</v>
      </c>
      <c r="B12" s="45">
        <f>'KY_Cost Plant Acct-Gas-P20(Fin)'!B12</f>
        <v>74018.23</v>
      </c>
      <c r="C12" s="45"/>
      <c r="D12" s="45">
        <f>'KY_Cost Plant Acct-Gas-P20(Fin)'!D12</f>
        <v>0</v>
      </c>
      <c r="E12" s="45"/>
      <c r="F12" s="45">
        <f>'KY_Cost Plant Acct-Gas-P20(Fin)'!F12</f>
        <v>0</v>
      </c>
      <c r="G12" s="45"/>
      <c r="H12" s="45">
        <f>'KY_Cost Plant Acct-Gas-P20(Fin)'!H12</f>
        <v>0</v>
      </c>
      <c r="I12" s="45"/>
      <c r="J12" s="45">
        <f t="shared" si="0"/>
        <v>0</v>
      </c>
      <c r="K12" s="45"/>
      <c r="L12" s="45">
        <f t="shared" si="1"/>
        <v>74018.23</v>
      </c>
      <c r="M12" s="4"/>
      <c r="N12" s="89">
        <f>'KY_Res by Plant Acct-P29 (Fin)'!R340</f>
        <v>-77417.460000000006</v>
      </c>
      <c r="P12" s="89">
        <f t="shared" si="2"/>
        <v>-3399.2300000000105</v>
      </c>
    </row>
    <row r="13" spans="1:16">
      <c r="A13" t="s">
        <v>850</v>
      </c>
      <c r="B13" s="45">
        <f>'KY_Cost Plant Acct-Gas-P20(Fin)'!B13+'KY_Cost Plant Acct-Gas-P20(Fin)'!B73</f>
        <v>367965.77</v>
      </c>
      <c r="C13" s="45"/>
      <c r="D13" s="45">
        <f>'KY_Cost Plant Acct-Gas-P20(Fin)'!D13+'KY_Cost Plant Acct-Gas-P20(Fin)'!D73</f>
        <v>0</v>
      </c>
      <c r="E13" s="45"/>
      <c r="F13" s="45">
        <f>'KY_Cost Plant Acct-Gas-P20(Fin)'!F13</f>
        <v>0</v>
      </c>
      <c r="G13" s="45"/>
      <c r="H13" s="45">
        <f>'KY_Cost Plant Acct-Gas-P20(Fin)'!H13</f>
        <v>0</v>
      </c>
      <c r="I13" s="45"/>
      <c r="J13" s="45">
        <f t="shared" si="0"/>
        <v>0</v>
      </c>
      <c r="K13" s="45"/>
      <c r="L13" s="45">
        <f t="shared" si="1"/>
        <v>367965.77</v>
      </c>
      <c r="M13" s="4"/>
      <c r="N13" s="89">
        <f>'KY_Res by Plant Acct-P29 (Fin)'!R341</f>
        <v>-116984.75</v>
      </c>
      <c r="P13" s="89">
        <f t="shared" si="2"/>
        <v>250981.02000000002</v>
      </c>
    </row>
    <row r="14" spans="1:16">
      <c r="A14" t="s">
        <v>71</v>
      </c>
      <c r="B14" s="45">
        <f>'KY_Cost Plant Acct-Gas-P20(Fin)'!B14</f>
        <v>532497.30000000005</v>
      </c>
      <c r="C14" s="45"/>
      <c r="D14" s="45">
        <f>'KY_Cost Plant Acct-Gas-P20(Fin)'!D14+'KY_Cost Plant Acct-Gas-P20(Fin)'!D74</f>
        <v>0</v>
      </c>
      <c r="E14" s="45"/>
      <c r="F14" s="45">
        <f>'KY_Cost Plant Acct-Gas-P20(Fin)'!F14</f>
        <v>0</v>
      </c>
      <c r="G14" s="45"/>
      <c r="H14" s="45">
        <f>'KY_Cost Plant Acct-Gas-P20(Fin)'!H14</f>
        <v>0</v>
      </c>
      <c r="I14" s="45"/>
      <c r="J14" s="45">
        <f t="shared" si="0"/>
        <v>0</v>
      </c>
      <c r="K14" s="45"/>
      <c r="L14" s="45">
        <f t="shared" si="1"/>
        <v>532497.30000000005</v>
      </c>
      <c r="M14" s="4"/>
      <c r="N14" s="89">
        <f>'KY_Res by Plant Acct-P29 (Fin)'!R342</f>
        <v>-207540.16</v>
      </c>
      <c r="P14" s="89">
        <f t="shared" si="2"/>
        <v>324957.14</v>
      </c>
    </row>
    <row r="15" spans="1:16">
      <c r="A15" t="s">
        <v>72</v>
      </c>
      <c r="B15" s="45">
        <f>'KY_Cost Plant Acct-Gas-P20(Fin)'!B15+'KY_Cost Plant Acct-Gas-P20(Fin)'!B75</f>
        <v>324092532.74000001</v>
      </c>
      <c r="C15" s="45"/>
      <c r="D15" s="45">
        <f>'KY_Cost Plant Acct-Gas-P20(Fin)'!D15+'KY_Cost Plant Acct-Gas-P20(Fin)'!D75</f>
        <v>12137355.799999999</v>
      </c>
      <c r="E15" s="45"/>
      <c r="F15" s="45">
        <f>'KY_Cost Plant Acct-Gas-P20(Fin)'!F15</f>
        <v>-18271.5</v>
      </c>
      <c r="G15" s="45"/>
      <c r="H15" s="45">
        <f>'KY_Cost Plant Acct-Gas-P20(Fin)'!H15</f>
        <v>-134900.23000000001</v>
      </c>
      <c r="I15" s="45"/>
      <c r="J15" s="45">
        <f t="shared" si="0"/>
        <v>11984184.069999998</v>
      </c>
      <c r="K15" s="45"/>
      <c r="L15" s="45">
        <f t="shared" si="1"/>
        <v>336076716.81</v>
      </c>
      <c r="M15" s="4"/>
      <c r="N15" s="89">
        <f>'KY_Res by Plant Acct-P29 (Fin)'!R343</f>
        <v>-108577178.22999999</v>
      </c>
      <c r="P15" s="89">
        <f t="shared" si="2"/>
        <v>227499538.58000001</v>
      </c>
    </row>
    <row r="16" spans="1:16">
      <c r="A16" t="s">
        <v>73</v>
      </c>
      <c r="B16" s="45">
        <f>'KY_Cost Plant Acct-Gas-P20(Fin)'!B16+'KY_Cost Plant Acct-Gas-P20(Fin)'!B76</f>
        <v>12438038.09</v>
      </c>
      <c r="C16" s="45"/>
      <c r="D16" s="45">
        <f>'KY_Cost Plant Acct-Gas-P20(Fin)'!D16+'KY_Cost Plant Acct-Gas-P20(Fin)'!D76</f>
        <v>32754.869999999995</v>
      </c>
      <c r="E16" s="45"/>
      <c r="F16" s="45">
        <f>'KY_Cost Plant Acct-Gas-P20(Fin)'!F16</f>
        <v>-4083.94</v>
      </c>
      <c r="G16" s="45"/>
      <c r="H16" s="45">
        <f>'KY_Cost Plant Acct-Gas-P20(Fin)'!H16</f>
        <v>0</v>
      </c>
      <c r="I16" s="45"/>
      <c r="J16" s="45">
        <f t="shared" si="0"/>
        <v>28670.929999999997</v>
      </c>
      <c r="K16" s="45"/>
      <c r="L16" s="45">
        <f t="shared" si="1"/>
        <v>12466709.02</v>
      </c>
      <c r="M16" s="4"/>
      <c r="N16" s="89">
        <f>'KY_Res by Plant Acct-P29 (Fin)'!R344</f>
        <v>-2828468.9</v>
      </c>
      <c r="P16" s="89">
        <f t="shared" si="2"/>
        <v>9638240.1199999992</v>
      </c>
    </row>
    <row r="17" spans="1:16">
      <c r="A17" t="s">
        <v>74</v>
      </c>
      <c r="B17" s="45">
        <f>'KY_Cost Plant Acct-Gas-P20(Fin)'!B17+'KY_Cost Plant Acct-Gas-P20(Fin)'!B77</f>
        <v>4383870.12</v>
      </c>
      <c r="C17" s="45"/>
      <c r="D17" s="45">
        <f>'KY_Cost Plant Acct-Gas-P20(Fin)'!D17+'KY_Cost Plant Acct-Gas-P20(Fin)'!D77</f>
        <v>76938.37</v>
      </c>
      <c r="E17" s="45"/>
      <c r="F17" s="45">
        <f>'KY_Cost Plant Acct-Gas-P20(Fin)'!F17</f>
        <v>0</v>
      </c>
      <c r="G17" s="45"/>
      <c r="H17" s="45">
        <f>'KY_Cost Plant Acct-Gas-P20(Fin)'!H17</f>
        <v>0</v>
      </c>
      <c r="I17" s="45"/>
      <c r="J17" s="45">
        <f t="shared" si="0"/>
        <v>76938.37</v>
      </c>
      <c r="K17" s="45"/>
      <c r="L17" s="45">
        <f t="shared" si="1"/>
        <v>4460808.49</v>
      </c>
      <c r="M17" s="4"/>
      <c r="N17" s="89">
        <f>'KY_Res by Plant Acct-P29 (Fin)'!R345</f>
        <v>-1694351.2799999998</v>
      </c>
      <c r="P17" s="89">
        <f t="shared" si="2"/>
        <v>2766457.2100000004</v>
      </c>
    </row>
    <row r="18" spans="1:16">
      <c r="A18" t="s">
        <v>75</v>
      </c>
      <c r="B18" s="45">
        <f>'KY_Cost Plant Acct-Gas-P20(Fin)'!B18+'KY_Cost Plant Acct-Gas-P20(Fin)'!B78</f>
        <v>193629870.10999998</v>
      </c>
      <c r="C18" s="45"/>
      <c r="D18" s="45">
        <f>'KY_Cost Plant Acct-Gas-P20(Fin)'!D18+'KY_Cost Plant Acct-Gas-P20(Fin)'!D78</f>
        <v>2023213.46</v>
      </c>
      <c r="E18" s="45"/>
      <c r="F18" s="45">
        <f>'KY_Cost Plant Acct-Gas-P20(Fin)'!F18</f>
        <v>-1262.3599999999999</v>
      </c>
      <c r="G18" s="45"/>
      <c r="H18" s="45">
        <f>'KY_Cost Plant Acct-Gas-P20(Fin)'!H18</f>
        <v>0</v>
      </c>
      <c r="I18" s="45"/>
      <c r="J18" s="45">
        <f t="shared" si="0"/>
        <v>2021951.0999999999</v>
      </c>
      <c r="K18" s="45"/>
      <c r="L18" s="45">
        <f t="shared" si="1"/>
        <v>195651821.20999998</v>
      </c>
      <c r="M18" s="4"/>
      <c r="N18" s="89">
        <f>'KY_Res by Plant Acct-P29 (Fin)'!R346</f>
        <v>-71507391.24000001</v>
      </c>
      <c r="P18" s="89">
        <f t="shared" si="2"/>
        <v>124144429.96999997</v>
      </c>
    </row>
    <row r="19" spans="1:16">
      <c r="A19" t="s">
        <v>76</v>
      </c>
      <c r="B19" s="45">
        <f>'KY_Cost Plant Acct-Gas-P20(Fin)'!B19+'KY_Cost Plant Acct-Gas-P20(Fin)'!B79</f>
        <v>39833751.520000003</v>
      </c>
      <c r="C19" s="45"/>
      <c r="D19" s="45">
        <f>'KY_Cost Plant Acct-Gas-P20(Fin)'!D19+'KY_Cost Plant Acct-Gas-P20(Fin)'!D79</f>
        <v>156773.64000000001</v>
      </c>
      <c r="E19" s="45"/>
      <c r="F19" s="45">
        <f>'KY_Cost Plant Acct-Gas-P20(Fin)'!F19</f>
        <v>0</v>
      </c>
      <c r="G19" s="45"/>
      <c r="H19" s="45">
        <f>'KY_Cost Plant Acct-Gas-P20(Fin)'!H19</f>
        <v>0</v>
      </c>
      <c r="I19" s="45"/>
      <c r="J19" s="45">
        <f t="shared" si="0"/>
        <v>156773.64000000001</v>
      </c>
      <c r="K19" s="45"/>
      <c r="L19" s="45">
        <f t="shared" si="1"/>
        <v>39990525.160000004</v>
      </c>
      <c r="M19" s="4"/>
      <c r="N19" s="89">
        <f>'KY_Res by Plant Acct-P29 (Fin)'!R347</f>
        <v>-7958802.6100000003</v>
      </c>
      <c r="P19" s="89">
        <f t="shared" si="2"/>
        <v>32031722.550000004</v>
      </c>
    </row>
    <row r="20" spans="1:16">
      <c r="A20" t="s">
        <v>77</v>
      </c>
      <c r="B20" s="45">
        <f>'KY_Cost Plant Acct-Gas-P20(Fin)'!B20+'KY_Cost Plant Acct-Gas-P20(Fin)'!B80</f>
        <v>23477954.5</v>
      </c>
      <c r="C20" s="45"/>
      <c r="D20" s="45">
        <f>'KY_Cost Plant Acct-Gas-P20(Fin)'!D20+'KY_Cost Plant Acct-Gas-P20(Fin)'!D80</f>
        <v>436751.28</v>
      </c>
      <c r="E20" s="45"/>
      <c r="F20" s="45">
        <f>'KY_Cost Plant Acct-Gas-P20(Fin)'!F20</f>
        <v>0</v>
      </c>
      <c r="G20" s="45"/>
      <c r="H20" s="45">
        <f>'KY_Cost Plant Acct-Gas-P20(Fin)'!H20</f>
        <v>0</v>
      </c>
      <c r="I20" s="45"/>
      <c r="J20" s="45">
        <f t="shared" si="0"/>
        <v>436751.28</v>
      </c>
      <c r="K20" s="45"/>
      <c r="L20" s="45">
        <f t="shared" si="1"/>
        <v>23914705.780000001</v>
      </c>
      <c r="M20" s="4"/>
      <c r="N20" s="89">
        <f>'KY_Res by Plant Acct-P29 (Fin)'!R348</f>
        <v>-723351.70999999985</v>
      </c>
      <c r="P20" s="89">
        <f t="shared" si="2"/>
        <v>23191354.07</v>
      </c>
    </row>
    <row r="21" spans="1:16">
      <c r="A21" t="s">
        <v>78</v>
      </c>
      <c r="B21" s="45">
        <f>'KY_Cost Plant Acct-Gas-P20(Fin)'!B21+'KY_Cost Plant Acct-Gas-P20(Fin)'!B81</f>
        <v>944360.15</v>
      </c>
      <c r="C21" s="45"/>
      <c r="D21" s="45">
        <f>'KY_Cost Plant Acct-Gas-P20(Fin)'!D21+'KY_Cost Plant Acct-Gas-P20(Fin)'!D81</f>
        <v>0</v>
      </c>
      <c r="E21" s="45"/>
      <c r="F21" s="45">
        <f>'KY_Cost Plant Acct-Gas-P20(Fin)'!F21</f>
        <v>0</v>
      </c>
      <c r="G21" s="45"/>
      <c r="H21" s="45">
        <f>'KY_Cost Plant Acct-Gas-P20(Fin)'!H21</f>
        <v>0</v>
      </c>
      <c r="I21" s="45"/>
      <c r="J21" s="45">
        <f t="shared" si="0"/>
        <v>0</v>
      </c>
      <c r="K21" s="45"/>
      <c r="L21" s="45">
        <f t="shared" si="1"/>
        <v>944360.15</v>
      </c>
      <c r="M21" s="4"/>
      <c r="N21" s="89">
        <f>'KY_Res by Plant Acct-P29 (Fin)'!R349</f>
        <v>-101435.56</v>
      </c>
      <c r="P21" s="89">
        <f t="shared" si="2"/>
        <v>842924.59000000008</v>
      </c>
    </row>
    <row r="22" spans="1:16">
      <c r="A22" t="s">
        <v>79</v>
      </c>
      <c r="B22" s="45">
        <f>'KY_Cost Plant Acct-Gas-P20(Fin)'!B22</f>
        <v>51112.34</v>
      </c>
      <c r="C22" s="52"/>
      <c r="D22" s="45">
        <f>'KY_Cost Plant Acct-Gas-P20(Fin)'!D22+'KY_Cost Plant Acct-Gas-P20(Fin)'!D82</f>
        <v>0</v>
      </c>
      <c r="E22" s="52"/>
      <c r="F22" s="45">
        <f>'KY_Cost Plant Acct-Gas-P20(Fin)'!F22</f>
        <v>0</v>
      </c>
      <c r="G22" s="52"/>
      <c r="H22" s="45">
        <f>'KY_Cost Plant Acct-Gas-P20(Fin)'!H22</f>
        <v>0</v>
      </c>
      <c r="I22" s="52"/>
      <c r="J22" s="52">
        <f t="shared" si="0"/>
        <v>0</v>
      </c>
      <c r="K22" s="52"/>
      <c r="L22" s="52">
        <f t="shared" si="1"/>
        <v>51112.34</v>
      </c>
      <c r="M22" s="55"/>
      <c r="N22" s="89">
        <f>'KY_Res by Plant Acct-P29 (Fin)'!R350</f>
        <v>-20066.829999999998</v>
      </c>
      <c r="O22" s="7"/>
      <c r="P22" s="89">
        <f t="shared" si="2"/>
        <v>31045.51</v>
      </c>
    </row>
    <row r="23" spans="1:16">
      <c r="A23" t="s">
        <v>80</v>
      </c>
      <c r="B23" s="45">
        <f>'KY_Cost Plant Acct-Gas-P20(Fin)'!B23</f>
        <v>2962.94</v>
      </c>
      <c r="C23" s="52"/>
      <c r="D23" s="45">
        <f>'KY_Cost Plant Acct-Gas-P20(Fin)'!D23</f>
        <v>0</v>
      </c>
      <c r="E23" s="52"/>
      <c r="F23" s="45">
        <f>'KY_Cost Plant Acct-Gas-P20(Fin)'!F23</f>
        <v>0</v>
      </c>
      <c r="G23" s="52"/>
      <c r="H23" s="45">
        <f>'KY_Cost Plant Acct-Gas-P20(Fin)'!H23</f>
        <v>0</v>
      </c>
      <c r="I23" s="52"/>
      <c r="J23" s="52">
        <f t="shared" si="0"/>
        <v>0</v>
      </c>
      <c r="K23" s="52"/>
      <c r="L23" s="52">
        <f t="shared" si="1"/>
        <v>2962.94</v>
      </c>
      <c r="M23" s="55"/>
      <c r="N23" s="89">
        <f>'KY_Res by Plant Acct-P29 (Fin)'!R351</f>
        <v>-108.59000000000003</v>
      </c>
      <c r="O23" s="7"/>
      <c r="P23" s="89">
        <f t="shared" si="2"/>
        <v>2854.35</v>
      </c>
    </row>
    <row r="24" spans="1:16">
      <c r="A24" t="s">
        <v>898</v>
      </c>
      <c r="B24" s="48">
        <f>'KY_Cost Plant Acct-Gas-P20(Fin)'!B24</f>
        <v>11928646.510000002</v>
      </c>
      <c r="C24" s="52"/>
      <c r="D24" s="48">
        <f>'KY_Cost Plant Acct-Gas-P20(Fin)'!D24</f>
        <v>0</v>
      </c>
      <c r="E24" s="52"/>
      <c r="F24" s="48">
        <f>'KY_Cost Plant Acct-Gas-P20(Fin)'!F24</f>
        <v>0</v>
      </c>
      <c r="G24" s="52"/>
      <c r="H24" s="48">
        <f>'KY_Cost Plant Acct-Gas-P20(Fin)'!H24</f>
        <v>0</v>
      </c>
      <c r="I24" s="52"/>
      <c r="J24" s="48">
        <f t="shared" si="0"/>
        <v>0</v>
      </c>
      <c r="K24" s="52"/>
      <c r="L24" s="48">
        <f t="shared" si="1"/>
        <v>11928646.510000002</v>
      </c>
      <c r="M24" s="55"/>
      <c r="N24" s="90">
        <f>'KY_Res by Plant Acct-P29 (Fin)'!R352</f>
        <v>-420314.85000000155</v>
      </c>
      <c r="O24" s="7"/>
      <c r="P24" s="90">
        <f t="shared" si="2"/>
        <v>11508331.66</v>
      </c>
    </row>
    <row r="25" spans="1:16">
      <c r="B25" s="52">
        <f>SUM(B11:B24)</f>
        <v>611817304.89999998</v>
      </c>
      <c r="C25" s="52"/>
      <c r="D25" s="52">
        <f>SUM(D11:D24)</f>
        <v>14863787.419999996</v>
      </c>
      <c r="E25" s="52"/>
      <c r="F25" s="52">
        <f>SUM(F11:F24)</f>
        <v>-23617.8</v>
      </c>
      <c r="G25" s="52"/>
      <c r="H25" s="52">
        <f>SUM(H11:H24)</f>
        <v>-134900.23000000001</v>
      </c>
      <c r="I25" s="52"/>
      <c r="J25" s="52">
        <f>SUM(J11:J24)</f>
        <v>14705269.389999997</v>
      </c>
      <c r="K25" s="52"/>
      <c r="L25" s="52">
        <f>SUM(L11:L24)</f>
        <v>626522574.28999996</v>
      </c>
      <c r="M25" s="55"/>
      <c r="N25" s="83">
        <f>SUM(N11:N24)</f>
        <v>-194233412.17000005</v>
      </c>
      <c r="O25" s="7"/>
      <c r="P25" s="83">
        <f>SUM(P11:P24)</f>
        <v>432289162.12</v>
      </c>
    </row>
    <row r="26" spans="1:16">
      <c r="B26" s="45"/>
      <c r="C26" s="45"/>
      <c r="D26" s="45"/>
      <c r="E26" s="45"/>
      <c r="F26" s="45"/>
      <c r="G26" s="45"/>
      <c r="H26" s="45"/>
      <c r="I26" s="45"/>
      <c r="J26" s="45"/>
      <c r="K26" s="45"/>
      <c r="L26" s="45"/>
      <c r="M26" s="4"/>
    </row>
    <row r="27" spans="1:16">
      <c r="A27" s="3" t="s">
        <v>122</v>
      </c>
      <c r="B27" s="45"/>
      <c r="C27" s="45"/>
      <c r="D27" s="45"/>
      <c r="E27" s="45"/>
      <c r="F27" s="45"/>
      <c r="G27" s="45"/>
      <c r="H27" s="45"/>
      <c r="I27" s="45"/>
      <c r="J27" s="45"/>
      <c r="K27" s="45"/>
      <c r="L27" s="45"/>
      <c r="M27" s="4"/>
    </row>
    <row r="28" spans="1:16">
      <c r="A28" t="s">
        <v>899</v>
      </c>
      <c r="B28" s="45">
        <f>'KY_Cost Plant Acct-Gas-P20(Fin)'!B28+'KY_Cost Plant Acct-Gas-P20(Fin)'!B86</f>
        <v>1269819.7600000002</v>
      </c>
      <c r="C28" s="45"/>
      <c r="D28" s="45">
        <f>'KY_Cost Plant Acct-Gas-P20(Fin)'!D28+'KY_Cost Plant Acct-Gas-P20(Fin)'!D86</f>
        <v>112284.74</v>
      </c>
      <c r="E28" s="45"/>
      <c r="F28" s="45">
        <f>'KY_Cost Plant Acct-Gas-P20(Fin)'!F28</f>
        <v>0</v>
      </c>
      <c r="G28" s="45"/>
      <c r="H28" s="45">
        <f>'KY_Cost Plant Acct-Gas-P20(Fin)'!H28</f>
        <v>0</v>
      </c>
      <c r="I28" s="45"/>
      <c r="J28" s="45">
        <f t="shared" ref="J28:J33" si="3">H28+F28+D28</f>
        <v>112284.74</v>
      </c>
      <c r="K28" s="45"/>
      <c r="L28" s="45">
        <f t="shared" ref="L28:L33" si="4">J28+B28</f>
        <v>1382104.5000000002</v>
      </c>
      <c r="M28" s="4"/>
      <c r="N28" s="89">
        <f>'KY_Res by Plant Acct-P29 (Fin)'!R356</f>
        <v>-1052736.7200000002</v>
      </c>
      <c r="P28" s="89">
        <f t="shared" ref="P28:P33" si="5">L28+N28</f>
        <v>329367.78000000003</v>
      </c>
    </row>
    <row r="29" spans="1:16">
      <c r="A29" t="s">
        <v>900</v>
      </c>
      <c r="B29" s="45">
        <f>'KY_Cost Plant Acct-Gas-P20(Fin)'!B29+'KY_Cost Plant Acct-Gas-P20(Fin)'!B87</f>
        <v>585412.24</v>
      </c>
      <c r="C29" s="45"/>
      <c r="D29" s="45">
        <f>'KY_Cost Plant Acct-Gas-P20(Fin)'!D29+'KY_Cost Plant Acct-Gas-P20(Fin)'!D87</f>
        <v>14444.049999999996</v>
      </c>
      <c r="E29" s="45"/>
      <c r="F29" s="45">
        <f>'KY_Cost Plant Acct-Gas-P20(Fin)'!F29</f>
        <v>0</v>
      </c>
      <c r="G29" s="45"/>
      <c r="H29" s="45">
        <f>'KY_Cost Plant Acct-Gas-P20(Fin)'!H29</f>
        <v>0</v>
      </c>
      <c r="I29" s="45"/>
      <c r="J29" s="45">
        <f t="shared" si="3"/>
        <v>14444.049999999996</v>
      </c>
      <c r="K29" s="45"/>
      <c r="L29" s="45">
        <f t="shared" si="4"/>
        <v>599856.29</v>
      </c>
      <c r="M29" s="4"/>
      <c r="N29" s="89">
        <f>'KY_Res by Plant Acct-P29 (Fin)'!R357</f>
        <v>-213313.48</v>
      </c>
      <c r="P29" s="89">
        <f t="shared" si="5"/>
        <v>386542.81000000006</v>
      </c>
    </row>
    <row r="30" spans="1:16">
      <c r="A30" t="s">
        <v>901</v>
      </c>
      <c r="B30" s="45">
        <f>'KY_Cost Plant Acct-Gas-P20(Fin)'!B30+'KY_Cost Plant Acct-Gas-P20(Fin)'!B88</f>
        <v>4147480.45</v>
      </c>
      <c r="C30" s="45"/>
      <c r="D30" s="45">
        <f>'KY_Cost Plant Acct-Gas-P20(Fin)'!D30+'KY_Cost Plant Acct-Gas-P20(Fin)'!D88</f>
        <v>386245.94</v>
      </c>
      <c r="E30" s="45"/>
      <c r="F30" s="45">
        <f>'KY_Cost Plant Acct-Gas-P20(Fin)'!F30</f>
        <v>0</v>
      </c>
      <c r="G30" s="45"/>
      <c r="H30" s="45">
        <f>'KY_Cost Plant Acct-Gas-P20(Fin)'!H30</f>
        <v>0</v>
      </c>
      <c r="I30" s="45"/>
      <c r="J30" s="45">
        <f t="shared" si="3"/>
        <v>386245.94</v>
      </c>
      <c r="K30" s="45"/>
      <c r="L30" s="45">
        <f t="shared" si="4"/>
        <v>4533726.3900000006</v>
      </c>
      <c r="M30" s="4"/>
      <c r="N30" s="89">
        <f>'KY_Res by Plant Acct-P29 (Fin)'!R358</f>
        <v>-1587256.4399999997</v>
      </c>
      <c r="P30" s="89">
        <f t="shared" si="5"/>
        <v>2946469.9500000011</v>
      </c>
    </row>
    <row r="31" spans="1:16">
      <c r="A31" t="s">
        <v>995</v>
      </c>
      <c r="B31" s="45">
        <f>'KY_Cost Plant Acct-Gas-P20(Fin)'!B31+'KY_Cost Plant Acct-Gas-P20(Fin)'!B89</f>
        <v>0</v>
      </c>
      <c r="C31" s="45"/>
      <c r="D31" s="45">
        <f>'KY_Cost Plant Acct-Gas-P20(Fin)'!D31+'KY_Cost Plant Acct-Gas-P20(Fin)'!D89</f>
        <v>0</v>
      </c>
      <c r="E31" s="45"/>
      <c r="F31" s="45">
        <f>'KY_Cost Plant Acct-Gas-P20(Fin)'!F31</f>
        <v>0</v>
      </c>
      <c r="G31" s="45"/>
      <c r="H31" s="45">
        <f>'KY_Cost Plant Acct-Gas-P20(Fin)'!H31</f>
        <v>0</v>
      </c>
      <c r="I31" s="45"/>
      <c r="J31" s="45">
        <f t="shared" si="3"/>
        <v>0</v>
      </c>
      <c r="K31" s="45"/>
      <c r="L31" s="45">
        <f t="shared" si="4"/>
        <v>0</v>
      </c>
      <c r="M31" s="4"/>
      <c r="N31" s="89">
        <f>'KY_Res by Plant Acct-P29 (Fin)'!R359</f>
        <v>0</v>
      </c>
      <c r="P31" s="89">
        <f t="shared" si="5"/>
        <v>0</v>
      </c>
    </row>
    <row r="32" spans="1:16">
      <c r="A32" t="s">
        <v>996</v>
      </c>
      <c r="B32" s="45">
        <f>'KY_Cost Plant Acct-Gas-P20(Fin)'!B32+'KY_Cost Plant Acct-Gas-P20(Fin)'!B90</f>
        <v>2286752</v>
      </c>
      <c r="C32" s="52"/>
      <c r="D32" s="45">
        <f>'KY_Cost Plant Acct-Gas-P20(Fin)'!D32+'KY_Cost Plant Acct-Gas-P20(Fin)'!D90</f>
        <v>0</v>
      </c>
      <c r="E32" s="52"/>
      <c r="F32" s="45">
        <f>'KY_Cost Plant Acct-Gas-P20(Fin)'!F32</f>
        <v>0</v>
      </c>
      <c r="G32" s="52"/>
      <c r="H32" s="45">
        <f>'KY_Cost Plant Acct-Gas-P20(Fin)'!H32</f>
        <v>0</v>
      </c>
      <c r="I32" s="52"/>
      <c r="J32" s="52">
        <f t="shared" si="3"/>
        <v>0</v>
      </c>
      <c r="K32" s="52"/>
      <c r="L32" s="52">
        <f t="shared" si="4"/>
        <v>2286752</v>
      </c>
      <c r="M32" s="55"/>
      <c r="N32" s="89">
        <f>'KY_Res by Plant Acct-P29 (Fin)'!R360</f>
        <v>-2017709.3499999996</v>
      </c>
      <c r="P32" s="89">
        <f t="shared" si="5"/>
        <v>269042.65000000037</v>
      </c>
    </row>
    <row r="33" spans="1:16">
      <c r="A33" t="s">
        <v>997</v>
      </c>
      <c r="B33" s="48">
        <f>'KY_Cost Plant Acct-Gas-P20(Fin)'!B33+'KY_Cost Plant Acct-Gas-P20(Fin)'!B91</f>
        <v>177781.8</v>
      </c>
      <c r="C33" s="52"/>
      <c r="D33" s="48">
        <f>'KY_Cost Plant Acct-Gas-P20(Fin)'!D33+'KY_Cost Plant Acct-Gas-P20(Fin)'!D91</f>
        <v>0</v>
      </c>
      <c r="E33" s="52"/>
      <c r="F33" s="48">
        <f>'KY_Cost Plant Acct-Gas-P20(Fin)'!F33</f>
        <v>0</v>
      </c>
      <c r="G33" s="52"/>
      <c r="H33" s="48">
        <f>'KY_Cost Plant Acct-Gas-P20(Fin)'!H33</f>
        <v>0</v>
      </c>
      <c r="I33" s="52"/>
      <c r="J33" s="48">
        <f t="shared" si="3"/>
        <v>0</v>
      </c>
      <c r="K33" s="52"/>
      <c r="L33" s="48">
        <f t="shared" si="4"/>
        <v>177781.8</v>
      </c>
      <c r="M33" s="55"/>
      <c r="N33" s="90">
        <f>'KY_Res by Plant Acct-P29 (Fin)'!R361</f>
        <v>-37541.699999999997</v>
      </c>
      <c r="P33" s="90">
        <f t="shared" si="5"/>
        <v>140240.09999999998</v>
      </c>
    </row>
    <row r="34" spans="1:16">
      <c r="B34" s="52">
        <f>SUM(B28:B33)</f>
        <v>8467246.25</v>
      </c>
      <c r="C34" s="52"/>
      <c r="D34" s="52">
        <f>SUM(D28:D33)</f>
        <v>512974.73</v>
      </c>
      <c r="E34" s="52"/>
      <c r="F34" s="52">
        <f>SUM(F28:F33)</f>
        <v>0</v>
      </c>
      <c r="G34" s="52"/>
      <c r="H34" s="52">
        <f>SUM(H28:H33)</f>
        <v>0</v>
      </c>
      <c r="I34" s="52"/>
      <c r="J34" s="52">
        <f>SUM(J28:J33)</f>
        <v>512974.73</v>
      </c>
      <c r="K34" s="52"/>
      <c r="L34" s="52">
        <f>SUM(L28:L33)</f>
        <v>8980220.9800000004</v>
      </c>
      <c r="M34" s="55"/>
      <c r="N34" s="89">
        <f>SUM(N28:N33)</f>
        <v>-4908557.6899999995</v>
      </c>
      <c r="P34" s="89">
        <f>SUM(P28:P33)</f>
        <v>4071663.2900000014</v>
      </c>
    </row>
    <row r="35" spans="1:16">
      <c r="B35" s="52"/>
      <c r="C35" s="52"/>
      <c r="D35" s="52"/>
      <c r="E35" s="52"/>
      <c r="F35" s="52"/>
      <c r="G35" s="52"/>
      <c r="H35" s="52"/>
      <c r="I35" s="52"/>
      <c r="J35" s="52"/>
      <c r="K35" s="52"/>
      <c r="L35" s="52"/>
      <c r="M35" s="55"/>
    </row>
    <row r="36" spans="1:16">
      <c r="A36" s="3" t="s">
        <v>123</v>
      </c>
      <c r="B36" s="52"/>
      <c r="C36" s="52"/>
      <c r="D36" s="52"/>
      <c r="E36" s="52"/>
      <c r="F36" s="52"/>
      <c r="G36" s="52"/>
      <c r="H36" s="52"/>
      <c r="I36" s="52"/>
      <c r="J36" s="52"/>
      <c r="K36" s="52"/>
      <c r="L36" s="52"/>
      <c r="M36" s="55"/>
    </row>
    <row r="37" spans="1:16">
      <c r="A37" t="s">
        <v>998</v>
      </c>
      <c r="B37" s="48">
        <f>'KY_Cost Plant Acct-Gas-P20(Fin)'!B37</f>
        <v>387.49</v>
      </c>
      <c r="C37" s="52"/>
      <c r="D37" s="48">
        <f>'KY_Cost Plant Acct-Gas-P20(Fin)'!D37</f>
        <v>0</v>
      </c>
      <c r="E37" s="52"/>
      <c r="F37" s="48">
        <f>'KY_Cost Plant Acct-Gas-P20(Fin)'!F37</f>
        <v>0</v>
      </c>
      <c r="G37" s="52"/>
      <c r="H37" s="48">
        <f>'KY_Cost Plant Acct-Gas-P20(Fin)'!H37</f>
        <v>0</v>
      </c>
      <c r="I37" s="52"/>
      <c r="J37" s="48">
        <f>H37+F37+D37</f>
        <v>0</v>
      </c>
      <c r="K37" s="52"/>
      <c r="L37" s="48">
        <f>J37+B37</f>
        <v>387.49</v>
      </c>
      <c r="M37" s="55"/>
      <c r="N37" s="90">
        <f>'KY_Res by Plant Acct-P29 (Fin)'!R397</f>
        <v>0</v>
      </c>
      <c r="P37" s="90">
        <f>L37+N37</f>
        <v>387.49</v>
      </c>
    </row>
    <row r="38" spans="1:16">
      <c r="B38" s="52">
        <f>SUM(B37)</f>
        <v>387.49</v>
      </c>
      <c r="C38" s="52"/>
      <c r="D38" s="52">
        <f>SUM(D37)</f>
        <v>0</v>
      </c>
      <c r="E38" s="52"/>
      <c r="F38" s="52">
        <f>SUM(F37)</f>
        <v>0</v>
      </c>
      <c r="G38" s="52"/>
      <c r="H38" s="52">
        <f>SUM(H37)</f>
        <v>0</v>
      </c>
      <c r="I38" s="52"/>
      <c r="J38" s="52">
        <f>SUM(J37)</f>
        <v>0</v>
      </c>
      <c r="K38" s="52"/>
      <c r="L38" s="52">
        <f>SUM(L37)</f>
        <v>387.49</v>
      </c>
      <c r="M38" s="55"/>
      <c r="N38" s="89">
        <f>SUM(N37)</f>
        <v>0</v>
      </c>
      <c r="P38" s="89">
        <f>SUM(P37)</f>
        <v>387.49</v>
      </c>
    </row>
    <row r="39" spans="1:16">
      <c r="B39" s="52"/>
      <c r="C39" s="52"/>
      <c r="D39" s="52"/>
      <c r="E39" s="52"/>
      <c r="F39" s="52"/>
      <c r="G39" s="52"/>
      <c r="H39" s="52"/>
      <c r="I39" s="52"/>
      <c r="J39" s="52"/>
      <c r="K39" s="52"/>
      <c r="L39" s="52"/>
      <c r="M39" s="55"/>
    </row>
    <row r="40" spans="1:16">
      <c r="A40" s="3" t="s">
        <v>124</v>
      </c>
      <c r="B40" s="52"/>
      <c r="C40" s="52"/>
      <c r="D40" s="52"/>
      <c r="E40" s="52"/>
      <c r="F40" s="52"/>
      <c r="G40" s="52"/>
      <c r="H40" s="52"/>
      <c r="I40" s="52"/>
      <c r="J40" s="52"/>
      <c r="K40" s="52"/>
      <c r="L40" s="52"/>
      <c r="M40" s="55"/>
    </row>
    <row r="41" spans="1:16">
      <c r="A41" t="s">
        <v>13</v>
      </c>
      <c r="B41" s="52">
        <f>'KY_Cost Plant Acct-Gas-P20(Fin)'!B41+'IN_Total PIS_Gas_NBV-P21(Fin)'!B11</f>
        <v>32864.07</v>
      </c>
      <c r="C41" s="52"/>
      <c r="D41" s="52">
        <f>'KY_Cost Plant Acct-Gas-P20(Fin)'!D41+'IN_Total PIS_Gas_NBV-P21(Fin)'!D11</f>
        <v>0</v>
      </c>
      <c r="E41" s="52"/>
      <c r="F41" s="52">
        <f>'KY_Cost Plant Acct-Gas-P20(Fin)'!F41+'IN_Total PIS_Gas_NBV-P21(Fin)'!F11</f>
        <v>0</v>
      </c>
      <c r="G41" s="52"/>
      <c r="H41" s="52">
        <f>'KY_Cost Plant Acct-Gas-P20(Fin)'!H41+'IN_Total PIS_Gas_NBV-P21(Fin)'!H11</f>
        <v>0</v>
      </c>
      <c r="I41" s="52"/>
      <c r="J41" s="52">
        <f t="shared" ref="J41:J58" si="6">H41+F41+D41</f>
        <v>0</v>
      </c>
      <c r="K41" s="52"/>
      <c r="L41" s="52">
        <f t="shared" ref="L41:L58" si="7">J41+B41</f>
        <v>32864.07</v>
      </c>
      <c r="M41" s="55"/>
      <c r="N41" s="89">
        <f>'KY_Res by Plant Acct-P29 (Fin)'!R366+'IN_Total PIS_Gas_NBV-P21(Fin)'!N11</f>
        <v>0</v>
      </c>
      <c r="P41" s="89">
        <f t="shared" ref="P41:P58" si="8">L41+N41</f>
        <v>32864.07</v>
      </c>
    </row>
    <row r="42" spans="1:16">
      <c r="A42" t="s">
        <v>559</v>
      </c>
      <c r="B42" s="52">
        <f>'KY_Cost Plant Acct-Gas-P20(Fin)'!B42</f>
        <v>95613.59</v>
      </c>
      <c r="C42" s="52"/>
      <c r="D42" s="52">
        <f>'KY_Cost Plant Acct-Gas-P20(Fin)'!D42</f>
        <v>0</v>
      </c>
      <c r="E42" s="52"/>
      <c r="F42" s="52">
        <f>'KY_Cost Plant Acct-Gas-P20(Fin)'!F42</f>
        <v>0</v>
      </c>
      <c r="G42" s="52"/>
      <c r="H42" s="52">
        <f>'KY_Cost Plant Acct-Gas-P20(Fin)'!H42</f>
        <v>0</v>
      </c>
      <c r="I42" s="52"/>
      <c r="J42" s="52">
        <f t="shared" si="6"/>
        <v>0</v>
      </c>
      <c r="K42" s="52"/>
      <c r="L42" s="52">
        <f t="shared" si="7"/>
        <v>95613.59</v>
      </c>
      <c r="M42" s="55"/>
      <c r="N42" s="89">
        <f>'KY_Res by Plant Acct-P29 (Fin)'!R367</f>
        <v>-70451.45</v>
      </c>
      <c r="P42" s="89">
        <f t="shared" si="8"/>
        <v>25162.14</v>
      </c>
    </row>
    <row r="43" spans="1:16">
      <c r="A43" t="s">
        <v>560</v>
      </c>
      <c r="B43" s="52">
        <f>'KY_Cost Plant Acct-Gas-P20(Fin)'!B43+'KY_Cost Plant Acct-Gas-P20(Fin)'!B95</f>
        <v>5410190.919999999</v>
      </c>
      <c r="C43" s="52"/>
      <c r="D43" s="52">
        <f>'KY_Cost Plant Acct-Gas-P20(Fin)'!D43+'KY_Cost Plant Acct-Gas-P20(Fin)'!D95</f>
        <v>15818.620000000003</v>
      </c>
      <c r="E43" s="52"/>
      <c r="F43" s="52">
        <f>'KY_Cost Plant Acct-Gas-P20(Fin)'!F43</f>
        <v>0</v>
      </c>
      <c r="G43" s="52"/>
      <c r="H43" s="52">
        <f>'KY_Cost Plant Acct-Gas-P20(Fin)'!H43</f>
        <v>0</v>
      </c>
      <c r="I43" s="52"/>
      <c r="J43" s="52">
        <f t="shared" si="6"/>
        <v>15818.620000000003</v>
      </c>
      <c r="K43" s="52"/>
      <c r="L43" s="52">
        <f t="shared" si="7"/>
        <v>5426009.5399999991</v>
      </c>
      <c r="M43" s="55"/>
      <c r="N43" s="89">
        <f>'KY_Res by Plant Acct-P29 (Fin)'!R368</f>
        <v>-951718.32000000007</v>
      </c>
      <c r="P43" s="89">
        <f t="shared" si="8"/>
        <v>4474291.2199999988</v>
      </c>
    </row>
    <row r="44" spans="1:16">
      <c r="A44" t="s">
        <v>561</v>
      </c>
      <c r="B44" s="52">
        <f>'KY_Cost Plant Acct-Gas-P20(Fin)'!B44</f>
        <v>33151.61</v>
      </c>
      <c r="C44" s="52"/>
      <c r="D44" s="52">
        <f>'KY_Cost Plant Acct-Gas-P20(Fin)'!D44</f>
        <v>0</v>
      </c>
      <c r="E44" s="52"/>
      <c r="F44" s="52">
        <f>'KY_Cost Plant Acct-Gas-P20(Fin)'!F44</f>
        <v>0</v>
      </c>
      <c r="G44" s="52"/>
      <c r="H44" s="52">
        <f>'KY_Cost Plant Acct-Gas-P20(Fin)'!H44</f>
        <v>0</v>
      </c>
      <c r="I44" s="52"/>
      <c r="J44" s="52">
        <f t="shared" si="6"/>
        <v>0</v>
      </c>
      <c r="K44" s="52"/>
      <c r="L44" s="52">
        <f t="shared" si="7"/>
        <v>33151.61</v>
      </c>
      <c r="M44" s="55"/>
      <c r="N44" s="89">
        <f>'KY_Res by Plant Acct-P29 (Fin)'!R369</f>
        <v>-14636.49</v>
      </c>
      <c r="P44" s="89">
        <f t="shared" si="8"/>
        <v>18515.120000000003</v>
      </c>
    </row>
    <row r="45" spans="1:16">
      <c r="A45" t="s">
        <v>14</v>
      </c>
      <c r="B45" s="52">
        <f>'KY_Cost Plant Acct-Gas-P20(Fin)'!B45+'IN_Total PIS_Gas_NBV-P21(Fin)'!B12+'KY_Cost Plant Acct-Gas-P20(Fin)'!B96</f>
        <v>2625916.63</v>
      </c>
      <c r="C45" s="52"/>
      <c r="D45" s="52">
        <f>'KY_Cost Plant Acct-Gas-P20(Fin)'!D45+'IN_Cost Plant Acct-Gas-P22(Fin)'!D12+'KY_Cost Plant Acct-Gas-P20(Fin)'!D96</f>
        <v>26259.07</v>
      </c>
      <c r="E45" s="52"/>
      <c r="F45" s="52">
        <f>'KY_Cost Plant Acct-Gas-P20(Fin)'!F45+'IN_Total PIS_Gas_NBV-P21(Fin)'!F12</f>
        <v>0</v>
      </c>
      <c r="G45" s="52"/>
      <c r="H45" s="52">
        <f>'KY_Cost Plant Acct-Gas-P20(Fin)'!H45+'IN_Total PIS_Gas_NBV-P21(Fin)'!H12</f>
        <v>0</v>
      </c>
      <c r="I45" s="52"/>
      <c r="J45" s="52">
        <f t="shared" si="6"/>
        <v>26259.07</v>
      </c>
      <c r="K45" s="52"/>
      <c r="L45" s="52">
        <f t="shared" si="7"/>
        <v>2652175.6999999997</v>
      </c>
      <c r="M45" s="55"/>
      <c r="N45" s="89">
        <f>'KY_Res by Plant Acct-P29 (Fin)'!R370+'IN_Total PIS_Gas_NBV-P21(Fin)'!N12</f>
        <v>-803507.81</v>
      </c>
      <c r="P45" s="89">
        <f t="shared" si="8"/>
        <v>1848667.8899999997</v>
      </c>
    </row>
    <row r="46" spans="1:16">
      <c r="A46" t="s">
        <v>562</v>
      </c>
      <c r="B46" s="52">
        <f>'KY_Cost Plant Acct-Gas-P20(Fin)'!B46</f>
        <v>548241.14</v>
      </c>
      <c r="C46" s="52"/>
      <c r="D46" s="52">
        <f>'KY_Cost Plant Acct-Gas-P20(Fin)'!D46</f>
        <v>0</v>
      </c>
      <c r="E46" s="52"/>
      <c r="F46" s="52">
        <f>'KY_Cost Plant Acct-Gas-P20(Fin)'!F46</f>
        <v>0</v>
      </c>
      <c r="G46" s="52"/>
      <c r="H46" s="52">
        <f>'KY_Cost Plant Acct-Gas-P20(Fin)'!H46</f>
        <v>0</v>
      </c>
      <c r="I46" s="52"/>
      <c r="J46" s="52">
        <f t="shared" si="6"/>
        <v>0</v>
      </c>
      <c r="K46" s="52"/>
      <c r="L46" s="52">
        <f t="shared" si="7"/>
        <v>548241.14</v>
      </c>
      <c r="M46" s="55"/>
      <c r="N46" s="89">
        <f>'KY_Res by Plant Acct-P29 (Fin)'!R371</f>
        <v>-569589.96</v>
      </c>
      <c r="P46" s="89">
        <f t="shared" si="8"/>
        <v>-21348.819999999949</v>
      </c>
    </row>
    <row r="47" spans="1:16">
      <c r="A47" t="s">
        <v>563</v>
      </c>
      <c r="B47" s="52">
        <f>'KY_Cost Plant Acct-Gas-P20(Fin)'!B47</f>
        <v>400511.4</v>
      </c>
      <c r="C47" s="52"/>
      <c r="D47" s="52">
        <f>'KY_Cost Plant Acct-Gas-P20(Fin)'!D47</f>
        <v>0</v>
      </c>
      <c r="E47" s="52"/>
      <c r="F47" s="52">
        <f>'KY_Cost Plant Acct-Gas-P20(Fin)'!F47</f>
        <v>0</v>
      </c>
      <c r="G47" s="52"/>
      <c r="H47" s="52">
        <f>'KY_Cost Plant Acct-Gas-P20(Fin)'!H47</f>
        <v>0</v>
      </c>
      <c r="I47" s="52"/>
      <c r="J47" s="52">
        <f t="shared" si="6"/>
        <v>0</v>
      </c>
      <c r="K47" s="52"/>
      <c r="L47" s="52">
        <f t="shared" si="7"/>
        <v>400511.4</v>
      </c>
      <c r="M47" s="55"/>
      <c r="N47" s="89">
        <f>'KY_Res by Plant Acct-P29 (Fin)'!R372</f>
        <v>-452027.29</v>
      </c>
      <c r="P47" s="89">
        <f t="shared" si="8"/>
        <v>-51515.889999999956</v>
      </c>
    </row>
    <row r="48" spans="1:16">
      <c r="A48" t="s">
        <v>564</v>
      </c>
      <c r="B48" s="52">
        <f>'KY_Cost Plant Acct-Gas-P20(Fin)'!B48</f>
        <v>9648855</v>
      </c>
      <c r="C48" s="52"/>
      <c r="D48" s="52">
        <f>'KY_Cost Plant Acct-Gas-P20(Fin)'!D48</f>
        <v>0</v>
      </c>
      <c r="E48" s="52"/>
      <c r="F48" s="52">
        <f>'KY_Cost Plant Acct-Gas-P20(Fin)'!F48</f>
        <v>0</v>
      </c>
      <c r="G48" s="52"/>
      <c r="H48" s="52">
        <f>'KY_Cost Plant Acct-Gas-P20(Fin)'!H48</f>
        <v>0</v>
      </c>
      <c r="I48" s="52"/>
      <c r="J48" s="52">
        <f t="shared" si="6"/>
        <v>0</v>
      </c>
      <c r="K48" s="52"/>
      <c r="L48" s="52">
        <f t="shared" si="7"/>
        <v>9648855</v>
      </c>
      <c r="M48" s="55"/>
      <c r="N48" s="89">
        <f>'KY_Res by Plant Acct-P29 (Fin)'!R373</f>
        <v>-7794568.9999999991</v>
      </c>
      <c r="P48" s="89">
        <f t="shared" si="8"/>
        <v>1854286.0000000009</v>
      </c>
    </row>
    <row r="49" spans="1:16">
      <c r="A49" t="s">
        <v>15</v>
      </c>
      <c r="B49" s="52">
        <f>'KY_Cost Plant Acct-Gas-P20(Fin)'!B49+'IN_Total PIS_Gas_NBV-P21(Fin)'!B13</f>
        <v>2479720.0299999998</v>
      </c>
      <c r="C49" s="52"/>
      <c r="D49" s="326">
        <f>'KY_Cost Plant Acct-Gas-P20(Fin)'!D49+'KY_Cost Plant Acct-Gas-P20(Fin)'!D96+'IN_Cost Plant Acct-Gas-P22(Fin)'!D13+'IN_Cost Plant Acct-Gas-P22(Fin)'!D26</f>
        <v>244994.24</v>
      </c>
      <c r="E49" s="52"/>
      <c r="F49" s="52">
        <f>'KY_Cost Plant Acct-Gas-P20(Fin)'!F49+'IN_Total PIS_Gas_NBV-P21(Fin)'!F13</f>
        <v>0</v>
      </c>
      <c r="G49" s="52"/>
      <c r="H49" s="52">
        <f>'KY_Cost Plant Acct-Gas-P20(Fin)'!H49+'IN_Total PIS_Gas_NBV-P21(Fin)'!H13</f>
        <v>0</v>
      </c>
      <c r="I49" s="52"/>
      <c r="J49" s="52">
        <f t="shared" si="6"/>
        <v>244994.24</v>
      </c>
      <c r="K49" s="52"/>
      <c r="L49" s="52">
        <f t="shared" si="7"/>
        <v>2724714.2699999996</v>
      </c>
      <c r="M49" s="55"/>
      <c r="N49" s="89">
        <f>'KY_Res by Plant Acct-P29 (Fin)'!R374+'IN_Total PIS_Gas_NBV-P21(Fin)'!N13</f>
        <v>-2365529.2200000002</v>
      </c>
      <c r="P49" s="89">
        <f t="shared" si="8"/>
        <v>359185.04999999935</v>
      </c>
    </row>
    <row r="50" spans="1:16">
      <c r="A50" t="s">
        <v>1093</v>
      </c>
      <c r="B50" s="52">
        <f>'KY_Cost Plant Acct-Gas-P20(Fin)'!B50+'KY_Cost Plant Acct-Gas-P20(Fin)'!B97+'IN_Total PIS_Gas_NBV-P21(Fin)'!B14</f>
        <v>3761084.9</v>
      </c>
      <c r="C50" s="52"/>
      <c r="D50" s="52">
        <f>'KY_Cost Plant Acct-Gas-P20(Fin)'!D50+'KY_Cost Plant Acct-Gas-P20(Fin)'!D97+'IN_Cost Plant Acct-Gas-P22(Fin)'!D14+'IN_Cost Plant Acct-Gas-P22(Fin)'!D27</f>
        <v>2032102.8599999999</v>
      </c>
      <c r="E50" s="52"/>
      <c r="F50" s="52">
        <f>'KY_Cost Plant Acct-Gas-P20(Fin)'!F50+'KY_Cost Plant Acct-Gas-P20(Fin)'!F97+'IN_Total PIS_Gas_NBV-P21(Fin)'!F14+'IN_Cost Plant Acct-Gas-P22(Fin)'!F27</f>
        <v>0</v>
      </c>
      <c r="G50" s="52"/>
      <c r="H50" s="52">
        <f>'KY_Cost Plant Acct-Gas-P20(Fin)'!H50+'IN_Total PIS_Gas_NBV-P21(Fin)'!H14</f>
        <v>0</v>
      </c>
      <c r="I50" s="52"/>
      <c r="J50" s="52">
        <f t="shared" si="6"/>
        <v>2032102.8599999999</v>
      </c>
      <c r="K50" s="52"/>
      <c r="L50" s="52">
        <f t="shared" si="7"/>
        <v>5793187.7599999998</v>
      </c>
      <c r="M50" s="55"/>
      <c r="N50" s="89">
        <f>'KY_Res by Plant Acct-P29 (Fin)'!R375+'IN_Total PIS_Gas_NBV-P21(Fin)'!N14</f>
        <v>-757908.79999999981</v>
      </c>
      <c r="P50" s="89">
        <f t="shared" si="8"/>
        <v>5035278.96</v>
      </c>
    </row>
    <row r="51" spans="1:16">
      <c r="A51" t="s">
        <v>1092</v>
      </c>
      <c r="B51" s="52">
        <f>'KY_Cost Plant Acct-Gas-P20(Fin)'!B51+'KY_Cost Plant Acct-Gas-P20(Fin)'!B98+'IN_Total PIS_Gas_NBV-P21(Fin)'!B15</f>
        <v>5492666.9699999997</v>
      </c>
      <c r="C51" s="52"/>
      <c r="D51" s="52">
        <f>'KY_Cost Plant Acct-Gas-P20(Fin)'!D98+'KY_Cost Plant Acct-Gas-P20(Fin)'!D51+'IN_Cost Plant Acct-Gas-P22(Fin)'!D15+'IN_Cost Plant Acct-Gas-P22(Fin)'!D28</f>
        <v>1982827.13</v>
      </c>
      <c r="E51" s="52"/>
      <c r="F51" s="52">
        <f>'KY_Cost Plant Acct-Gas-P20(Fin)'!F51+'IN_Cost Plant Acct-Gas-P22(Fin)'!F15</f>
        <v>0</v>
      </c>
      <c r="G51" s="52"/>
      <c r="H51" s="52">
        <f>'KY_Cost Plant Acct-Gas-P20(Fin)'!H51+'IN_Cost Plant Acct-Gas-P22(Fin)'!H15</f>
        <v>0</v>
      </c>
      <c r="I51" s="52"/>
      <c r="J51" s="52">
        <f t="shared" ref="J51" si="9">H51+F51+D51</f>
        <v>1982827.13</v>
      </c>
      <c r="K51" s="52"/>
      <c r="L51" s="52">
        <f t="shared" ref="L51" si="10">J51+B51</f>
        <v>7475494.0999999996</v>
      </c>
      <c r="M51" s="55"/>
      <c r="N51" s="89">
        <f>'KY_Res by Plant Acct-P29 (Fin)'!R376+'IN_Res by Plant Acct-P30 (Fin)'!R32</f>
        <v>536719.94999999995</v>
      </c>
      <c r="P51" s="89">
        <f t="shared" ref="P51" si="11">L51+N51</f>
        <v>8012214.0499999998</v>
      </c>
    </row>
    <row r="52" spans="1:16">
      <c r="A52" t="s">
        <v>16</v>
      </c>
      <c r="B52" s="52">
        <f>'KY_Cost Plant Acct-Gas-P20(Fin)'!B52+'KY_Cost Plant Acct-Gas-P20(Fin)'!B99+'IN_Total PIS_Gas_NBV-P21(Fin)'!B16</f>
        <v>14858719.629999997</v>
      </c>
      <c r="C52" s="52"/>
      <c r="D52" s="326">
        <f>'KY_Cost Plant Acct-Gas-P20(Fin)'!D99+'KY_Cost Plant Acct-Gas-P20(Fin)'!D52+'IN_Cost Plant Acct-Gas-P22(Fin)'!D16+'IN_Cost Plant Acct-Gas-P22(Fin)'!D29</f>
        <v>448898.85</v>
      </c>
      <c r="E52" s="52"/>
      <c r="F52" s="52">
        <f>'KY_Cost Plant Acct-Gas-P20(Fin)'!F52+'IN_Total PIS_Gas_NBV-P21(Fin)'!F16</f>
        <v>-22038.93</v>
      </c>
      <c r="G52" s="52"/>
      <c r="H52" s="52">
        <f>'KY_Cost Plant Acct-Gas-P20(Fin)'!H52+'IN_Total PIS_Gas_NBV-P21(Fin)'!H16</f>
        <v>0</v>
      </c>
      <c r="I52" s="52"/>
      <c r="J52" s="52">
        <f t="shared" si="6"/>
        <v>426859.92</v>
      </c>
      <c r="K52" s="52"/>
      <c r="L52" s="52">
        <f t="shared" si="7"/>
        <v>15285579.549999997</v>
      </c>
      <c r="M52" s="55"/>
      <c r="N52" s="89">
        <f>'KY_Res by Plant Acct-P29 (Fin)'!R377+'IN_Total PIS_Gas_NBV-P21(Fin)'!N16</f>
        <v>-7326771.9899999984</v>
      </c>
      <c r="P52" s="89">
        <f t="shared" si="8"/>
        <v>7958807.5599999987</v>
      </c>
    </row>
    <row r="53" spans="1:16">
      <c r="A53" t="s">
        <v>565</v>
      </c>
      <c r="B53" s="52">
        <f>'KY_Cost Plant Acct-Gas-P20(Fin)'!B53+'KY_Cost Plant Acct-Gas-P20(Fin)'!B100+'IN_Cost Plant Acct-Gas-P22(Fin)'!B17</f>
        <v>16329314.84</v>
      </c>
      <c r="C53" s="52"/>
      <c r="D53" s="52">
        <f>'KY_Cost Plant Acct-Gas-P20(Fin)'!D53+'KY_Cost Plant Acct-Gas-P20(Fin)'!D100+'IN_Cost Plant Acct-Gas-P22(Fin)'!D17</f>
        <v>803798.99</v>
      </c>
      <c r="E53" s="52"/>
      <c r="F53" s="52">
        <f>'KY_Cost Plant Acct-Gas-P20(Fin)'!F53</f>
        <v>-27481.74</v>
      </c>
      <c r="G53" s="52"/>
      <c r="H53" s="52">
        <f>'KY_Cost Plant Acct-Gas-P20(Fin)'!H53+'IN_Cost Plant Acct-Gas-P22(Fin)'!H17</f>
        <v>-49284.1</v>
      </c>
      <c r="I53" s="52"/>
      <c r="J53" s="52">
        <f t="shared" si="6"/>
        <v>727033.15</v>
      </c>
      <c r="K53" s="52"/>
      <c r="L53" s="52">
        <f t="shared" si="7"/>
        <v>17056347.989999998</v>
      </c>
      <c r="M53" s="55"/>
      <c r="N53" s="89">
        <f>'KY_Res by Plant Acct-P29 (Fin)'!R378+'IN_Res by Plant Acct-P30 (Fin)'!R34</f>
        <v>-4235094.5500000007</v>
      </c>
      <c r="P53" s="89">
        <f t="shared" si="8"/>
        <v>12821253.439999998</v>
      </c>
    </row>
    <row r="54" spans="1:16">
      <c r="A54" t="s">
        <v>566</v>
      </c>
      <c r="B54" s="52">
        <f>'KY_Cost Plant Acct-Gas-P20(Fin)'!B54+'KY_Cost Plant Acct-Gas-P20(Fin)'!B101</f>
        <v>524849.76</v>
      </c>
      <c r="C54" s="52"/>
      <c r="D54" s="52">
        <f>'KY_Cost Plant Acct-Gas-P20(Fin)'!D54+'KY_Cost Plant Acct-Gas-P20(Fin)'!D101</f>
        <v>0</v>
      </c>
      <c r="E54" s="52"/>
      <c r="F54" s="52">
        <f>'KY_Cost Plant Acct-Gas-P20(Fin)'!F54</f>
        <v>0</v>
      </c>
      <c r="G54" s="52"/>
      <c r="H54" s="52">
        <f>'KY_Cost Plant Acct-Gas-P20(Fin)'!H54</f>
        <v>0</v>
      </c>
      <c r="I54" s="52"/>
      <c r="J54" s="52">
        <f t="shared" si="6"/>
        <v>0</v>
      </c>
      <c r="K54" s="52"/>
      <c r="L54" s="52">
        <f t="shared" si="7"/>
        <v>524849.76</v>
      </c>
      <c r="M54" s="55"/>
      <c r="N54" s="89">
        <f>'KY_Res by Plant Acct-P29 (Fin)'!R379</f>
        <v>-284610</v>
      </c>
      <c r="P54" s="89">
        <f t="shared" si="8"/>
        <v>240239.76</v>
      </c>
    </row>
    <row r="55" spans="1:16">
      <c r="A55" t="s">
        <v>567</v>
      </c>
      <c r="B55" s="52">
        <f>'KY_Cost Plant Acct-Gas-P20(Fin)'!B55+'KY_Cost Plant Acct-Gas-P20(Fin)'!B102</f>
        <v>11973222.450000001</v>
      </c>
      <c r="C55" s="52"/>
      <c r="D55" s="52">
        <f>'KY_Cost Plant Acct-Gas-P20(Fin)'!D55+'KY_Cost Plant Acct-Gas-P20(Fin)'!D102</f>
        <v>1326933.4300000002</v>
      </c>
      <c r="E55" s="52"/>
      <c r="F55" s="52">
        <f>'KY_Cost Plant Acct-Gas-P20(Fin)'!F55</f>
        <v>-9008.6299999999992</v>
      </c>
      <c r="G55" s="52"/>
      <c r="H55" s="52">
        <f>'KY_Cost Plant Acct-Gas-P20(Fin)'!H55</f>
        <v>49284.1</v>
      </c>
      <c r="I55" s="52"/>
      <c r="J55" s="52">
        <f t="shared" si="6"/>
        <v>1367208.9000000001</v>
      </c>
      <c r="K55" s="52"/>
      <c r="L55" s="52">
        <f t="shared" si="7"/>
        <v>13340431.350000001</v>
      </c>
      <c r="M55" s="55"/>
      <c r="N55" s="89">
        <f>'KY_Res by Plant Acct-P29 (Fin)'!R380</f>
        <v>-5350736.7600000016</v>
      </c>
      <c r="P55" s="89">
        <f t="shared" si="8"/>
        <v>7989694.5899999999</v>
      </c>
    </row>
    <row r="56" spans="1:16">
      <c r="A56" t="s">
        <v>17</v>
      </c>
      <c r="B56" s="52">
        <f>'KY_Cost Plant Acct-Gas-P20(Fin)'!B56+'IN_Total PIS_Gas_NBV-P21(Fin)'!B18+'KY_Cost Plant Acct-Gas-P20(Fin)'!B103</f>
        <v>1678594.9700000002</v>
      </c>
      <c r="C56" s="52"/>
      <c r="D56" s="52">
        <f>'KY_Cost Plant Acct-Gas-P20(Fin)'!D56+'IN_Total PIS_Gas_NBV-P21(Fin)'!D18+'KY_Cost Plant Acct-Gas-P20(Fin)'!D103</f>
        <v>40844.15</v>
      </c>
      <c r="E56" s="52"/>
      <c r="F56" s="52">
        <f>'KY_Cost Plant Acct-Gas-P20(Fin)'!F56+'IN_Total PIS_Gas_NBV-P21(Fin)'!F18+'KY_Cost Plant Acct-Gas-P20(Fin)'!F103</f>
        <v>0</v>
      </c>
      <c r="G56" s="52"/>
      <c r="H56" s="52">
        <f>'KY_Cost Plant Acct-Gas-P20(Fin)'!H56+'IN_Total PIS_Gas_NBV-P21(Fin)'!H18+'KY_Cost Plant Acct-Gas-P20(Fin)'!H103</f>
        <v>0</v>
      </c>
      <c r="I56" s="52"/>
      <c r="J56" s="52">
        <f t="shared" si="6"/>
        <v>40844.15</v>
      </c>
      <c r="K56" s="52"/>
      <c r="L56" s="52">
        <f t="shared" si="7"/>
        <v>1719439.12</v>
      </c>
      <c r="M56" s="55"/>
      <c r="N56" s="89">
        <f>'KY_Res by Plant Acct-P29 (Fin)'!R381+'IN_Total PIS_Gas_NBV-P21(Fin)'!N18</f>
        <v>-362867.98</v>
      </c>
      <c r="P56" s="89">
        <f t="shared" si="8"/>
        <v>1356571.1400000001</v>
      </c>
    </row>
    <row r="57" spans="1:16">
      <c r="A57" t="s">
        <v>568</v>
      </c>
      <c r="B57" s="52">
        <f>'KY_Cost Plant Acct-Gas-P20(Fin)'!B57</f>
        <v>30876.410000000003</v>
      </c>
      <c r="C57" s="52"/>
      <c r="D57" s="52">
        <f>'KY_Cost Plant Acct-Gas-P20(Fin)'!D57</f>
        <v>0</v>
      </c>
      <c r="E57" s="52"/>
      <c r="F57" s="52">
        <f>'KY_Cost Plant Acct-Gas-P20(Fin)'!F57</f>
        <v>0</v>
      </c>
      <c r="G57" s="52"/>
      <c r="H57" s="52">
        <f>'KY_Cost Plant Acct-Gas-P20(Fin)'!H57</f>
        <v>0</v>
      </c>
      <c r="I57" s="52"/>
      <c r="J57" s="52">
        <f t="shared" si="6"/>
        <v>0</v>
      </c>
      <c r="K57" s="52"/>
      <c r="L57" s="52">
        <f t="shared" si="7"/>
        <v>30876.410000000003</v>
      </c>
      <c r="M57" s="55"/>
      <c r="N57" s="89">
        <f>'KY_Res by Plant Acct-P29 (Fin)'!R382</f>
        <v>-742.03000000000259</v>
      </c>
      <c r="P57" s="89">
        <f t="shared" si="8"/>
        <v>30134.38</v>
      </c>
    </row>
    <row r="58" spans="1:16">
      <c r="A58" t="s">
        <v>569</v>
      </c>
      <c r="B58" s="48">
        <f>'KY_Cost Plant Acct-Gas-P20(Fin)'!B58</f>
        <v>5170297.07</v>
      </c>
      <c r="C58" s="52"/>
      <c r="D58" s="48">
        <f>'KY_Cost Plant Acct-Gas-P20(Fin)'!D58</f>
        <v>0</v>
      </c>
      <c r="E58" s="52"/>
      <c r="F58" s="48">
        <f>'KY_Cost Plant Acct-Gas-P20(Fin)'!F58</f>
        <v>0</v>
      </c>
      <c r="G58" s="52"/>
      <c r="H58" s="48">
        <f>'KY_Cost Plant Acct-Gas-P20(Fin)'!H58</f>
        <v>0</v>
      </c>
      <c r="I58" s="52"/>
      <c r="J58" s="48">
        <f t="shared" si="6"/>
        <v>0</v>
      </c>
      <c r="K58" s="52"/>
      <c r="L58" s="48">
        <f t="shared" si="7"/>
        <v>5170297.07</v>
      </c>
      <c r="M58" s="55"/>
      <c r="N58" s="90">
        <f>'KY_Res by Plant Acct-P29 (Fin)'!R383</f>
        <v>-311854.54999999993</v>
      </c>
      <c r="P58" s="90">
        <f t="shared" si="8"/>
        <v>4858442.5200000005</v>
      </c>
    </row>
    <row r="59" spans="1:16">
      <c r="B59" s="52">
        <f>SUM(B41:B58)</f>
        <v>81094691.389999986</v>
      </c>
      <c r="C59" s="52"/>
      <c r="D59" s="52">
        <f>SUM(D41:D58)</f>
        <v>6922477.3399999999</v>
      </c>
      <c r="E59" s="52"/>
      <c r="F59" s="52">
        <f>SUM(F41:F58)</f>
        <v>-58529.299999999996</v>
      </c>
      <c r="G59" s="52"/>
      <c r="H59" s="52">
        <f>SUM(H41:H58)</f>
        <v>0</v>
      </c>
      <c r="I59" s="52"/>
      <c r="J59" s="52">
        <f>SUM(J41:J58)</f>
        <v>6863948.040000001</v>
      </c>
      <c r="K59" s="52"/>
      <c r="L59" s="52">
        <f>SUM(L41:L58)</f>
        <v>87958639.430000007</v>
      </c>
      <c r="M59" s="55"/>
      <c r="N59" s="89">
        <f>SUM(N41:N58)</f>
        <v>-31115896.250000004</v>
      </c>
      <c r="P59" s="89">
        <f>SUM(P41:P58)</f>
        <v>56842743.179999992</v>
      </c>
    </row>
    <row r="60" spans="1:16">
      <c r="B60" s="45"/>
      <c r="C60" s="45"/>
      <c r="D60" s="45"/>
      <c r="E60" s="45"/>
      <c r="F60" s="45"/>
      <c r="G60" s="45"/>
      <c r="H60" s="45"/>
      <c r="I60" s="45"/>
      <c r="J60" s="45"/>
      <c r="K60" s="45"/>
      <c r="L60" s="45"/>
      <c r="M60" s="4"/>
    </row>
    <row r="61" spans="1:16">
      <c r="A61" s="3" t="s">
        <v>125</v>
      </c>
      <c r="B61" s="45"/>
      <c r="C61" s="45"/>
      <c r="D61" s="45"/>
      <c r="E61" s="45"/>
      <c r="F61" s="45"/>
      <c r="G61" s="45"/>
      <c r="H61" s="45"/>
      <c r="I61" s="45"/>
      <c r="J61" s="45"/>
      <c r="K61" s="45"/>
      <c r="L61" s="45"/>
      <c r="M61" s="4"/>
    </row>
    <row r="62" spans="1:16">
      <c r="A62" t="s">
        <v>570</v>
      </c>
      <c r="B62" s="45">
        <f>'KY_Cost Plant Acct-Gas-P20(Fin)'!B62</f>
        <v>220659.05</v>
      </c>
      <c r="C62" s="45"/>
      <c r="D62" s="45">
        <f>'KY_Cost Plant Acct-Gas-P20(Fin)'!D62</f>
        <v>0</v>
      </c>
      <c r="E62" s="45"/>
      <c r="F62" s="45">
        <f>'KY_Cost Plant Acct-Gas-P20(Fin)'!F62</f>
        <v>0</v>
      </c>
      <c r="G62" s="45"/>
      <c r="H62" s="45">
        <f>'KY_Cost Plant Acct-Gas-P20(Fin)'!H62</f>
        <v>0</v>
      </c>
      <c r="I62" s="45"/>
      <c r="J62" s="45">
        <f>H62+F62+D62</f>
        <v>0</v>
      </c>
      <c r="K62" s="45"/>
      <c r="L62" s="45">
        <f>J62+B62</f>
        <v>220659.05</v>
      </c>
      <c r="M62" s="4"/>
      <c r="N62" s="89">
        <f>'KY_Res by Plant Acct-P29 (Fin)'!R387</f>
        <v>-208986.41999999998</v>
      </c>
      <c r="P62" s="89">
        <f>L62+N62</f>
        <v>11672.630000000005</v>
      </c>
    </row>
    <row r="63" spans="1:16">
      <c r="A63" t="s">
        <v>571</v>
      </c>
      <c r="B63" s="182">
        <f>'KY_Cost Plant Acct-Gas-P20(Fin)'!B63+'KY_Cost Plant Acct-Gas-P20(Fin)'!B107</f>
        <v>18839307.690000001</v>
      </c>
      <c r="C63" s="182"/>
      <c r="D63" s="182">
        <f>'KY_Cost Plant Acct-Gas-P20(Fin)'!D63+'KY_Cost Plant Acct-Gas-P20(Fin)'!D107</f>
        <v>-33343.020000000019</v>
      </c>
      <c r="E63" s="182"/>
      <c r="F63" s="182">
        <f>'KY_Cost Plant Acct-Gas-P20(Fin)'!F63</f>
        <v>-1389.93</v>
      </c>
      <c r="G63" s="182"/>
      <c r="H63" s="182">
        <f>'KY_Cost Plant Acct-Gas-P20(Fin)'!H63</f>
        <v>134900.23000000001</v>
      </c>
      <c r="I63" s="182"/>
      <c r="J63" s="182">
        <f>H63+F63+D63</f>
        <v>100167.28</v>
      </c>
      <c r="K63" s="182"/>
      <c r="L63" s="182">
        <f>J63+B63</f>
        <v>18939474.970000003</v>
      </c>
      <c r="M63" s="4"/>
      <c r="N63" s="89">
        <f>'KY_Res by Plant Acct-P29 (Fin)'!R388</f>
        <v>-12035355.85</v>
      </c>
      <c r="P63" s="89">
        <f>L63+N63</f>
        <v>6904119.1200000029</v>
      </c>
    </row>
    <row r="64" spans="1:16">
      <c r="A64" t="s">
        <v>1444</v>
      </c>
      <c r="B64" s="48">
        <f>'KY_Cost Plant Acct-Gas-P20(Fin)'!B64</f>
        <v>3941518.65</v>
      </c>
      <c r="C64" s="182"/>
      <c r="D64" s="48">
        <f>'KY_Cost Plant Acct-Gas-P20(Fin)'!D64</f>
        <v>0</v>
      </c>
      <c r="E64" s="182"/>
      <c r="F64" s="48">
        <f>'KY_Cost Plant Acct-Gas-P20(Fin)'!F64</f>
        <v>0</v>
      </c>
      <c r="G64" s="182"/>
      <c r="H64" s="48">
        <f>'KY_Cost Plant Acct-Gas-P20(Fin)'!H64</f>
        <v>0</v>
      </c>
      <c r="I64" s="182"/>
      <c r="J64" s="48">
        <f>H64+F64+D64</f>
        <v>0</v>
      </c>
      <c r="K64" s="182"/>
      <c r="L64" s="48">
        <f>J64+B64</f>
        <v>3941518.65</v>
      </c>
      <c r="M64" s="4"/>
      <c r="N64" s="90">
        <f>'KY_Res by Plant Acct-P29 (Fin)'!R389</f>
        <v>-61723.990000000005</v>
      </c>
      <c r="P64" s="90">
        <f>L64+N64</f>
        <v>3879794.6599999997</v>
      </c>
    </row>
    <row r="65" spans="1:16">
      <c r="B65" s="52">
        <f>SUM(B62:B64)</f>
        <v>23001485.390000001</v>
      </c>
      <c r="C65" s="52"/>
      <c r="D65" s="52">
        <f>SUM(D62:D64)</f>
        <v>-33343.020000000019</v>
      </c>
      <c r="E65" s="52"/>
      <c r="F65" s="52">
        <f>SUM(F62:F64)</f>
        <v>-1389.93</v>
      </c>
      <c r="G65" s="52"/>
      <c r="H65" s="52">
        <f>SUM(H62:H64)</f>
        <v>134900.23000000001</v>
      </c>
      <c r="I65" s="52"/>
      <c r="J65" s="52">
        <f>SUM(J62:J64)</f>
        <v>100167.28</v>
      </c>
      <c r="K65" s="52"/>
      <c r="L65" s="52">
        <f>SUM(L62:L64)</f>
        <v>23101652.670000002</v>
      </c>
      <c r="M65" s="55"/>
      <c r="N65" s="52">
        <f>SUM(N62:N64)</f>
        <v>-12306066.26</v>
      </c>
      <c r="P65" s="52">
        <f>SUM(P62:P64)</f>
        <v>10795586.410000002</v>
      </c>
    </row>
    <row r="66" spans="1:16">
      <c r="B66" s="52"/>
      <c r="C66" s="52"/>
      <c r="D66" s="52"/>
      <c r="E66" s="52"/>
      <c r="F66" s="52"/>
      <c r="G66" s="52"/>
      <c r="H66" s="52"/>
      <c r="I66" s="52"/>
      <c r="J66" s="52"/>
      <c r="K66" s="52"/>
      <c r="L66" s="52"/>
      <c r="M66" s="55"/>
    </row>
    <row r="67" spans="1:16">
      <c r="B67" s="52"/>
      <c r="C67" s="52"/>
      <c r="D67" s="52"/>
      <c r="E67" s="52"/>
      <c r="F67" s="52"/>
      <c r="G67" s="52"/>
      <c r="H67" s="52"/>
      <c r="I67" s="52"/>
      <c r="J67" s="52"/>
      <c r="K67" s="52"/>
      <c r="L67" s="52"/>
      <c r="M67" s="4"/>
    </row>
    <row r="68" spans="1:16" ht="13.5" thickBot="1">
      <c r="A68" s="3" t="s">
        <v>204</v>
      </c>
      <c r="B68" s="46">
        <f>B65+B59+B38+B34+B25</f>
        <v>724381115.41999996</v>
      </c>
      <c r="C68" s="52"/>
      <c r="D68" s="46">
        <f>D65+D59+D38+D34+D25</f>
        <v>22265896.469999999</v>
      </c>
      <c r="E68" s="52"/>
      <c r="F68" s="46">
        <f>F65+F59+F38+F34+F25</f>
        <v>-83537.03</v>
      </c>
      <c r="G68" s="52"/>
      <c r="H68" s="46">
        <f>H65+H59+H38+H34+H25</f>
        <v>0</v>
      </c>
      <c r="I68" s="52"/>
      <c r="J68" s="46">
        <f>J65+J59+J38+J34+J25</f>
        <v>22182359.439999998</v>
      </c>
      <c r="K68" s="52"/>
      <c r="L68" s="46">
        <f>L65+L59+L38+L34+L25</f>
        <v>746563474.86000001</v>
      </c>
      <c r="M68" s="4"/>
      <c r="N68" s="46">
        <f>N65+N59+N38+N34+N25</f>
        <v>-242563932.37000006</v>
      </c>
      <c r="P68" s="46">
        <f>P65+P59+P38+P34+P25</f>
        <v>503999542.49000001</v>
      </c>
    </row>
    <row r="69" spans="1:16" ht="13.5" thickTop="1">
      <c r="B69" s="52"/>
      <c r="C69" s="52"/>
      <c r="D69" s="52"/>
      <c r="E69" s="52"/>
      <c r="F69" s="52"/>
      <c r="G69" s="52"/>
      <c r="H69" s="52"/>
      <c r="I69" s="52"/>
      <c r="J69" s="52"/>
      <c r="K69" s="52"/>
      <c r="L69" s="52"/>
      <c r="M69" s="4"/>
    </row>
    <row r="70" spans="1:16">
      <c r="B70" s="182"/>
      <c r="C70" s="45"/>
      <c r="D70" s="182"/>
      <c r="E70" s="45"/>
      <c r="F70" s="182"/>
      <c r="G70" s="45"/>
      <c r="H70" s="182"/>
      <c r="I70" s="45"/>
      <c r="J70" s="182"/>
      <c r="K70" s="45"/>
      <c r="L70" s="45"/>
      <c r="M70" s="4"/>
    </row>
    <row r="71" spans="1:16">
      <c r="B71" s="45"/>
      <c r="C71" s="45"/>
      <c r="D71" s="45"/>
      <c r="E71" s="45"/>
      <c r="F71" s="45"/>
      <c r="G71" s="45"/>
      <c r="H71" s="45"/>
      <c r="I71" s="45"/>
      <c r="J71" s="45"/>
      <c r="K71" s="45"/>
      <c r="L71" s="45"/>
      <c r="M71" s="4"/>
    </row>
    <row r="72" spans="1:16">
      <c r="B72" s="45"/>
      <c r="C72" s="45"/>
      <c r="D72" s="45"/>
      <c r="E72" s="45"/>
      <c r="F72" s="45"/>
      <c r="G72" s="45"/>
      <c r="H72" s="45"/>
      <c r="I72" s="45"/>
      <c r="J72" s="45"/>
      <c r="K72" s="45"/>
      <c r="L72" s="45"/>
      <c r="M72" s="4"/>
    </row>
    <row r="73" spans="1:16">
      <c r="B73" s="45"/>
      <c r="C73" s="45"/>
      <c r="D73" s="45"/>
      <c r="E73" s="45"/>
      <c r="F73" s="45"/>
      <c r="G73" s="45"/>
      <c r="H73" s="45"/>
      <c r="I73" s="45"/>
      <c r="J73" s="45"/>
      <c r="K73" s="45"/>
      <c r="L73" s="45"/>
      <c r="M73" s="4"/>
    </row>
    <row r="74" spans="1:16">
      <c r="B74" s="45"/>
      <c r="C74" s="45"/>
      <c r="D74" s="45"/>
      <c r="E74" s="45"/>
      <c r="F74" s="45"/>
      <c r="G74" s="45"/>
      <c r="H74" s="45"/>
      <c r="I74" s="45"/>
      <c r="J74" s="45"/>
      <c r="K74" s="45"/>
      <c r="L74" s="45"/>
      <c r="M74" s="4"/>
    </row>
    <row r="75" spans="1:16">
      <c r="B75" s="4"/>
      <c r="C75" s="4"/>
      <c r="D75" s="4"/>
      <c r="E75" s="4"/>
      <c r="F75" s="4"/>
      <c r="G75" s="4"/>
      <c r="H75" s="4"/>
      <c r="I75" s="4"/>
      <c r="J75" s="4"/>
      <c r="K75" s="4"/>
      <c r="L75" s="4"/>
      <c r="M75" s="4"/>
    </row>
    <row r="76" spans="1:16">
      <c r="B76" s="4"/>
      <c r="C76" s="4"/>
      <c r="D76" s="4"/>
      <c r="E76" s="4"/>
      <c r="F76" s="4"/>
      <c r="G76" s="4"/>
      <c r="H76" s="4"/>
      <c r="I76" s="4"/>
      <c r="J76" s="4"/>
      <c r="K76" s="4"/>
      <c r="L76" s="4"/>
      <c r="M76" s="4"/>
    </row>
    <row r="77" spans="1:16">
      <c r="B77" s="4"/>
      <c r="C77" s="4"/>
      <c r="D77" s="4"/>
      <c r="E77" s="4"/>
      <c r="F77" s="4"/>
      <c r="G77" s="4"/>
      <c r="H77" s="4"/>
      <c r="I77" s="4"/>
      <c r="J77" s="4"/>
      <c r="K77" s="4"/>
      <c r="L77" s="4"/>
      <c r="M77" s="4"/>
    </row>
    <row r="78" spans="1:16">
      <c r="B78" s="4"/>
      <c r="C78" s="4"/>
      <c r="D78" s="4"/>
      <c r="E78" s="4"/>
      <c r="F78" s="4"/>
      <c r="G78" s="4"/>
      <c r="H78" s="4"/>
      <c r="I78" s="4"/>
      <c r="J78" s="4"/>
      <c r="K78" s="4"/>
      <c r="L78" s="4"/>
      <c r="M78" s="4"/>
    </row>
    <row r="79" spans="1:16">
      <c r="B79" s="4"/>
      <c r="C79" s="4"/>
      <c r="D79" s="4"/>
      <c r="E79" s="4"/>
      <c r="F79" s="4"/>
      <c r="G79" s="4"/>
      <c r="H79" s="4"/>
      <c r="I79" s="4"/>
      <c r="J79" s="4"/>
      <c r="K79" s="4"/>
      <c r="L79" s="4"/>
      <c r="M79" s="4"/>
    </row>
    <row r="80" spans="1:16">
      <c r="B80" s="4"/>
      <c r="C80" s="4"/>
      <c r="D80" s="4"/>
      <c r="E80" s="4"/>
      <c r="F80" s="4"/>
      <c r="G80" s="4"/>
      <c r="H80" s="4"/>
      <c r="I80" s="4"/>
      <c r="J80" s="4"/>
      <c r="K80" s="4"/>
      <c r="L80" s="4"/>
      <c r="M80" s="4"/>
    </row>
    <row r="81" spans="2:13">
      <c r="B81" s="4"/>
      <c r="C81" s="4"/>
      <c r="D81" s="4"/>
      <c r="E81" s="4"/>
      <c r="F81" s="4"/>
      <c r="G81" s="4"/>
      <c r="H81" s="4"/>
      <c r="I81" s="4"/>
      <c r="J81" s="4"/>
      <c r="K81" s="4"/>
      <c r="L81" s="4"/>
      <c r="M81" s="4"/>
    </row>
    <row r="82" spans="2:13">
      <c r="B82" s="4"/>
      <c r="C82" s="4"/>
      <c r="D82" s="4"/>
      <c r="E82" s="4"/>
      <c r="F82" s="4"/>
      <c r="G82" s="4"/>
      <c r="H82" s="4"/>
      <c r="I82" s="4"/>
      <c r="J82" s="4"/>
      <c r="K82" s="4"/>
      <c r="L82" s="4"/>
      <c r="M82" s="4"/>
    </row>
    <row r="83" spans="2:13">
      <c r="B83" s="4"/>
      <c r="C83" s="4"/>
      <c r="D83" s="4"/>
      <c r="E83" s="4"/>
      <c r="F83" s="4"/>
      <c r="G83" s="4"/>
      <c r="H83" s="4"/>
      <c r="I83" s="4"/>
      <c r="J83" s="4"/>
      <c r="K83" s="4"/>
      <c r="L83" s="4"/>
      <c r="M83" s="4"/>
    </row>
    <row r="84" spans="2:13">
      <c r="B84" s="4"/>
      <c r="C84" s="4"/>
      <c r="D84" s="4"/>
      <c r="E84" s="4"/>
      <c r="F84" s="4"/>
      <c r="G84" s="4"/>
      <c r="H84" s="4"/>
      <c r="I84" s="4"/>
      <c r="J84" s="4"/>
      <c r="K84" s="4"/>
      <c r="L84" s="4"/>
      <c r="M84" s="4"/>
    </row>
    <row r="85" spans="2:13">
      <c r="B85" s="4"/>
      <c r="C85" s="4"/>
      <c r="D85" s="4"/>
      <c r="E85" s="4"/>
      <c r="F85" s="4"/>
      <c r="G85" s="4"/>
      <c r="H85" s="4"/>
      <c r="I85" s="4"/>
      <c r="J85" s="4"/>
      <c r="K85" s="4"/>
      <c r="L85" s="4"/>
      <c r="M85" s="4"/>
    </row>
    <row r="86" spans="2:13">
      <c r="B86" s="4"/>
      <c r="C86" s="4"/>
      <c r="D86" s="4"/>
      <c r="E86" s="4"/>
      <c r="F86" s="4"/>
      <c r="G86" s="4"/>
      <c r="H86" s="4"/>
      <c r="I86" s="4"/>
      <c r="J86" s="4"/>
      <c r="K86" s="4"/>
      <c r="L86" s="4"/>
      <c r="M86" s="4"/>
    </row>
    <row r="87" spans="2:13">
      <c r="B87" s="4"/>
      <c r="C87" s="4"/>
      <c r="D87" s="4"/>
      <c r="E87" s="4"/>
      <c r="F87" s="4"/>
      <c r="G87" s="4"/>
      <c r="H87" s="4"/>
      <c r="I87" s="4"/>
      <c r="J87" s="4"/>
      <c r="K87" s="4"/>
      <c r="L87" s="4"/>
      <c r="M87" s="4"/>
    </row>
    <row r="88" spans="2:13">
      <c r="B88" s="4"/>
      <c r="C88" s="4"/>
      <c r="D88" s="4"/>
      <c r="E88" s="4"/>
      <c r="F88" s="4"/>
      <c r="G88" s="4"/>
      <c r="H88" s="4"/>
      <c r="I88" s="4"/>
      <c r="J88" s="4"/>
      <c r="K88" s="4"/>
      <c r="L88" s="4"/>
      <c r="M88" s="4"/>
    </row>
    <row r="89" spans="2:13">
      <c r="B89" s="4"/>
      <c r="C89" s="4"/>
      <c r="D89" s="4"/>
      <c r="E89" s="4"/>
      <c r="F89" s="4"/>
      <c r="G89" s="4"/>
      <c r="H89" s="4"/>
      <c r="I89" s="4"/>
      <c r="J89" s="4"/>
      <c r="K89" s="4"/>
      <c r="L89" s="4"/>
      <c r="M89" s="4"/>
    </row>
    <row r="90" spans="2:13">
      <c r="B90" s="4"/>
      <c r="C90" s="4"/>
      <c r="D90" s="4"/>
      <c r="E90" s="4"/>
      <c r="F90" s="4"/>
      <c r="G90" s="4"/>
      <c r="H90" s="4"/>
      <c r="I90" s="4"/>
      <c r="J90" s="4"/>
      <c r="K90" s="4"/>
      <c r="L90" s="4"/>
      <c r="M90" s="4"/>
    </row>
    <row r="91" spans="2:13">
      <c r="B91" s="4"/>
      <c r="C91" s="4"/>
      <c r="D91" s="4"/>
      <c r="E91" s="4"/>
      <c r="F91" s="4"/>
      <c r="G91" s="4"/>
      <c r="H91" s="4"/>
      <c r="I91" s="4"/>
      <c r="J91" s="4"/>
      <c r="K91" s="4"/>
      <c r="L91" s="4"/>
      <c r="M91" s="4"/>
    </row>
    <row r="92" spans="2:13">
      <c r="B92" s="4"/>
      <c r="C92" s="4"/>
      <c r="D92" s="4"/>
      <c r="E92" s="4"/>
      <c r="F92" s="4"/>
      <c r="G92" s="4"/>
      <c r="H92" s="4"/>
      <c r="I92" s="4"/>
      <c r="J92" s="4"/>
      <c r="K92" s="4"/>
      <c r="L92" s="4"/>
      <c r="M92" s="4"/>
    </row>
    <row r="93" spans="2:13">
      <c r="B93" s="4"/>
      <c r="C93" s="4"/>
      <c r="D93" s="4"/>
      <c r="E93" s="4"/>
      <c r="F93" s="4"/>
      <c r="G93" s="4"/>
      <c r="H93" s="4"/>
      <c r="I93" s="4"/>
      <c r="J93" s="4"/>
      <c r="K93" s="4"/>
      <c r="L93" s="4"/>
      <c r="M93" s="4"/>
    </row>
    <row r="94" spans="2:13">
      <c r="B94" s="4"/>
      <c r="C94" s="4"/>
      <c r="D94" s="4"/>
      <c r="E94" s="4"/>
      <c r="F94" s="4"/>
      <c r="G94" s="4"/>
      <c r="H94" s="4"/>
      <c r="I94" s="4"/>
      <c r="J94" s="4"/>
      <c r="K94" s="4"/>
      <c r="L94" s="4"/>
      <c r="M94" s="4"/>
    </row>
    <row r="95" spans="2:13">
      <c r="B95" s="4"/>
      <c r="C95" s="4"/>
      <c r="D95" s="4"/>
      <c r="E95" s="4"/>
      <c r="F95" s="4"/>
      <c r="G95" s="4"/>
      <c r="H95" s="4"/>
      <c r="I95" s="4"/>
      <c r="J95" s="4"/>
      <c r="K95" s="4"/>
      <c r="L95" s="4"/>
      <c r="M95" s="4"/>
    </row>
    <row r="96" spans="2:13">
      <c r="B96" s="4"/>
      <c r="C96" s="4"/>
      <c r="D96" s="4"/>
      <c r="E96" s="4"/>
      <c r="F96" s="4"/>
      <c r="G96" s="4"/>
      <c r="H96" s="4"/>
      <c r="I96" s="4"/>
      <c r="J96" s="4"/>
      <c r="K96" s="4"/>
      <c r="L96" s="4"/>
      <c r="M96" s="4"/>
    </row>
    <row r="97" spans="2:13">
      <c r="B97" s="4"/>
      <c r="C97" s="4"/>
      <c r="D97" s="4"/>
      <c r="E97" s="4"/>
      <c r="F97" s="4"/>
      <c r="G97" s="4"/>
      <c r="H97" s="4"/>
      <c r="I97" s="4"/>
      <c r="J97" s="4"/>
      <c r="K97" s="4"/>
      <c r="L97" s="4"/>
      <c r="M97" s="4"/>
    </row>
    <row r="98" spans="2:13">
      <c r="B98" s="4"/>
      <c r="C98" s="4"/>
      <c r="D98" s="4"/>
      <c r="E98" s="4"/>
      <c r="F98" s="4"/>
      <c r="G98" s="4"/>
      <c r="H98" s="4"/>
      <c r="I98" s="4"/>
      <c r="J98" s="4"/>
      <c r="K98" s="4"/>
      <c r="L98" s="4"/>
      <c r="M98" s="4"/>
    </row>
    <row r="99" spans="2:13">
      <c r="B99" s="4"/>
      <c r="C99" s="4"/>
      <c r="D99" s="4"/>
      <c r="E99" s="4"/>
      <c r="F99" s="4"/>
      <c r="G99" s="4"/>
      <c r="H99" s="4"/>
      <c r="I99" s="4"/>
      <c r="J99" s="4"/>
      <c r="K99" s="4"/>
      <c r="L99" s="4"/>
      <c r="M99" s="4"/>
    </row>
    <row r="100" spans="2:13">
      <c r="B100" s="4"/>
      <c r="C100" s="4"/>
      <c r="D100" s="4"/>
      <c r="E100" s="4"/>
      <c r="F100" s="4"/>
      <c r="G100" s="4"/>
      <c r="H100" s="4"/>
      <c r="I100" s="4"/>
      <c r="J100" s="4"/>
      <c r="K100" s="4"/>
      <c r="L100" s="4"/>
      <c r="M100" s="4"/>
    </row>
    <row r="101" spans="2:13">
      <c r="B101" s="4"/>
      <c r="C101" s="4"/>
      <c r="D101" s="4"/>
      <c r="E101" s="4"/>
      <c r="F101" s="4"/>
      <c r="G101" s="4"/>
      <c r="H101" s="4"/>
      <c r="I101" s="4"/>
      <c r="J101" s="4"/>
      <c r="K101" s="4"/>
      <c r="L101" s="4"/>
      <c r="M101" s="4"/>
    </row>
    <row r="102" spans="2:13">
      <c r="B102" s="4"/>
      <c r="C102" s="4"/>
      <c r="D102" s="4"/>
      <c r="E102" s="4"/>
      <c r="F102" s="4"/>
      <c r="G102" s="4"/>
      <c r="H102" s="4"/>
      <c r="I102" s="4"/>
      <c r="J102" s="4"/>
      <c r="K102" s="4"/>
      <c r="L102" s="4"/>
      <c r="M102" s="4"/>
    </row>
    <row r="103" spans="2:13">
      <c r="B103" s="4"/>
      <c r="C103" s="4"/>
      <c r="D103" s="4"/>
      <c r="E103" s="4"/>
      <c r="F103" s="4"/>
      <c r="G103" s="4"/>
      <c r="H103" s="4"/>
      <c r="I103" s="4"/>
      <c r="J103" s="4"/>
      <c r="K103" s="4"/>
      <c r="L103" s="4"/>
      <c r="M103" s="4"/>
    </row>
    <row r="104" spans="2:13">
      <c r="B104" s="4"/>
      <c r="C104" s="4"/>
      <c r="D104" s="4"/>
      <c r="E104" s="4"/>
      <c r="F104" s="4"/>
      <c r="G104" s="4"/>
      <c r="H104" s="4"/>
      <c r="I104" s="4"/>
      <c r="J104" s="4"/>
      <c r="K104" s="4"/>
      <c r="L104" s="4"/>
      <c r="M104" s="4"/>
    </row>
    <row r="105" spans="2:13">
      <c r="B105" s="4"/>
      <c r="C105" s="4"/>
      <c r="D105" s="4"/>
      <c r="E105" s="4"/>
      <c r="F105" s="4"/>
      <c r="G105" s="4"/>
      <c r="H105" s="4"/>
      <c r="I105" s="4"/>
      <c r="J105" s="4"/>
      <c r="K105" s="4"/>
      <c r="L105" s="4"/>
      <c r="M105" s="4"/>
    </row>
    <row r="106" spans="2:13">
      <c r="B106" s="4"/>
      <c r="C106" s="4"/>
      <c r="D106" s="4"/>
      <c r="E106" s="4"/>
      <c r="F106" s="4"/>
      <c r="G106" s="4"/>
      <c r="H106" s="4"/>
      <c r="I106" s="4"/>
      <c r="J106" s="4"/>
      <c r="K106" s="4"/>
      <c r="L106" s="4"/>
      <c r="M106" s="4"/>
    </row>
    <row r="107" spans="2:13">
      <c r="B107" s="4"/>
      <c r="C107" s="4"/>
      <c r="D107" s="4"/>
      <c r="E107" s="4"/>
      <c r="F107" s="4"/>
      <c r="G107" s="4"/>
      <c r="H107" s="4"/>
      <c r="I107" s="4"/>
      <c r="J107" s="4"/>
      <c r="K107" s="4"/>
      <c r="L107" s="4"/>
      <c r="M107" s="4"/>
    </row>
    <row r="108" spans="2:13">
      <c r="B108" s="4"/>
      <c r="C108" s="4"/>
      <c r="D108" s="4"/>
      <c r="E108" s="4"/>
      <c r="F108" s="4"/>
      <c r="G108" s="4"/>
      <c r="H108" s="4"/>
      <c r="I108" s="4"/>
      <c r="J108" s="4"/>
      <c r="K108" s="4"/>
      <c r="L108" s="4"/>
      <c r="M108" s="4"/>
    </row>
    <row r="109" spans="2:13">
      <c r="B109" s="4"/>
      <c r="C109" s="4"/>
      <c r="D109" s="4"/>
      <c r="E109" s="4"/>
      <c r="F109" s="4"/>
      <c r="G109" s="4"/>
      <c r="H109" s="4"/>
      <c r="I109" s="4"/>
      <c r="J109" s="4"/>
      <c r="K109" s="4"/>
      <c r="L109" s="4"/>
      <c r="M109" s="4"/>
    </row>
  </sheetData>
  <customSheetViews>
    <customSheetView guid="{6B74E52F-9552-408A-8775-25AFF24E6639}" scale="75" showPageBreaks="1" showRuler="0">
      <selection activeCell="A4" sqref="A4"/>
      <rowBreaks count="1" manualBreakCount="1">
        <brk id="59" max="16383" man="1"/>
      </rowBreaks>
      <pageMargins left="0.75" right="0.75" top="1" bottom="1" header="0.5" footer="0.5"/>
      <pageSetup scale="60" fitToHeight="2" orientation="landscape" r:id="rId1"/>
      <headerFooter alignWithMargins="0">
        <oddFooter>&amp;L&amp;Z
&amp;F&amp;C&amp;A&amp;R17.&amp;P</oddFooter>
      </headerFooter>
    </customSheetView>
  </customSheetViews>
  <mergeCells count="3">
    <mergeCell ref="A2:P2"/>
    <mergeCell ref="A1:P1"/>
    <mergeCell ref="A3:P3"/>
  </mergeCells>
  <phoneticPr fontId="0" type="noConversion"/>
  <pageMargins left="0.75" right="0.75" top="1" bottom="1" header="0.5" footer="0.5"/>
  <pageSetup scale="60" fitToHeight="2" orientation="landscape" r:id="rId2"/>
  <headerFooter alignWithMargins="0">
    <oddFooter>&amp;L&amp;Z
&amp;F&amp;C&amp;A&amp;R17.&amp;P</oddFooter>
  </headerFooter>
  <rowBreaks count="1" manualBreakCount="1">
    <brk id="60" max="16383" man="1"/>
  </rowBreaks>
</worksheet>
</file>

<file path=xl/worksheets/sheet104.xml><?xml version="1.0" encoding="utf-8"?>
<worksheet xmlns="http://schemas.openxmlformats.org/spreadsheetml/2006/main" xmlns:r="http://schemas.openxmlformats.org/officeDocument/2006/relationships">
  <sheetPr codeName="Sheet80">
    <pageSetUpPr fitToPage="1"/>
  </sheetPr>
  <dimension ref="A1:O154"/>
  <sheetViews>
    <sheetView zoomScaleNormal="100" workbookViewId="0">
      <selection sqref="A1:L1"/>
    </sheetView>
  </sheetViews>
  <sheetFormatPr defaultRowHeight="12.75"/>
  <cols>
    <col min="1" max="1" width="49.7109375" bestFit="1" customWidth="1"/>
    <col min="2" max="2" width="17.7109375" customWidth="1"/>
    <col min="3" max="3" width="1.7109375" customWidth="1"/>
    <col min="4" max="4" width="17.7109375" customWidth="1"/>
    <col min="5" max="5" width="1.7109375" customWidth="1"/>
    <col min="6" max="6" width="17.7109375" customWidth="1"/>
    <col min="7" max="7" width="1.7109375" customWidth="1"/>
    <col min="8" max="8" width="17.7109375" customWidth="1"/>
    <col min="9" max="9" width="1.7109375" customWidth="1"/>
    <col min="10" max="10" width="17.7109375" customWidth="1"/>
    <col min="11" max="11" width="1.7109375" customWidth="1"/>
    <col min="12" max="12" width="17.7109375" customWidth="1"/>
  </cols>
  <sheetData>
    <row r="1" spans="1:13" s="38" customFormat="1" ht="15.75">
      <c r="A1" s="366" t="s">
        <v>134</v>
      </c>
      <c r="B1" s="366"/>
      <c r="C1" s="366"/>
      <c r="D1" s="366"/>
      <c r="E1" s="366"/>
      <c r="F1" s="366"/>
      <c r="G1" s="366"/>
      <c r="H1" s="366"/>
      <c r="I1" s="366"/>
      <c r="J1" s="366"/>
      <c r="K1" s="366"/>
      <c r="L1" s="366"/>
    </row>
    <row r="2" spans="1:13" s="38" customFormat="1" ht="15.75">
      <c r="A2" s="366" t="s">
        <v>1226</v>
      </c>
      <c r="B2" s="366"/>
      <c r="C2" s="366"/>
      <c r="D2" s="366"/>
      <c r="E2" s="366"/>
      <c r="F2" s="366"/>
      <c r="G2" s="366"/>
      <c r="H2" s="366"/>
      <c r="I2" s="366"/>
      <c r="J2" s="366"/>
      <c r="K2" s="366"/>
      <c r="L2" s="366"/>
    </row>
    <row r="3" spans="1:13">
      <c r="A3" s="357" t="str">
        <f>'Summary - Cost - PG 1 (Fin)'!A3:N3</f>
        <v>MARCH 2012</v>
      </c>
      <c r="B3" s="357"/>
      <c r="C3" s="357"/>
      <c r="D3" s="357"/>
      <c r="E3" s="357"/>
      <c r="F3" s="357"/>
      <c r="G3" s="357"/>
      <c r="H3" s="357"/>
      <c r="I3" s="357"/>
      <c r="J3" s="357"/>
      <c r="K3" s="357"/>
      <c r="L3" s="357"/>
    </row>
    <row r="4" spans="1:13">
      <c r="A4" s="30"/>
      <c r="B4" s="30"/>
      <c r="C4" s="30"/>
      <c r="D4" s="30"/>
      <c r="E4" s="30"/>
      <c r="F4" s="30"/>
      <c r="G4" s="30"/>
      <c r="H4" s="30"/>
      <c r="I4" s="30"/>
      <c r="J4" s="30"/>
      <c r="K4" s="30"/>
      <c r="L4" s="30"/>
    </row>
    <row r="6" spans="1:13">
      <c r="B6" s="41" t="s">
        <v>25</v>
      </c>
      <c r="D6" s="45"/>
      <c r="F6" s="45"/>
      <c r="H6" s="41" t="s">
        <v>612</v>
      </c>
      <c r="J6" s="45"/>
      <c r="L6" s="41" t="s">
        <v>26</v>
      </c>
    </row>
    <row r="7" spans="1:13" s="10" customFormat="1">
      <c r="B7" s="42" t="s">
        <v>27</v>
      </c>
      <c r="C7"/>
      <c r="D7" s="42" t="s">
        <v>107</v>
      </c>
      <c r="E7"/>
      <c r="F7" s="42" t="s">
        <v>108</v>
      </c>
      <c r="G7"/>
      <c r="H7" s="42" t="s">
        <v>613</v>
      </c>
      <c r="I7"/>
      <c r="J7" s="42" t="s">
        <v>109</v>
      </c>
      <c r="K7"/>
      <c r="L7" s="42" t="s">
        <v>27</v>
      </c>
    </row>
    <row r="8" spans="1:13" s="10" customFormat="1">
      <c r="A8" s="3" t="s">
        <v>371</v>
      </c>
      <c r="B8" s="54"/>
      <c r="C8"/>
      <c r="D8" s="54"/>
      <c r="E8"/>
      <c r="F8" s="54"/>
      <c r="G8"/>
      <c r="H8" s="54"/>
      <c r="I8"/>
      <c r="J8" s="54"/>
      <c r="K8"/>
      <c r="L8" s="54"/>
    </row>
    <row r="9" spans="1:13" s="10" customFormat="1">
      <c r="A9" s="3" t="s">
        <v>572</v>
      </c>
      <c r="B9" s="54"/>
      <c r="C9"/>
      <c r="D9" s="54"/>
      <c r="E9"/>
      <c r="F9" s="54"/>
      <c r="G9"/>
      <c r="H9" s="54"/>
      <c r="I9"/>
      <c r="J9" s="54"/>
      <c r="K9"/>
      <c r="L9" s="54"/>
    </row>
    <row r="10" spans="1:13">
      <c r="A10" s="3" t="s">
        <v>121</v>
      </c>
    </row>
    <row r="11" spans="1:13">
      <c r="A11" t="s">
        <v>848</v>
      </c>
      <c r="B11" s="45">
        <f>'KY_Cost Plant Acct-Gas-P20(Fin)'!B11</f>
        <v>59724.58</v>
      </c>
      <c r="C11" s="45"/>
      <c r="D11" s="45">
        <f>'KY_Cost Plant Acct-Gas-P20(Fin)'!D11</f>
        <v>0</v>
      </c>
      <c r="E11" s="45"/>
      <c r="F11" s="45">
        <f>'KY_Cost Plant Acct-Gas-P20(Fin)'!F11</f>
        <v>0</v>
      </c>
      <c r="G11" s="45"/>
      <c r="H11" s="45">
        <f>'KY_Cost Plant Acct-Gas-P20(Fin)'!H11</f>
        <v>0</v>
      </c>
      <c r="I11" s="45"/>
      <c r="J11" s="45">
        <f t="shared" ref="J11:J24" si="0">H11+F11+D11</f>
        <v>0</v>
      </c>
      <c r="K11" s="45"/>
      <c r="L11" s="45">
        <f t="shared" ref="L11:L24" si="1">J11+B11</f>
        <v>59724.58</v>
      </c>
      <c r="M11" s="4"/>
    </row>
    <row r="12" spans="1:13">
      <c r="A12" t="s">
        <v>849</v>
      </c>
      <c r="B12" s="45">
        <f>'KY_Cost Plant Acct-Gas-P20(Fin)'!B12</f>
        <v>74018.23</v>
      </c>
      <c r="C12" s="45"/>
      <c r="D12" s="45">
        <f>'KY_Cost Plant Acct-Gas-P20(Fin)'!D12</f>
        <v>0</v>
      </c>
      <c r="E12" s="45"/>
      <c r="F12" s="45">
        <f>'KY_Cost Plant Acct-Gas-P20(Fin)'!F12</f>
        <v>0</v>
      </c>
      <c r="G12" s="45"/>
      <c r="H12" s="45">
        <f>'KY_Cost Plant Acct-Gas-P20(Fin)'!H12</f>
        <v>0</v>
      </c>
      <c r="I12" s="45"/>
      <c r="J12" s="45">
        <f t="shared" si="0"/>
        <v>0</v>
      </c>
      <c r="K12" s="45"/>
      <c r="L12" s="45">
        <f t="shared" si="1"/>
        <v>74018.23</v>
      </c>
      <c r="M12" s="4"/>
    </row>
    <row r="13" spans="1:13">
      <c r="A13" t="s">
        <v>850</v>
      </c>
      <c r="B13" s="45">
        <f>'KY_Cost Plant Acct-Gas-P20(Fin)'!B13</f>
        <v>367965.77</v>
      </c>
      <c r="C13" s="45"/>
      <c r="D13" s="45">
        <f>'KY_Cost Plant Acct-Gas-P20(Fin)'!D13</f>
        <v>0</v>
      </c>
      <c r="E13" s="45"/>
      <c r="F13" s="45">
        <f>'KY_Cost Plant Acct-Gas-P20(Fin)'!F13</f>
        <v>0</v>
      </c>
      <c r="G13" s="45"/>
      <c r="H13" s="45">
        <f>'KY_Cost Plant Acct-Gas-P20(Fin)'!H13</f>
        <v>0</v>
      </c>
      <c r="I13" s="45"/>
      <c r="J13" s="45">
        <f t="shared" si="0"/>
        <v>0</v>
      </c>
      <c r="K13" s="45"/>
      <c r="L13" s="45">
        <f t="shared" si="1"/>
        <v>367965.77</v>
      </c>
      <c r="M13" s="4"/>
    </row>
    <row r="14" spans="1:13">
      <c r="A14" t="s">
        <v>71</v>
      </c>
      <c r="B14" s="45">
        <f>'KY_Cost Plant Acct-Gas-P20(Fin)'!B14</f>
        <v>532497.30000000005</v>
      </c>
      <c r="C14" s="45"/>
      <c r="D14" s="45">
        <f>'KY_Cost Plant Acct-Gas-P20(Fin)'!D14</f>
        <v>0</v>
      </c>
      <c r="E14" s="45"/>
      <c r="F14" s="45">
        <f>'KY_Cost Plant Acct-Gas-P20(Fin)'!F14</f>
        <v>0</v>
      </c>
      <c r="G14" s="45"/>
      <c r="H14" s="45">
        <f>'KY_Cost Plant Acct-Gas-P20(Fin)'!H14</f>
        <v>0</v>
      </c>
      <c r="I14" s="45"/>
      <c r="J14" s="45">
        <f t="shared" si="0"/>
        <v>0</v>
      </c>
      <c r="K14" s="45"/>
      <c r="L14" s="45">
        <f t="shared" si="1"/>
        <v>532497.30000000005</v>
      </c>
      <c r="M14" s="4"/>
    </row>
    <row r="15" spans="1:13">
      <c r="A15" t="s">
        <v>72</v>
      </c>
      <c r="B15" s="45">
        <f>'KY_Cost Plant Acct-Gas-P20(Fin)'!B15</f>
        <v>313081901.35000002</v>
      </c>
      <c r="C15" s="45"/>
      <c r="D15" s="45">
        <f>'KY_Cost Plant Acct-Gas-P20(Fin)'!D15</f>
        <v>2389626.77</v>
      </c>
      <c r="E15" s="45"/>
      <c r="F15" s="45">
        <f>'KY_Cost Plant Acct-Gas-P20(Fin)'!F15</f>
        <v>-18271.5</v>
      </c>
      <c r="G15" s="45"/>
      <c r="H15" s="45">
        <f>'KY_Cost Plant Acct-Gas-P20(Fin)'!H15</f>
        <v>-134900.23000000001</v>
      </c>
      <c r="I15" s="45"/>
      <c r="J15" s="45">
        <f t="shared" si="0"/>
        <v>2236455.04</v>
      </c>
      <c r="K15" s="45"/>
      <c r="L15" s="45">
        <f t="shared" si="1"/>
        <v>315318356.39000005</v>
      </c>
      <c r="M15" s="4"/>
    </row>
    <row r="16" spans="1:13">
      <c r="A16" t="s">
        <v>73</v>
      </c>
      <c r="B16" s="45">
        <f>'KY_Cost Plant Acct-Gas-P20(Fin)'!B16</f>
        <v>11613603.43</v>
      </c>
      <c r="C16" s="45"/>
      <c r="D16" s="45">
        <f>'KY_Cost Plant Acct-Gas-P20(Fin)'!D16</f>
        <v>132004.96</v>
      </c>
      <c r="E16" s="45"/>
      <c r="F16" s="45">
        <f>'KY_Cost Plant Acct-Gas-P20(Fin)'!F16</f>
        <v>-4083.94</v>
      </c>
      <c r="G16" s="45"/>
      <c r="H16" s="45">
        <f>'KY_Cost Plant Acct-Gas-P20(Fin)'!H16</f>
        <v>0</v>
      </c>
      <c r="I16" s="45"/>
      <c r="J16" s="45">
        <f t="shared" si="0"/>
        <v>127921.01999999999</v>
      </c>
      <c r="K16" s="45"/>
      <c r="L16" s="45">
        <f t="shared" si="1"/>
        <v>11741524.449999999</v>
      </c>
      <c r="M16" s="4"/>
    </row>
    <row r="17" spans="1:15">
      <c r="A17" t="s">
        <v>74</v>
      </c>
      <c r="B17" s="45">
        <f>'KY_Cost Plant Acct-Gas-P20(Fin)'!B17</f>
        <v>4383870.12</v>
      </c>
      <c r="C17" s="45"/>
      <c r="D17" s="45">
        <f>'KY_Cost Plant Acct-Gas-P20(Fin)'!D17</f>
        <v>0</v>
      </c>
      <c r="E17" s="45"/>
      <c r="F17" s="45">
        <f>'KY_Cost Plant Acct-Gas-P20(Fin)'!F17</f>
        <v>0</v>
      </c>
      <c r="G17" s="45"/>
      <c r="H17" s="45">
        <f>'KY_Cost Plant Acct-Gas-P20(Fin)'!H17</f>
        <v>0</v>
      </c>
      <c r="I17" s="45"/>
      <c r="J17" s="45">
        <f t="shared" si="0"/>
        <v>0</v>
      </c>
      <c r="K17" s="45"/>
      <c r="L17" s="45">
        <f t="shared" si="1"/>
        <v>4383870.12</v>
      </c>
      <c r="M17" s="4"/>
    </row>
    <row r="18" spans="1:15">
      <c r="A18" t="s">
        <v>75</v>
      </c>
      <c r="B18" s="45">
        <f>'KY_Cost Plant Acct-Gas-P20(Fin)'!B18</f>
        <v>186931795.06999999</v>
      </c>
      <c r="C18" s="45"/>
      <c r="D18" s="45">
        <f>'KY_Cost Plant Acct-Gas-P20(Fin)'!D18</f>
        <v>267732.98</v>
      </c>
      <c r="E18" s="45"/>
      <c r="F18" s="45">
        <f>'KY_Cost Plant Acct-Gas-P20(Fin)'!F18</f>
        <v>-1262.3599999999999</v>
      </c>
      <c r="G18" s="45"/>
      <c r="H18" s="45">
        <f>'KY_Cost Plant Acct-Gas-P20(Fin)'!H18</f>
        <v>0</v>
      </c>
      <c r="I18" s="45"/>
      <c r="J18" s="45">
        <f t="shared" si="0"/>
        <v>266470.62</v>
      </c>
      <c r="K18" s="45"/>
      <c r="L18" s="45">
        <f t="shared" si="1"/>
        <v>187198265.69</v>
      </c>
      <c r="M18" s="4"/>
    </row>
    <row r="19" spans="1:15">
      <c r="A19" t="s">
        <v>76</v>
      </c>
      <c r="B19" s="45">
        <f>'KY_Cost Plant Acct-Gas-P20(Fin)'!B19</f>
        <v>39833751.520000003</v>
      </c>
      <c r="C19" s="45"/>
      <c r="D19" s="45">
        <f>'KY_Cost Plant Acct-Gas-P20(Fin)'!D19</f>
        <v>0</v>
      </c>
      <c r="E19" s="45"/>
      <c r="F19" s="45">
        <f>'KY_Cost Plant Acct-Gas-P20(Fin)'!F19</f>
        <v>0</v>
      </c>
      <c r="G19" s="45"/>
      <c r="H19" s="45">
        <f>'KY_Cost Plant Acct-Gas-P20(Fin)'!H19</f>
        <v>0</v>
      </c>
      <c r="I19" s="45"/>
      <c r="J19" s="45">
        <f t="shared" si="0"/>
        <v>0</v>
      </c>
      <c r="K19" s="45"/>
      <c r="L19" s="45">
        <f t="shared" si="1"/>
        <v>39833751.520000003</v>
      </c>
      <c r="M19" s="4"/>
    </row>
    <row r="20" spans="1:15">
      <c r="A20" t="s">
        <v>77</v>
      </c>
      <c r="B20" s="45">
        <f>'KY_Cost Plant Acct-Gas-P20(Fin)'!B20</f>
        <v>23145111.109999999</v>
      </c>
      <c r="C20" s="45"/>
      <c r="D20" s="45">
        <f>'KY_Cost Plant Acct-Gas-P20(Fin)'!D20</f>
        <v>0</v>
      </c>
      <c r="E20" s="45"/>
      <c r="F20" s="45">
        <f>'KY_Cost Plant Acct-Gas-P20(Fin)'!F20</f>
        <v>0</v>
      </c>
      <c r="G20" s="45"/>
      <c r="H20" s="45">
        <f>'KY_Cost Plant Acct-Gas-P20(Fin)'!H20</f>
        <v>0</v>
      </c>
      <c r="I20" s="45"/>
      <c r="J20" s="45">
        <f t="shared" si="0"/>
        <v>0</v>
      </c>
      <c r="K20" s="45"/>
      <c r="L20" s="45">
        <f t="shared" si="1"/>
        <v>23145111.109999999</v>
      </c>
      <c r="M20" s="4"/>
    </row>
    <row r="21" spans="1:15">
      <c r="A21" t="s">
        <v>78</v>
      </c>
      <c r="B21" s="45">
        <f>'KY_Cost Plant Acct-Gas-P20(Fin)'!B21</f>
        <v>944360.15</v>
      </c>
      <c r="C21" s="45"/>
      <c r="D21" s="45">
        <f>'KY_Cost Plant Acct-Gas-P20(Fin)'!D21</f>
        <v>0</v>
      </c>
      <c r="E21" s="45"/>
      <c r="F21" s="45">
        <f>'KY_Cost Plant Acct-Gas-P20(Fin)'!F21</f>
        <v>0</v>
      </c>
      <c r="G21" s="45"/>
      <c r="H21" s="45">
        <f>'KY_Cost Plant Acct-Gas-P20(Fin)'!H21</f>
        <v>0</v>
      </c>
      <c r="I21" s="45"/>
      <c r="J21" s="45">
        <f t="shared" si="0"/>
        <v>0</v>
      </c>
      <c r="K21" s="45"/>
      <c r="L21" s="45">
        <f t="shared" si="1"/>
        <v>944360.15</v>
      </c>
      <c r="M21" s="4"/>
    </row>
    <row r="22" spans="1:15">
      <c r="A22" t="s">
        <v>79</v>
      </c>
      <c r="B22" s="45">
        <f>'KY_Cost Plant Acct-Gas-P20(Fin)'!B22</f>
        <v>51112.34</v>
      </c>
      <c r="C22" s="52"/>
      <c r="D22" s="45">
        <f>'KY_Cost Plant Acct-Gas-P20(Fin)'!D22</f>
        <v>0</v>
      </c>
      <c r="E22" s="52"/>
      <c r="F22" s="45">
        <f>'KY_Cost Plant Acct-Gas-P20(Fin)'!F22</f>
        <v>0</v>
      </c>
      <c r="G22" s="52"/>
      <c r="H22" s="45">
        <f>'KY_Cost Plant Acct-Gas-P20(Fin)'!H22</f>
        <v>0</v>
      </c>
      <c r="I22" s="52"/>
      <c r="J22" s="52">
        <f t="shared" si="0"/>
        <v>0</v>
      </c>
      <c r="K22" s="52"/>
      <c r="L22" s="52">
        <f t="shared" si="1"/>
        <v>51112.34</v>
      </c>
      <c r="M22" s="55"/>
      <c r="N22" s="7"/>
      <c r="O22" s="7"/>
    </row>
    <row r="23" spans="1:15">
      <c r="A23" t="s">
        <v>80</v>
      </c>
      <c r="B23" s="45">
        <f>'KY_Cost Plant Acct-Gas-P20(Fin)'!B23</f>
        <v>2962.94</v>
      </c>
      <c r="C23" s="52"/>
      <c r="D23" s="45">
        <f>'KY_Cost Plant Acct-Gas-P20(Fin)'!D23</f>
        <v>0</v>
      </c>
      <c r="E23" s="52"/>
      <c r="F23" s="45">
        <f>'KY_Cost Plant Acct-Gas-P20(Fin)'!F23</f>
        <v>0</v>
      </c>
      <c r="G23" s="52"/>
      <c r="H23" s="45">
        <f>'KY_Cost Plant Acct-Gas-P20(Fin)'!H23</f>
        <v>0</v>
      </c>
      <c r="I23" s="52"/>
      <c r="J23" s="52">
        <f t="shared" si="0"/>
        <v>0</v>
      </c>
      <c r="K23" s="52"/>
      <c r="L23" s="52">
        <f t="shared" si="1"/>
        <v>2962.94</v>
      </c>
      <c r="M23" s="55"/>
      <c r="N23" s="7"/>
      <c r="O23" s="7"/>
    </row>
    <row r="24" spans="1:15">
      <c r="A24" t="s">
        <v>898</v>
      </c>
      <c r="B24" s="48">
        <f>'KY_Cost Plant Acct-Gas-P20(Fin)'!B24</f>
        <v>11928646.510000002</v>
      </c>
      <c r="C24" s="52"/>
      <c r="D24" s="48">
        <f>'KY_Cost Plant Acct-Gas-P20(Fin)'!D24</f>
        <v>0</v>
      </c>
      <c r="E24" s="52"/>
      <c r="F24" s="48">
        <f>'KY_Cost Plant Acct-Gas-P20(Fin)'!F24</f>
        <v>0</v>
      </c>
      <c r="G24" s="52"/>
      <c r="H24" s="48">
        <f>'KY_Cost Plant Acct-Gas-P20(Fin)'!H24</f>
        <v>0</v>
      </c>
      <c r="I24" s="52"/>
      <c r="J24" s="48">
        <f t="shared" si="0"/>
        <v>0</v>
      </c>
      <c r="K24" s="52"/>
      <c r="L24" s="48">
        <f t="shared" si="1"/>
        <v>11928646.510000002</v>
      </c>
      <c r="M24" s="55"/>
      <c r="N24" s="7"/>
      <c r="O24" s="7"/>
    </row>
    <row r="25" spans="1:15">
      <c r="B25" s="52">
        <f>SUM(B11:B24)</f>
        <v>592951320.42000008</v>
      </c>
      <c r="C25" s="52"/>
      <c r="D25" s="52">
        <f>SUM(D11:D24)</f>
        <v>2789364.71</v>
      </c>
      <c r="E25" s="52"/>
      <c r="F25" s="52">
        <f>SUM(F11:F24)</f>
        <v>-23617.8</v>
      </c>
      <c r="G25" s="52"/>
      <c r="H25" s="52">
        <f>SUM(H11:H24)</f>
        <v>-134900.23000000001</v>
      </c>
      <c r="I25" s="52"/>
      <c r="J25" s="52">
        <f>SUM(J11:J24)</f>
        <v>2630846.6800000002</v>
      </c>
      <c r="K25" s="52"/>
      <c r="L25" s="52">
        <f>SUM(L11:L24)</f>
        <v>595582167.10000014</v>
      </c>
      <c r="M25" s="55"/>
      <c r="N25" s="7"/>
      <c r="O25" s="7"/>
    </row>
    <row r="26" spans="1:15">
      <c r="B26" s="45"/>
      <c r="C26" s="45"/>
      <c r="D26" s="45"/>
      <c r="E26" s="45"/>
      <c r="F26" s="45"/>
      <c r="G26" s="45"/>
      <c r="H26" s="45"/>
      <c r="I26" s="45"/>
      <c r="J26" s="45"/>
      <c r="K26" s="45"/>
      <c r="L26" s="45"/>
      <c r="M26" s="4"/>
    </row>
    <row r="27" spans="1:15">
      <c r="A27" s="3" t="s">
        <v>122</v>
      </c>
      <c r="B27" s="45"/>
      <c r="C27" s="45"/>
      <c r="D27" s="45"/>
      <c r="E27" s="45"/>
      <c r="F27" s="45"/>
      <c r="G27" s="45"/>
      <c r="H27" s="45"/>
      <c r="I27" s="45"/>
      <c r="J27" s="45"/>
      <c r="K27" s="45"/>
      <c r="L27" s="45"/>
      <c r="M27" s="4"/>
    </row>
    <row r="28" spans="1:15">
      <c r="A28" t="s">
        <v>899</v>
      </c>
      <c r="B28" s="45">
        <f>'KY_Cost Plant Acct-Gas-P20(Fin)'!B28</f>
        <v>1269819.7600000002</v>
      </c>
      <c r="C28" s="45"/>
      <c r="D28" s="45">
        <f>'KY_Cost Plant Acct-Gas-P20(Fin)'!D28</f>
        <v>112284.74</v>
      </c>
      <c r="E28" s="45"/>
      <c r="F28" s="45">
        <f>'KY_Cost Plant Acct-Gas-P20(Fin)'!F28</f>
        <v>0</v>
      </c>
      <c r="G28" s="45"/>
      <c r="H28" s="45">
        <f>'KY_Cost Plant Acct-Gas-P20(Fin)'!H28</f>
        <v>0</v>
      </c>
      <c r="I28" s="45"/>
      <c r="J28" s="45">
        <f t="shared" ref="J28:J33" si="2">H28+F28+D28</f>
        <v>112284.74</v>
      </c>
      <c r="K28" s="45"/>
      <c r="L28" s="45">
        <f t="shared" ref="L28:L33" si="3">J28+B28</f>
        <v>1382104.5000000002</v>
      </c>
      <c r="M28" s="4"/>
    </row>
    <row r="29" spans="1:15">
      <c r="A29" t="s">
        <v>900</v>
      </c>
      <c r="B29" s="45">
        <f>'KY_Cost Plant Acct-Gas-P20(Fin)'!B29</f>
        <v>542516.12</v>
      </c>
      <c r="C29" s="45"/>
      <c r="D29" s="45">
        <f>'KY_Cost Plant Acct-Gas-P20(Fin)'!D29</f>
        <v>57340.17</v>
      </c>
      <c r="E29" s="45"/>
      <c r="F29" s="45">
        <f>'KY_Cost Plant Acct-Gas-P20(Fin)'!F29</f>
        <v>0</v>
      </c>
      <c r="G29" s="45"/>
      <c r="H29" s="45">
        <f>'KY_Cost Plant Acct-Gas-P20(Fin)'!H29</f>
        <v>0</v>
      </c>
      <c r="I29" s="45"/>
      <c r="J29" s="45">
        <f t="shared" si="2"/>
        <v>57340.17</v>
      </c>
      <c r="K29" s="45"/>
      <c r="L29" s="45">
        <f t="shared" si="3"/>
        <v>599856.29</v>
      </c>
      <c r="M29" s="4"/>
    </row>
    <row r="30" spans="1:15">
      <c r="A30" t="s">
        <v>901</v>
      </c>
      <c r="B30" s="45">
        <f>'KY_Cost Plant Acct-Gas-P20(Fin)'!B30</f>
        <v>4041521.8600000003</v>
      </c>
      <c r="C30" s="45"/>
      <c r="D30" s="45">
        <f>'KY_Cost Plant Acct-Gas-P20(Fin)'!D30</f>
        <v>427906.73</v>
      </c>
      <c r="E30" s="45"/>
      <c r="F30" s="45">
        <f>'KY_Cost Plant Acct-Gas-P20(Fin)'!F30</f>
        <v>0</v>
      </c>
      <c r="G30" s="45"/>
      <c r="H30" s="45">
        <f>'KY_Cost Plant Acct-Gas-P20(Fin)'!H30</f>
        <v>0</v>
      </c>
      <c r="I30" s="45"/>
      <c r="J30" s="45">
        <f t="shared" si="2"/>
        <v>427906.73</v>
      </c>
      <c r="K30" s="45"/>
      <c r="L30" s="45">
        <f t="shared" si="3"/>
        <v>4469428.59</v>
      </c>
      <c r="M30" s="4"/>
    </row>
    <row r="31" spans="1:15">
      <c r="A31" t="s">
        <v>995</v>
      </c>
      <c r="B31" s="45">
        <f>'KY_Cost Plant Acct-Gas-P20(Fin)'!B31</f>
        <v>0</v>
      </c>
      <c r="C31" s="45"/>
      <c r="D31" s="45">
        <f>'KY_Cost Plant Acct-Gas-P20(Fin)'!D31</f>
        <v>0</v>
      </c>
      <c r="E31" s="45"/>
      <c r="F31" s="45">
        <f>'KY_Cost Plant Acct-Gas-P20(Fin)'!F31</f>
        <v>0</v>
      </c>
      <c r="G31" s="45"/>
      <c r="H31" s="45">
        <f>'KY_Cost Plant Acct-Gas-P20(Fin)'!H31</f>
        <v>0</v>
      </c>
      <c r="I31" s="45"/>
      <c r="J31" s="45">
        <f t="shared" si="2"/>
        <v>0</v>
      </c>
      <c r="K31" s="45"/>
      <c r="L31" s="45">
        <f t="shared" si="3"/>
        <v>0</v>
      </c>
      <c r="M31" s="4"/>
    </row>
    <row r="32" spans="1:15">
      <c r="A32" t="s">
        <v>996</v>
      </c>
      <c r="B32" s="45">
        <f>'KY_Cost Plant Acct-Gas-P20(Fin)'!B32</f>
        <v>2286752</v>
      </c>
      <c r="C32" s="52"/>
      <c r="D32" s="45">
        <f>'KY_Cost Plant Acct-Gas-P20(Fin)'!D32</f>
        <v>0</v>
      </c>
      <c r="E32" s="52"/>
      <c r="F32" s="45">
        <f>'KY_Cost Plant Acct-Gas-P20(Fin)'!F32</f>
        <v>0</v>
      </c>
      <c r="G32" s="52"/>
      <c r="H32" s="45">
        <f>'KY_Cost Plant Acct-Gas-P20(Fin)'!H32</f>
        <v>0</v>
      </c>
      <c r="I32" s="52"/>
      <c r="J32" s="52">
        <f t="shared" si="2"/>
        <v>0</v>
      </c>
      <c r="K32" s="52"/>
      <c r="L32" s="52">
        <f t="shared" si="3"/>
        <v>2286752</v>
      </c>
      <c r="M32" s="55"/>
    </row>
    <row r="33" spans="1:13">
      <c r="A33" t="s">
        <v>997</v>
      </c>
      <c r="B33" s="48">
        <f>'KY_Cost Plant Acct-Gas-P20(Fin)'!B33</f>
        <v>63562.729999999996</v>
      </c>
      <c r="C33" s="52"/>
      <c r="D33" s="48">
        <f>'KY_Cost Plant Acct-Gas-P20(Fin)'!D33</f>
        <v>0</v>
      </c>
      <c r="E33" s="52"/>
      <c r="F33" s="48">
        <f>'KY_Cost Plant Acct-Gas-P20(Fin)'!F33</f>
        <v>0</v>
      </c>
      <c r="G33" s="52"/>
      <c r="H33" s="48">
        <f>'KY_Cost Plant Acct-Gas-P20(Fin)'!H33</f>
        <v>0</v>
      </c>
      <c r="I33" s="52"/>
      <c r="J33" s="48">
        <f t="shared" si="2"/>
        <v>0</v>
      </c>
      <c r="K33" s="52"/>
      <c r="L33" s="48">
        <f t="shared" si="3"/>
        <v>63562.729999999996</v>
      </c>
      <c r="M33" s="55"/>
    </row>
    <row r="34" spans="1:13">
      <c r="B34" s="52">
        <f>SUM(B28:B33)</f>
        <v>8204172.4700000007</v>
      </c>
      <c r="C34" s="52"/>
      <c r="D34" s="52">
        <f>SUM(D28:D33)</f>
        <v>597531.64</v>
      </c>
      <c r="E34" s="52"/>
      <c r="F34" s="52">
        <f>SUM(F28:F33)</f>
        <v>0</v>
      </c>
      <c r="G34" s="52"/>
      <c r="H34" s="52">
        <f>SUM(H28:H33)</f>
        <v>0</v>
      </c>
      <c r="I34" s="52"/>
      <c r="J34" s="52">
        <f>SUM(J28:J33)</f>
        <v>597531.64</v>
      </c>
      <c r="K34" s="52"/>
      <c r="L34" s="52">
        <f>SUM(L28:L33)</f>
        <v>8801704.1099999994</v>
      </c>
      <c r="M34" s="55"/>
    </row>
    <row r="35" spans="1:13">
      <c r="B35" s="52"/>
      <c r="C35" s="52"/>
      <c r="D35" s="52"/>
      <c r="E35" s="52"/>
      <c r="F35" s="52"/>
      <c r="G35" s="52"/>
      <c r="H35" s="52"/>
      <c r="I35" s="52"/>
      <c r="J35" s="52"/>
      <c r="K35" s="52"/>
      <c r="L35" s="52"/>
      <c r="M35" s="55"/>
    </row>
    <row r="36" spans="1:13">
      <c r="A36" s="3" t="s">
        <v>123</v>
      </c>
      <c r="B36" s="52"/>
      <c r="C36" s="52"/>
      <c r="D36" s="52"/>
      <c r="E36" s="52"/>
      <c r="F36" s="52"/>
      <c r="G36" s="52"/>
      <c r="H36" s="52"/>
      <c r="I36" s="52"/>
      <c r="J36" s="52"/>
      <c r="K36" s="52"/>
      <c r="L36" s="52"/>
      <c r="M36" s="55"/>
    </row>
    <row r="37" spans="1:13">
      <c r="A37" t="s">
        <v>998</v>
      </c>
      <c r="B37" s="48">
        <f>'KY_Cost Plant Acct-Gas-P20(Fin)'!B37</f>
        <v>387.49</v>
      </c>
      <c r="C37" s="52"/>
      <c r="D37" s="48">
        <f>'KY_Cost Plant Acct-Gas-P20(Fin)'!D37</f>
        <v>0</v>
      </c>
      <c r="E37" s="52"/>
      <c r="F37" s="48">
        <f>'KY_Cost Plant Acct-Gas-P20(Fin)'!F37</f>
        <v>0</v>
      </c>
      <c r="G37" s="52"/>
      <c r="H37" s="48">
        <f>'KY_Cost Plant Acct-Gas-P20(Fin)'!H37</f>
        <v>0</v>
      </c>
      <c r="I37" s="52"/>
      <c r="J37" s="48">
        <f>H37+F37+D37</f>
        <v>0</v>
      </c>
      <c r="K37" s="52"/>
      <c r="L37" s="48">
        <f>J37+B37</f>
        <v>387.49</v>
      </c>
      <c r="M37" s="55"/>
    </row>
    <row r="38" spans="1:13">
      <c r="B38" s="52">
        <f>SUM(B37)</f>
        <v>387.49</v>
      </c>
      <c r="C38" s="52"/>
      <c r="D38" s="52">
        <f>SUM(D37)</f>
        <v>0</v>
      </c>
      <c r="E38" s="52"/>
      <c r="F38" s="52">
        <f>SUM(F37)</f>
        <v>0</v>
      </c>
      <c r="G38" s="52"/>
      <c r="H38" s="52">
        <f>SUM(H37)</f>
        <v>0</v>
      </c>
      <c r="I38" s="52"/>
      <c r="J38" s="52">
        <f>SUM(J37)</f>
        <v>0</v>
      </c>
      <c r="K38" s="52"/>
      <c r="L38" s="52">
        <f>SUM(L37)</f>
        <v>387.49</v>
      </c>
      <c r="M38" s="55"/>
    </row>
    <row r="39" spans="1:13">
      <c r="B39" s="52"/>
      <c r="C39" s="52"/>
      <c r="D39" s="52"/>
      <c r="E39" s="52"/>
      <c r="F39" s="52"/>
      <c r="G39" s="52"/>
      <c r="H39" s="52"/>
      <c r="I39" s="52"/>
      <c r="J39" s="52"/>
      <c r="K39" s="52"/>
      <c r="L39" s="52"/>
      <c r="M39" s="55"/>
    </row>
    <row r="40" spans="1:13">
      <c r="A40" s="3" t="s">
        <v>124</v>
      </c>
      <c r="B40" s="52"/>
      <c r="C40" s="52"/>
      <c r="D40" s="52"/>
      <c r="E40" s="52"/>
      <c r="F40" s="52"/>
      <c r="G40" s="52"/>
      <c r="H40" s="52"/>
      <c r="I40" s="52"/>
      <c r="J40" s="52"/>
      <c r="K40" s="52"/>
      <c r="L40" s="52"/>
      <c r="M40" s="55"/>
    </row>
    <row r="41" spans="1:13">
      <c r="A41" t="s">
        <v>13</v>
      </c>
      <c r="B41" s="52">
        <f>'KY_Cost Plant Acct-Gas-P20(Fin)'!B41+'IN_Cost Plant Acct-Gas-P22(Fin)'!B11</f>
        <v>32864.07</v>
      </c>
      <c r="C41" s="52"/>
      <c r="D41" s="52">
        <f>'KY_Cost Plant Acct-Gas-P20(Fin)'!D41+'IN_Cost Plant Acct-Gas-P22(Fin)'!D11</f>
        <v>0</v>
      </c>
      <c r="E41" s="52"/>
      <c r="F41" s="52">
        <f>'KY_Cost Plant Acct-Gas-P20(Fin)'!F41+'IN_Cost Plant Acct-Gas-P22(Fin)'!F11</f>
        <v>0</v>
      </c>
      <c r="G41" s="52"/>
      <c r="H41" s="52">
        <f>'KY_Cost Plant Acct-Gas-P20(Fin)'!H41+'IN_Cost Plant Acct-Gas-P22(Fin)'!H11</f>
        <v>0</v>
      </c>
      <c r="I41" s="52"/>
      <c r="J41" s="52">
        <f t="shared" ref="J41:J58" si="4">H41+F41+D41</f>
        <v>0</v>
      </c>
      <c r="K41" s="52"/>
      <c r="L41" s="52">
        <f t="shared" ref="L41:L58" si="5">J41+B41</f>
        <v>32864.07</v>
      </c>
      <c r="M41" s="55"/>
    </row>
    <row r="42" spans="1:13">
      <c r="A42" t="s">
        <v>559</v>
      </c>
      <c r="B42" s="52">
        <f>'KY_Cost Plant Acct-Gas-P20(Fin)'!B42</f>
        <v>95613.59</v>
      </c>
      <c r="C42" s="52"/>
      <c r="D42" s="52">
        <f>'KY_Cost Plant Acct-Gas-P20(Fin)'!D42</f>
        <v>0</v>
      </c>
      <c r="E42" s="52"/>
      <c r="F42" s="52">
        <f>'KY_Cost Plant Acct-Gas-P20(Fin)'!F42</f>
        <v>0</v>
      </c>
      <c r="G42" s="52"/>
      <c r="H42" s="52">
        <f>'KY_Cost Plant Acct-Gas-P20(Fin)'!H42</f>
        <v>0</v>
      </c>
      <c r="I42" s="52"/>
      <c r="J42" s="52">
        <f t="shared" si="4"/>
        <v>0</v>
      </c>
      <c r="K42" s="52"/>
      <c r="L42" s="52">
        <f t="shared" si="5"/>
        <v>95613.59</v>
      </c>
      <c r="M42" s="55"/>
    </row>
    <row r="43" spans="1:13">
      <c r="A43" t="s">
        <v>560</v>
      </c>
      <c r="B43" s="52">
        <f>'KY_Cost Plant Acct-Gas-P20(Fin)'!B43</f>
        <v>5410190.919999999</v>
      </c>
      <c r="C43" s="52"/>
      <c r="D43" s="52">
        <f>'KY_Cost Plant Acct-Gas-P20(Fin)'!D43</f>
        <v>0</v>
      </c>
      <c r="E43" s="52"/>
      <c r="F43" s="52">
        <f>'KY_Cost Plant Acct-Gas-P20(Fin)'!F43</f>
        <v>0</v>
      </c>
      <c r="G43" s="52"/>
      <c r="H43" s="52">
        <f>'KY_Cost Plant Acct-Gas-P20(Fin)'!H43</f>
        <v>0</v>
      </c>
      <c r="I43" s="52"/>
      <c r="J43" s="52">
        <f t="shared" si="4"/>
        <v>0</v>
      </c>
      <c r="K43" s="52"/>
      <c r="L43" s="52">
        <f t="shared" si="5"/>
        <v>5410190.919999999</v>
      </c>
      <c r="M43" s="55"/>
    </row>
    <row r="44" spans="1:13">
      <c r="A44" t="s">
        <v>561</v>
      </c>
      <c r="B44" s="52">
        <f>'KY_Cost Plant Acct-Gas-P20(Fin)'!B44</f>
        <v>33151.61</v>
      </c>
      <c r="C44" s="52"/>
      <c r="D44" s="52">
        <f>'KY_Cost Plant Acct-Gas-P20(Fin)'!D44</f>
        <v>0</v>
      </c>
      <c r="E44" s="52"/>
      <c r="F44" s="52">
        <f>'KY_Cost Plant Acct-Gas-P20(Fin)'!F44</f>
        <v>0</v>
      </c>
      <c r="G44" s="52"/>
      <c r="H44" s="52">
        <f>'KY_Cost Plant Acct-Gas-P20(Fin)'!H44</f>
        <v>0</v>
      </c>
      <c r="I44" s="52"/>
      <c r="J44" s="52">
        <f t="shared" si="4"/>
        <v>0</v>
      </c>
      <c r="K44" s="52"/>
      <c r="L44" s="52">
        <f t="shared" si="5"/>
        <v>33151.61</v>
      </c>
      <c r="M44" s="55"/>
    </row>
    <row r="45" spans="1:13">
      <c r="A45" t="s">
        <v>14</v>
      </c>
      <c r="B45" s="52">
        <f>'KY_Cost Plant Acct-Gas-P20(Fin)'!B45+'IN_Cost Plant Acct-Gas-P22(Fin)'!B12</f>
        <v>2625916.63</v>
      </c>
      <c r="C45" s="52"/>
      <c r="D45" s="52">
        <f>'KY_Cost Plant Acct-Gas-P20(Fin)'!D45+'IN_Cost Plant Acct-Gas-P22(Fin)'!D12</f>
        <v>26259.07</v>
      </c>
      <c r="E45" s="52"/>
      <c r="F45" s="52">
        <f>'KY_Cost Plant Acct-Gas-P20(Fin)'!F45+'IN_Cost Plant Acct-Gas-P22(Fin)'!F12</f>
        <v>0</v>
      </c>
      <c r="G45" s="52"/>
      <c r="H45" s="52">
        <f>'KY_Cost Plant Acct-Gas-P20(Fin)'!H45+'IN_Cost Plant Acct-Gas-P22(Fin)'!H12</f>
        <v>0</v>
      </c>
      <c r="I45" s="52"/>
      <c r="J45" s="52">
        <f t="shared" si="4"/>
        <v>26259.07</v>
      </c>
      <c r="K45" s="52"/>
      <c r="L45" s="52">
        <f t="shared" si="5"/>
        <v>2652175.6999999997</v>
      </c>
      <c r="M45" s="55"/>
    </row>
    <row r="46" spans="1:13">
      <c r="A46" t="s">
        <v>562</v>
      </c>
      <c r="B46" s="52">
        <f>'KY_Cost Plant Acct-Gas-P20(Fin)'!B46</f>
        <v>548241.14</v>
      </c>
      <c r="C46" s="52"/>
      <c r="D46" s="52">
        <f>'KY_Cost Plant Acct-Gas-P20(Fin)'!D46</f>
        <v>0</v>
      </c>
      <c r="E46" s="52"/>
      <c r="F46" s="52">
        <f>'KY_Cost Plant Acct-Gas-P20(Fin)'!F46</f>
        <v>0</v>
      </c>
      <c r="G46" s="52"/>
      <c r="H46" s="52">
        <f>'KY_Cost Plant Acct-Gas-P20(Fin)'!H46</f>
        <v>0</v>
      </c>
      <c r="I46" s="52"/>
      <c r="J46" s="52">
        <f t="shared" si="4"/>
        <v>0</v>
      </c>
      <c r="K46" s="52"/>
      <c r="L46" s="52">
        <f t="shared" si="5"/>
        <v>548241.14</v>
      </c>
      <c r="M46" s="55"/>
    </row>
    <row r="47" spans="1:13">
      <c r="A47" t="s">
        <v>563</v>
      </c>
      <c r="B47" s="52">
        <f>'KY_Cost Plant Acct-Gas-P20(Fin)'!B47</f>
        <v>400511.4</v>
      </c>
      <c r="C47" s="52"/>
      <c r="D47" s="52">
        <f>'KY_Cost Plant Acct-Gas-P20(Fin)'!D47</f>
        <v>0</v>
      </c>
      <c r="E47" s="52"/>
      <c r="F47" s="52">
        <f>'KY_Cost Plant Acct-Gas-P20(Fin)'!F47</f>
        <v>0</v>
      </c>
      <c r="G47" s="52"/>
      <c r="H47" s="52">
        <f>'KY_Cost Plant Acct-Gas-P20(Fin)'!H47</f>
        <v>0</v>
      </c>
      <c r="I47" s="52"/>
      <c r="J47" s="52">
        <f t="shared" si="4"/>
        <v>0</v>
      </c>
      <c r="K47" s="52"/>
      <c r="L47" s="52">
        <f t="shared" si="5"/>
        <v>400511.4</v>
      </c>
      <c r="M47" s="55"/>
    </row>
    <row r="48" spans="1:13">
      <c r="A48" t="s">
        <v>564</v>
      </c>
      <c r="B48" s="52">
        <f>'KY_Cost Plant Acct-Gas-P20(Fin)'!B48</f>
        <v>9648855</v>
      </c>
      <c r="C48" s="52"/>
      <c r="D48" s="52">
        <f>'KY_Cost Plant Acct-Gas-P20(Fin)'!D48</f>
        <v>0</v>
      </c>
      <c r="E48" s="52"/>
      <c r="F48" s="52">
        <f>'KY_Cost Plant Acct-Gas-P20(Fin)'!F48</f>
        <v>0</v>
      </c>
      <c r="G48" s="52"/>
      <c r="H48" s="52">
        <f>'KY_Cost Plant Acct-Gas-P20(Fin)'!H48</f>
        <v>0</v>
      </c>
      <c r="I48" s="52"/>
      <c r="J48" s="52">
        <f t="shared" si="4"/>
        <v>0</v>
      </c>
      <c r="K48" s="52"/>
      <c r="L48" s="52">
        <f t="shared" si="5"/>
        <v>9648855</v>
      </c>
      <c r="M48" s="55"/>
    </row>
    <row r="49" spans="1:13">
      <c r="A49" t="s">
        <v>15</v>
      </c>
      <c r="B49" s="52">
        <f>'KY_Cost Plant Acct-Gas-P20(Fin)'!B49+'IN_Cost Plant Acct-Gas-P22(Fin)'!B13</f>
        <v>2479720.0299999998</v>
      </c>
      <c r="C49" s="52"/>
      <c r="D49" s="52">
        <f>'KY_Cost Plant Acct-Gas-P20(Fin)'!D49+'IN_Cost Plant Acct-Gas-P22(Fin)'!D13</f>
        <v>0</v>
      </c>
      <c r="E49" s="52"/>
      <c r="F49" s="52">
        <f>'KY_Cost Plant Acct-Gas-P20(Fin)'!F49+'IN_Cost Plant Acct-Gas-P22(Fin)'!F13</f>
        <v>0</v>
      </c>
      <c r="G49" s="52"/>
      <c r="H49" s="52">
        <f>'KY_Cost Plant Acct-Gas-P20(Fin)'!H49+'IN_Cost Plant Acct-Gas-P22(Fin)'!H13</f>
        <v>0</v>
      </c>
      <c r="I49" s="52"/>
      <c r="J49" s="52">
        <f t="shared" si="4"/>
        <v>0</v>
      </c>
      <c r="K49" s="52"/>
      <c r="L49" s="52">
        <f t="shared" si="5"/>
        <v>2479720.0299999998</v>
      </c>
      <c r="M49" s="55"/>
    </row>
    <row r="50" spans="1:13">
      <c r="A50" t="s">
        <v>1093</v>
      </c>
      <c r="B50" s="52">
        <f>'KY_Cost Plant Acct-Gas-P20(Fin)'!B50+'IN_Cost Plant Acct-Gas-P22(Fin)'!B14</f>
        <v>3761084.9</v>
      </c>
      <c r="C50" s="52"/>
      <c r="D50" s="52">
        <f>'KY_Cost Plant Acct-Gas-P20(Fin)'!D50+'IN_Cost Plant Acct-Gas-P22(Fin)'!D14</f>
        <v>0</v>
      </c>
      <c r="E50" s="52"/>
      <c r="F50" s="52">
        <f>'KY_Cost Plant Acct-Gas-P20(Fin)'!F50+'IN_Cost Plant Acct-Gas-P22(Fin)'!F14</f>
        <v>0</v>
      </c>
      <c r="G50" s="52"/>
      <c r="H50" s="52">
        <f>'KY_Cost Plant Acct-Gas-P20(Fin)'!H50+'IN_Cost Plant Acct-Gas-P22(Fin)'!H14</f>
        <v>0</v>
      </c>
      <c r="I50" s="52"/>
      <c r="J50" s="52">
        <f t="shared" si="4"/>
        <v>0</v>
      </c>
      <c r="K50" s="52"/>
      <c r="L50" s="52">
        <f t="shared" si="5"/>
        <v>3761084.9</v>
      </c>
      <c r="M50" s="55"/>
    </row>
    <row r="51" spans="1:13">
      <c r="A51" t="s">
        <v>1092</v>
      </c>
      <c r="B51" s="52">
        <f>'KY_Cost Plant Acct-Gas-P20(Fin)'!B51+'IN_Cost Plant Acct-Gas-P22(Fin)'!B15</f>
        <v>5397977.6399999997</v>
      </c>
      <c r="C51" s="52"/>
      <c r="D51" s="52">
        <f>'KY_Cost Plant Acct-Gas-P20(Fin)'!D51+'IN_Cost Plant Acct-Gas-P22(Fin)'!D15</f>
        <v>4559.62</v>
      </c>
      <c r="E51" s="52"/>
      <c r="F51" s="52">
        <f>'KY_Cost Plant Acct-Gas-P20(Fin)'!F51+'IN_Cost Plant Acct-Gas-P22(Fin)'!F15</f>
        <v>0</v>
      </c>
      <c r="G51" s="52"/>
      <c r="H51" s="52">
        <f>'KY_Cost Plant Acct-Gas-P20(Fin)'!H51+'IN_Cost Plant Acct-Gas-P22(Fin)'!H15</f>
        <v>0</v>
      </c>
      <c r="I51" s="52"/>
      <c r="J51" s="52">
        <f t="shared" si="4"/>
        <v>4559.62</v>
      </c>
      <c r="K51" s="52"/>
      <c r="L51" s="52">
        <f t="shared" si="5"/>
        <v>5402537.2599999998</v>
      </c>
      <c r="M51" s="55"/>
    </row>
    <row r="52" spans="1:13">
      <c r="A52" t="s">
        <v>16</v>
      </c>
      <c r="B52" s="52">
        <f>'KY_Cost Plant Acct-Gas-P20(Fin)'!B52+'IN_Cost Plant Acct-Gas-P22(Fin)'!B16</f>
        <v>14711465.699999997</v>
      </c>
      <c r="C52" s="52"/>
      <c r="D52" s="52">
        <f>'KY_Cost Plant Acct-Gas-P20(Fin)'!D52+'IN_Cost Plant Acct-Gas-P22(Fin)'!D16</f>
        <v>269318.36</v>
      </c>
      <c r="E52" s="52"/>
      <c r="F52" s="52">
        <f>'KY_Cost Plant Acct-Gas-P20(Fin)'!F52+'IN_Cost Plant Acct-Gas-P22(Fin)'!F16</f>
        <v>-22038.93</v>
      </c>
      <c r="G52" s="52"/>
      <c r="H52" s="52">
        <f>'KY_Cost Plant Acct-Gas-P20(Fin)'!H52+'IN_Cost Plant Acct-Gas-P22(Fin)'!H16</f>
        <v>0</v>
      </c>
      <c r="I52" s="52"/>
      <c r="J52" s="52">
        <f t="shared" si="4"/>
        <v>247279.43</v>
      </c>
      <c r="K52" s="52"/>
      <c r="L52" s="52">
        <f t="shared" si="5"/>
        <v>14958745.129999997</v>
      </c>
      <c r="M52" s="55"/>
    </row>
    <row r="53" spans="1:13">
      <c r="A53" t="s">
        <v>565</v>
      </c>
      <c r="B53" s="52">
        <f>'KY_Cost Plant Acct-Gas-P20(Fin)'!B53+'IN_Cost Plant Acct-Gas-P22(Fin)'!B17</f>
        <v>16207961.99</v>
      </c>
      <c r="C53" s="52"/>
      <c r="D53" s="52">
        <f>'KY_Cost Plant Acct-Gas-P20(Fin)'!D53+'IN_Cost Plant Acct-Gas-P22(Fin)'!D17</f>
        <v>193948.64</v>
      </c>
      <c r="E53" s="52"/>
      <c r="F53" s="52">
        <f>'KY_Cost Plant Acct-Gas-P20(Fin)'!F53</f>
        <v>-27481.74</v>
      </c>
      <c r="G53" s="52"/>
      <c r="H53" s="52">
        <f>'IN_Cost Plant Acct-Gas-P22(Fin)'!H17</f>
        <v>0</v>
      </c>
      <c r="I53" s="52"/>
      <c r="J53" s="52">
        <f t="shared" si="4"/>
        <v>166466.90000000002</v>
      </c>
      <c r="K53" s="52"/>
      <c r="L53" s="52">
        <f t="shared" si="5"/>
        <v>16374428.890000001</v>
      </c>
      <c r="M53" s="55"/>
    </row>
    <row r="54" spans="1:13">
      <c r="A54" t="s">
        <v>566</v>
      </c>
      <c r="B54" s="52">
        <f>'KY_Cost Plant Acct-Gas-P20(Fin)'!B54</f>
        <v>390025.41</v>
      </c>
      <c r="C54" s="52"/>
      <c r="D54" s="52">
        <f>'KY_Cost Plant Acct-Gas-P20(Fin)'!D54</f>
        <v>0</v>
      </c>
      <c r="E54" s="52"/>
      <c r="F54" s="52">
        <f>'KY_Cost Plant Acct-Gas-P20(Fin)'!F54</f>
        <v>0</v>
      </c>
      <c r="G54" s="52"/>
      <c r="H54" s="52">
        <f>'KY_Cost Plant Acct-Gas-P20(Fin)'!H54</f>
        <v>0</v>
      </c>
      <c r="I54" s="52"/>
      <c r="J54" s="52">
        <f t="shared" si="4"/>
        <v>0</v>
      </c>
      <c r="K54" s="52"/>
      <c r="L54" s="52">
        <f t="shared" si="5"/>
        <v>390025.41</v>
      </c>
      <c r="M54" s="55"/>
    </row>
    <row r="55" spans="1:13">
      <c r="A55" t="s">
        <v>567</v>
      </c>
      <c r="B55" s="52">
        <f>'KY_Cost Plant Acct-Gas-P20(Fin)'!B55</f>
        <v>11973222.450000001</v>
      </c>
      <c r="C55" s="52"/>
      <c r="D55" s="52">
        <f>'KY_Cost Plant Acct-Gas-P20(Fin)'!D55</f>
        <v>105827.81</v>
      </c>
      <c r="E55" s="52"/>
      <c r="F55" s="52">
        <f>'KY_Cost Plant Acct-Gas-P20(Fin)'!F55</f>
        <v>-9008.6299999999992</v>
      </c>
      <c r="G55" s="52"/>
      <c r="H55" s="52">
        <f>'KY_Cost Plant Acct-Gas-P20(Fin)'!H55</f>
        <v>49284.1</v>
      </c>
      <c r="I55" s="52"/>
      <c r="J55" s="52">
        <f t="shared" si="4"/>
        <v>146103.28</v>
      </c>
      <c r="K55" s="52"/>
      <c r="L55" s="52">
        <f t="shared" si="5"/>
        <v>12119325.73</v>
      </c>
      <c r="M55" s="55"/>
    </row>
    <row r="56" spans="1:13">
      <c r="A56" t="s">
        <v>17</v>
      </c>
      <c r="B56" s="52">
        <f>'KY_Cost Plant Acct-Gas-P20(Fin)'!B56+'IN_Cost Plant Acct-Gas-P22(Fin)'!B18</f>
        <v>1662102.4300000002</v>
      </c>
      <c r="C56" s="52"/>
      <c r="D56" s="52">
        <f>'KY_Cost Plant Acct-Gas-P20(Fin)'!D56+'IN_Cost Plant Acct-Gas-P22(Fin)'!D18</f>
        <v>28270.68</v>
      </c>
      <c r="E56" s="52"/>
      <c r="F56" s="52">
        <f>'KY_Cost Plant Acct-Gas-P20(Fin)'!F56+'IN_Cost Plant Acct-Gas-P22(Fin)'!F18</f>
        <v>0</v>
      </c>
      <c r="G56" s="52"/>
      <c r="H56" s="52">
        <f>'KY_Cost Plant Acct-Gas-P20(Fin)'!H56+'IN_Cost Plant Acct-Gas-P22(Fin)'!H18</f>
        <v>0</v>
      </c>
      <c r="I56" s="52"/>
      <c r="J56" s="52">
        <f t="shared" si="4"/>
        <v>28270.68</v>
      </c>
      <c r="K56" s="52"/>
      <c r="L56" s="52">
        <f t="shared" si="5"/>
        <v>1690373.11</v>
      </c>
      <c r="M56" s="55"/>
    </row>
    <row r="57" spans="1:13">
      <c r="A57" t="s">
        <v>568</v>
      </c>
      <c r="B57" s="52">
        <f>'KY_Cost Plant Acct-Gas-P20(Fin)'!B57</f>
        <v>30876.410000000003</v>
      </c>
      <c r="C57" s="52"/>
      <c r="D57" s="52">
        <f>'KY_Cost Plant Acct-Gas-P20(Fin)'!D57</f>
        <v>0</v>
      </c>
      <c r="E57" s="52"/>
      <c r="F57" s="52">
        <f>'KY_Cost Plant Acct-Gas-P20(Fin)'!F57</f>
        <v>0</v>
      </c>
      <c r="G57" s="52"/>
      <c r="H57" s="52">
        <f>'KY_Cost Plant Acct-Gas-P20(Fin)'!H57</f>
        <v>0</v>
      </c>
      <c r="I57" s="52"/>
      <c r="J57" s="52">
        <f t="shared" si="4"/>
        <v>0</v>
      </c>
      <c r="K57" s="52"/>
      <c r="L57" s="52">
        <f t="shared" si="5"/>
        <v>30876.410000000003</v>
      </c>
      <c r="M57" s="55"/>
    </row>
    <row r="58" spans="1:13">
      <c r="A58" t="s">
        <v>569</v>
      </c>
      <c r="B58" s="48">
        <f>'KY_Cost Plant Acct-Gas-P20(Fin)'!B58</f>
        <v>5170297.07</v>
      </c>
      <c r="C58" s="52"/>
      <c r="D58" s="48">
        <f>'KY_Cost Plant Acct-Gas-P20(Fin)'!D58</f>
        <v>0</v>
      </c>
      <c r="E58" s="52"/>
      <c r="F58" s="48">
        <f>'KY_Cost Plant Acct-Gas-P20(Fin)'!F58</f>
        <v>0</v>
      </c>
      <c r="G58" s="52"/>
      <c r="H58" s="48">
        <f>'KY_Cost Plant Acct-Gas-P20(Fin)'!H58</f>
        <v>0</v>
      </c>
      <c r="I58" s="52"/>
      <c r="J58" s="48">
        <f t="shared" si="4"/>
        <v>0</v>
      </c>
      <c r="K58" s="52"/>
      <c r="L58" s="48">
        <f t="shared" si="5"/>
        <v>5170297.07</v>
      </c>
      <c r="M58" s="55"/>
    </row>
    <row r="59" spans="1:13">
      <c r="B59" s="52">
        <f>SUM(B41:B58)</f>
        <v>80580078.389999986</v>
      </c>
      <c r="C59" s="52"/>
      <c r="D59" s="52">
        <f>SUM(D41:D58)</f>
        <v>628184.18000000005</v>
      </c>
      <c r="E59" s="52"/>
      <c r="F59" s="52">
        <f>SUM(F41:F58)</f>
        <v>-58529.299999999996</v>
      </c>
      <c r="G59" s="52"/>
      <c r="H59" s="52">
        <f>SUM(H41:H58)</f>
        <v>49284.1</v>
      </c>
      <c r="I59" s="52"/>
      <c r="J59" s="52">
        <f>SUM(J41:J58)</f>
        <v>618938.9800000001</v>
      </c>
      <c r="K59" s="52"/>
      <c r="L59" s="52">
        <f>SUM(L41:L58)</f>
        <v>81199017.369999975</v>
      </c>
      <c r="M59" s="55"/>
    </row>
    <row r="60" spans="1:13">
      <c r="B60" s="45"/>
      <c r="C60" s="45"/>
      <c r="D60" s="45"/>
      <c r="E60" s="45"/>
      <c r="F60" s="45"/>
      <c r="G60" s="45"/>
      <c r="H60" s="45"/>
      <c r="I60" s="45"/>
      <c r="J60" s="45"/>
      <c r="K60" s="45"/>
      <c r="L60" s="45"/>
      <c r="M60" s="4"/>
    </row>
    <row r="61" spans="1:13">
      <c r="A61" s="3" t="s">
        <v>125</v>
      </c>
      <c r="B61" s="45"/>
      <c r="C61" s="45"/>
      <c r="D61" s="45"/>
      <c r="E61" s="45"/>
      <c r="F61" s="45"/>
      <c r="G61" s="45"/>
      <c r="H61" s="45"/>
      <c r="I61" s="45"/>
      <c r="J61" s="45"/>
      <c r="K61" s="45"/>
      <c r="L61" s="45"/>
      <c r="M61" s="4"/>
    </row>
    <row r="62" spans="1:13">
      <c r="A62" t="s">
        <v>570</v>
      </c>
      <c r="B62" s="45">
        <f>'KY_Cost Plant Acct-Gas-P20(Fin)'!B62</f>
        <v>220659.05</v>
      </c>
      <c r="C62" s="45"/>
      <c r="D62" s="45">
        <f>'KY_Cost Plant Acct-Gas-P20(Fin)'!D62</f>
        <v>0</v>
      </c>
      <c r="E62" s="45"/>
      <c r="F62" s="45">
        <f>'KY_Cost Plant Acct-Gas-P20(Fin)'!F62</f>
        <v>0</v>
      </c>
      <c r="G62" s="45"/>
      <c r="H62" s="45">
        <f>'KY_Cost Plant Acct-Gas-P20(Fin)'!H62</f>
        <v>0</v>
      </c>
      <c r="I62" s="45"/>
      <c r="J62" s="45">
        <f>H62+F62+D62</f>
        <v>0</v>
      </c>
      <c r="K62" s="45"/>
      <c r="L62" s="45">
        <f>J62+B62</f>
        <v>220659.05</v>
      </c>
      <c r="M62" s="4"/>
    </row>
    <row r="63" spans="1:13">
      <c r="A63" t="s">
        <v>571</v>
      </c>
      <c r="B63" s="182">
        <f>'KY_Cost Plant Acct-Gas-P20(Fin)'!B63</f>
        <v>17379779.66</v>
      </c>
      <c r="C63" s="182"/>
      <c r="D63" s="182">
        <f>'KY_Cost Plant Acct-Gas-P20(Fin)'!D63</f>
        <v>882947.47</v>
      </c>
      <c r="E63" s="182"/>
      <c r="F63" s="182">
        <f>'KY_Cost Plant Acct-Gas-P20(Fin)'!F63</f>
        <v>-1389.93</v>
      </c>
      <c r="G63" s="182"/>
      <c r="H63" s="182">
        <f>'KY_Cost Plant Acct-Gas-P20(Fin)'!H63</f>
        <v>134900.23000000001</v>
      </c>
      <c r="I63" s="182"/>
      <c r="J63" s="182">
        <f>H63+F63+D63</f>
        <v>1016457.77</v>
      </c>
      <c r="K63" s="182"/>
      <c r="L63" s="182">
        <f>J63+B63</f>
        <v>18396237.43</v>
      </c>
      <c r="M63" s="4"/>
    </row>
    <row r="64" spans="1:13">
      <c r="A64" t="s">
        <v>1444</v>
      </c>
      <c r="B64" s="48">
        <f>'KY_Cost Plant Acct-Gas-P20(Fin)'!B64</f>
        <v>3941518.65</v>
      </c>
      <c r="C64" s="182"/>
      <c r="D64" s="48">
        <f>'KY_Cost Plant Acct-Gas-P20(Fin)'!D64</f>
        <v>0</v>
      </c>
      <c r="E64" s="182"/>
      <c r="F64" s="48">
        <f>'KY_Cost Plant Acct-Gas-P20(Fin)'!F64</f>
        <v>0</v>
      </c>
      <c r="G64" s="182"/>
      <c r="H64" s="48">
        <f>'KY_Cost Plant Acct-Gas-P20(Fin)'!H64</f>
        <v>0</v>
      </c>
      <c r="I64" s="182"/>
      <c r="J64" s="48">
        <f>H64+F64+D64</f>
        <v>0</v>
      </c>
      <c r="K64" s="182"/>
      <c r="L64" s="48">
        <f>J64+B64</f>
        <v>3941518.65</v>
      </c>
      <c r="M64" s="4"/>
    </row>
    <row r="65" spans="1:13">
      <c r="B65" s="52">
        <f>SUM(B62:B64)</f>
        <v>21541957.359999999</v>
      </c>
      <c r="C65" s="52"/>
      <c r="D65" s="52">
        <f>SUM(D62:D64)</f>
        <v>882947.47</v>
      </c>
      <c r="E65" s="52"/>
      <c r="F65" s="52">
        <f>SUM(F62:F64)</f>
        <v>-1389.93</v>
      </c>
      <c r="G65" s="52"/>
      <c r="H65" s="52">
        <f>SUM(H62:H64)</f>
        <v>134900.23000000001</v>
      </c>
      <c r="I65" s="52"/>
      <c r="J65" s="52">
        <f>SUM(J62:J64)</f>
        <v>1016457.77</v>
      </c>
      <c r="K65" s="52"/>
      <c r="L65" s="52">
        <f>SUM(L62:L64)</f>
        <v>22558415.129999999</v>
      </c>
      <c r="M65" s="55"/>
    </row>
    <row r="66" spans="1:13">
      <c r="B66" s="52"/>
      <c r="C66" s="52"/>
      <c r="D66" s="52"/>
      <c r="E66" s="52"/>
      <c r="F66" s="52"/>
      <c r="G66" s="52"/>
      <c r="H66" s="52"/>
      <c r="I66" s="52"/>
      <c r="J66" s="52"/>
      <c r="K66" s="52"/>
      <c r="L66" s="52"/>
      <c r="M66" s="55"/>
    </row>
    <row r="67" spans="1:13">
      <c r="B67" s="52"/>
      <c r="C67" s="52"/>
      <c r="D67" s="52"/>
      <c r="E67" s="52"/>
      <c r="F67" s="52"/>
      <c r="G67" s="52"/>
      <c r="H67" s="52"/>
      <c r="I67" s="52"/>
      <c r="J67" s="52"/>
      <c r="K67" s="52"/>
      <c r="L67" s="52"/>
      <c r="M67" s="4"/>
    </row>
    <row r="68" spans="1:13">
      <c r="A68" s="3" t="s">
        <v>826</v>
      </c>
      <c r="B68" s="88">
        <f>B65+B59+B38+B34+B25</f>
        <v>703277916.13000011</v>
      </c>
      <c r="C68" s="52"/>
      <c r="D68" s="88">
        <f>D65+D59+D38+D34+D25</f>
        <v>4898028</v>
      </c>
      <c r="E68" s="52"/>
      <c r="F68" s="88">
        <f>F65+F59+F38+F34+F25</f>
        <v>-83537.03</v>
      </c>
      <c r="G68" s="52"/>
      <c r="H68" s="88">
        <f>H65+H59+H38+H34+H25</f>
        <v>49284.100000000006</v>
      </c>
      <c r="I68" s="52"/>
      <c r="J68" s="88">
        <f>J65+J59+J38+J34+J25</f>
        <v>4863775.07</v>
      </c>
      <c r="K68" s="52"/>
      <c r="L68" s="88">
        <f>L65+L59+L38+L34+L25</f>
        <v>708141691.20000005</v>
      </c>
      <c r="M68" s="4"/>
    </row>
    <row r="69" spans="1:13">
      <c r="B69" s="52"/>
      <c r="C69" s="52"/>
      <c r="D69" s="52"/>
      <c r="E69" s="52"/>
      <c r="F69" s="52"/>
      <c r="G69" s="52"/>
      <c r="H69" s="52"/>
      <c r="I69" s="52"/>
      <c r="J69" s="52"/>
      <c r="K69" s="52"/>
      <c r="L69" s="52"/>
      <c r="M69" s="4"/>
    </row>
    <row r="70" spans="1:13">
      <c r="B70" s="45"/>
      <c r="C70" s="45"/>
      <c r="D70" s="45"/>
      <c r="E70" s="45"/>
      <c r="F70" s="45"/>
      <c r="G70" s="45"/>
      <c r="H70" s="45"/>
      <c r="I70" s="45"/>
      <c r="J70" s="45"/>
      <c r="K70" s="45"/>
      <c r="L70" s="45"/>
      <c r="M70" s="4"/>
    </row>
    <row r="71" spans="1:13">
      <c r="A71" s="3" t="s">
        <v>689</v>
      </c>
      <c r="B71" s="45"/>
      <c r="C71" s="45"/>
      <c r="D71" s="45"/>
      <c r="E71" s="45"/>
      <c r="F71" s="45"/>
      <c r="G71" s="45"/>
      <c r="H71" s="45"/>
      <c r="I71" s="45"/>
      <c r="J71" s="45"/>
      <c r="K71" s="45"/>
      <c r="L71" s="45"/>
      <c r="M71" s="4"/>
    </row>
    <row r="72" spans="1:13">
      <c r="A72" s="3" t="s">
        <v>121</v>
      </c>
      <c r="B72" s="45"/>
      <c r="C72" s="45"/>
      <c r="D72" s="45"/>
      <c r="E72" s="45"/>
      <c r="F72" s="45"/>
      <c r="G72" s="45"/>
      <c r="H72" s="45"/>
      <c r="I72" s="45"/>
      <c r="J72" s="45"/>
      <c r="K72" s="45"/>
      <c r="L72" s="45"/>
      <c r="M72" s="4"/>
    </row>
    <row r="73" spans="1:13">
      <c r="A73" s="10" t="s">
        <v>850</v>
      </c>
      <c r="B73" s="45">
        <f>'KY_Cost Plant Acct-Gas-P20(Fin)'!B73</f>
        <v>0</v>
      </c>
      <c r="C73" s="45"/>
      <c r="D73" s="45">
        <f>'KY_Cost Plant Acct-Gas-P20(Fin)'!D73</f>
        <v>0</v>
      </c>
      <c r="E73" s="45"/>
      <c r="F73" s="45">
        <v>0</v>
      </c>
      <c r="G73" s="45"/>
      <c r="H73" s="45">
        <v>0</v>
      </c>
      <c r="I73" s="45"/>
      <c r="J73" s="45">
        <f t="shared" ref="J73:J80" si="6">H73+F73+D73</f>
        <v>0</v>
      </c>
      <c r="K73" s="45"/>
      <c r="L73" s="45">
        <f t="shared" ref="L73:L80" si="7">J73+B73</f>
        <v>0</v>
      </c>
      <c r="M73" s="4"/>
    </row>
    <row r="74" spans="1:13">
      <c r="A74" s="10" t="s">
        <v>24</v>
      </c>
      <c r="B74" s="45">
        <v>0</v>
      </c>
      <c r="C74" s="45"/>
      <c r="D74" s="45">
        <f>'KY_Cost Plant Acct-Gas-P20(Fin)'!D74</f>
        <v>0</v>
      </c>
      <c r="E74" s="45"/>
      <c r="F74" s="45">
        <v>0</v>
      </c>
      <c r="G74" s="45"/>
      <c r="H74" s="45">
        <v>0</v>
      </c>
      <c r="I74" s="45"/>
      <c r="J74" s="45">
        <f t="shared" si="6"/>
        <v>0</v>
      </c>
      <c r="K74" s="45"/>
      <c r="L74" s="45">
        <f t="shared" si="7"/>
        <v>0</v>
      </c>
      <c r="M74" s="4"/>
    </row>
    <row r="75" spans="1:13">
      <c r="A75" s="10" t="s">
        <v>72</v>
      </c>
      <c r="B75" s="45">
        <f>'KY_Cost Plant Acct-Gas-P20(Fin)'!B75</f>
        <v>11010631.390000006</v>
      </c>
      <c r="C75" s="45"/>
      <c r="D75" s="45">
        <f>'KY_Cost Plant Acct-Gas-P20(Fin)'!D75</f>
        <v>9747729.0299999993</v>
      </c>
      <c r="E75" s="45"/>
      <c r="F75" s="45">
        <v>0</v>
      </c>
      <c r="G75" s="45"/>
      <c r="H75" s="45">
        <v>0</v>
      </c>
      <c r="I75" s="45"/>
      <c r="J75" s="45">
        <f t="shared" si="6"/>
        <v>9747729.0299999993</v>
      </c>
      <c r="K75" s="45"/>
      <c r="L75" s="45">
        <f t="shared" si="7"/>
        <v>20758360.420000006</v>
      </c>
      <c r="M75" s="4"/>
    </row>
    <row r="76" spans="1:13">
      <c r="A76" t="s">
        <v>73</v>
      </c>
      <c r="B76" s="45">
        <f>'KY_Cost Plant Acct-Gas-P20(Fin)'!B76</f>
        <v>824434.66</v>
      </c>
      <c r="C76" s="45"/>
      <c r="D76" s="45">
        <f>'KY_Cost Plant Acct-Gas-P20(Fin)'!D76</f>
        <v>-99250.09</v>
      </c>
      <c r="E76" s="45"/>
      <c r="F76" s="45">
        <v>0</v>
      </c>
      <c r="G76" s="45"/>
      <c r="H76" s="45">
        <v>0</v>
      </c>
      <c r="I76" s="45"/>
      <c r="J76" s="45">
        <f t="shared" si="6"/>
        <v>-99250.09</v>
      </c>
      <c r="K76" s="45"/>
      <c r="L76" s="45">
        <f t="shared" si="7"/>
        <v>725184.57000000007</v>
      </c>
      <c r="M76" s="4"/>
    </row>
    <row r="77" spans="1:13">
      <c r="A77" t="s">
        <v>74</v>
      </c>
      <c r="B77" s="45">
        <f>'KY_Cost Plant Acct-Gas-P20(Fin)'!B77</f>
        <v>0</v>
      </c>
      <c r="C77" s="45"/>
      <c r="D77" s="45">
        <f>'KY_Cost Plant Acct-Gas-P20(Fin)'!D77</f>
        <v>76938.37</v>
      </c>
      <c r="E77" s="45"/>
      <c r="F77" s="45">
        <v>0</v>
      </c>
      <c r="G77" s="45"/>
      <c r="H77" s="45">
        <v>0</v>
      </c>
      <c r="I77" s="45"/>
      <c r="J77" s="45">
        <f t="shared" si="6"/>
        <v>76938.37</v>
      </c>
      <c r="K77" s="45"/>
      <c r="L77" s="45">
        <f t="shared" si="7"/>
        <v>76938.37</v>
      </c>
      <c r="M77" s="4"/>
    </row>
    <row r="78" spans="1:13">
      <c r="A78" t="s">
        <v>75</v>
      </c>
      <c r="B78" s="45">
        <f>'KY_Cost Plant Acct-Gas-P20(Fin)'!B78</f>
        <v>6698075.0399999991</v>
      </c>
      <c r="C78" s="52"/>
      <c r="D78" s="45">
        <f>'KY_Cost Plant Acct-Gas-P20(Fin)'!D78</f>
        <v>1755480.48</v>
      </c>
      <c r="E78" s="52"/>
      <c r="F78" s="52">
        <v>0</v>
      </c>
      <c r="G78" s="52"/>
      <c r="H78" s="52">
        <v>0</v>
      </c>
      <c r="I78" s="52"/>
      <c r="J78" s="52">
        <f t="shared" si="6"/>
        <v>1755480.48</v>
      </c>
      <c r="K78" s="52"/>
      <c r="L78" s="52">
        <f t="shared" si="7"/>
        <v>8453555.5199999996</v>
      </c>
      <c r="M78" s="4"/>
    </row>
    <row r="79" spans="1:13">
      <c r="A79" t="s">
        <v>76</v>
      </c>
      <c r="B79" s="45">
        <f>'KY_Cost Plant Acct-Gas-P20(Fin)'!B79</f>
        <v>0</v>
      </c>
      <c r="C79" s="52"/>
      <c r="D79" s="45">
        <f>'KY_Cost Plant Acct-Gas-P20(Fin)'!D79</f>
        <v>156773.64000000001</v>
      </c>
      <c r="E79" s="52"/>
      <c r="F79" s="52">
        <v>0</v>
      </c>
      <c r="G79" s="52"/>
      <c r="H79" s="52">
        <v>0</v>
      </c>
      <c r="I79" s="52"/>
      <c r="J79" s="52">
        <f t="shared" si="6"/>
        <v>156773.64000000001</v>
      </c>
      <c r="K79" s="52"/>
      <c r="L79" s="52">
        <f t="shared" si="7"/>
        <v>156773.64000000001</v>
      </c>
      <c r="M79" s="4"/>
    </row>
    <row r="80" spans="1:13">
      <c r="A80" t="s">
        <v>77</v>
      </c>
      <c r="B80" s="45">
        <f>'KY_Cost Plant Acct-Gas-P20(Fin)'!B80</f>
        <v>332843.38999999873</v>
      </c>
      <c r="C80" s="52"/>
      <c r="D80" s="45">
        <f>'KY_Cost Plant Acct-Gas-P20(Fin)'!D80</f>
        <v>436751.28</v>
      </c>
      <c r="E80" s="52"/>
      <c r="F80" s="52">
        <v>0</v>
      </c>
      <c r="G80" s="52"/>
      <c r="H80" s="52">
        <v>0</v>
      </c>
      <c r="I80" s="52"/>
      <c r="J80" s="52">
        <f t="shared" si="6"/>
        <v>436751.28</v>
      </c>
      <c r="K80" s="52"/>
      <c r="L80" s="52">
        <f t="shared" si="7"/>
        <v>769594.66999999876</v>
      </c>
      <c r="M80" s="4"/>
    </row>
    <row r="81" spans="1:13">
      <c r="A81" t="s">
        <v>78</v>
      </c>
      <c r="B81" s="52">
        <f>'KY_Cost Plant Acct-Gas-P20(Fin)'!B81</f>
        <v>0</v>
      </c>
      <c r="C81" s="52"/>
      <c r="D81" s="52">
        <f>'KY_Cost Plant Acct-Gas-P20(Fin)'!D81</f>
        <v>0</v>
      </c>
      <c r="E81" s="52"/>
      <c r="F81" s="52">
        <v>0</v>
      </c>
      <c r="G81" s="52"/>
      <c r="H81" s="52">
        <v>0</v>
      </c>
      <c r="I81" s="52"/>
      <c r="J81" s="52">
        <f>H81+F81+D81</f>
        <v>0</v>
      </c>
      <c r="K81" s="52"/>
      <c r="L81" s="52">
        <f>J81+B81</f>
        <v>0</v>
      </c>
      <c r="M81" s="4"/>
    </row>
    <row r="82" spans="1:13">
      <c r="A82" t="s">
        <v>79</v>
      </c>
      <c r="B82" s="90">
        <f>'KY_Cost Plant Acct-Gas-P20(Fin)'!B82</f>
        <v>0</v>
      </c>
      <c r="D82" s="90">
        <f>'KY_Cost Plant Acct-Gas-P20(Fin)'!D82</f>
        <v>0</v>
      </c>
      <c r="F82" s="90">
        <f>'KY_Cost Plant Acct-Gas-P20(Fin)'!F82</f>
        <v>0</v>
      </c>
      <c r="H82" s="90">
        <f>'KY_Cost Plant Acct-Gas-P20(Fin)'!H82</f>
        <v>0</v>
      </c>
      <c r="J82" s="90">
        <f>'KY_Cost Plant Acct-Gas-P20(Fin)'!J82</f>
        <v>0</v>
      </c>
      <c r="L82" s="90">
        <f>'KY_Cost Plant Acct-Gas-P20(Fin)'!L82</f>
        <v>0</v>
      </c>
    </row>
    <row r="83" spans="1:13">
      <c r="B83" s="52">
        <f>SUM(B73:B82)</f>
        <v>18865984.480000004</v>
      </c>
      <c r="C83" s="52"/>
      <c r="D83" s="52">
        <f>SUM(D73:D82)</f>
        <v>12074422.709999999</v>
      </c>
      <c r="E83" s="52"/>
      <c r="F83" s="52">
        <f>SUM(F73:F82)</f>
        <v>0</v>
      </c>
      <c r="G83" s="52"/>
      <c r="H83" s="52">
        <f>SUM(H73:H82)</f>
        <v>0</v>
      </c>
      <c r="I83" s="52"/>
      <c r="J83" s="52">
        <f>SUM(J73:J82)</f>
        <v>12074422.709999999</v>
      </c>
      <c r="K83" s="52"/>
      <c r="L83" s="52">
        <f>SUM(L73:L82)</f>
        <v>30940407.190000005</v>
      </c>
      <c r="M83" s="4"/>
    </row>
    <row r="84" spans="1:13">
      <c r="B84" s="52"/>
      <c r="C84" s="52"/>
      <c r="D84" s="52"/>
      <c r="E84" s="52"/>
      <c r="F84" s="52"/>
      <c r="G84" s="52"/>
      <c r="H84" s="52"/>
      <c r="I84" s="52"/>
      <c r="J84" s="52"/>
      <c r="K84" s="52"/>
      <c r="L84" s="52"/>
      <c r="M84" s="4"/>
    </row>
    <row r="85" spans="1:13">
      <c r="A85" s="3" t="s">
        <v>122</v>
      </c>
      <c r="B85" s="45"/>
      <c r="C85" s="45"/>
      <c r="D85" s="45"/>
      <c r="E85" s="45"/>
      <c r="F85" s="45"/>
      <c r="G85" s="45"/>
      <c r="H85" s="45"/>
      <c r="I85" s="45"/>
      <c r="J85" s="45"/>
      <c r="K85" s="45"/>
      <c r="L85" s="45"/>
      <c r="M85" s="4"/>
    </row>
    <row r="86" spans="1:13">
      <c r="A86" t="s">
        <v>899</v>
      </c>
      <c r="B86" s="45">
        <f>'KY_Cost Plant Acct-Gas-P20(Fin)'!B86</f>
        <v>0</v>
      </c>
      <c r="C86" s="45"/>
      <c r="D86" s="45">
        <f>'KY_Cost Plant Acct-Gas-P20(Fin)'!D86</f>
        <v>0</v>
      </c>
      <c r="E86" s="45"/>
      <c r="F86" s="45">
        <v>0</v>
      </c>
      <c r="G86" s="45"/>
      <c r="H86" s="45">
        <v>0</v>
      </c>
      <c r="I86" s="45"/>
      <c r="J86" s="45">
        <f t="shared" ref="J86:J91" si="8">H86+F86+D86</f>
        <v>0</v>
      </c>
      <c r="K86" s="45"/>
      <c r="L86" s="45">
        <f t="shared" ref="L86:L91" si="9">J86+B86</f>
        <v>0</v>
      </c>
      <c r="M86" s="4"/>
    </row>
    <row r="87" spans="1:13">
      <c r="A87" t="s">
        <v>900</v>
      </c>
      <c r="B87" s="45">
        <f>'KY_Cost Plant Acct-Gas-P20(Fin)'!B87</f>
        <v>42896.12</v>
      </c>
      <c r="C87" s="45"/>
      <c r="D87" s="45">
        <f>'KY_Cost Plant Acct-Gas-P20(Fin)'!D87</f>
        <v>-42896.12</v>
      </c>
      <c r="E87" s="45"/>
      <c r="F87" s="45">
        <v>0</v>
      </c>
      <c r="G87" s="45"/>
      <c r="H87" s="45">
        <v>0</v>
      </c>
      <c r="I87" s="45"/>
      <c r="J87" s="45">
        <f t="shared" si="8"/>
        <v>-42896.12</v>
      </c>
      <c r="K87" s="45"/>
      <c r="L87" s="45">
        <f t="shared" si="9"/>
        <v>0</v>
      </c>
      <c r="M87" s="4"/>
    </row>
    <row r="88" spans="1:13">
      <c r="A88" t="s">
        <v>901</v>
      </c>
      <c r="B88" s="45">
        <f>'KY_Cost Plant Acct-Gas-P20(Fin)'!B88</f>
        <v>105958.59000000001</v>
      </c>
      <c r="C88" s="45"/>
      <c r="D88" s="45">
        <f>'KY_Cost Plant Acct-Gas-P20(Fin)'!D88</f>
        <v>-41660.79</v>
      </c>
      <c r="E88" s="45"/>
      <c r="F88" s="45">
        <v>0</v>
      </c>
      <c r="G88" s="45"/>
      <c r="H88" s="45">
        <v>0</v>
      </c>
      <c r="I88" s="45"/>
      <c r="J88" s="45">
        <f t="shared" si="8"/>
        <v>-41660.79</v>
      </c>
      <c r="K88" s="45"/>
      <c r="L88" s="45">
        <f t="shared" si="9"/>
        <v>64297.80000000001</v>
      </c>
      <c r="M88" s="4"/>
    </row>
    <row r="89" spans="1:13">
      <c r="A89" t="s">
        <v>995</v>
      </c>
      <c r="B89" s="45">
        <f>'KY_Cost Plant Acct-Gas-P20(Fin)'!B89</f>
        <v>0</v>
      </c>
      <c r="C89" s="45"/>
      <c r="D89" s="45">
        <f>'KY_Cost Plant Acct-Gas-P20(Fin)'!D89</f>
        <v>0</v>
      </c>
      <c r="E89" s="45"/>
      <c r="F89" s="45">
        <v>0</v>
      </c>
      <c r="G89" s="45"/>
      <c r="H89" s="45">
        <v>0</v>
      </c>
      <c r="I89" s="45"/>
      <c r="J89" s="45">
        <f t="shared" si="8"/>
        <v>0</v>
      </c>
      <c r="K89" s="45"/>
      <c r="L89" s="45">
        <f t="shared" si="9"/>
        <v>0</v>
      </c>
      <c r="M89" s="4"/>
    </row>
    <row r="90" spans="1:13">
      <c r="A90" t="s">
        <v>996</v>
      </c>
      <c r="B90" s="45">
        <f>'KY_Cost Plant Acct-Gas-P20(Fin)'!B90</f>
        <v>0</v>
      </c>
      <c r="C90" s="52"/>
      <c r="D90" s="45">
        <f>'KY_Cost Plant Acct-Gas-P20(Fin)'!D90</f>
        <v>0</v>
      </c>
      <c r="E90" s="52"/>
      <c r="F90" s="52">
        <v>0</v>
      </c>
      <c r="G90" s="52"/>
      <c r="H90" s="52">
        <v>0</v>
      </c>
      <c r="I90" s="52"/>
      <c r="J90" s="52">
        <f t="shared" si="8"/>
        <v>0</v>
      </c>
      <c r="K90" s="52"/>
      <c r="L90" s="52">
        <f t="shared" si="9"/>
        <v>0</v>
      </c>
      <c r="M90" s="55"/>
    </row>
    <row r="91" spans="1:13">
      <c r="A91" t="s">
        <v>997</v>
      </c>
      <c r="B91" s="48">
        <f>'KY_Cost Plant Acct-Gas-P20(Fin)'!B91</f>
        <v>114219.07</v>
      </c>
      <c r="C91" s="52"/>
      <c r="D91" s="48">
        <f>'KY_Cost Plant Acct-Gas-P20(Fin)'!D91</f>
        <v>0</v>
      </c>
      <c r="E91" s="52"/>
      <c r="F91" s="48">
        <v>0</v>
      </c>
      <c r="G91" s="52"/>
      <c r="H91" s="48">
        <v>0</v>
      </c>
      <c r="I91" s="52"/>
      <c r="J91" s="48">
        <f t="shared" si="8"/>
        <v>0</v>
      </c>
      <c r="K91" s="52"/>
      <c r="L91" s="48">
        <f t="shared" si="9"/>
        <v>114219.07</v>
      </c>
      <c r="M91" s="55"/>
    </row>
    <row r="92" spans="1:13">
      <c r="B92" s="52">
        <f>SUM(B86:B91)</f>
        <v>263073.78000000003</v>
      </c>
      <c r="C92" s="52"/>
      <c r="D92" s="52">
        <f>SUM(D86:D91)</f>
        <v>-84556.91</v>
      </c>
      <c r="E92" s="52"/>
      <c r="F92" s="52">
        <f>SUM(F86:F91)</f>
        <v>0</v>
      </c>
      <c r="G92" s="52"/>
      <c r="H92" s="52">
        <f>SUM(H86:H91)</f>
        <v>0</v>
      </c>
      <c r="I92" s="52"/>
      <c r="J92" s="52">
        <f>SUM(J86:J91)</f>
        <v>-84556.91</v>
      </c>
      <c r="K92" s="52"/>
      <c r="L92" s="52">
        <f>SUM(L86:L91)</f>
        <v>178516.87000000002</v>
      </c>
      <c r="M92" s="55"/>
    </row>
    <row r="93" spans="1:13">
      <c r="B93" s="52"/>
      <c r="C93" s="52"/>
      <c r="D93" s="52"/>
      <c r="E93" s="52"/>
      <c r="F93" s="52"/>
      <c r="G93" s="52"/>
      <c r="H93" s="52"/>
      <c r="I93" s="52"/>
      <c r="J93" s="52"/>
      <c r="K93" s="52"/>
      <c r="L93" s="52"/>
      <c r="M93" s="55"/>
    </row>
    <row r="94" spans="1:13">
      <c r="A94" s="3" t="s">
        <v>124</v>
      </c>
      <c r="B94" s="52"/>
      <c r="C94" s="52"/>
      <c r="D94" s="52"/>
      <c r="E94" s="52"/>
      <c r="F94" s="52"/>
      <c r="G94" s="52"/>
      <c r="H94" s="52"/>
      <c r="I94" s="52"/>
      <c r="J94" s="52"/>
      <c r="K94" s="52"/>
      <c r="L94" s="52"/>
      <c r="M94" s="4"/>
    </row>
    <row r="95" spans="1:13">
      <c r="A95" t="s">
        <v>560</v>
      </c>
      <c r="B95" s="52">
        <f>'KY_Cost Plant Acct-Gas-P20(Fin)'!B95</f>
        <v>0</v>
      </c>
      <c r="C95" s="52"/>
      <c r="D95" s="52">
        <f>'KY_Cost Plant Acct-Gas-P20(Fin)'!D95</f>
        <v>15818.620000000003</v>
      </c>
      <c r="E95" s="52"/>
      <c r="F95" s="52">
        <v>0</v>
      </c>
      <c r="G95" s="52"/>
      <c r="H95" s="52">
        <v>0</v>
      </c>
      <c r="I95" s="52"/>
      <c r="J95" s="52">
        <f t="shared" ref="J95:J103" si="10">H95+F95+D95</f>
        <v>15818.620000000003</v>
      </c>
      <c r="K95" s="52"/>
      <c r="L95" s="52">
        <f t="shared" ref="L95:L103" si="11">J95+B95</f>
        <v>15818.620000000003</v>
      </c>
      <c r="M95" s="4"/>
    </row>
    <row r="96" spans="1:13">
      <c r="A96" t="s">
        <v>14</v>
      </c>
      <c r="B96" s="52">
        <f>'KY_Cost Plant Acct-Gas-P20(Fin)'!B96</f>
        <v>0</v>
      </c>
      <c r="C96" s="52"/>
      <c r="D96" s="52">
        <f>'KY_Cost Plant Acct-Gas-P20(Fin)'!D96</f>
        <v>0</v>
      </c>
      <c r="E96" s="52"/>
      <c r="F96" s="52">
        <v>0</v>
      </c>
      <c r="G96" s="52"/>
      <c r="H96" s="52">
        <v>0</v>
      </c>
      <c r="I96" s="52"/>
      <c r="J96" s="52">
        <f t="shared" si="10"/>
        <v>0</v>
      </c>
      <c r="K96" s="52"/>
      <c r="L96" s="52">
        <f t="shared" si="11"/>
        <v>0</v>
      </c>
      <c r="M96" s="4"/>
    </row>
    <row r="97" spans="1:13">
      <c r="A97" t="s">
        <v>15</v>
      </c>
      <c r="B97" s="326">
        <f>'IN_Cost Plant Acct-Gas-P22(Fin)'!B26</f>
        <v>0</v>
      </c>
      <c r="C97" s="326"/>
      <c r="D97" s="326">
        <f>'IN_Cost Plant Acct-Gas-P22(Fin)'!D26</f>
        <v>244994.24</v>
      </c>
      <c r="E97" s="326"/>
      <c r="F97" s="326">
        <f>'IN_Cost Plant Acct-Gas-P22(Fin)'!F26</f>
        <v>0</v>
      </c>
      <c r="G97" s="326"/>
      <c r="H97" s="326">
        <f>'IN_Cost Plant Acct-Gas-P22(Fin)'!H26</f>
        <v>0</v>
      </c>
      <c r="I97" s="326"/>
      <c r="J97" s="326">
        <f t="shared" si="10"/>
        <v>244994.24</v>
      </c>
      <c r="K97" s="326"/>
      <c r="L97" s="326">
        <f t="shared" si="11"/>
        <v>244994.24</v>
      </c>
      <c r="M97" s="323"/>
    </row>
    <row r="98" spans="1:13">
      <c r="A98" t="s">
        <v>1093</v>
      </c>
      <c r="B98" s="326">
        <f>'KY_Cost Plant Acct-Gas-P20(Fin)'!B97+'IN_Cost Plant Acct-Gas-P22(Fin)'!B27</f>
        <v>0</v>
      </c>
      <c r="C98" s="52"/>
      <c r="D98" s="52">
        <f>'KY_Cost Plant Acct-Gas-P20(Fin)'!D97+'IN_Cost Plant Acct-Gas-P22(Fin)'!D27</f>
        <v>2032102.8599999999</v>
      </c>
      <c r="E98" s="52"/>
      <c r="F98" s="326">
        <f>'KY_Cost Plant Acct-Gas-P20(Fin)'!F97+'IN_Cost Plant Acct-Gas-P22(Fin)'!F27</f>
        <v>0</v>
      </c>
      <c r="G98" s="52"/>
      <c r="H98" s="326">
        <f>'KY_Cost Plant Acct-Gas-P20(Fin)'!H97+'IN_Cost Plant Acct-Gas-P22(Fin)'!H27</f>
        <v>0</v>
      </c>
      <c r="I98" s="52"/>
      <c r="J98" s="52">
        <f t="shared" si="10"/>
        <v>2032102.8599999999</v>
      </c>
      <c r="K98" s="52"/>
      <c r="L98" s="52">
        <f t="shared" si="11"/>
        <v>2032102.8599999999</v>
      </c>
      <c r="M98" s="4"/>
    </row>
    <row r="99" spans="1:13">
      <c r="A99" t="s">
        <v>1092</v>
      </c>
      <c r="B99" s="326">
        <f>'KY_Cost Plant Acct-Gas-P20(Fin)'!B98+'IN_Cost Plant Acct-Gas-P22(Fin)'!B28</f>
        <v>94689.33</v>
      </c>
      <c r="C99" s="52"/>
      <c r="D99" s="52">
        <f>'KY_Cost Plant Acct-Gas-P20(Fin)'!D98+'IN_Cost Plant Acct-Gas-P22(Fin)'!D28</f>
        <v>1978267.51</v>
      </c>
      <c r="E99" s="52"/>
      <c r="F99" s="326">
        <f>'KY_Cost Plant Acct-Gas-P20(Fin)'!F98+'IN_Cost Plant Acct-Gas-P22(Fin)'!F28</f>
        <v>0</v>
      </c>
      <c r="G99" s="52"/>
      <c r="H99" s="326">
        <f>'KY_Cost Plant Acct-Gas-P20(Fin)'!H98+'IN_Cost Plant Acct-Gas-P22(Fin)'!H28</f>
        <v>0</v>
      </c>
      <c r="I99" s="52"/>
      <c r="J99" s="52">
        <f t="shared" ref="J99" si="12">H99+F99+D99</f>
        <v>1978267.51</v>
      </c>
      <c r="K99" s="52"/>
      <c r="L99" s="52">
        <f t="shared" ref="L99" si="13">J99+B99</f>
        <v>2072956.84</v>
      </c>
      <c r="M99" s="4"/>
    </row>
    <row r="100" spans="1:13">
      <c r="A100" t="s">
        <v>16</v>
      </c>
      <c r="B100" s="326">
        <f>'KY_Cost Plant Acct-Gas-P20(Fin)'!B99+'IN_Cost Plant Acct-Gas-P22(Fin)'!B29</f>
        <v>147253.93</v>
      </c>
      <c r="C100" s="52"/>
      <c r="D100" s="326">
        <f>'KY_Cost Plant Acct-Gas-P20(Fin)'!D99+'IN_Cost Plant Acct-Gas-P22(Fin)'!D29</f>
        <v>179580.49000000002</v>
      </c>
      <c r="E100" s="52"/>
      <c r="F100" s="326">
        <f>'KY_Cost Plant Acct-Gas-P20(Fin)'!F99+'IN_Cost Plant Acct-Gas-P22(Fin)'!F29</f>
        <v>0</v>
      </c>
      <c r="G100" s="52"/>
      <c r="H100" s="326">
        <f>'KY_Cost Plant Acct-Gas-P20(Fin)'!H99+'IN_Cost Plant Acct-Gas-P22(Fin)'!H29</f>
        <v>0</v>
      </c>
      <c r="I100" s="52"/>
      <c r="J100" s="52">
        <f t="shared" si="10"/>
        <v>179580.49000000002</v>
      </c>
      <c r="K100" s="52"/>
      <c r="L100" s="52">
        <f t="shared" si="11"/>
        <v>326834.42000000004</v>
      </c>
      <c r="M100" s="4"/>
    </row>
    <row r="101" spans="1:13">
      <c r="A101" t="s">
        <v>565</v>
      </c>
      <c r="B101" s="52">
        <f>'KY_Cost Plant Acct-Gas-P20(Fin)'!B100</f>
        <v>121352.84999999995</v>
      </c>
      <c r="C101" s="52"/>
      <c r="D101" s="52">
        <f>'KY_Cost Plant Acct-Gas-P20(Fin)'!D100</f>
        <v>609850.35</v>
      </c>
      <c r="E101" s="52"/>
      <c r="F101" s="52">
        <v>0</v>
      </c>
      <c r="G101" s="52"/>
      <c r="H101" s="52">
        <v>0</v>
      </c>
      <c r="I101" s="52"/>
      <c r="J101" s="52">
        <f t="shared" si="10"/>
        <v>609850.35</v>
      </c>
      <c r="K101" s="52"/>
      <c r="L101" s="52">
        <f t="shared" si="11"/>
        <v>731203.2</v>
      </c>
      <c r="M101" s="4"/>
    </row>
    <row r="102" spans="1:13">
      <c r="A102" t="s">
        <v>566</v>
      </c>
      <c r="B102" s="52">
        <f>'KY_Cost Plant Acct-Gas-P20(Fin)'!B101</f>
        <v>134824.35</v>
      </c>
      <c r="C102" s="52"/>
      <c r="D102" s="52">
        <f>'KY_Cost Plant Acct-Gas-P20(Fin)'!D101</f>
        <v>0</v>
      </c>
      <c r="E102" s="52"/>
      <c r="F102" s="52">
        <v>0</v>
      </c>
      <c r="G102" s="52"/>
      <c r="H102" s="52">
        <v>0</v>
      </c>
      <c r="I102" s="52"/>
      <c r="J102" s="52">
        <f t="shared" si="10"/>
        <v>0</v>
      </c>
      <c r="K102" s="52"/>
      <c r="L102" s="52">
        <f t="shared" si="11"/>
        <v>134824.35</v>
      </c>
      <c r="M102" s="4"/>
    </row>
    <row r="103" spans="1:13">
      <c r="A103" t="s">
        <v>567</v>
      </c>
      <c r="B103" s="52">
        <f>'KY_Cost Plant Acct-Gas-P20(Fin)'!B102</f>
        <v>0</v>
      </c>
      <c r="C103" s="52"/>
      <c r="D103" s="52">
        <f>'KY_Cost Plant Acct-Gas-P20(Fin)'!D102</f>
        <v>1221105.6200000001</v>
      </c>
      <c r="E103" s="52"/>
      <c r="F103" s="52">
        <v>0</v>
      </c>
      <c r="G103" s="52"/>
      <c r="H103" s="52">
        <v>0</v>
      </c>
      <c r="I103" s="52"/>
      <c r="J103" s="52">
        <f t="shared" si="10"/>
        <v>1221105.6200000001</v>
      </c>
      <c r="K103" s="52"/>
      <c r="L103" s="52">
        <f t="shared" si="11"/>
        <v>1221105.6200000001</v>
      </c>
      <c r="M103" s="4"/>
    </row>
    <row r="104" spans="1:13">
      <c r="A104" t="s">
        <v>17</v>
      </c>
      <c r="B104" s="48">
        <f>'KY_Cost Plant Acct-Gas-P20(Fin)'!B103</f>
        <v>16492.54</v>
      </c>
      <c r="C104" s="52"/>
      <c r="D104" s="48">
        <f>'KY_Cost Plant Acct-Gas-P20(Fin)'!D103</f>
        <v>12573.470000000003</v>
      </c>
      <c r="E104" s="52"/>
      <c r="F104" s="48">
        <v>0</v>
      </c>
      <c r="G104" s="52"/>
      <c r="H104" s="48">
        <v>0</v>
      </c>
      <c r="I104" s="52"/>
      <c r="J104" s="48">
        <f t="shared" ref="J104" si="14">H104+F104+D104</f>
        <v>12573.470000000003</v>
      </c>
      <c r="K104" s="52"/>
      <c r="L104" s="48">
        <f t="shared" ref="L104" si="15">J104+B104</f>
        <v>29066.010000000002</v>
      </c>
      <c r="M104" s="4"/>
    </row>
    <row r="105" spans="1:13">
      <c r="B105" s="52">
        <f>SUM(B95:B104)</f>
        <v>514612.99999999994</v>
      </c>
      <c r="C105" s="52"/>
      <c r="D105" s="52">
        <f>SUM(D95:D104)</f>
        <v>6294293.1599999992</v>
      </c>
      <c r="E105" s="52"/>
      <c r="F105" s="52">
        <f>SUM(F95:F104)</f>
        <v>0</v>
      </c>
      <c r="G105" s="52"/>
      <c r="H105" s="52">
        <f>SUM(H95:H104)</f>
        <v>0</v>
      </c>
      <c r="I105" s="52"/>
      <c r="J105" s="52">
        <f>SUM(J95:J104)</f>
        <v>6294293.1599999992</v>
      </c>
      <c r="K105" s="52"/>
      <c r="L105" s="52">
        <f>SUM(L95:L104)</f>
        <v>6808906.1599999992</v>
      </c>
      <c r="M105" s="4"/>
    </row>
    <row r="106" spans="1:13">
      <c r="B106" s="52"/>
      <c r="C106" s="52"/>
      <c r="D106" s="52"/>
      <c r="E106" s="52"/>
      <c r="F106" s="52"/>
      <c r="G106" s="52"/>
      <c r="H106" s="52"/>
      <c r="I106" s="52"/>
      <c r="J106" s="52"/>
      <c r="K106" s="52"/>
      <c r="L106" s="52"/>
      <c r="M106" s="4"/>
    </row>
    <row r="107" spans="1:13">
      <c r="A107" s="3" t="s">
        <v>125</v>
      </c>
      <c r="B107" s="52"/>
      <c r="C107" s="52"/>
      <c r="D107" s="52"/>
      <c r="E107" s="52"/>
      <c r="F107" s="52"/>
      <c r="G107" s="52"/>
      <c r="H107" s="52"/>
      <c r="I107" s="52"/>
      <c r="J107" s="52"/>
      <c r="K107" s="52"/>
      <c r="L107" s="52"/>
      <c r="M107" s="4"/>
    </row>
    <row r="108" spans="1:13">
      <c r="A108" t="s">
        <v>571</v>
      </c>
      <c r="B108" s="48">
        <f>'KY_Cost Plant Acct-Gas-P20(Fin)'!B107</f>
        <v>1459528.0299999996</v>
      </c>
      <c r="C108" s="52"/>
      <c r="D108" s="48">
        <f>'KY_Cost Plant Acct-Gas-P20(Fin)'!D107</f>
        <v>-916290.49</v>
      </c>
      <c r="E108" s="52"/>
      <c r="F108" s="48">
        <v>0</v>
      </c>
      <c r="G108" s="52"/>
      <c r="H108" s="48">
        <v>0</v>
      </c>
      <c r="I108" s="52"/>
      <c r="J108" s="48">
        <f>H108+F108+D108</f>
        <v>-916290.49</v>
      </c>
      <c r="K108" s="52"/>
      <c r="L108" s="48">
        <f>J108+B108</f>
        <v>543237.53999999957</v>
      </c>
      <c r="M108" s="4"/>
    </row>
    <row r="109" spans="1:13">
      <c r="B109" s="52">
        <f>SUM(B108)</f>
        <v>1459528.0299999996</v>
      </c>
      <c r="C109" s="52"/>
      <c r="D109" s="52">
        <f>SUM(D108)</f>
        <v>-916290.49</v>
      </c>
      <c r="E109" s="52"/>
      <c r="F109" s="52">
        <f>SUM(F108)</f>
        <v>0</v>
      </c>
      <c r="G109" s="52"/>
      <c r="H109" s="52">
        <f>SUM(H108)</f>
        <v>0</v>
      </c>
      <c r="I109" s="52"/>
      <c r="J109" s="52">
        <f>SUM(J108)</f>
        <v>-916290.49</v>
      </c>
      <c r="K109" s="52"/>
      <c r="L109" s="52">
        <f>SUM(L108)</f>
        <v>543237.53999999957</v>
      </c>
      <c r="M109" s="4"/>
    </row>
    <row r="110" spans="1:13">
      <c r="B110" s="52"/>
      <c r="C110" s="52"/>
      <c r="D110" s="52"/>
      <c r="E110" s="52"/>
      <c r="F110" s="52"/>
      <c r="G110" s="52"/>
      <c r="H110" s="52"/>
      <c r="I110" s="52"/>
      <c r="J110" s="52"/>
      <c r="K110" s="52"/>
      <c r="L110" s="52"/>
      <c r="M110" s="4"/>
    </row>
    <row r="111" spans="1:13">
      <c r="B111" s="52"/>
      <c r="C111" s="45"/>
      <c r="D111" s="52"/>
      <c r="E111" s="45"/>
      <c r="F111" s="52"/>
      <c r="G111" s="45"/>
      <c r="H111" s="52"/>
      <c r="I111" s="45"/>
      <c r="J111" s="52"/>
      <c r="K111" s="45"/>
      <c r="L111" s="52"/>
      <c r="M111" s="4"/>
    </row>
    <row r="112" spans="1:13">
      <c r="B112" s="45"/>
      <c r="C112" s="45"/>
      <c r="D112" s="45"/>
      <c r="E112" s="45"/>
      <c r="F112" s="45"/>
      <c r="G112" s="45"/>
      <c r="H112" s="45"/>
      <c r="I112" s="45"/>
      <c r="J112" s="45"/>
      <c r="K112" s="45"/>
      <c r="L112" s="45"/>
      <c r="M112" s="4"/>
    </row>
    <row r="113" spans="1:13">
      <c r="A113" s="3" t="s">
        <v>828</v>
      </c>
      <c r="B113" s="88">
        <f>B105+B83+B92+B109</f>
        <v>21103199.290000007</v>
      </c>
      <c r="C113" s="52"/>
      <c r="D113" s="88">
        <f>D105+D83+D92+D109</f>
        <v>17367868.469999999</v>
      </c>
      <c r="E113" s="52"/>
      <c r="F113" s="88">
        <f>F105+F83+F92+F109</f>
        <v>0</v>
      </c>
      <c r="G113" s="52"/>
      <c r="H113" s="88">
        <f>H105+H83+H92+H109</f>
        <v>0</v>
      </c>
      <c r="I113" s="52"/>
      <c r="J113" s="88">
        <f>J105+J83+J92+J109</f>
        <v>17367868.469999999</v>
      </c>
      <c r="K113" s="52"/>
      <c r="L113" s="88">
        <f>L105+L83+L92+L109</f>
        <v>38471067.759999998</v>
      </c>
      <c r="M113" s="55"/>
    </row>
    <row r="114" spans="1:13">
      <c r="B114" s="52"/>
      <c r="C114" s="45"/>
      <c r="D114" s="52"/>
      <c r="E114" s="45"/>
      <c r="F114" s="52"/>
      <c r="G114" s="45"/>
      <c r="H114" s="52"/>
      <c r="I114" s="45"/>
      <c r="J114" s="52"/>
      <c r="K114" s="45"/>
      <c r="L114" s="52"/>
      <c r="M114" s="4"/>
    </row>
    <row r="115" spans="1:13">
      <c r="B115" s="45"/>
      <c r="C115" s="45"/>
      <c r="D115" s="45"/>
      <c r="E115" s="45"/>
      <c r="F115" s="45"/>
      <c r="G115" s="45"/>
      <c r="H115" s="45"/>
      <c r="I115" s="45"/>
      <c r="J115" s="45"/>
      <c r="K115" s="45"/>
      <c r="L115" s="45"/>
      <c r="M115" s="4"/>
    </row>
    <row r="116" spans="1:13" ht="13.5" thickBot="1">
      <c r="A116" s="3" t="s">
        <v>827</v>
      </c>
      <c r="B116" s="46">
        <f>B113+B68</f>
        <v>724381115.42000008</v>
      </c>
      <c r="C116" s="45"/>
      <c r="D116" s="46">
        <f>D113+D68</f>
        <v>22265896.469999999</v>
      </c>
      <c r="E116" s="45"/>
      <c r="F116" s="46">
        <f>F113+F68</f>
        <v>-83537.03</v>
      </c>
      <c r="G116" s="45"/>
      <c r="H116" s="46">
        <f>H113+H68</f>
        <v>49284.100000000006</v>
      </c>
      <c r="I116" s="45"/>
      <c r="J116" s="46">
        <f>J113+J68</f>
        <v>22231643.539999999</v>
      </c>
      <c r="K116" s="45"/>
      <c r="L116" s="46">
        <f>L113+L68</f>
        <v>746612758.96000004</v>
      </c>
      <c r="M116" s="4"/>
    </row>
    <row r="117" spans="1:13" ht="13.5" thickTop="1">
      <c r="B117" s="45"/>
      <c r="C117" s="45"/>
      <c r="D117" s="45"/>
      <c r="E117" s="45"/>
      <c r="F117" s="45"/>
      <c r="G117" s="45"/>
      <c r="H117" s="45"/>
      <c r="I117" s="45"/>
      <c r="J117" s="45"/>
      <c r="K117" s="45"/>
      <c r="L117" s="45"/>
      <c r="M117" s="4"/>
    </row>
    <row r="118" spans="1:13">
      <c r="B118" s="45"/>
      <c r="C118" s="45"/>
      <c r="D118" s="45"/>
      <c r="E118" s="45"/>
      <c r="F118" s="45"/>
      <c r="G118" s="45"/>
      <c r="H118" s="45"/>
      <c r="I118" s="45"/>
      <c r="J118" s="45"/>
      <c r="K118" s="45"/>
      <c r="L118" s="45"/>
      <c r="M118" s="4"/>
    </row>
    <row r="119" spans="1:13">
      <c r="B119" s="45"/>
      <c r="C119" s="45"/>
      <c r="D119" s="45"/>
      <c r="E119" s="45"/>
      <c r="F119" s="45"/>
      <c r="G119" s="45"/>
      <c r="H119" s="45"/>
      <c r="I119" s="45"/>
      <c r="J119" s="45"/>
      <c r="K119" s="45"/>
      <c r="L119" s="45"/>
      <c r="M119" s="4"/>
    </row>
    <row r="120" spans="1:13">
      <c r="B120" s="4"/>
      <c r="C120" s="4"/>
      <c r="D120" s="4"/>
      <c r="E120" s="4"/>
      <c r="F120" s="4"/>
      <c r="G120" s="4"/>
      <c r="H120" s="4"/>
      <c r="I120" s="4"/>
      <c r="J120" s="4"/>
      <c r="K120" s="4"/>
      <c r="L120" s="4"/>
      <c r="M120" s="4"/>
    </row>
    <row r="121" spans="1:13">
      <c r="B121" s="4"/>
      <c r="C121" s="4"/>
      <c r="D121" s="4"/>
      <c r="E121" s="4"/>
      <c r="F121" s="4"/>
      <c r="G121" s="4"/>
      <c r="H121" s="4"/>
      <c r="I121" s="4"/>
      <c r="J121" s="4"/>
      <c r="K121" s="4"/>
      <c r="L121" s="4"/>
      <c r="M121" s="4"/>
    </row>
    <row r="122" spans="1:13">
      <c r="B122" s="4"/>
      <c r="C122" s="4"/>
      <c r="D122" s="4"/>
      <c r="E122" s="4"/>
      <c r="F122" s="4"/>
      <c r="G122" s="4"/>
      <c r="H122" s="4"/>
      <c r="I122" s="4"/>
      <c r="J122" s="4"/>
      <c r="K122" s="4"/>
      <c r="L122" s="4"/>
      <c r="M122" s="4"/>
    </row>
    <row r="123" spans="1:13">
      <c r="B123" s="4"/>
      <c r="C123" s="4"/>
      <c r="D123" s="4"/>
      <c r="E123" s="4"/>
      <c r="F123" s="4"/>
      <c r="G123" s="4"/>
      <c r="H123" s="4"/>
      <c r="I123" s="4"/>
      <c r="J123" s="4"/>
      <c r="K123" s="4"/>
      <c r="L123" s="4"/>
      <c r="M123" s="4"/>
    </row>
    <row r="124" spans="1:13">
      <c r="B124" s="4"/>
      <c r="C124" s="4"/>
      <c r="D124" s="4"/>
      <c r="E124" s="4"/>
      <c r="F124" s="4"/>
      <c r="G124" s="4"/>
      <c r="H124" s="4"/>
      <c r="I124" s="4"/>
      <c r="J124" s="4"/>
      <c r="K124" s="4"/>
      <c r="L124" s="4"/>
      <c r="M124" s="4"/>
    </row>
    <row r="125" spans="1:13">
      <c r="B125" s="4"/>
      <c r="C125" s="4"/>
      <c r="D125" s="4"/>
      <c r="E125" s="4"/>
      <c r="F125" s="4"/>
      <c r="G125" s="4"/>
      <c r="H125" s="4"/>
      <c r="I125" s="4"/>
      <c r="J125" s="4"/>
      <c r="K125" s="4"/>
      <c r="L125" s="4"/>
      <c r="M125" s="4"/>
    </row>
    <row r="126" spans="1:13">
      <c r="B126" s="4"/>
      <c r="C126" s="4"/>
      <c r="D126" s="4"/>
      <c r="E126" s="4"/>
      <c r="F126" s="4"/>
      <c r="G126" s="4"/>
      <c r="H126" s="4"/>
      <c r="I126" s="4"/>
      <c r="J126" s="4"/>
      <c r="K126" s="4"/>
      <c r="L126" s="4"/>
      <c r="M126" s="4"/>
    </row>
    <row r="127" spans="1:13">
      <c r="B127" s="4"/>
      <c r="C127" s="4"/>
      <c r="D127" s="4"/>
      <c r="E127" s="4"/>
      <c r="F127" s="4"/>
      <c r="G127" s="4"/>
      <c r="H127" s="4"/>
      <c r="I127" s="4"/>
      <c r="J127" s="4"/>
      <c r="K127" s="4"/>
      <c r="L127" s="4"/>
      <c r="M127" s="4"/>
    </row>
    <row r="128" spans="1:13">
      <c r="B128" s="4"/>
      <c r="C128" s="4"/>
      <c r="D128" s="4"/>
      <c r="E128" s="4"/>
      <c r="F128" s="4"/>
      <c r="G128" s="4"/>
      <c r="H128" s="4"/>
      <c r="I128" s="4"/>
      <c r="J128" s="4"/>
      <c r="K128" s="4"/>
      <c r="L128" s="4"/>
      <c r="M128" s="4"/>
    </row>
    <row r="129" spans="2:13">
      <c r="B129" s="4"/>
      <c r="C129" s="4"/>
      <c r="D129" s="4"/>
      <c r="E129" s="4"/>
      <c r="F129" s="4"/>
      <c r="G129" s="4"/>
      <c r="H129" s="4"/>
      <c r="I129" s="4"/>
      <c r="J129" s="4"/>
      <c r="K129" s="4"/>
      <c r="L129" s="4"/>
      <c r="M129" s="4"/>
    </row>
    <row r="130" spans="2:13">
      <c r="B130" s="4"/>
      <c r="C130" s="4"/>
      <c r="D130" s="4"/>
      <c r="E130" s="4"/>
      <c r="F130" s="4"/>
      <c r="G130" s="4"/>
      <c r="H130" s="4"/>
      <c r="I130" s="4"/>
      <c r="J130" s="4"/>
      <c r="K130" s="4"/>
      <c r="L130" s="4"/>
      <c r="M130" s="4"/>
    </row>
    <row r="131" spans="2:13">
      <c r="B131" s="4"/>
      <c r="C131" s="4"/>
      <c r="D131" s="4"/>
      <c r="E131" s="4"/>
      <c r="F131" s="4"/>
      <c r="G131" s="4"/>
      <c r="H131" s="4"/>
      <c r="I131" s="4"/>
      <c r="J131" s="4"/>
      <c r="K131" s="4"/>
      <c r="L131" s="4"/>
      <c r="M131" s="4"/>
    </row>
    <row r="132" spans="2:13">
      <c r="B132" s="4"/>
      <c r="C132" s="4"/>
      <c r="D132" s="4"/>
      <c r="E132" s="4"/>
      <c r="F132" s="4"/>
      <c r="G132" s="4"/>
      <c r="H132" s="4"/>
      <c r="I132" s="4"/>
      <c r="J132" s="4"/>
      <c r="K132" s="4"/>
      <c r="L132" s="4"/>
      <c r="M132" s="4"/>
    </row>
    <row r="133" spans="2:13">
      <c r="B133" s="4"/>
      <c r="C133" s="4"/>
      <c r="D133" s="4"/>
      <c r="E133" s="4"/>
      <c r="F133" s="4"/>
      <c r="G133" s="4"/>
      <c r="H133" s="4"/>
      <c r="I133" s="4"/>
      <c r="J133" s="4"/>
      <c r="K133" s="4"/>
      <c r="L133" s="4"/>
      <c r="M133" s="4"/>
    </row>
    <row r="134" spans="2:13">
      <c r="B134" s="4"/>
      <c r="C134" s="4"/>
      <c r="D134" s="4"/>
      <c r="E134" s="4"/>
      <c r="F134" s="4"/>
      <c r="G134" s="4"/>
      <c r="H134" s="4"/>
      <c r="I134" s="4"/>
      <c r="J134" s="4"/>
      <c r="K134" s="4"/>
      <c r="L134" s="4"/>
      <c r="M134" s="4"/>
    </row>
    <row r="135" spans="2:13">
      <c r="B135" s="4"/>
      <c r="C135" s="4"/>
      <c r="D135" s="4"/>
      <c r="E135" s="4"/>
      <c r="F135" s="4"/>
      <c r="G135" s="4"/>
      <c r="H135" s="4"/>
      <c r="I135" s="4"/>
      <c r="J135" s="4"/>
      <c r="K135" s="4"/>
      <c r="L135" s="4"/>
      <c r="M135" s="4"/>
    </row>
    <row r="136" spans="2:13">
      <c r="B136" s="4"/>
      <c r="C136" s="4"/>
      <c r="D136" s="4"/>
      <c r="E136" s="4"/>
      <c r="F136" s="4"/>
      <c r="G136" s="4"/>
      <c r="H136" s="4"/>
      <c r="I136" s="4"/>
      <c r="J136" s="4"/>
      <c r="K136" s="4"/>
      <c r="L136" s="4"/>
      <c r="M136" s="4"/>
    </row>
    <row r="137" spans="2:13">
      <c r="B137" s="4"/>
      <c r="C137" s="4"/>
      <c r="D137" s="4"/>
      <c r="E137" s="4"/>
      <c r="F137" s="4"/>
      <c r="G137" s="4"/>
      <c r="H137" s="4"/>
      <c r="I137" s="4"/>
      <c r="J137" s="4"/>
      <c r="K137" s="4"/>
      <c r="L137" s="4"/>
      <c r="M137" s="4"/>
    </row>
    <row r="138" spans="2:13">
      <c r="B138" s="4"/>
      <c r="C138" s="4"/>
      <c r="D138" s="4"/>
      <c r="E138" s="4"/>
      <c r="F138" s="4"/>
      <c r="G138" s="4"/>
      <c r="H138" s="4"/>
      <c r="I138" s="4"/>
      <c r="J138" s="4"/>
      <c r="K138" s="4"/>
      <c r="L138" s="4"/>
      <c r="M138" s="4"/>
    </row>
    <row r="139" spans="2:13">
      <c r="B139" s="4"/>
      <c r="C139" s="4"/>
      <c r="D139" s="4"/>
      <c r="E139" s="4"/>
      <c r="F139" s="4"/>
      <c r="G139" s="4"/>
      <c r="H139" s="4"/>
      <c r="I139" s="4"/>
      <c r="J139" s="4"/>
      <c r="K139" s="4"/>
      <c r="L139" s="4"/>
      <c r="M139" s="4"/>
    </row>
    <row r="140" spans="2:13">
      <c r="B140" s="4"/>
      <c r="C140" s="4"/>
      <c r="D140" s="4"/>
      <c r="E140" s="4"/>
      <c r="F140" s="4"/>
      <c r="G140" s="4"/>
      <c r="H140" s="4"/>
      <c r="I140" s="4"/>
      <c r="J140" s="4"/>
      <c r="K140" s="4"/>
      <c r="L140" s="4"/>
      <c r="M140" s="4"/>
    </row>
    <row r="141" spans="2:13">
      <c r="B141" s="4"/>
      <c r="C141" s="4"/>
      <c r="D141" s="4"/>
      <c r="E141" s="4"/>
      <c r="F141" s="4"/>
      <c r="G141" s="4"/>
      <c r="H141" s="4"/>
      <c r="I141" s="4"/>
      <c r="J141" s="4"/>
      <c r="K141" s="4"/>
      <c r="L141" s="4"/>
      <c r="M141" s="4"/>
    </row>
    <row r="142" spans="2:13">
      <c r="B142" s="4"/>
      <c r="C142" s="4"/>
      <c r="D142" s="4"/>
      <c r="E142" s="4"/>
      <c r="F142" s="4"/>
      <c r="G142" s="4"/>
      <c r="H142" s="4"/>
      <c r="I142" s="4"/>
      <c r="J142" s="4"/>
      <c r="K142" s="4"/>
      <c r="L142" s="4"/>
      <c r="M142" s="4"/>
    </row>
    <row r="143" spans="2:13">
      <c r="B143" s="4"/>
      <c r="C143" s="4"/>
      <c r="D143" s="4"/>
      <c r="E143" s="4"/>
      <c r="F143" s="4"/>
      <c r="G143" s="4"/>
      <c r="H143" s="4"/>
      <c r="I143" s="4"/>
      <c r="J143" s="4"/>
      <c r="K143" s="4"/>
      <c r="L143" s="4"/>
      <c r="M143" s="4"/>
    </row>
    <row r="144" spans="2:13">
      <c r="B144" s="4"/>
      <c r="C144" s="4"/>
      <c r="D144" s="4"/>
      <c r="E144" s="4"/>
      <c r="F144" s="4"/>
      <c r="G144" s="4"/>
      <c r="H144" s="4"/>
      <c r="I144" s="4"/>
      <c r="J144" s="4"/>
      <c r="K144" s="4"/>
      <c r="L144" s="4"/>
      <c r="M144" s="4"/>
    </row>
    <row r="145" spans="2:13">
      <c r="B145" s="4"/>
      <c r="C145" s="4"/>
      <c r="D145" s="4"/>
      <c r="E145" s="4"/>
      <c r="F145" s="4"/>
      <c r="G145" s="4"/>
      <c r="H145" s="4"/>
      <c r="I145" s="4"/>
      <c r="J145" s="4"/>
      <c r="K145" s="4"/>
      <c r="L145" s="4"/>
      <c r="M145" s="4"/>
    </row>
    <row r="146" spans="2:13">
      <c r="B146" s="4"/>
      <c r="C146" s="4"/>
      <c r="D146" s="4"/>
      <c r="E146" s="4"/>
      <c r="F146" s="4"/>
      <c r="G146" s="4"/>
      <c r="H146" s="4"/>
      <c r="I146" s="4"/>
      <c r="J146" s="4"/>
      <c r="K146" s="4"/>
      <c r="L146" s="4"/>
      <c r="M146" s="4"/>
    </row>
    <row r="147" spans="2:13">
      <c r="B147" s="4"/>
      <c r="C147" s="4"/>
      <c r="D147" s="4"/>
      <c r="E147" s="4"/>
      <c r="F147" s="4"/>
      <c r="G147" s="4"/>
      <c r="H147" s="4"/>
      <c r="I147" s="4"/>
      <c r="J147" s="4"/>
      <c r="K147" s="4"/>
      <c r="L147" s="4"/>
      <c r="M147" s="4"/>
    </row>
    <row r="148" spans="2:13">
      <c r="B148" s="4"/>
      <c r="C148" s="4"/>
      <c r="D148" s="4"/>
      <c r="E148" s="4"/>
      <c r="F148" s="4"/>
      <c r="G148" s="4"/>
      <c r="H148" s="4"/>
      <c r="I148" s="4"/>
      <c r="J148" s="4"/>
      <c r="K148" s="4"/>
      <c r="L148" s="4"/>
      <c r="M148" s="4"/>
    </row>
    <row r="149" spans="2:13">
      <c r="B149" s="4"/>
      <c r="C149" s="4"/>
      <c r="D149" s="4"/>
      <c r="E149" s="4"/>
      <c r="F149" s="4"/>
      <c r="G149" s="4"/>
      <c r="H149" s="4"/>
      <c r="I149" s="4"/>
      <c r="J149" s="4"/>
      <c r="K149" s="4"/>
      <c r="L149" s="4"/>
      <c r="M149" s="4"/>
    </row>
    <row r="150" spans="2:13">
      <c r="B150" s="4"/>
      <c r="C150" s="4"/>
      <c r="D150" s="4"/>
      <c r="E150" s="4"/>
      <c r="F150" s="4"/>
      <c r="G150" s="4"/>
      <c r="H150" s="4"/>
      <c r="I150" s="4"/>
      <c r="J150" s="4"/>
      <c r="K150" s="4"/>
      <c r="L150" s="4"/>
      <c r="M150" s="4"/>
    </row>
    <row r="151" spans="2:13">
      <c r="B151" s="4"/>
      <c r="C151" s="4"/>
      <c r="D151" s="4"/>
      <c r="E151" s="4"/>
      <c r="F151" s="4"/>
      <c r="G151" s="4"/>
      <c r="H151" s="4"/>
      <c r="I151" s="4"/>
      <c r="J151" s="4"/>
      <c r="K151" s="4"/>
      <c r="L151" s="4"/>
      <c r="M151" s="4"/>
    </row>
    <row r="152" spans="2:13">
      <c r="B152" s="4"/>
      <c r="C152" s="4"/>
      <c r="D152" s="4"/>
      <c r="E152" s="4"/>
      <c r="F152" s="4"/>
      <c r="G152" s="4"/>
      <c r="H152" s="4"/>
      <c r="I152" s="4"/>
      <c r="J152" s="4"/>
      <c r="K152" s="4"/>
      <c r="L152" s="4"/>
      <c r="M152" s="4"/>
    </row>
    <row r="153" spans="2:13">
      <c r="B153" s="4"/>
      <c r="C153" s="4"/>
      <c r="D153" s="4"/>
      <c r="E153" s="4"/>
      <c r="F153" s="4"/>
      <c r="G153" s="4"/>
      <c r="H153" s="4"/>
      <c r="I153" s="4"/>
      <c r="J153" s="4"/>
      <c r="K153" s="4"/>
      <c r="L153" s="4"/>
      <c r="M153" s="4"/>
    </row>
    <row r="154" spans="2:13">
      <c r="B154" s="4"/>
      <c r="C154" s="4"/>
      <c r="D154" s="4"/>
      <c r="E154" s="4"/>
      <c r="F154" s="4"/>
      <c r="G154" s="4"/>
      <c r="H154" s="4"/>
      <c r="I154" s="4"/>
      <c r="J154" s="4"/>
      <c r="K154" s="4"/>
      <c r="L154" s="4"/>
      <c r="M154" s="4"/>
    </row>
  </sheetData>
  <customSheetViews>
    <customSheetView guid="{6B74E52F-9552-408A-8775-25AFF24E6639}" scale="75" showPageBreaks="1" fitToPage="1" showRuler="0">
      <selection activeCell="A5" sqref="A5"/>
      <rowBreaks count="2" manualBreakCount="2">
        <brk id="39" max="16383" man="1"/>
        <brk id="68" max="16383" man="1"/>
      </rowBreaks>
      <pageMargins left="0.75" right="0.75" top="1" bottom="1" header="0.5" footer="0.5"/>
      <pageSetup scale="75" fitToHeight="0" orientation="landscape" r:id="rId1"/>
      <headerFooter alignWithMargins="0">
        <oddFooter>&amp;L&amp;Z
&amp;F&amp;C&amp;A&amp;R18.&amp;P</oddFooter>
      </headerFooter>
    </customSheetView>
  </customSheetViews>
  <mergeCells count="3">
    <mergeCell ref="A1:L1"/>
    <mergeCell ref="A2:L2"/>
    <mergeCell ref="A3:L3"/>
  </mergeCells>
  <phoneticPr fontId="0" type="noConversion"/>
  <pageMargins left="0.75" right="0.75" top="1" bottom="1" header="0.5" footer="0.5"/>
  <pageSetup scale="75" fitToHeight="0" orientation="landscape" r:id="rId2"/>
  <headerFooter alignWithMargins="0">
    <oddFooter>&amp;L&amp;Z
&amp;F&amp;C&amp;A&amp;R18.&amp;P</oddFooter>
  </headerFooter>
  <rowBreaks count="2" manualBreakCount="2">
    <brk id="39" max="16383" man="1"/>
    <brk id="70" max="16383" man="1"/>
  </rowBreaks>
</worksheet>
</file>

<file path=xl/worksheets/sheet105.xml><?xml version="1.0" encoding="utf-8"?>
<worksheet xmlns="http://schemas.openxmlformats.org/spreadsheetml/2006/main" xmlns:r="http://schemas.openxmlformats.org/officeDocument/2006/relationships">
  <sheetPr codeName="Sheet67">
    <pageSetUpPr fitToPage="1"/>
  </sheetPr>
  <dimension ref="A1:P109"/>
  <sheetViews>
    <sheetView zoomScale="90" zoomScaleNormal="90" workbookViewId="0">
      <selection sqref="A1:P1"/>
    </sheetView>
  </sheetViews>
  <sheetFormatPr defaultRowHeight="12.75"/>
  <cols>
    <col min="1" max="1" width="45.7109375" bestFit="1" customWidth="1"/>
    <col min="2" max="2" width="17.7109375" customWidth="1"/>
    <col min="3" max="3" width="1.7109375" customWidth="1"/>
    <col min="4" max="4" width="17.7109375" customWidth="1"/>
    <col min="5" max="5" width="1.7109375" customWidth="1"/>
    <col min="6" max="6" width="17.7109375" customWidth="1"/>
    <col min="7" max="7" width="1.7109375" customWidth="1"/>
    <col min="8" max="8" width="17.7109375" customWidth="1"/>
    <col min="9" max="9" width="1.7109375" customWidth="1"/>
    <col min="10" max="10" width="17.7109375" customWidth="1"/>
    <col min="11" max="11" width="1.7109375" customWidth="1"/>
    <col min="12" max="12" width="17.7109375" customWidth="1"/>
    <col min="13" max="13" width="1.85546875" customWidth="1"/>
    <col min="14" max="14" width="18.5703125" customWidth="1"/>
    <col min="15" max="15" width="1.7109375" customWidth="1"/>
    <col min="16" max="16" width="23.140625" bestFit="1" customWidth="1"/>
  </cols>
  <sheetData>
    <row r="1" spans="1:16" s="38" customFormat="1" ht="15.75">
      <c r="A1" s="366" t="s">
        <v>134</v>
      </c>
      <c r="B1" s="366"/>
      <c r="C1" s="366"/>
      <c r="D1" s="366"/>
      <c r="E1" s="366"/>
      <c r="F1" s="366"/>
      <c r="G1" s="366"/>
      <c r="H1" s="366"/>
      <c r="I1" s="366"/>
      <c r="J1" s="366"/>
      <c r="K1" s="366"/>
      <c r="L1" s="366"/>
      <c r="M1" s="366"/>
      <c r="N1" s="366"/>
      <c r="O1" s="366"/>
      <c r="P1" s="366"/>
    </row>
    <row r="2" spans="1:16" s="38" customFormat="1" ht="15.75">
      <c r="A2" s="366" t="s">
        <v>1227</v>
      </c>
      <c r="B2" s="366"/>
      <c r="C2" s="366"/>
      <c r="D2" s="366"/>
      <c r="E2" s="366"/>
      <c r="F2" s="366"/>
      <c r="G2" s="366"/>
      <c r="H2" s="366"/>
      <c r="I2" s="366"/>
      <c r="J2" s="366"/>
      <c r="K2" s="366"/>
      <c r="L2" s="366"/>
      <c r="M2" s="366"/>
      <c r="N2" s="366"/>
      <c r="O2" s="366"/>
      <c r="P2" s="366"/>
    </row>
    <row r="3" spans="1:16">
      <c r="A3" s="357" t="str">
        <f>'Summary - Cost - PG 1 (Fin)'!A3:N3</f>
        <v>MARCH 2012</v>
      </c>
      <c r="B3" s="357"/>
      <c r="C3" s="357"/>
      <c r="D3" s="357"/>
      <c r="E3" s="357"/>
      <c r="F3" s="357"/>
      <c r="G3" s="357"/>
      <c r="H3" s="357"/>
      <c r="I3" s="357"/>
      <c r="J3" s="357"/>
      <c r="K3" s="357"/>
      <c r="L3" s="357"/>
      <c r="M3" s="357"/>
      <c r="N3" s="357"/>
      <c r="O3" s="357"/>
      <c r="P3" s="357"/>
    </row>
    <row r="4" spans="1:16">
      <c r="A4" s="30"/>
      <c r="B4" s="30"/>
      <c r="C4" s="30"/>
      <c r="D4" s="30"/>
      <c r="E4" s="30"/>
      <c r="F4" s="30"/>
      <c r="G4" s="30"/>
      <c r="H4" s="30"/>
      <c r="I4" s="30"/>
      <c r="J4" s="30"/>
      <c r="K4" s="30"/>
      <c r="L4" s="30"/>
    </row>
    <row r="6" spans="1:16">
      <c r="B6" s="41" t="s">
        <v>25</v>
      </c>
      <c r="D6" s="45"/>
      <c r="F6" s="45"/>
      <c r="H6" s="41" t="s">
        <v>612</v>
      </c>
      <c r="J6" s="45"/>
      <c r="L6" s="41" t="s">
        <v>26</v>
      </c>
      <c r="P6" s="29" t="s">
        <v>422</v>
      </c>
    </row>
    <row r="7" spans="1:16" s="10" customFormat="1">
      <c r="B7" s="42" t="s">
        <v>27</v>
      </c>
      <c r="C7"/>
      <c r="D7" s="42" t="s">
        <v>107</v>
      </c>
      <c r="E7"/>
      <c r="F7" s="42" t="s">
        <v>108</v>
      </c>
      <c r="G7"/>
      <c r="H7" s="42" t="s">
        <v>613</v>
      </c>
      <c r="I7"/>
      <c r="J7" s="42" t="s">
        <v>109</v>
      </c>
      <c r="K7"/>
      <c r="L7" s="42" t="s">
        <v>27</v>
      </c>
      <c r="N7" s="42" t="s">
        <v>46</v>
      </c>
      <c r="P7" s="42" t="s">
        <v>419</v>
      </c>
    </row>
    <row r="8" spans="1:16" s="10" customFormat="1">
      <c r="A8" s="12" t="s">
        <v>296</v>
      </c>
      <c r="B8" s="54"/>
      <c r="C8"/>
      <c r="D8" s="54"/>
      <c r="E8"/>
      <c r="F8" s="54"/>
      <c r="G8"/>
      <c r="H8" s="54"/>
      <c r="I8"/>
      <c r="J8" s="54"/>
      <c r="K8"/>
      <c r="L8" s="54"/>
    </row>
    <row r="9" spans="1:16" s="10" customFormat="1">
      <c r="A9" s="12" t="s">
        <v>420</v>
      </c>
      <c r="B9" s="54"/>
      <c r="C9"/>
      <c r="D9" s="54"/>
      <c r="E9"/>
      <c r="F9" s="54"/>
      <c r="G9"/>
      <c r="H9" s="54"/>
      <c r="I9"/>
      <c r="J9" s="54"/>
      <c r="K9"/>
      <c r="L9" s="54"/>
    </row>
    <row r="10" spans="1:16">
      <c r="A10" s="3" t="s">
        <v>121</v>
      </c>
    </row>
    <row r="11" spans="1:16">
      <c r="A11" t="s">
        <v>848</v>
      </c>
      <c r="B11" s="45">
        <f>'KY_Cost Plant Acct-Gas-P20(Fin)'!B11</f>
        <v>59724.58</v>
      </c>
      <c r="C11" s="45"/>
      <c r="D11" s="45">
        <f>'KY_Cost Plant Acct-Gas-P20(Fin)'!D11</f>
        <v>0</v>
      </c>
      <c r="E11" s="45"/>
      <c r="F11" s="45">
        <f>'KY_Cost Plant Acct-Gas-P20(Fin)'!F11</f>
        <v>0</v>
      </c>
      <c r="G11" s="45"/>
      <c r="H11" s="45">
        <f>'KY_Cost Plant Acct-Gas-P20(Fin)'!H11</f>
        <v>0</v>
      </c>
      <c r="I11" s="45"/>
      <c r="J11" s="45">
        <f t="shared" ref="J11:J24" si="0">H11+F11+D11</f>
        <v>0</v>
      </c>
      <c r="K11" s="45"/>
      <c r="L11" s="45">
        <f t="shared" ref="L11:L24" si="1">J11+B11</f>
        <v>59724.58</v>
      </c>
      <c r="M11" s="4"/>
      <c r="N11" s="89">
        <f>'KY_Res by Plant Acct-P29 (Fin)'!R339</f>
        <v>0</v>
      </c>
      <c r="P11" s="89">
        <f>L11+N11</f>
        <v>59724.58</v>
      </c>
    </row>
    <row r="12" spans="1:16">
      <c r="A12" t="s">
        <v>849</v>
      </c>
      <c r="B12" s="45">
        <f>'KY_Cost Plant Acct-Gas-P20(Fin)'!B12</f>
        <v>74018.23</v>
      </c>
      <c r="C12" s="45"/>
      <c r="D12" s="45">
        <f>'KY_Cost Plant Acct-Gas-P20(Fin)'!D12</f>
        <v>0</v>
      </c>
      <c r="E12" s="45"/>
      <c r="F12" s="45">
        <f>'KY_Cost Plant Acct-Gas-P20(Fin)'!F12</f>
        <v>0</v>
      </c>
      <c r="G12" s="45"/>
      <c r="H12" s="45">
        <f>'KY_Cost Plant Acct-Gas-P20(Fin)'!H12</f>
        <v>0</v>
      </c>
      <c r="I12" s="45"/>
      <c r="J12" s="45">
        <f t="shared" si="0"/>
        <v>0</v>
      </c>
      <c r="K12" s="45"/>
      <c r="L12" s="45">
        <f t="shared" si="1"/>
        <v>74018.23</v>
      </c>
      <c r="M12" s="4"/>
      <c r="N12" s="89">
        <f>'KY_Res by Plant Acct-P29 (Fin)'!R340</f>
        <v>-77417.460000000006</v>
      </c>
      <c r="P12" s="89">
        <f t="shared" ref="P12:P24" si="2">L12+N12</f>
        <v>-3399.2300000000105</v>
      </c>
    </row>
    <row r="13" spans="1:16">
      <c r="A13" t="s">
        <v>850</v>
      </c>
      <c r="B13" s="45">
        <f>'KY_Cost Plant Acct-Gas-P20(Fin)'!B13+'KY_Cost Plant Acct-Gas-P20(Fin)'!B73</f>
        <v>367965.77</v>
      </c>
      <c r="C13" s="45"/>
      <c r="D13" s="45">
        <f>'KY_Cost Plant Acct-Gas-P20(Fin)'!D13+'KY_Cost Plant Acct-Gas-P20(Fin)'!D73</f>
        <v>0</v>
      </c>
      <c r="E13" s="45"/>
      <c r="F13" s="45">
        <f>'KY_Cost Plant Acct-Gas-P20(Fin)'!F13</f>
        <v>0</v>
      </c>
      <c r="G13" s="45"/>
      <c r="H13" s="45">
        <f>'KY_Cost Plant Acct-Gas-P20(Fin)'!H13</f>
        <v>0</v>
      </c>
      <c r="I13" s="45"/>
      <c r="J13" s="45">
        <f t="shared" si="0"/>
        <v>0</v>
      </c>
      <c r="K13" s="45"/>
      <c r="L13" s="45">
        <f t="shared" si="1"/>
        <v>367965.77</v>
      </c>
      <c r="M13" s="4"/>
      <c r="N13" s="89">
        <f>'KY_Res by Plant Acct-P29 (Fin)'!R341</f>
        <v>-116984.75</v>
      </c>
      <c r="P13" s="89">
        <f t="shared" si="2"/>
        <v>250981.02000000002</v>
      </c>
    </row>
    <row r="14" spans="1:16">
      <c r="A14" t="s">
        <v>71</v>
      </c>
      <c r="B14" s="45">
        <f>'KY_Cost Plant Acct-Gas-P20(Fin)'!B14</f>
        <v>532497.30000000005</v>
      </c>
      <c r="C14" s="45"/>
      <c r="D14" s="45">
        <f>'KY_Cost Plant Acct-Gas-P20(Fin)'!D14+'KY_Cost Plant Acct-Gas-P20(Fin)'!D74</f>
        <v>0</v>
      </c>
      <c r="E14" s="45"/>
      <c r="F14" s="45">
        <f>'KY_Cost Plant Acct-Gas-P20(Fin)'!F14</f>
        <v>0</v>
      </c>
      <c r="G14" s="45"/>
      <c r="H14" s="45">
        <f>'KY_Cost Plant Acct-Gas-P20(Fin)'!H14</f>
        <v>0</v>
      </c>
      <c r="I14" s="45"/>
      <c r="J14" s="45">
        <f t="shared" si="0"/>
        <v>0</v>
      </c>
      <c r="K14" s="45"/>
      <c r="L14" s="45">
        <f t="shared" si="1"/>
        <v>532497.30000000005</v>
      </c>
      <c r="M14" s="4"/>
      <c r="N14" s="89">
        <f>'KY_Res by Plant Acct-P29 (Fin)'!R342</f>
        <v>-207540.16</v>
      </c>
      <c r="P14" s="89">
        <f t="shared" si="2"/>
        <v>324957.14</v>
      </c>
    </row>
    <row r="15" spans="1:16">
      <c r="A15" t="s">
        <v>72</v>
      </c>
      <c r="B15" s="45">
        <f>'KY_Cost Plant Acct-Gas-P20(Fin)'!B15+'KY_Cost Plant Acct-Gas-P20(Fin)'!B75</f>
        <v>324092532.74000001</v>
      </c>
      <c r="C15" s="45"/>
      <c r="D15" s="45">
        <f>'KY_Cost Plant Acct-Gas-P20(Fin)'!D15+'KY_Cost Plant Acct-Gas-P20(Fin)'!D75</f>
        <v>12137355.799999999</v>
      </c>
      <c r="E15" s="45"/>
      <c r="F15" s="45">
        <f>'KY_Cost Plant Acct-Gas-P20(Fin)'!F15</f>
        <v>-18271.5</v>
      </c>
      <c r="G15" s="45"/>
      <c r="H15" s="45">
        <f>'KY_Cost Plant Acct-Gas-P20(Fin)'!H15</f>
        <v>-134900.23000000001</v>
      </c>
      <c r="I15" s="45"/>
      <c r="J15" s="45">
        <f t="shared" si="0"/>
        <v>11984184.069999998</v>
      </c>
      <c r="K15" s="45"/>
      <c r="L15" s="45">
        <f t="shared" si="1"/>
        <v>336076716.81</v>
      </c>
      <c r="M15" s="4"/>
      <c r="N15" s="89">
        <f>'KY_Res by Plant Acct-P29 (Fin)'!R343</f>
        <v>-108577178.22999999</v>
      </c>
      <c r="P15" s="89">
        <f t="shared" si="2"/>
        <v>227499538.58000001</v>
      </c>
    </row>
    <row r="16" spans="1:16">
      <c r="A16" t="s">
        <v>73</v>
      </c>
      <c r="B16" s="45">
        <f>'KY_Cost Plant Acct-Gas-P20(Fin)'!B16+'KY_Cost Plant Acct-Gas-P20(Fin)'!B76</f>
        <v>12438038.09</v>
      </c>
      <c r="C16" s="45"/>
      <c r="D16" s="45">
        <f>'KY_Cost Plant Acct-Gas-P20(Fin)'!D16+'KY_Cost Plant Acct-Gas-P20(Fin)'!D76</f>
        <v>32754.869999999995</v>
      </c>
      <c r="E16" s="45"/>
      <c r="F16" s="45">
        <f>'KY_Cost Plant Acct-Gas-P20(Fin)'!F16</f>
        <v>-4083.94</v>
      </c>
      <c r="G16" s="45"/>
      <c r="H16" s="45">
        <f>'KY_Cost Plant Acct-Gas-P20(Fin)'!H16</f>
        <v>0</v>
      </c>
      <c r="I16" s="45"/>
      <c r="J16" s="45">
        <f t="shared" si="0"/>
        <v>28670.929999999997</v>
      </c>
      <c r="K16" s="45"/>
      <c r="L16" s="45">
        <f t="shared" si="1"/>
        <v>12466709.02</v>
      </c>
      <c r="M16" s="4"/>
      <c r="N16" s="89">
        <f>'KY_Res by Plant Acct-P29 (Fin)'!R344</f>
        <v>-2828468.9</v>
      </c>
      <c r="P16" s="89">
        <f t="shared" si="2"/>
        <v>9638240.1199999992</v>
      </c>
    </row>
    <row r="17" spans="1:16">
      <c r="A17" t="s">
        <v>74</v>
      </c>
      <c r="B17" s="45">
        <f>'KY_Cost Plant Acct-Gas-P20(Fin)'!B17+'KY_Cost Plant Acct-Gas-P20(Fin)'!B77</f>
        <v>4383870.12</v>
      </c>
      <c r="C17" s="45"/>
      <c r="D17" s="45">
        <f>'KY_Cost Plant Acct-Gas-P20(Fin)'!D17+'KY_Cost Plant Acct-Gas-P20(Fin)'!D77</f>
        <v>76938.37</v>
      </c>
      <c r="E17" s="45"/>
      <c r="F17" s="45">
        <f>'KY_Cost Plant Acct-Gas-P20(Fin)'!F17</f>
        <v>0</v>
      </c>
      <c r="G17" s="45"/>
      <c r="H17" s="45">
        <f>'KY_Cost Plant Acct-Gas-P20(Fin)'!H17</f>
        <v>0</v>
      </c>
      <c r="I17" s="45"/>
      <c r="J17" s="45">
        <f t="shared" si="0"/>
        <v>76938.37</v>
      </c>
      <c r="K17" s="45"/>
      <c r="L17" s="45">
        <f t="shared" si="1"/>
        <v>4460808.49</v>
      </c>
      <c r="M17" s="4"/>
      <c r="N17" s="89">
        <f>'KY_Res by Plant Acct-P29 (Fin)'!R345</f>
        <v>-1694351.2799999998</v>
      </c>
      <c r="P17" s="89">
        <f t="shared" si="2"/>
        <v>2766457.2100000004</v>
      </c>
    </row>
    <row r="18" spans="1:16">
      <c r="A18" t="s">
        <v>75</v>
      </c>
      <c r="B18" s="45">
        <f>'KY_Cost Plant Acct-Gas-P20(Fin)'!B18+'KY_Cost Plant Acct-Gas-P20(Fin)'!B78</f>
        <v>193629870.10999998</v>
      </c>
      <c r="C18" s="45"/>
      <c r="D18" s="45">
        <f>'KY_Cost Plant Acct-Gas-P20(Fin)'!D18+'KY_Cost Plant Acct-Gas-P20(Fin)'!D78</f>
        <v>2023213.46</v>
      </c>
      <c r="E18" s="45"/>
      <c r="F18" s="45">
        <f>'KY_Cost Plant Acct-Gas-P20(Fin)'!F18</f>
        <v>-1262.3599999999999</v>
      </c>
      <c r="G18" s="45"/>
      <c r="H18" s="45">
        <f>'KY_Cost Plant Acct-Gas-P20(Fin)'!H18</f>
        <v>0</v>
      </c>
      <c r="I18" s="45"/>
      <c r="J18" s="45">
        <f t="shared" si="0"/>
        <v>2021951.0999999999</v>
      </c>
      <c r="K18" s="45"/>
      <c r="L18" s="45">
        <f t="shared" si="1"/>
        <v>195651821.20999998</v>
      </c>
      <c r="M18" s="4"/>
      <c r="N18" s="89">
        <f>'KY_Res by Plant Acct-P29 (Fin)'!R346</f>
        <v>-71507391.24000001</v>
      </c>
      <c r="P18" s="89">
        <f t="shared" si="2"/>
        <v>124144429.96999997</v>
      </c>
    </row>
    <row r="19" spans="1:16">
      <c r="A19" t="s">
        <v>76</v>
      </c>
      <c r="B19" s="45">
        <f>'KY_Cost Plant Acct-Gas-P20(Fin)'!B19+'KY_Cost Plant Acct-Gas-P20(Fin)'!B79</f>
        <v>39833751.520000003</v>
      </c>
      <c r="C19" s="45"/>
      <c r="D19" s="45">
        <f>'KY_Cost Plant Acct-Gas-P20(Fin)'!D19+'KY_Cost Plant Acct-Gas-P20(Fin)'!D79</f>
        <v>156773.64000000001</v>
      </c>
      <c r="E19" s="45"/>
      <c r="F19" s="45">
        <f>'KY_Cost Plant Acct-Gas-P20(Fin)'!F19</f>
        <v>0</v>
      </c>
      <c r="G19" s="45"/>
      <c r="H19" s="45">
        <f>'KY_Cost Plant Acct-Gas-P20(Fin)'!H19</f>
        <v>0</v>
      </c>
      <c r="I19" s="45"/>
      <c r="J19" s="45">
        <f t="shared" si="0"/>
        <v>156773.64000000001</v>
      </c>
      <c r="K19" s="45"/>
      <c r="L19" s="45">
        <f t="shared" si="1"/>
        <v>39990525.160000004</v>
      </c>
      <c r="M19" s="4"/>
      <c r="N19" s="89">
        <f>'KY_Res by Plant Acct-P29 (Fin)'!R347</f>
        <v>-7958802.6100000003</v>
      </c>
      <c r="P19" s="89">
        <f t="shared" si="2"/>
        <v>32031722.550000004</v>
      </c>
    </row>
    <row r="20" spans="1:16">
      <c r="A20" t="s">
        <v>77</v>
      </c>
      <c r="B20" s="45">
        <f>'KY_Cost Plant Acct-Gas-P20(Fin)'!B20+'KY_Cost Plant Acct-Gas-P20(Fin)'!B80</f>
        <v>23477954.5</v>
      </c>
      <c r="C20" s="45"/>
      <c r="D20" s="45">
        <f>'KY_Cost Plant Acct-Gas-P20(Fin)'!D20+'KY_Cost Plant Acct-Gas-P20(Fin)'!D80</f>
        <v>436751.28</v>
      </c>
      <c r="E20" s="45"/>
      <c r="F20" s="45">
        <f>'KY_Cost Plant Acct-Gas-P20(Fin)'!F20</f>
        <v>0</v>
      </c>
      <c r="G20" s="45"/>
      <c r="H20" s="45">
        <f>'KY_Cost Plant Acct-Gas-P20(Fin)'!H20</f>
        <v>0</v>
      </c>
      <c r="I20" s="45"/>
      <c r="J20" s="45">
        <f t="shared" si="0"/>
        <v>436751.28</v>
      </c>
      <c r="K20" s="45"/>
      <c r="L20" s="45">
        <f t="shared" si="1"/>
        <v>23914705.780000001</v>
      </c>
      <c r="M20" s="4"/>
      <c r="N20" s="89">
        <f>'KY_Res by Plant Acct-P29 (Fin)'!R348</f>
        <v>-723351.70999999985</v>
      </c>
      <c r="P20" s="89">
        <f t="shared" si="2"/>
        <v>23191354.07</v>
      </c>
    </row>
    <row r="21" spans="1:16">
      <c r="A21" t="s">
        <v>78</v>
      </c>
      <c r="B21" s="45">
        <f>'KY_Cost Plant Acct-Gas-P20(Fin)'!B21+'KY_Cost Plant Acct-Gas-P20(Fin)'!B81</f>
        <v>944360.15</v>
      </c>
      <c r="C21" s="45"/>
      <c r="D21" s="45">
        <f>'KY_Cost Plant Acct-Gas-P20(Fin)'!D21+'KY_Cost Plant Acct-Gas-P20(Fin)'!D81</f>
        <v>0</v>
      </c>
      <c r="E21" s="45"/>
      <c r="F21" s="45">
        <f>'KY_Cost Plant Acct-Gas-P20(Fin)'!F21</f>
        <v>0</v>
      </c>
      <c r="G21" s="45"/>
      <c r="H21" s="45">
        <f>'KY_Cost Plant Acct-Gas-P20(Fin)'!H21</f>
        <v>0</v>
      </c>
      <c r="I21" s="45"/>
      <c r="J21" s="45">
        <f t="shared" si="0"/>
        <v>0</v>
      </c>
      <c r="K21" s="45"/>
      <c r="L21" s="45">
        <f t="shared" si="1"/>
        <v>944360.15</v>
      </c>
      <c r="M21" s="4"/>
      <c r="N21" s="89">
        <f>'KY_Res by Plant Acct-P29 (Fin)'!R349</f>
        <v>-101435.56</v>
      </c>
      <c r="P21" s="89">
        <f t="shared" si="2"/>
        <v>842924.59000000008</v>
      </c>
    </row>
    <row r="22" spans="1:16">
      <c r="A22" t="s">
        <v>79</v>
      </c>
      <c r="B22" s="45">
        <f>'KY_Cost Plant Acct-Gas-P20(Fin)'!B22</f>
        <v>51112.34</v>
      </c>
      <c r="C22" s="52"/>
      <c r="D22" s="45">
        <f>'KY_Cost Plant Acct-Gas-P20(Fin)'!D22+'KY_Cost Plant Acct-Gas-P20(Fin)'!D82</f>
        <v>0</v>
      </c>
      <c r="E22" s="52"/>
      <c r="F22" s="45">
        <f>'KY_Cost Plant Acct-Gas-P20(Fin)'!F22</f>
        <v>0</v>
      </c>
      <c r="G22" s="52"/>
      <c r="H22" s="45">
        <f>'KY_Cost Plant Acct-Gas-P20(Fin)'!H22</f>
        <v>0</v>
      </c>
      <c r="I22" s="52"/>
      <c r="J22" s="52">
        <f t="shared" si="0"/>
        <v>0</v>
      </c>
      <c r="K22" s="52"/>
      <c r="L22" s="52">
        <f t="shared" si="1"/>
        <v>51112.34</v>
      </c>
      <c r="M22" s="55"/>
      <c r="N22" s="89">
        <f>'KY_Res by Plant Acct-P29 (Fin)'!R350</f>
        <v>-20066.829999999998</v>
      </c>
      <c r="O22" s="7"/>
      <c r="P22" s="89">
        <f t="shared" si="2"/>
        <v>31045.51</v>
      </c>
    </row>
    <row r="23" spans="1:16">
      <c r="A23" t="s">
        <v>80</v>
      </c>
      <c r="B23" s="45">
        <f>'KY_Cost Plant Acct-Gas-P20(Fin)'!B23</f>
        <v>2962.94</v>
      </c>
      <c r="C23" s="52"/>
      <c r="D23" s="45">
        <f>'KY_Cost Plant Acct-Gas-P20(Fin)'!D23</f>
        <v>0</v>
      </c>
      <c r="E23" s="52"/>
      <c r="F23" s="45">
        <f>'KY_Cost Plant Acct-Gas-P20(Fin)'!F23</f>
        <v>0</v>
      </c>
      <c r="G23" s="52"/>
      <c r="H23" s="45">
        <f>'KY_Cost Plant Acct-Gas-P20(Fin)'!H23</f>
        <v>0</v>
      </c>
      <c r="I23" s="52"/>
      <c r="J23" s="52">
        <f t="shared" si="0"/>
        <v>0</v>
      </c>
      <c r="K23" s="52"/>
      <c r="L23" s="52">
        <f t="shared" si="1"/>
        <v>2962.94</v>
      </c>
      <c r="M23" s="55"/>
      <c r="N23" s="89">
        <f>'KY_Res by Plant Acct-P29 (Fin)'!R351</f>
        <v>-108.59000000000003</v>
      </c>
      <c r="O23" s="7"/>
      <c r="P23" s="89">
        <f t="shared" si="2"/>
        <v>2854.35</v>
      </c>
    </row>
    <row r="24" spans="1:16">
      <c r="A24" t="s">
        <v>898</v>
      </c>
      <c r="B24" s="48">
        <f>'KY_Cost Plant Acct-Gas-P20(Fin)'!B24</f>
        <v>11928646.510000002</v>
      </c>
      <c r="C24" s="52"/>
      <c r="D24" s="48">
        <f>'KY_Cost Plant Acct-Gas-P20(Fin)'!D24</f>
        <v>0</v>
      </c>
      <c r="E24" s="52"/>
      <c r="F24" s="48">
        <f>'KY_Cost Plant Acct-Gas-P20(Fin)'!F24</f>
        <v>0</v>
      </c>
      <c r="G24" s="52"/>
      <c r="H24" s="48">
        <f>'KY_Cost Plant Acct-Gas-P20(Fin)'!H24</f>
        <v>0</v>
      </c>
      <c r="I24" s="52"/>
      <c r="J24" s="48">
        <f t="shared" si="0"/>
        <v>0</v>
      </c>
      <c r="K24" s="52"/>
      <c r="L24" s="48">
        <f t="shared" si="1"/>
        <v>11928646.510000002</v>
      </c>
      <c r="M24" s="55"/>
      <c r="N24" s="90">
        <f>'KY_Res by Plant Acct-P29 (Fin)'!R352</f>
        <v>-420314.85000000155</v>
      </c>
      <c r="O24" s="7"/>
      <c r="P24" s="90">
        <f t="shared" si="2"/>
        <v>11508331.66</v>
      </c>
    </row>
    <row r="25" spans="1:16">
      <c r="B25" s="52">
        <f>SUM(B11:B24)</f>
        <v>611817304.89999998</v>
      </c>
      <c r="C25" s="52"/>
      <c r="D25" s="52">
        <f>SUM(D11:D24)</f>
        <v>14863787.419999996</v>
      </c>
      <c r="E25" s="52"/>
      <c r="F25" s="52">
        <f>SUM(F11:F24)</f>
        <v>-23617.8</v>
      </c>
      <c r="G25" s="52"/>
      <c r="H25" s="52">
        <f>SUM(H11:H24)</f>
        <v>-134900.23000000001</v>
      </c>
      <c r="I25" s="52"/>
      <c r="J25" s="52">
        <f>SUM(J11:J24)</f>
        <v>14705269.389999997</v>
      </c>
      <c r="K25" s="52"/>
      <c r="L25" s="52">
        <f>SUM(L11:L24)</f>
        <v>626522574.28999996</v>
      </c>
      <c r="M25" s="55"/>
      <c r="N25" s="83">
        <f>SUM(N11:N24)</f>
        <v>-194233412.17000005</v>
      </c>
      <c r="O25" s="7"/>
      <c r="P25" s="83">
        <f>SUM(P11:P24)</f>
        <v>432289162.12</v>
      </c>
    </row>
    <row r="26" spans="1:16">
      <c r="B26" s="45"/>
      <c r="C26" s="45"/>
      <c r="D26" s="45"/>
      <c r="E26" s="45"/>
      <c r="F26" s="45"/>
      <c r="G26" s="45"/>
      <c r="H26" s="45"/>
      <c r="I26" s="45"/>
      <c r="J26" s="45"/>
      <c r="K26" s="45"/>
      <c r="L26" s="45"/>
      <c r="M26" s="4"/>
    </row>
    <row r="27" spans="1:16">
      <c r="A27" s="3" t="s">
        <v>122</v>
      </c>
      <c r="B27" s="45"/>
      <c r="C27" s="45"/>
      <c r="D27" s="45"/>
      <c r="E27" s="45"/>
      <c r="F27" s="45"/>
      <c r="G27" s="45"/>
      <c r="H27" s="45"/>
      <c r="I27" s="45"/>
      <c r="J27" s="45"/>
      <c r="K27" s="45"/>
      <c r="L27" s="45"/>
      <c r="M27" s="4"/>
    </row>
    <row r="28" spans="1:16">
      <c r="A28" t="s">
        <v>899</v>
      </c>
      <c r="B28" s="45">
        <f>'KY_Cost Plant Acct-Gas-P20(Fin)'!B28+'KY_Cost Plant Acct-Gas-P20(Fin)'!B86</f>
        <v>1269819.7600000002</v>
      </c>
      <c r="C28" s="45"/>
      <c r="D28" s="45">
        <f>'KY_Cost Plant Acct-Gas-P20(Fin)'!D28+'KY_Cost Plant Acct-Gas-P20(Fin)'!D86</f>
        <v>112284.74</v>
      </c>
      <c r="E28" s="45"/>
      <c r="F28" s="45">
        <f>'KY_Cost Plant Acct-Gas-P20(Fin)'!F28</f>
        <v>0</v>
      </c>
      <c r="G28" s="45"/>
      <c r="H28" s="45">
        <f>'KY_Cost Plant Acct-Gas-P20(Fin)'!H28</f>
        <v>0</v>
      </c>
      <c r="I28" s="45"/>
      <c r="J28" s="45">
        <f t="shared" ref="J28:J33" si="3">H28+F28+D28</f>
        <v>112284.74</v>
      </c>
      <c r="K28" s="45"/>
      <c r="L28" s="45">
        <f t="shared" ref="L28:L33" si="4">J28+B28</f>
        <v>1382104.5000000002</v>
      </c>
      <c r="M28" s="4"/>
      <c r="N28" s="89">
        <f>'KY_Res by Plant Acct-P29 (Fin)'!R356</f>
        <v>-1052736.7200000002</v>
      </c>
      <c r="P28" s="89">
        <f t="shared" ref="P28:P33" si="5">L28+N28</f>
        <v>329367.78000000003</v>
      </c>
    </row>
    <row r="29" spans="1:16">
      <c r="A29" t="s">
        <v>900</v>
      </c>
      <c r="B29" s="45">
        <f>'KY_Cost Plant Acct-Gas-P20(Fin)'!B29+'KY_Cost Plant Acct-Gas-P20(Fin)'!B87</f>
        <v>585412.24</v>
      </c>
      <c r="C29" s="45"/>
      <c r="D29" s="45">
        <f>'KY_Cost Plant Acct-Gas-P20(Fin)'!D29+'KY_Cost Plant Acct-Gas-P20(Fin)'!D87</f>
        <v>14444.049999999996</v>
      </c>
      <c r="E29" s="45"/>
      <c r="F29" s="45">
        <f>'KY_Cost Plant Acct-Gas-P20(Fin)'!F29</f>
        <v>0</v>
      </c>
      <c r="G29" s="45"/>
      <c r="H29" s="45">
        <f>'KY_Cost Plant Acct-Gas-P20(Fin)'!H29</f>
        <v>0</v>
      </c>
      <c r="I29" s="45"/>
      <c r="J29" s="45">
        <f t="shared" si="3"/>
        <v>14444.049999999996</v>
      </c>
      <c r="K29" s="45"/>
      <c r="L29" s="45">
        <f t="shared" si="4"/>
        <v>599856.29</v>
      </c>
      <c r="M29" s="4"/>
      <c r="N29" s="89">
        <f>'KY_Res by Plant Acct-P29 (Fin)'!R357</f>
        <v>-213313.48</v>
      </c>
      <c r="P29" s="89">
        <f t="shared" si="5"/>
        <v>386542.81000000006</v>
      </c>
    </row>
    <row r="30" spans="1:16">
      <c r="A30" t="s">
        <v>901</v>
      </c>
      <c r="B30" s="45">
        <f>'KY_Cost Plant Acct-Gas-P20(Fin)'!B30+'KY_Cost Plant Acct-Gas-P20(Fin)'!B88</f>
        <v>4147480.45</v>
      </c>
      <c r="C30" s="45"/>
      <c r="D30" s="45">
        <f>'KY_Cost Plant Acct-Gas-P20(Fin)'!D30+'KY_Cost Plant Acct-Gas-P20(Fin)'!D88</f>
        <v>386245.94</v>
      </c>
      <c r="E30" s="45"/>
      <c r="F30" s="45">
        <f>'KY_Cost Plant Acct-Gas-P20(Fin)'!F30</f>
        <v>0</v>
      </c>
      <c r="G30" s="45"/>
      <c r="H30" s="45">
        <f>'KY_Cost Plant Acct-Gas-P20(Fin)'!H30</f>
        <v>0</v>
      </c>
      <c r="I30" s="45"/>
      <c r="J30" s="45">
        <f t="shared" si="3"/>
        <v>386245.94</v>
      </c>
      <c r="K30" s="45"/>
      <c r="L30" s="45">
        <f t="shared" si="4"/>
        <v>4533726.3900000006</v>
      </c>
      <c r="M30" s="4"/>
      <c r="N30" s="89">
        <f>'KY_Res by Plant Acct-P29 (Fin)'!R358</f>
        <v>-1587256.4399999997</v>
      </c>
      <c r="P30" s="89">
        <f t="shared" si="5"/>
        <v>2946469.9500000011</v>
      </c>
    </row>
    <row r="31" spans="1:16">
      <c r="A31" t="s">
        <v>995</v>
      </c>
      <c r="B31" s="45">
        <f>'KY_Cost Plant Acct-Gas-P20(Fin)'!B31+'KY_Cost Plant Acct-Gas-P20(Fin)'!B89</f>
        <v>0</v>
      </c>
      <c r="C31" s="45"/>
      <c r="D31" s="45">
        <f>'KY_Cost Plant Acct-Gas-P20(Fin)'!D31+'KY_Cost Plant Acct-Gas-P20(Fin)'!D89</f>
        <v>0</v>
      </c>
      <c r="E31" s="45"/>
      <c r="F31" s="45">
        <f>'KY_Cost Plant Acct-Gas-P20(Fin)'!F31</f>
        <v>0</v>
      </c>
      <c r="G31" s="45"/>
      <c r="H31" s="45">
        <f>'KY_Cost Plant Acct-Gas-P20(Fin)'!H31</f>
        <v>0</v>
      </c>
      <c r="I31" s="45"/>
      <c r="J31" s="45">
        <f t="shared" si="3"/>
        <v>0</v>
      </c>
      <c r="K31" s="45"/>
      <c r="L31" s="45">
        <f t="shared" si="4"/>
        <v>0</v>
      </c>
      <c r="M31" s="4"/>
      <c r="N31" s="89">
        <f>'KY_Res by Plant Acct-P29 (Fin)'!R359</f>
        <v>0</v>
      </c>
      <c r="P31" s="89">
        <f t="shared" si="5"/>
        <v>0</v>
      </c>
    </row>
    <row r="32" spans="1:16">
      <c r="A32" t="s">
        <v>996</v>
      </c>
      <c r="B32" s="45">
        <f>'KY_Cost Plant Acct-Gas-P20(Fin)'!B32+'KY_Cost Plant Acct-Gas-P20(Fin)'!B90</f>
        <v>2286752</v>
      </c>
      <c r="C32" s="52"/>
      <c r="D32" s="45">
        <f>'KY_Cost Plant Acct-Gas-P20(Fin)'!D32+'KY_Cost Plant Acct-Gas-P20(Fin)'!D90</f>
        <v>0</v>
      </c>
      <c r="E32" s="52"/>
      <c r="F32" s="45">
        <f>'KY_Cost Plant Acct-Gas-P20(Fin)'!F32</f>
        <v>0</v>
      </c>
      <c r="G32" s="52"/>
      <c r="H32" s="45">
        <f>'KY_Cost Plant Acct-Gas-P20(Fin)'!H32</f>
        <v>0</v>
      </c>
      <c r="I32" s="52"/>
      <c r="J32" s="52">
        <f t="shared" si="3"/>
        <v>0</v>
      </c>
      <c r="K32" s="52"/>
      <c r="L32" s="52">
        <f t="shared" si="4"/>
        <v>2286752</v>
      </c>
      <c r="M32" s="55"/>
      <c r="N32" s="89">
        <f>'KY_Res by Plant Acct-P29 (Fin)'!R360</f>
        <v>-2017709.3499999996</v>
      </c>
      <c r="P32" s="89">
        <f t="shared" si="5"/>
        <v>269042.65000000037</v>
      </c>
    </row>
    <row r="33" spans="1:16">
      <c r="A33" t="s">
        <v>997</v>
      </c>
      <c r="B33" s="48">
        <f>'KY_Cost Plant Acct-Gas-P20(Fin)'!B33+'KY_Cost Plant Acct-Gas-P20(Fin)'!B91</f>
        <v>177781.8</v>
      </c>
      <c r="C33" s="52"/>
      <c r="D33" s="48">
        <f>'KY_Cost Plant Acct-Gas-P20(Fin)'!D33+'KY_Cost Plant Acct-Gas-P20(Fin)'!D91</f>
        <v>0</v>
      </c>
      <c r="E33" s="52"/>
      <c r="F33" s="48">
        <f>'KY_Cost Plant Acct-Gas-P20(Fin)'!F33</f>
        <v>0</v>
      </c>
      <c r="G33" s="52"/>
      <c r="H33" s="48">
        <f>'KY_Cost Plant Acct-Gas-P20(Fin)'!H33</f>
        <v>0</v>
      </c>
      <c r="I33" s="52"/>
      <c r="J33" s="48">
        <f t="shared" si="3"/>
        <v>0</v>
      </c>
      <c r="K33" s="52"/>
      <c r="L33" s="48">
        <f t="shared" si="4"/>
        <v>177781.8</v>
      </c>
      <c r="M33" s="55"/>
      <c r="N33" s="90">
        <f>'KY_Res by Plant Acct-P29 (Fin)'!R361</f>
        <v>-37541.699999999997</v>
      </c>
      <c r="P33" s="90">
        <f t="shared" si="5"/>
        <v>140240.09999999998</v>
      </c>
    </row>
    <row r="34" spans="1:16">
      <c r="B34" s="52">
        <f>SUM(B28:B33)</f>
        <v>8467246.25</v>
      </c>
      <c r="C34" s="52"/>
      <c r="D34" s="52">
        <f>SUM(D28:D33)</f>
        <v>512974.73</v>
      </c>
      <c r="E34" s="52"/>
      <c r="F34" s="52">
        <f>SUM(F28:F33)</f>
        <v>0</v>
      </c>
      <c r="G34" s="52"/>
      <c r="H34" s="52">
        <f>SUM(H28:H33)</f>
        <v>0</v>
      </c>
      <c r="I34" s="52"/>
      <c r="J34" s="52">
        <f>SUM(J28:J33)</f>
        <v>512974.73</v>
      </c>
      <c r="K34" s="52"/>
      <c r="L34" s="52">
        <f>SUM(L28:L33)</f>
        <v>8980220.9800000004</v>
      </c>
      <c r="M34" s="55"/>
      <c r="N34" s="89">
        <f>SUM(N28:N33)</f>
        <v>-4908557.6899999995</v>
      </c>
      <c r="P34" s="89">
        <f>SUM(P28:P33)</f>
        <v>4071663.2900000014</v>
      </c>
    </row>
    <row r="35" spans="1:16">
      <c r="B35" s="52"/>
      <c r="C35" s="52"/>
      <c r="D35" s="52"/>
      <c r="E35" s="52"/>
      <c r="F35" s="52"/>
      <c r="G35" s="52"/>
      <c r="H35" s="52"/>
      <c r="I35" s="52"/>
      <c r="J35" s="52"/>
      <c r="K35" s="52"/>
      <c r="L35" s="52"/>
      <c r="M35" s="55"/>
    </row>
    <row r="36" spans="1:16">
      <c r="A36" s="3" t="s">
        <v>123</v>
      </c>
      <c r="B36" s="52"/>
      <c r="C36" s="52"/>
      <c r="D36" s="52"/>
      <c r="E36" s="52"/>
      <c r="F36" s="52"/>
      <c r="G36" s="52"/>
      <c r="H36" s="52"/>
      <c r="I36" s="52"/>
      <c r="J36" s="52"/>
      <c r="K36" s="52"/>
      <c r="L36" s="52"/>
      <c r="M36" s="55"/>
    </row>
    <row r="37" spans="1:16">
      <c r="A37" t="s">
        <v>998</v>
      </c>
      <c r="B37" s="48">
        <f>'KY_Cost Plant Acct-Gas-P20(Fin)'!B37</f>
        <v>387.49</v>
      </c>
      <c r="C37" s="52"/>
      <c r="D37" s="48">
        <f>'KY_Cost Plant Acct-Gas-P20(Fin)'!D37</f>
        <v>0</v>
      </c>
      <c r="E37" s="52"/>
      <c r="F37" s="48">
        <f>'KY_Cost Plant Acct-Gas-P20(Fin)'!F37</f>
        <v>0</v>
      </c>
      <c r="G37" s="52"/>
      <c r="H37" s="48">
        <f>'KY_Cost Plant Acct-Gas-P20(Fin)'!H37</f>
        <v>0</v>
      </c>
      <c r="I37" s="52"/>
      <c r="J37" s="48">
        <f>H37+F37+D37</f>
        <v>0</v>
      </c>
      <c r="K37" s="52"/>
      <c r="L37" s="48">
        <f>J37+B37</f>
        <v>387.49</v>
      </c>
      <c r="M37" s="55"/>
      <c r="N37" s="90">
        <f>'KY_Res by Plant Acct-P29 (Fin)'!R397</f>
        <v>0</v>
      </c>
      <c r="P37" s="90">
        <f>L37+N37</f>
        <v>387.49</v>
      </c>
    </row>
    <row r="38" spans="1:16">
      <c r="B38" s="52">
        <f>SUM(B37)</f>
        <v>387.49</v>
      </c>
      <c r="C38" s="52"/>
      <c r="D38" s="52">
        <f>SUM(D37)</f>
        <v>0</v>
      </c>
      <c r="E38" s="52"/>
      <c r="F38" s="52">
        <f>SUM(F37)</f>
        <v>0</v>
      </c>
      <c r="G38" s="52"/>
      <c r="H38" s="52">
        <f>SUM(H37)</f>
        <v>0</v>
      </c>
      <c r="I38" s="52"/>
      <c r="J38" s="52">
        <f>SUM(J37)</f>
        <v>0</v>
      </c>
      <c r="K38" s="52"/>
      <c r="L38" s="52">
        <f>SUM(L37)</f>
        <v>387.49</v>
      </c>
      <c r="M38" s="55"/>
      <c r="N38" s="89">
        <f>SUM(N37)</f>
        <v>0</v>
      </c>
      <c r="P38" s="89">
        <f>SUM(P37)</f>
        <v>387.49</v>
      </c>
    </row>
    <row r="39" spans="1:16">
      <c r="B39" s="52"/>
      <c r="C39" s="52"/>
      <c r="D39" s="52"/>
      <c r="E39" s="52"/>
      <c r="F39" s="52"/>
      <c r="G39" s="52"/>
      <c r="H39" s="52"/>
      <c r="I39" s="52"/>
      <c r="J39" s="52"/>
      <c r="K39" s="52"/>
      <c r="L39" s="52"/>
      <c r="M39" s="55"/>
    </row>
    <row r="40" spans="1:16">
      <c r="A40" s="3" t="s">
        <v>124</v>
      </c>
      <c r="B40" s="52"/>
      <c r="C40" s="52"/>
      <c r="D40" s="52"/>
      <c r="E40" s="52"/>
      <c r="F40" s="52"/>
      <c r="G40" s="52"/>
      <c r="H40" s="52"/>
      <c r="I40" s="52"/>
      <c r="J40" s="52"/>
      <c r="K40" s="52"/>
      <c r="L40" s="52"/>
      <c r="M40" s="55"/>
    </row>
    <row r="41" spans="1:16">
      <c r="A41" t="s">
        <v>13</v>
      </c>
      <c r="B41" s="52">
        <f>'KY_Cost Plant Acct-Gas-P20(Fin)'!B41</f>
        <v>29500.57</v>
      </c>
      <c r="C41" s="52"/>
      <c r="D41" s="52">
        <f>'KY_Cost Plant Acct-Gas-P20(Fin)'!D41</f>
        <v>0</v>
      </c>
      <c r="E41" s="52"/>
      <c r="F41" s="52">
        <f>'KY_Cost Plant Acct-Gas-P20(Fin)'!F41</f>
        <v>0</v>
      </c>
      <c r="G41" s="52"/>
      <c r="H41" s="52">
        <f>'KY_Cost Plant Acct-Gas-P20(Fin)'!H41</f>
        <v>0</v>
      </c>
      <c r="I41" s="52"/>
      <c r="J41" s="52">
        <f t="shared" ref="J41:J58" si="6">H41+F41+D41</f>
        <v>0</v>
      </c>
      <c r="K41" s="52"/>
      <c r="L41" s="52">
        <f t="shared" ref="L41:L58" si="7">J41+B41</f>
        <v>29500.57</v>
      </c>
      <c r="M41" s="55"/>
      <c r="N41" s="89">
        <f>'KY_Res by Plant Acct-P29 (Fin)'!R366</f>
        <v>0</v>
      </c>
      <c r="P41" s="89">
        <f t="shared" ref="P41:P58" si="8">L41+N41</f>
        <v>29500.57</v>
      </c>
    </row>
    <row r="42" spans="1:16">
      <c r="A42" t="s">
        <v>559</v>
      </c>
      <c r="B42" s="52">
        <f>'KY_Cost Plant Acct-Gas-P20(Fin)'!B42</f>
        <v>95613.59</v>
      </c>
      <c r="C42" s="52"/>
      <c r="D42" s="52">
        <f>'KY_Cost Plant Acct-Gas-P20(Fin)'!D42</f>
        <v>0</v>
      </c>
      <c r="E42" s="52"/>
      <c r="F42" s="52">
        <f>'KY_Cost Plant Acct-Gas-P20(Fin)'!F42</f>
        <v>0</v>
      </c>
      <c r="G42" s="52"/>
      <c r="H42" s="52">
        <f>'KY_Cost Plant Acct-Gas-P20(Fin)'!H42</f>
        <v>0</v>
      </c>
      <c r="I42" s="52"/>
      <c r="J42" s="52">
        <f t="shared" si="6"/>
        <v>0</v>
      </c>
      <c r="K42" s="52"/>
      <c r="L42" s="52">
        <f t="shared" si="7"/>
        <v>95613.59</v>
      </c>
      <c r="M42" s="55"/>
      <c r="N42" s="89">
        <f>'KY_Res by Plant Acct-P29 (Fin)'!R367</f>
        <v>-70451.45</v>
      </c>
      <c r="P42" s="89">
        <f t="shared" si="8"/>
        <v>25162.14</v>
      </c>
    </row>
    <row r="43" spans="1:16">
      <c r="A43" t="s">
        <v>560</v>
      </c>
      <c r="B43" s="52">
        <f>'KY_Cost Plant Acct-Gas-P20(Fin)'!B43+'KY_Cost Plant Acct-Gas-P20(Fin)'!B95</f>
        <v>5410190.919999999</v>
      </c>
      <c r="C43" s="52"/>
      <c r="D43" s="52">
        <f>'KY_Cost Plant Acct-Gas-P20(Fin)'!D43+'KY_Cost Plant Acct-Gas-P20(Fin)'!D95</f>
        <v>15818.620000000003</v>
      </c>
      <c r="E43" s="52"/>
      <c r="F43" s="52">
        <f>'KY_Cost Plant Acct-Gas-P20(Fin)'!F43</f>
        <v>0</v>
      </c>
      <c r="G43" s="52"/>
      <c r="H43" s="52">
        <f>'KY_Cost Plant Acct-Gas-P20(Fin)'!H43</f>
        <v>0</v>
      </c>
      <c r="I43" s="52"/>
      <c r="J43" s="52">
        <f t="shared" si="6"/>
        <v>15818.620000000003</v>
      </c>
      <c r="K43" s="52"/>
      <c r="L43" s="52">
        <f t="shared" si="7"/>
        <v>5426009.5399999991</v>
      </c>
      <c r="M43" s="55"/>
      <c r="N43" s="89">
        <f>'KY_Res by Plant Acct-P29 (Fin)'!R368</f>
        <v>-951718.32000000007</v>
      </c>
      <c r="P43" s="89">
        <f t="shared" si="8"/>
        <v>4474291.2199999988</v>
      </c>
    </row>
    <row r="44" spans="1:16">
      <c r="A44" t="s">
        <v>561</v>
      </c>
      <c r="B44" s="52">
        <f>'KY_Cost Plant Acct-Gas-P20(Fin)'!B44</f>
        <v>33151.61</v>
      </c>
      <c r="C44" s="52"/>
      <c r="D44" s="52">
        <f>'KY_Cost Plant Acct-Gas-P20(Fin)'!D44</f>
        <v>0</v>
      </c>
      <c r="E44" s="52"/>
      <c r="F44" s="52">
        <f>'KY_Cost Plant Acct-Gas-P20(Fin)'!F44</f>
        <v>0</v>
      </c>
      <c r="G44" s="52"/>
      <c r="H44" s="52">
        <f>'KY_Cost Plant Acct-Gas-P20(Fin)'!H44</f>
        <v>0</v>
      </c>
      <c r="I44" s="52"/>
      <c r="J44" s="52">
        <f t="shared" si="6"/>
        <v>0</v>
      </c>
      <c r="K44" s="52"/>
      <c r="L44" s="52">
        <f t="shared" si="7"/>
        <v>33151.61</v>
      </c>
      <c r="M44" s="55"/>
      <c r="N44" s="89">
        <f>'KY_Res by Plant Acct-P29 (Fin)'!R369</f>
        <v>-14636.49</v>
      </c>
      <c r="P44" s="89">
        <f t="shared" si="8"/>
        <v>18515.120000000003</v>
      </c>
    </row>
    <row r="45" spans="1:16">
      <c r="A45" t="s">
        <v>14</v>
      </c>
      <c r="B45" s="52">
        <f>'KY_Cost Plant Acct-Gas-P20(Fin)'!B45+'KY_Cost Plant Acct-Gas-P20(Fin)'!B96</f>
        <v>2113071.91</v>
      </c>
      <c r="C45" s="52"/>
      <c r="D45" s="52">
        <f>'KY_Cost Plant Acct-Gas-P20(Fin)'!D45+'KY_Cost Plant Acct-Gas-P20(Fin)'!D96</f>
        <v>26259.07</v>
      </c>
      <c r="E45" s="52"/>
      <c r="F45" s="52">
        <f>'KY_Cost Plant Acct-Gas-P20(Fin)'!F45</f>
        <v>0</v>
      </c>
      <c r="G45" s="52"/>
      <c r="H45" s="52">
        <f>'KY_Cost Plant Acct-Gas-P20(Fin)'!H45</f>
        <v>0</v>
      </c>
      <c r="I45" s="52"/>
      <c r="J45" s="52">
        <f t="shared" si="6"/>
        <v>26259.07</v>
      </c>
      <c r="K45" s="52"/>
      <c r="L45" s="52">
        <f t="shared" si="7"/>
        <v>2139330.98</v>
      </c>
      <c r="M45" s="55"/>
      <c r="N45" s="89">
        <f>'KY_Res by Plant Acct-P29 (Fin)'!R370</f>
        <v>-730068.38</v>
      </c>
      <c r="P45" s="89">
        <f t="shared" si="8"/>
        <v>1409262.6</v>
      </c>
    </row>
    <row r="46" spans="1:16">
      <c r="A46" t="s">
        <v>562</v>
      </c>
      <c r="B46" s="52">
        <f>'KY_Cost Plant Acct-Gas-P20(Fin)'!B46</f>
        <v>548241.14</v>
      </c>
      <c r="C46" s="52"/>
      <c r="D46" s="52">
        <f>'KY_Cost Plant Acct-Gas-P20(Fin)'!D46</f>
        <v>0</v>
      </c>
      <c r="E46" s="52"/>
      <c r="F46" s="52">
        <f>'KY_Cost Plant Acct-Gas-P20(Fin)'!F46</f>
        <v>0</v>
      </c>
      <c r="G46" s="52"/>
      <c r="H46" s="52">
        <f>'KY_Cost Plant Acct-Gas-P20(Fin)'!H46</f>
        <v>0</v>
      </c>
      <c r="I46" s="52"/>
      <c r="J46" s="52">
        <f t="shared" si="6"/>
        <v>0</v>
      </c>
      <c r="K46" s="52"/>
      <c r="L46" s="52">
        <f t="shared" si="7"/>
        <v>548241.14</v>
      </c>
      <c r="M46" s="55"/>
      <c r="N46" s="89">
        <f>'KY_Res by Plant Acct-P29 (Fin)'!R371</f>
        <v>-569589.96</v>
      </c>
      <c r="P46" s="89">
        <f t="shared" si="8"/>
        <v>-21348.819999999949</v>
      </c>
    </row>
    <row r="47" spans="1:16">
      <c r="A47" t="s">
        <v>563</v>
      </c>
      <c r="B47" s="52">
        <f>'KY_Cost Plant Acct-Gas-P20(Fin)'!B47</f>
        <v>400511.4</v>
      </c>
      <c r="C47" s="52"/>
      <c r="D47" s="52">
        <f>'KY_Cost Plant Acct-Gas-P20(Fin)'!D47</f>
        <v>0</v>
      </c>
      <c r="E47" s="52"/>
      <c r="F47" s="52">
        <f>'KY_Cost Plant Acct-Gas-P20(Fin)'!F47</f>
        <v>0</v>
      </c>
      <c r="G47" s="52"/>
      <c r="H47" s="52">
        <f>'KY_Cost Plant Acct-Gas-P20(Fin)'!H47</f>
        <v>0</v>
      </c>
      <c r="I47" s="52"/>
      <c r="J47" s="52">
        <f t="shared" si="6"/>
        <v>0</v>
      </c>
      <c r="K47" s="52"/>
      <c r="L47" s="52">
        <f t="shared" si="7"/>
        <v>400511.4</v>
      </c>
      <c r="M47" s="55"/>
      <c r="N47" s="89">
        <f>'KY_Res by Plant Acct-P29 (Fin)'!R372</f>
        <v>-452027.29</v>
      </c>
      <c r="P47" s="89">
        <f t="shared" si="8"/>
        <v>-51515.889999999956</v>
      </c>
    </row>
    <row r="48" spans="1:16">
      <c r="A48" t="s">
        <v>564</v>
      </c>
      <c r="B48" s="52">
        <f>'KY_Cost Plant Acct-Gas-P20(Fin)'!B48</f>
        <v>9648855</v>
      </c>
      <c r="C48" s="52"/>
      <c r="D48" s="52">
        <f>'KY_Cost Plant Acct-Gas-P20(Fin)'!D48</f>
        <v>0</v>
      </c>
      <c r="E48" s="52"/>
      <c r="F48" s="52">
        <f>'KY_Cost Plant Acct-Gas-P20(Fin)'!F48</f>
        <v>0</v>
      </c>
      <c r="G48" s="52"/>
      <c r="H48" s="52">
        <f>'KY_Cost Plant Acct-Gas-P20(Fin)'!H48</f>
        <v>0</v>
      </c>
      <c r="I48" s="52"/>
      <c r="J48" s="52">
        <f t="shared" si="6"/>
        <v>0</v>
      </c>
      <c r="K48" s="52"/>
      <c r="L48" s="52">
        <f t="shared" si="7"/>
        <v>9648855</v>
      </c>
      <c r="M48" s="55"/>
      <c r="N48" s="89">
        <f>'KY_Res by Plant Acct-P29 (Fin)'!R373</f>
        <v>-7794568.9999999991</v>
      </c>
      <c r="P48" s="89">
        <f t="shared" si="8"/>
        <v>1854286.0000000009</v>
      </c>
    </row>
    <row r="49" spans="1:16">
      <c r="A49" t="s">
        <v>15</v>
      </c>
      <c r="B49" s="52">
        <f>'KY_Cost Plant Acct-Gas-P20(Fin)'!B49</f>
        <v>2079488.3099999998</v>
      </c>
      <c r="C49" s="52"/>
      <c r="D49" s="52">
        <f>'KY_Cost Plant Acct-Gas-P20(Fin)'!D49</f>
        <v>0</v>
      </c>
      <c r="E49" s="52"/>
      <c r="F49" s="52">
        <f>'KY_Cost Plant Acct-Gas-P20(Fin)'!F49</f>
        <v>0</v>
      </c>
      <c r="G49" s="52"/>
      <c r="H49" s="52">
        <f>'KY_Cost Plant Acct-Gas-P20(Fin)'!H49</f>
        <v>0</v>
      </c>
      <c r="I49" s="52"/>
      <c r="J49" s="52">
        <f t="shared" si="6"/>
        <v>0</v>
      </c>
      <c r="K49" s="52"/>
      <c r="L49" s="52">
        <f t="shared" si="7"/>
        <v>2079488.3099999998</v>
      </c>
      <c r="M49" s="55"/>
      <c r="N49" s="89">
        <f>'KY_Res by Plant Acct-P29 (Fin)'!R374</f>
        <v>-2082099.53</v>
      </c>
      <c r="P49" s="89">
        <f t="shared" si="8"/>
        <v>-2611.2200000002049</v>
      </c>
    </row>
    <row r="50" spans="1:16">
      <c r="A50" t="s">
        <v>1093</v>
      </c>
      <c r="B50" s="52">
        <f>'KY_Cost Plant Acct-Gas-P20(Fin)'!B50+'KY_Cost Plant Acct-Gas-P20(Fin)'!B97</f>
        <v>3303148.58</v>
      </c>
      <c r="C50" s="52"/>
      <c r="D50" s="52">
        <f>'KY_Cost Plant Acct-Gas-P20(Fin)'!D50+'KY_Cost Plant Acct-Gas-P20(Fin)'!D97</f>
        <v>309537.40000000002</v>
      </c>
      <c r="E50" s="52"/>
      <c r="F50" s="52">
        <f>'KY_Cost Plant Acct-Gas-P20(Fin)'!F50</f>
        <v>0</v>
      </c>
      <c r="G50" s="52"/>
      <c r="H50" s="52">
        <f>'KY_Cost Plant Acct-Gas-P20(Fin)'!H50</f>
        <v>0</v>
      </c>
      <c r="I50" s="52"/>
      <c r="J50" s="52">
        <f t="shared" si="6"/>
        <v>309537.40000000002</v>
      </c>
      <c r="K50" s="52"/>
      <c r="L50" s="52">
        <f t="shared" si="7"/>
        <v>3612685.98</v>
      </c>
      <c r="M50" s="55"/>
      <c r="N50" s="89">
        <f>'KY_Res by Plant Acct-P29 (Fin)'!R375</f>
        <v>-537744.00999999978</v>
      </c>
      <c r="P50" s="89">
        <f t="shared" si="8"/>
        <v>3074941.97</v>
      </c>
    </row>
    <row r="51" spans="1:16">
      <c r="A51" t="s">
        <v>1092</v>
      </c>
      <c r="B51" s="52">
        <f>'KY_Cost Plant Acct-Gas-P20(Fin)'!B51+'KY_Cost Plant Acct-Gas-P20(Fin)'!B98</f>
        <v>4774777.2699999996</v>
      </c>
      <c r="C51" s="52"/>
      <c r="D51" s="52">
        <f>'KY_Cost Plant Acct-Gas-P20(Fin)'!D51+'KY_Cost Plant Acct-Gas-P20(Fin)'!D98</f>
        <v>821452.38</v>
      </c>
      <c r="E51" s="52"/>
      <c r="F51" s="52">
        <f>'KY_Cost Plant Acct-Gas-P20(Fin)'!F51</f>
        <v>0</v>
      </c>
      <c r="G51" s="52"/>
      <c r="H51" s="52">
        <f>'KY_Cost Plant Acct-Gas-P20(Fin)'!H51</f>
        <v>0</v>
      </c>
      <c r="I51" s="52"/>
      <c r="J51" s="52">
        <f t="shared" si="6"/>
        <v>821452.38</v>
      </c>
      <c r="K51" s="52"/>
      <c r="L51" s="52">
        <f>J51+B51</f>
        <v>5596229.6499999994</v>
      </c>
      <c r="M51" s="55"/>
      <c r="N51" s="89">
        <f>'KY_Res by Plant Acct-P29 (Fin)'!R376</f>
        <v>563687.18999999994</v>
      </c>
      <c r="P51" s="89">
        <f t="shared" si="8"/>
        <v>6159916.8399999999</v>
      </c>
    </row>
    <row r="52" spans="1:16">
      <c r="A52" t="s">
        <v>16</v>
      </c>
      <c r="B52" s="52">
        <f>'KY_Cost Plant Acct-Gas-P20(Fin)'!B52+'KY_Cost Plant Acct-Gas-P20(Fin)'!B99</f>
        <v>13420154.039999997</v>
      </c>
      <c r="C52" s="52"/>
      <c r="D52" s="52">
        <f>'KY_Cost Plant Acct-Gas-P20(Fin)'!D52+'KY_Cost Plant Acct-Gas-P20(Fin)'!D99</f>
        <v>9222.4100000000035</v>
      </c>
      <c r="E52" s="52"/>
      <c r="F52" s="52">
        <f>'KY_Cost Plant Acct-Gas-P20(Fin)'!F52</f>
        <v>-18547.78</v>
      </c>
      <c r="G52" s="52"/>
      <c r="H52" s="52">
        <f>'KY_Cost Plant Acct-Gas-P20(Fin)'!H52</f>
        <v>0</v>
      </c>
      <c r="I52" s="52"/>
      <c r="J52" s="52">
        <f t="shared" si="6"/>
        <v>-9325.3699999999953</v>
      </c>
      <c r="K52" s="52"/>
      <c r="L52" s="52">
        <f t="shared" si="7"/>
        <v>13410828.669999998</v>
      </c>
      <c r="M52" s="55"/>
      <c r="N52" s="89">
        <f>'KY_Res by Plant Acct-P29 (Fin)'!R377</f>
        <v>-6795255.4599999981</v>
      </c>
      <c r="P52" s="89">
        <f t="shared" si="8"/>
        <v>6615573.21</v>
      </c>
    </row>
    <row r="53" spans="1:16">
      <c r="A53" t="s">
        <v>565</v>
      </c>
      <c r="B53" s="52">
        <f>'KY_Cost Plant Acct-Gas-P20(Fin)'!B53+'KY_Cost Plant Acct-Gas-P20(Fin)'!B100</f>
        <v>16329314.84</v>
      </c>
      <c r="C53" s="52"/>
      <c r="D53" s="52">
        <f>'KY_Cost Plant Acct-Gas-P20(Fin)'!D53+'KY_Cost Plant Acct-Gas-P20(Fin)'!D100</f>
        <v>803798.99</v>
      </c>
      <c r="E53" s="52"/>
      <c r="F53" s="52">
        <f>'KY_Cost Plant Acct-Gas-P20(Fin)'!F53</f>
        <v>-27481.74</v>
      </c>
      <c r="G53" s="52"/>
      <c r="H53" s="52">
        <f>'KY_Cost Plant Acct-Gas-P20(Fin)'!H53</f>
        <v>-49284.1</v>
      </c>
      <c r="I53" s="52"/>
      <c r="J53" s="52">
        <f t="shared" si="6"/>
        <v>727033.15</v>
      </c>
      <c r="K53" s="52"/>
      <c r="L53" s="52">
        <f t="shared" si="7"/>
        <v>17056347.989999998</v>
      </c>
      <c r="M53" s="55"/>
      <c r="N53" s="89">
        <f>'KY_Res by Plant Acct-P29 (Fin)'!R378</f>
        <v>-4235094.5500000007</v>
      </c>
      <c r="P53" s="89">
        <f t="shared" si="8"/>
        <v>12821253.439999998</v>
      </c>
    </row>
    <row r="54" spans="1:16">
      <c r="A54" t="s">
        <v>566</v>
      </c>
      <c r="B54" s="52">
        <f>'KY_Cost Plant Acct-Gas-P20(Fin)'!B54+'KY_Cost Plant Acct-Gas-P20(Fin)'!B101</f>
        <v>524849.76</v>
      </c>
      <c r="C54" s="52"/>
      <c r="D54" s="52">
        <f>'KY_Cost Plant Acct-Gas-P20(Fin)'!D54+'KY_Cost Plant Acct-Gas-P20(Fin)'!D101</f>
        <v>0</v>
      </c>
      <c r="E54" s="52"/>
      <c r="F54" s="52">
        <f>'KY_Cost Plant Acct-Gas-P20(Fin)'!F54</f>
        <v>0</v>
      </c>
      <c r="G54" s="52"/>
      <c r="H54" s="52">
        <f>'KY_Cost Plant Acct-Gas-P20(Fin)'!H54</f>
        <v>0</v>
      </c>
      <c r="I54" s="52"/>
      <c r="J54" s="52">
        <f t="shared" si="6"/>
        <v>0</v>
      </c>
      <c r="K54" s="52"/>
      <c r="L54" s="52">
        <f t="shared" si="7"/>
        <v>524849.76</v>
      </c>
      <c r="M54" s="55"/>
      <c r="N54" s="89">
        <f>'KY_Res by Plant Acct-P29 (Fin)'!R379</f>
        <v>-284610</v>
      </c>
      <c r="P54" s="89">
        <f t="shared" si="8"/>
        <v>240239.76</v>
      </c>
    </row>
    <row r="55" spans="1:16">
      <c r="A55" t="s">
        <v>567</v>
      </c>
      <c r="B55" s="52">
        <f>'KY_Cost Plant Acct-Gas-P20(Fin)'!B55+'KY_Cost Plant Acct-Gas-P20(Fin)'!B102</f>
        <v>11973222.450000001</v>
      </c>
      <c r="C55" s="52"/>
      <c r="D55" s="52">
        <f>'KY_Cost Plant Acct-Gas-P20(Fin)'!D55+'KY_Cost Plant Acct-Gas-P20(Fin)'!D102</f>
        <v>1326933.4300000002</v>
      </c>
      <c r="E55" s="52"/>
      <c r="F55" s="52">
        <f>'KY_Cost Plant Acct-Gas-P20(Fin)'!F55</f>
        <v>-9008.6299999999992</v>
      </c>
      <c r="G55" s="52"/>
      <c r="H55" s="52">
        <f>'KY_Cost Plant Acct-Gas-P20(Fin)'!H55</f>
        <v>49284.1</v>
      </c>
      <c r="I55" s="52"/>
      <c r="J55" s="52">
        <f t="shared" si="6"/>
        <v>1367208.9000000001</v>
      </c>
      <c r="K55" s="52"/>
      <c r="L55" s="52">
        <f t="shared" si="7"/>
        <v>13340431.350000001</v>
      </c>
      <c r="M55" s="55"/>
      <c r="N55" s="89">
        <f>'KY_Res by Plant Acct-P29 (Fin)'!R380</f>
        <v>-5350736.7600000016</v>
      </c>
      <c r="P55" s="89">
        <f t="shared" si="8"/>
        <v>7989694.5899999999</v>
      </c>
    </row>
    <row r="56" spans="1:16">
      <c r="A56" t="s">
        <v>17</v>
      </c>
      <c r="B56" s="52">
        <f>'KY_Cost Plant Acct-Gas-P20(Fin)'!B56+'KY_Cost Plant Acct-Gas-P20(Fin)'!B103</f>
        <v>1235646.8500000001</v>
      </c>
      <c r="C56" s="52"/>
      <c r="D56" s="52">
        <f>'KY_Cost Plant Acct-Gas-P20(Fin)'!D56+'KY_Cost Plant Acct-Gas-P20(Fin)'!D103</f>
        <v>40844.15</v>
      </c>
      <c r="E56" s="52"/>
      <c r="F56" s="52">
        <f>'KY_Cost Plant Acct-Gas-P20(Fin)'!F56+'KY_Cost Plant Acct-Gas-P20(Fin)'!F103</f>
        <v>0</v>
      </c>
      <c r="G56" s="52"/>
      <c r="H56" s="52">
        <f>'KY_Cost Plant Acct-Gas-P20(Fin)'!H56+'KY_Cost Plant Acct-Gas-P20(Fin)'!H103</f>
        <v>0</v>
      </c>
      <c r="I56" s="52"/>
      <c r="J56" s="52">
        <f t="shared" si="6"/>
        <v>40844.15</v>
      </c>
      <c r="K56" s="52"/>
      <c r="L56" s="52">
        <f t="shared" si="7"/>
        <v>1276491</v>
      </c>
      <c r="M56" s="55"/>
      <c r="N56" s="89">
        <f>'KY_Res by Plant Acct-P29 (Fin)'!R381</f>
        <v>-308285.8</v>
      </c>
      <c r="P56" s="89">
        <f t="shared" si="8"/>
        <v>968205.2</v>
      </c>
    </row>
    <row r="57" spans="1:16">
      <c r="A57" t="s">
        <v>568</v>
      </c>
      <c r="B57" s="52">
        <f>'KY_Cost Plant Acct-Gas-P20(Fin)'!B57</f>
        <v>30876.410000000003</v>
      </c>
      <c r="C57" s="52"/>
      <c r="D57" s="52">
        <f>'KY_Cost Plant Acct-Gas-P20(Fin)'!D57</f>
        <v>0</v>
      </c>
      <c r="E57" s="52"/>
      <c r="F57" s="52">
        <f>'KY_Cost Plant Acct-Gas-P20(Fin)'!F57</f>
        <v>0</v>
      </c>
      <c r="G57" s="52"/>
      <c r="H57" s="52">
        <f>'KY_Cost Plant Acct-Gas-P20(Fin)'!H57</f>
        <v>0</v>
      </c>
      <c r="I57" s="52"/>
      <c r="J57" s="52">
        <f t="shared" si="6"/>
        <v>0</v>
      </c>
      <c r="K57" s="52"/>
      <c r="L57" s="52">
        <f t="shared" si="7"/>
        <v>30876.410000000003</v>
      </c>
      <c r="M57" s="55"/>
      <c r="N57" s="89">
        <f>'KY_Res by Plant Acct-P29 (Fin)'!R382</f>
        <v>-742.03000000000259</v>
      </c>
      <c r="P57" s="89">
        <f t="shared" si="8"/>
        <v>30134.38</v>
      </c>
    </row>
    <row r="58" spans="1:16">
      <c r="A58" t="s">
        <v>569</v>
      </c>
      <c r="B58" s="48">
        <f>'KY_Cost Plant Acct-Gas-P20(Fin)'!B58</f>
        <v>5170297.07</v>
      </c>
      <c r="C58" s="52"/>
      <c r="D58" s="48">
        <f>'KY_Cost Plant Acct-Gas-P20(Fin)'!D58</f>
        <v>0</v>
      </c>
      <c r="E58" s="52"/>
      <c r="F58" s="48">
        <f>'KY_Cost Plant Acct-Gas-P20(Fin)'!F58</f>
        <v>0</v>
      </c>
      <c r="G58" s="52"/>
      <c r="H58" s="48">
        <f>'KY_Cost Plant Acct-Gas-P20(Fin)'!H58</f>
        <v>0</v>
      </c>
      <c r="I58" s="52"/>
      <c r="J58" s="48">
        <f t="shared" si="6"/>
        <v>0</v>
      </c>
      <c r="K58" s="52"/>
      <c r="L58" s="48">
        <f t="shared" si="7"/>
        <v>5170297.07</v>
      </c>
      <c r="M58" s="55"/>
      <c r="N58" s="90">
        <f>'KY_Res by Plant Acct-P29 (Fin)'!R383</f>
        <v>-311854.54999999993</v>
      </c>
      <c r="P58" s="90">
        <f t="shared" si="8"/>
        <v>4858442.5200000005</v>
      </c>
    </row>
    <row r="59" spans="1:16">
      <c r="B59" s="52">
        <f>SUM(B41:B58)</f>
        <v>77120911.719999969</v>
      </c>
      <c r="C59" s="52"/>
      <c r="D59" s="52">
        <f>SUM(D41:D58)</f>
        <v>3353866.4499999997</v>
      </c>
      <c r="E59" s="52"/>
      <c r="F59" s="52">
        <f>SUM(F41:F58)</f>
        <v>-55038.15</v>
      </c>
      <c r="G59" s="52"/>
      <c r="H59" s="52">
        <f>SUM(H41:H58)</f>
        <v>0</v>
      </c>
      <c r="I59" s="52"/>
      <c r="J59" s="52">
        <f>SUM(J41:J58)</f>
        <v>3298828.3000000003</v>
      </c>
      <c r="K59" s="52"/>
      <c r="L59" s="52">
        <f>SUM(L41:L58)</f>
        <v>80419740.019999981</v>
      </c>
      <c r="M59" s="55"/>
      <c r="N59" s="89">
        <f>SUM(N41:N58)</f>
        <v>-29925796.390000001</v>
      </c>
      <c r="P59" s="89">
        <f>SUM(P41:P58)</f>
        <v>50493943.63000001</v>
      </c>
    </row>
    <row r="60" spans="1:16">
      <c r="B60" s="45"/>
      <c r="C60" s="45"/>
      <c r="D60" s="45"/>
      <c r="E60" s="45"/>
      <c r="F60" s="45"/>
      <c r="G60" s="45"/>
      <c r="H60" s="45"/>
      <c r="I60" s="45"/>
      <c r="J60" s="45"/>
      <c r="K60" s="45"/>
      <c r="L60" s="45"/>
      <c r="M60" s="4"/>
    </row>
    <row r="61" spans="1:16">
      <c r="A61" s="3" t="s">
        <v>125</v>
      </c>
      <c r="B61" s="45"/>
      <c r="C61" s="45"/>
      <c r="D61" s="45"/>
      <c r="E61" s="45"/>
      <c r="F61" s="45"/>
      <c r="G61" s="45"/>
      <c r="H61" s="45"/>
      <c r="I61" s="45"/>
      <c r="J61" s="45"/>
      <c r="K61" s="45"/>
      <c r="L61" s="45"/>
      <c r="M61" s="4"/>
    </row>
    <row r="62" spans="1:16">
      <c r="A62" t="s">
        <v>570</v>
      </c>
      <c r="B62" s="45">
        <f>'KY_Cost Plant Acct-Gas-P20(Fin)'!B62</f>
        <v>220659.05</v>
      </c>
      <c r="C62" s="45"/>
      <c r="D62" s="45">
        <f>'KY_Cost Plant Acct-Gas-P20(Fin)'!D62</f>
        <v>0</v>
      </c>
      <c r="E62" s="45"/>
      <c r="F62" s="45">
        <f>'KY_Cost Plant Acct-Gas-P20(Fin)'!F62</f>
        <v>0</v>
      </c>
      <c r="G62" s="45"/>
      <c r="H62" s="45">
        <f>'KY_Cost Plant Acct-Gas-P20(Fin)'!H62</f>
        <v>0</v>
      </c>
      <c r="I62" s="45"/>
      <c r="J62" s="45">
        <f>H62+F62+D62</f>
        <v>0</v>
      </c>
      <c r="K62" s="45"/>
      <c r="L62" s="45">
        <f>J62+B62</f>
        <v>220659.05</v>
      </c>
      <c r="M62" s="4"/>
      <c r="N62" s="89">
        <f>'KY_Res by Plant Acct-P29 (Fin)'!R387</f>
        <v>-208986.41999999998</v>
      </c>
      <c r="P62" s="89">
        <f>L62+N62</f>
        <v>11672.630000000005</v>
      </c>
    </row>
    <row r="63" spans="1:16">
      <c r="A63" t="s">
        <v>571</v>
      </c>
      <c r="B63" s="182">
        <f>'KY_Cost Plant Acct-Gas-P20(Fin)'!B63+'KY_Cost Plant Acct-Gas-P20(Fin)'!B107</f>
        <v>18839307.690000001</v>
      </c>
      <c r="C63" s="182"/>
      <c r="D63" s="182">
        <f>'KY_Cost Plant Acct-Gas-P20(Fin)'!D63+'KY_Cost Plant Acct-Gas-P20(Fin)'!D107</f>
        <v>-33343.020000000019</v>
      </c>
      <c r="E63" s="182"/>
      <c r="F63" s="182">
        <f>'KY_Cost Plant Acct-Gas-P20(Fin)'!F63</f>
        <v>-1389.93</v>
      </c>
      <c r="G63" s="182"/>
      <c r="H63" s="182">
        <f>'KY_Cost Plant Acct-Gas-P20(Fin)'!H63</f>
        <v>134900.23000000001</v>
      </c>
      <c r="I63" s="182"/>
      <c r="J63" s="182">
        <f>H63+F63+D63</f>
        <v>100167.28</v>
      </c>
      <c r="K63" s="182"/>
      <c r="L63" s="182">
        <f>J63+B63</f>
        <v>18939474.970000003</v>
      </c>
      <c r="M63" s="4"/>
      <c r="N63" s="89">
        <f>'KY_Res by Plant Acct-P29 (Fin)'!R388</f>
        <v>-12035355.85</v>
      </c>
      <c r="P63" s="89">
        <f>L63+N63</f>
        <v>6904119.1200000029</v>
      </c>
    </row>
    <row r="64" spans="1:16">
      <c r="A64" s="179" t="s">
        <v>1444</v>
      </c>
      <c r="B64" s="48">
        <f>'KY_Cost Plant Acct-Gas-P20(Fin)'!B64</f>
        <v>3941518.65</v>
      </c>
      <c r="C64" s="182"/>
      <c r="D64" s="48">
        <f>'KY_Cost Plant Acct-Gas-P20(Fin)'!D64</f>
        <v>0</v>
      </c>
      <c r="E64" s="182"/>
      <c r="F64" s="48">
        <f>'KY_Cost Plant Acct-Gas-P20(Fin)'!F64</f>
        <v>0</v>
      </c>
      <c r="G64" s="182"/>
      <c r="H64" s="48">
        <f>'KY_Cost Plant Acct-Gas-P20(Fin)'!H64</f>
        <v>0</v>
      </c>
      <c r="I64" s="182"/>
      <c r="J64" s="48">
        <f t="shared" ref="J64" si="9">H64+F64+D64</f>
        <v>0</v>
      </c>
      <c r="K64" s="52"/>
      <c r="L64" s="48">
        <f t="shared" ref="L64" si="10">J64+B64</f>
        <v>3941518.65</v>
      </c>
      <c r="M64" s="4"/>
      <c r="N64" s="90">
        <f>'KY_Res by Plant Acct-P29 (Fin)'!R389</f>
        <v>-61723.990000000005</v>
      </c>
      <c r="P64" s="90">
        <f t="shared" ref="P64" si="11">L64+N64</f>
        <v>3879794.6599999997</v>
      </c>
    </row>
    <row r="65" spans="1:16">
      <c r="B65" s="52">
        <f>SUM(B62:B64)</f>
        <v>23001485.390000001</v>
      </c>
      <c r="C65" s="52"/>
      <c r="D65" s="52">
        <f>SUM(D62:D64)</f>
        <v>-33343.020000000019</v>
      </c>
      <c r="E65" s="52"/>
      <c r="F65" s="52">
        <f>SUM(F62:F64)</f>
        <v>-1389.93</v>
      </c>
      <c r="G65" s="52"/>
      <c r="H65" s="52">
        <f>SUM(H62:H64)</f>
        <v>134900.23000000001</v>
      </c>
      <c r="I65" s="52"/>
      <c r="J65" s="52">
        <f>SUM(J62:J64)</f>
        <v>100167.28</v>
      </c>
      <c r="K65" s="52"/>
      <c r="L65" s="52">
        <f>SUM(L62:L64)</f>
        <v>23101652.670000002</v>
      </c>
      <c r="M65" s="55"/>
      <c r="N65" s="52">
        <f>SUM(N62:N64)</f>
        <v>-12306066.26</v>
      </c>
      <c r="P65" s="52">
        <f>SUM(P62:P64)</f>
        <v>10795586.410000002</v>
      </c>
    </row>
    <row r="66" spans="1:16">
      <c r="B66" s="52"/>
      <c r="C66" s="52"/>
      <c r="D66" s="52"/>
      <c r="E66" s="52"/>
      <c r="F66" s="52"/>
      <c r="G66" s="52"/>
      <c r="H66" s="52"/>
      <c r="I66" s="52"/>
      <c r="J66" s="52"/>
      <c r="K66" s="52"/>
      <c r="L66" s="52"/>
      <c r="M66" s="55"/>
    </row>
    <row r="67" spans="1:16">
      <c r="B67" s="52"/>
      <c r="C67" s="52"/>
      <c r="D67" s="52"/>
      <c r="E67" s="52"/>
      <c r="F67" s="52"/>
      <c r="G67" s="52"/>
      <c r="H67" s="52"/>
      <c r="I67" s="52"/>
      <c r="J67" s="52"/>
      <c r="K67" s="52"/>
      <c r="L67" s="52"/>
      <c r="M67" s="4"/>
    </row>
    <row r="68" spans="1:16" ht="13.5" thickBot="1">
      <c r="A68" s="3" t="s">
        <v>140</v>
      </c>
      <c r="B68" s="46">
        <f>B65+B59+B38+B34+B25</f>
        <v>720407335.75</v>
      </c>
      <c r="C68" s="52"/>
      <c r="D68" s="46">
        <f>D65+D59+D38+D34+D25</f>
        <v>18697285.579999994</v>
      </c>
      <c r="E68" s="52"/>
      <c r="F68" s="46">
        <f>F65+F59+F38+F34+F25</f>
        <v>-80045.88</v>
      </c>
      <c r="G68" s="52"/>
      <c r="H68" s="46">
        <f>H65+H59+H38+H34+H25</f>
        <v>0</v>
      </c>
      <c r="I68" s="52"/>
      <c r="J68" s="46">
        <f>J65+J59+J38+J34+J25</f>
        <v>18617239.699999996</v>
      </c>
      <c r="K68" s="52"/>
      <c r="L68" s="46">
        <f>L65+L59+L38+L34+L25</f>
        <v>739024575.44999993</v>
      </c>
      <c r="M68" s="4"/>
      <c r="N68" s="46">
        <f>N65+N59+N38+N34+N25</f>
        <v>-241373832.51000005</v>
      </c>
      <c r="P68" s="46">
        <f>P65+P59+P38+P34+P25</f>
        <v>497650742.94</v>
      </c>
    </row>
    <row r="69" spans="1:16" ht="13.5" thickTop="1">
      <c r="B69" s="52"/>
      <c r="C69" s="52"/>
      <c r="D69" s="52"/>
      <c r="E69" s="52"/>
      <c r="F69" s="52"/>
      <c r="G69" s="52"/>
      <c r="H69" s="52"/>
      <c r="I69" s="52"/>
      <c r="J69" s="52"/>
      <c r="K69" s="52"/>
      <c r="L69" s="52"/>
      <c r="M69" s="4"/>
    </row>
    <row r="70" spans="1:16">
      <c r="B70" s="45"/>
      <c r="C70" s="45"/>
      <c r="D70" s="45"/>
      <c r="E70" s="45"/>
      <c r="F70" s="45"/>
      <c r="G70" s="45"/>
      <c r="H70" s="45"/>
      <c r="I70" s="45"/>
      <c r="J70" s="45"/>
      <c r="K70" s="45"/>
      <c r="L70" s="45"/>
      <c r="M70" s="4"/>
    </row>
    <row r="71" spans="1:16">
      <c r="B71" s="45"/>
      <c r="C71" s="45"/>
      <c r="D71" s="45"/>
      <c r="E71" s="45"/>
      <c r="F71" s="45"/>
      <c r="G71" s="45"/>
      <c r="H71" s="45"/>
      <c r="I71" s="45"/>
      <c r="J71" s="45"/>
      <c r="K71" s="45"/>
      <c r="L71" s="45"/>
      <c r="M71" s="4"/>
    </row>
    <row r="72" spans="1:16">
      <c r="B72" s="45"/>
      <c r="C72" s="45"/>
      <c r="D72" s="45"/>
      <c r="E72" s="45"/>
      <c r="F72" s="45"/>
      <c r="G72" s="45"/>
      <c r="H72" s="45"/>
      <c r="I72" s="45"/>
      <c r="J72" s="45"/>
      <c r="K72" s="45"/>
      <c r="L72" s="45"/>
      <c r="M72" s="4"/>
    </row>
    <row r="73" spans="1:16">
      <c r="B73" s="45"/>
      <c r="C73" s="45"/>
      <c r="D73" s="45"/>
      <c r="E73" s="45"/>
      <c r="F73" s="45"/>
      <c r="G73" s="45"/>
      <c r="H73" s="45"/>
      <c r="I73" s="45"/>
      <c r="J73" s="45"/>
      <c r="K73" s="45"/>
      <c r="L73" s="45"/>
      <c r="M73" s="4"/>
    </row>
    <row r="74" spans="1:16">
      <c r="B74" s="45"/>
      <c r="C74" s="45"/>
      <c r="D74" s="45"/>
      <c r="E74" s="45"/>
      <c r="F74" s="45"/>
      <c r="G74" s="45"/>
      <c r="H74" s="45"/>
      <c r="I74" s="45"/>
      <c r="J74" s="45"/>
      <c r="K74" s="45"/>
      <c r="L74" s="45"/>
      <c r="M74" s="4"/>
    </row>
    <row r="75" spans="1:16">
      <c r="B75" s="4"/>
      <c r="C75" s="4"/>
      <c r="D75" s="4"/>
      <c r="E75" s="4"/>
      <c r="F75" s="4"/>
      <c r="G75" s="4"/>
      <c r="H75" s="4"/>
      <c r="I75" s="4"/>
      <c r="J75" s="4"/>
      <c r="K75" s="4"/>
      <c r="L75" s="4"/>
      <c r="M75" s="4"/>
    </row>
    <row r="76" spans="1:16">
      <c r="B76" s="4"/>
      <c r="C76" s="4"/>
      <c r="D76" s="4"/>
      <c r="E76" s="4"/>
      <c r="F76" s="4"/>
      <c r="G76" s="4"/>
      <c r="H76" s="4"/>
      <c r="I76" s="4"/>
      <c r="J76" s="4"/>
      <c r="K76" s="4"/>
      <c r="L76" s="4"/>
      <c r="M76" s="4"/>
    </row>
    <row r="77" spans="1:16">
      <c r="B77" s="4"/>
      <c r="C77" s="4"/>
      <c r="D77" s="4"/>
      <c r="E77" s="4"/>
      <c r="F77" s="4"/>
      <c r="G77" s="4"/>
      <c r="H77" s="4"/>
      <c r="I77" s="4"/>
      <c r="J77" s="4"/>
      <c r="K77" s="4"/>
      <c r="L77" s="4"/>
      <c r="M77" s="4"/>
    </row>
    <row r="78" spans="1:16">
      <c r="B78" s="4"/>
      <c r="C78" s="4"/>
      <c r="D78" s="4"/>
      <c r="E78" s="4"/>
      <c r="F78" s="4"/>
      <c r="G78" s="4"/>
      <c r="H78" s="4"/>
      <c r="I78" s="4"/>
      <c r="J78" s="4"/>
      <c r="K78" s="4"/>
      <c r="L78" s="4"/>
      <c r="M78" s="4"/>
    </row>
    <row r="79" spans="1:16">
      <c r="B79" s="4"/>
      <c r="C79" s="4"/>
      <c r="D79" s="4"/>
      <c r="E79" s="4"/>
      <c r="F79" s="4"/>
      <c r="G79" s="4"/>
      <c r="H79" s="4"/>
      <c r="I79" s="4"/>
      <c r="J79" s="4"/>
      <c r="K79" s="4"/>
      <c r="L79" s="4"/>
      <c r="M79" s="4"/>
    </row>
    <row r="80" spans="1:16">
      <c r="B80" s="4"/>
      <c r="C80" s="4"/>
      <c r="D80" s="4"/>
      <c r="E80" s="4"/>
      <c r="F80" s="4"/>
      <c r="G80" s="4"/>
      <c r="H80" s="4"/>
      <c r="I80" s="4"/>
      <c r="J80" s="4"/>
      <c r="K80" s="4"/>
      <c r="L80" s="4"/>
      <c r="M80" s="4"/>
    </row>
    <row r="81" spans="2:13">
      <c r="B81" s="4"/>
      <c r="C81" s="4"/>
      <c r="D81" s="4"/>
      <c r="E81" s="4"/>
      <c r="F81" s="4"/>
      <c r="G81" s="4"/>
      <c r="H81" s="4"/>
      <c r="I81" s="4"/>
      <c r="J81" s="4"/>
      <c r="K81" s="4"/>
      <c r="L81" s="4"/>
      <c r="M81" s="4"/>
    </row>
    <row r="82" spans="2:13">
      <c r="B82" s="4"/>
      <c r="C82" s="4"/>
      <c r="D82" s="4"/>
      <c r="E82" s="4"/>
      <c r="F82" s="4"/>
      <c r="G82" s="4"/>
      <c r="H82" s="4"/>
      <c r="I82" s="4"/>
      <c r="J82" s="4"/>
      <c r="K82" s="4"/>
      <c r="L82" s="4"/>
      <c r="M82" s="4"/>
    </row>
    <row r="83" spans="2:13">
      <c r="B83" s="4"/>
      <c r="C83" s="4"/>
      <c r="D83" s="4"/>
      <c r="E83" s="4"/>
      <c r="F83" s="4"/>
      <c r="G83" s="4"/>
      <c r="H83" s="4"/>
      <c r="I83" s="4"/>
      <c r="J83" s="4"/>
      <c r="K83" s="4"/>
      <c r="L83" s="4"/>
      <c r="M83" s="4"/>
    </row>
    <row r="84" spans="2:13">
      <c r="B84" s="4"/>
      <c r="C84" s="4"/>
      <c r="D84" s="4"/>
      <c r="E84" s="4"/>
      <c r="F84" s="4"/>
      <c r="G84" s="4"/>
      <c r="H84" s="4"/>
      <c r="I84" s="4"/>
      <c r="J84" s="4"/>
      <c r="K84" s="4"/>
      <c r="L84" s="4"/>
      <c r="M84" s="4"/>
    </row>
    <row r="85" spans="2:13">
      <c r="B85" s="4"/>
      <c r="C85" s="4"/>
      <c r="D85" s="4"/>
      <c r="E85" s="4"/>
      <c r="F85" s="4"/>
      <c r="G85" s="4"/>
      <c r="H85" s="4"/>
      <c r="I85" s="4"/>
      <c r="J85" s="4"/>
      <c r="K85" s="4"/>
      <c r="L85" s="4"/>
      <c r="M85" s="4"/>
    </row>
    <row r="86" spans="2:13">
      <c r="B86" s="4"/>
      <c r="C86" s="4"/>
      <c r="D86" s="4"/>
      <c r="E86" s="4"/>
      <c r="F86" s="4"/>
      <c r="G86" s="4"/>
      <c r="H86" s="4"/>
      <c r="I86" s="4"/>
      <c r="J86" s="4"/>
      <c r="K86" s="4"/>
      <c r="L86" s="4"/>
      <c r="M86" s="4"/>
    </row>
    <row r="87" spans="2:13">
      <c r="B87" s="4"/>
      <c r="C87" s="4"/>
      <c r="D87" s="4"/>
      <c r="E87" s="4"/>
      <c r="F87" s="4"/>
      <c r="G87" s="4"/>
      <c r="H87" s="4"/>
      <c r="I87" s="4"/>
      <c r="J87" s="4"/>
      <c r="K87" s="4"/>
      <c r="L87" s="4"/>
      <c r="M87" s="4"/>
    </row>
    <row r="88" spans="2:13">
      <c r="B88" s="4"/>
      <c r="C88" s="4"/>
      <c r="D88" s="4"/>
      <c r="E88" s="4"/>
      <c r="F88" s="4"/>
      <c r="G88" s="4"/>
      <c r="H88" s="4"/>
      <c r="I88" s="4"/>
      <c r="J88" s="4"/>
      <c r="K88" s="4"/>
      <c r="L88" s="4"/>
      <c r="M88" s="4"/>
    </row>
    <row r="89" spans="2:13">
      <c r="B89" s="4"/>
      <c r="C89" s="4"/>
      <c r="D89" s="4"/>
      <c r="E89" s="4"/>
      <c r="F89" s="4"/>
      <c r="G89" s="4"/>
      <c r="H89" s="4"/>
      <c r="I89" s="4"/>
      <c r="J89" s="4"/>
      <c r="K89" s="4"/>
      <c r="L89" s="4"/>
      <c r="M89" s="4"/>
    </row>
    <row r="90" spans="2:13">
      <c r="B90" s="4"/>
      <c r="C90" s="4"/>
      <c r="D90" s="4"/>
      <c r="E90" s="4"/>
      <c r="F90" s="4"/>
      <c r="G90" s="4"/>
      <c r="H90" s="4"/>
      <c r="I90" s="4"/>
      <c r="J90" s="4"/>
      <c r="K90" s="4"/>
      <c r="L90" s="4"/>
      <c r="M90" s="4"/>
    </row>
    <row r="91" spans="2:13">
      <c r="B91" s="4"/>
      <c r="C91" s="4"/>
      <c r="D91" s="4"/>
      <c r="E91" s="4"/>
      <c r="F91" s="4"/>
      <c r="G91" s="4"/>
      <c r="H91" s="4"/>
      <c r="I91" s="4"/>
      <c r="J91" s="4"/>
      <c r="K91" s="4"/>
      <c r="L91" s="4"/>
      <c r="M91" s="4"/>
    </row>
    <row r="92" spans="2:13">
      <c r="B92" s="4"/>
      <c r="C92" s="4"/>
      <c r="D92" s="4"/>
      <c r="E92" s="4"/>
      <c r="F92" s="4"/>
      <c r="G92" s="4"/>
      <c r="H92" s="4"/>
      <c r="I92" s="4"/>
      <c r="J92" s="4"/>
      <c r="K92" s="4"/>
      <c r="L92" s="4"/>
      <c r="M92" s="4"/>
    </row>
    <row r="93" spans="2:13">
      <c r="B93" s="4"/>
      <c r="C93" s="4"/>
      <c r="D93" s="4"/>
      <c r="E93" s="4"/>
      <c r="F93" s="4"/>
      <c r="G93" s="4"/>
      <c r="H93" s="4"/>
      <c r="I93" s="4"/>
      <c r="J93" s="4"/>
      <c r="K93" s="4"/>
      <c r="L93" s="4"/>
      <c r="M93" s="4"/>
    </row>
    <row r="94" spans="2:13">
      <c r="B94" s="4"/>
      <c r="C94" s="4"/>
      <c r="D94" s="4"/>
      <c r="E94" s="4"/>
      <c r="F94" s="4"/>
      <c r="G94" s="4"/>
      <c r="H94" s="4"/>
      <c r="I94" s="4"/>
      <c r="J94" s="4"/>
      <c r="K94" s="4"/>
      <c r="L94" s="4"/>
      <c r="M94" s="4"/>
    </row>
    <row r="95" spans="2:13">
      <c r="B95" s="4"/>
      <c r="C95" s="4"/>
      <c r="D95" s="4"/>
      <c r="E95" s="4"/>
      <c r="F95" s="4"/>
      <c r="G95" s="4"/>
      <c r="H95" s="4"/>
      <c r="I95" s="4"/>
      <c r="J95" s="4"/>
      <c r="K95" s="4"/>
      <c r="L95" s="4"/>
      <c r="M95" s="4"/>
    </row>
    <row r="96" spans="2:13">
      <c r="B96" s="4"/>
      <c r="C96" s="4"/>
      <c r="D96" s="4"/>
      <c r="E96" s="4"/>
      <c r="F96" s="4"/>
      <c r="G96" s="4"/>
      <c r="H96" s="4"/>
      <c r="I96" s="4"/>
      <c r="J96" s="4"/>
      <c r="K96" s="4"/>
      <c r="L96" s="4"/>
      <c r="M96" s="4"/>
    </row>
    <row r="97" spans="2:13">
      <c r="B97" s="4"/>
      <c r="C97" s="4"/>
      <c r="D97" s="4"/>
      <c r="E97" s="4"/>
      <c r="F97" s="4"/>
      <c r="G97" s="4"/>
      <c r="H97" s="4"/>
      <c r="I97" s="4"/>
      <c r="J97" s="4"/>
      <c r="K97" s="4"/>
      <c r="L97" s="4"/>
      <c r="M97" s="4"/>
    </row>
    <row r="98" spans="2:13">
      <c r="B98" s="4"/>
      <c r="C98" s="4"/>
      <c r="D98" s="4"/>
      <c r="E98" s="4"/>
      <c r="F98" s="4"/>
      <c r="G98" s="4"/>
      <c r="H98" s="4"/>
      <c r="I98" s="4"/>
      <c r="J98" s="4"/>
      <c r="K98" s="4"/>
      <c r="L98" s="4"/>
      <c r="M98" s="4"/>
    </row>
    <row r="99" spans="2:13">
      <c r="B99" s="4"/>
      <c r="C99" s="4"/>
      <c r="D99" s="4"/>
      <c r="E99" s="4"/>
      <c r="F99" s="4"/>
      <c r="G99" s="4"/>
      <c r="H99" s="4"/>
      <c r="I99" s="4"/>
      <c r="J99" s="4"/>
      <c r="K99" s="4"/>
      <c r="L99" s="4"/>
      <c r="M99" s="4"/>
    </row>
    <row r="100" spans="2:13">
      <c r="B100" s="4"/>
      <c r="C100" s="4"/>
      <c r="D100" s="4"/>
      <c r="E100" s="4"/>
      <c r="F100" s="4"/>
      <c r="G100" s="4"/>
      <c r="H100" s="4"/>
      <c r="I100" s="4"/>
      <c r="J100" s="4"/>
      <c r="K100" s="4"/>
      <c r="L100" s="4"/>
      <c r="M100" s="4"/>
    </row>
    <row r="101" spans="2:13">
      <c r="B101" s="4"/>
      <c r="C101" s="4"/>
      <c r="D101" s="4"/>
      <c r="E101" s="4"/>
      <c r="F101" s="4"/>
      <c r="G101" s="4"/>
      <c r="H101" s="4"/>
      <c r="I101" s="4"/>
      <c r="J101" s="4"/>
      <c r="K101" s="4"/>
      <c r="L101" s="4"/>
      <c r="M101" s="4"/>
    </row>
    <row r="102" spans="2:13">
      <c r="B102" s="4"/>
      <c r="C102" s="4"/>
      <c r="D102" s="4"/>
      <c r="E102" s="4"/>
      <c r="F102" s="4"/>
      <c r="G102" s="4"/>
      <c r="H102" s="4"/>
      <c r="I102" s="4"/>
      <c r="J102" s="4"/>
      <c r="K102" s="4"/>
      <c r="L102" s="4"/>
      <c r="M102" s="4"/>
    </row>
    <row r="103" spans="2:13">
      <c r="B103" s="4"/>
      <c r="C103" s="4"/>
      <c r="D103" s="4"/>
      <c r="E103" s="4"/>
      <c r="F103" s="4"/>
      <c r="G103" s="4"/>
      <c r="H103" s="4"/>
      <c r="I103" s="4"/>
      <c r="J103" s="4"/>
      <c r="K103" s="4"/>
      <c r="L103" s="4"/>
      <c r="M103" s="4"/>
    </row>
    <row r="104" spans="2:13">
      <c r="B104" s="4"/>
      <c r="C104" s="4"/>
      <c r="D104" s="4"/>
      <c r="E104" s="4"/>
      <c r="F104" s="4"/>
      <c r="G104" s="4"/>
      <c r="H104" s="4"/>
      <c r="I104" s="4"/>
      <c r="J104" s="4"/>
      <c r="K104" s="4"/>
      <c r="L104" s="4"/>
      <c r="M104" s="4"/>
    </row>
    <row r="105" spans="2:13">
      <c r="B105" s="4"/>
      <c r="C105" s="4"/>
      <c r="D105" s="4"/>
      <c r="E105" s="4"/>
      <c r="F105" s="4"/>
      <c r="G105" s="4"/>
      <c r="H105" s="4"/>
      <c r="I105" s="4"/>
      <c r="J105" s="4"/>
      <c r="K105" s="4"/>
      <c r="L105" s="4"/>
      <c r="M105" s="4"/>
    </row>
    <row r="106" spans="2:13">
      <c r="B106" s="4"/>
      <c r="C106" s="4"/>
      <c r="D106" s="4"/>
      <c r="E106" s="4"/>
      <c r="F106" s="4"/>
      <c r="G106" s="4"/>
      <c r="H106" s="4"/>
      <c r="I106" s="4"/>
      <c r="J106" s="4"/>
      <c r="K106" s="4"/>
      <c r="L106" s="4"/>
      <c r="M106" s="4"/>
    </row>
    <row r="107" spans="2:13">
      <c r="B107" s="4"/>
      <c r="C107" s="4"/>
      <c r="D107" s="4"/>
      <c r="E107" s="4"/>
      <c r="F107" s="4"/>
      <c r="G107" s="4"/>
      <c r="H107" s="4"/>
      <c r="I107" s="4"/>
      <c r="J107" s="4"/>
      <c r="K107" s="4"/>
      <c r="L107" s="4"/>
      <c r="M107" s="4"/>
    </row>
    <row r="108" spans="2:13">
      <c r="B108" s="4"/>
      <c r="C108" s="4"/>
      <c r="D108" s="4"/>
      <c r="E108" s="4"/>
      <c r="F108" s="4"/>
      <c r="G108" s="4"/>
      <c r="H108" s="4"/>
      <c r="I108" s="4"/>
      <c r="J108" s="4"/>
      <c r="K108" s="4"/>
      <c r="L108" s="4"/>
      <c r="M108" s="4"/>
    </row>
    <row r="109" spans="2:13">
      <c r="B109" s="4"/>
      <c r="C109" s="4"/>
      <c r="D109" s="4"/>
      <c r="E109" s="4"/>
      <c r="F109" s="4"/>
      <c r="G109" s="4"/>
      <c r="H109" s="4"/>
      <c r="I109" s="4"/>
      <c r="J109" s="4"/>
      <c r="K109" s="4"/>
      <c r="L109" s="4"/>
      <c r="M109" s="4"/>
    </row>
  </sheetData>
  <customSheetViews>
    <customSheetView guid="{6B74E52F-9552-408A-8775-25AFF24E6639}" scale="75" showPageBreaks="1" fitToPage="1" showRuler="0">
      <selection activeCell="A4" sqref="A4"/>
      <rowBreaks count="1" manualBreakCount="1">
        <brk id="39" max="16383" man="1"/>
      </rowBreaks>
      <pageMargins left="0.75" right="0.75" top="1" bottom="1" header="0.5" footer="0.5"/>
      <pageSetup scale="60" fitToHeight="0" orientation="landscape" r:id="rId1"/>
      <headerFooter alignWithMargins="0">
        <oddFooter>&amp;L&amp;Z
&amp;F&amp;C&amp;A&amp;R19.&amp;P</oddFooter>
      </headerFooter>
    </customSheetView>
  </customSheetViews>
  <mergeCells count="3">
    <mergeCell ref="A2:P2"/>
    <mergeCell ref="A1:P1"/>
    <mergeCell ref="A3:P3"/>
  </mergeCells>
  <phoneticPr fontId="0" type="noConversion"/>
  <pageMargins left="0.75" right="0.75" top="1" bottom="1" header="0.5" footer="0.5"/>
  <pageSetup scale="60" fitToHeight="0" orientation="landscape" r:id="rId2"/>
  <headerFooter alignWithMargins="0">
    <oddFooter>&amp;L&amp;Z
&amp;F&amp;C&amp;A&amp;R19.&amp;P</oddFooter>
  </headerFooter>
  <rowBreaks count="1" manualBreakCount="1">
    <brk id="39" max="16383" man="1"/>
  </rowBreaks>
</worksheet>
</file>

<file path=xl/worksheets/sheet106.xml><?xml version="1.0" encoding="utf-8"?>
<worksheet xmlns="http://schemas.openxmlformats.org/spreadsheetml/2006/main" xmlns:r="http://schemas.openxmlformats.org/officeDocument/2006/relationships">
  <sheetPr codeName="Sheet56" enableFormatConditionsCalculation="0">
    <tabColor indexed="32"/>
    <pageSetUpPr fitToPage="1"/>
  </sheetPr>
  <dimension ref="A1:O153"/>
  <sheetViews>
    <sheetView zoomScaleNormal="100" workbookViewId="0">
      <pane xSplit="1" ySplit="8" topLeftCell="B9" activePane="bottomRight" state="frozen"/>
      <selection activeCell="C38" sqref="C38"/>
      <selection pane="topRight" activeCell="C38" sqref="C38"/>
      <selection pane="bottomLeft" activeCell="C38" sqref="C38"/>
      <selection pane="bottomRight" activeCell="B9" sqref="B9"/>
    </sheetView>
  </sheetViews>
  <sheetFormatPr defaultRowHeight="12.75"/>
  <cols>
    <col min="1" max="1" width="45.7109375" bestFit="1" customWidth="1"/>
    <col min="2" max="2" width="17.7109375" customWidth="1"/>
    <col min="3" max="3" width="1.7109375" customWidth="1"/>
    <col min="4" max="4" width="17.7109375" customWidth="1"/>
    <col min="5" max="5" width="1.7109375" customWidth="1"/>
    <col min="6" max="6" width="17.7109375" customWidth="1"/>
    <col min="7" max="7" width="1.7109375" customWidth="1"/>
    <col min="8" max="8" width="17.7109375" customWidth="1"/>
    <col min="9" max="9" width="1.7109375" customWidth="1"/>
    <col min="10" max="10" width="17.7109375" customWidth="1"/>
    <col min="11" max="11" width="1.7109375" customWidth="1"/>
    <col min="12" max="12" width="17.7109375" customWidth="1"/>
    <col min="13" max="13" width="15" bestFit="1" customWidth="1"/>
    <col min="14" max="14" width="11.28515625" bestFit="1" customWidth="1"/>
  </cols>
  <sheetData>
    <row r="1" spans="1:13" s="38" customFormat="1" ht="15.75">
      <c r="A1" s="366" t="s">
        <v>134</v>
      </c>
      <c r="B1" s="366"/>
      <c r="C1" s="366"/>
      <c r="D1" s="366"/>
      <c r="E1" s="366"/>
      <c r="F1" s="366"/>
      <c r="G1" s="366"/>
      <c r="H1" s="366"/>
      <c r="I1" s="366"/>
      <c r="J1" s="366"/>
      <c r="K1" s="366"/>
      <c r="L1" s="366"/>
    </row>
    <row r="2" spans="1:13" s="38" customFormat="1" ht="15.75">
      <c r="A2" s="366" t="s">
        <v>1228</v>
      </c>
      <c r="B2" s="366"/>
      <c r="C2" s="366"/>
      <c r="D2" s="366"/>
      <c r="E2" s="366"/>
      <c r="F2" s="366"/>
      <c r="G2" s="366"/>
      <c r="H2" s="366"/>
      <c r="I2" s="366"/>
      <c r="J2" s="366"/>
      <c r="K2" s="366"/>
      <c r="L2" s="366"/>
    </row>
    <row r="3" spans="1:13">
      <c r="A3" s="357" t="str">
        <f>'Summary - Cost - PG 1 (Fin)'!A3:N3</f>
        <v>MARCH 2012</v>
      </c>
      <c r="B3" s="357"/>
      <c r="C3" s="357"/>
      <c r="D3" s="357"/>
      <c r="E3" s="357"/>
      <c r="F3" s="357"/>
      <c r="G3" s="357"/>
      <c r="H3" s="357"/>
      <c r="I3" s="357"/>
      <c r="J3" s="357"/>
      <c r="K3" s="357"/>
      <c r="L3" s="357"/>
    </row>
    <row r="4" spans="1:13">
      <c r="A4" s="30"/>
      <c r="B4" s="30"/>
      <c r="C4" s="30"/>
      <c r="D4" s="30"/>
      <c r="E4" s="30"/>
      <c r="F4" s="30"/>
      <c r="G4" s="30"/>
      <c r="H4" s="30"/>
      <c r="I4" s="30"/>
      <c r="J4" s="30"/>
      <c r="K4" s="30"/>
      <c r="L4" s="30"/>
    </row>
    <row r="6" spans="1:13">
      <c r="B6" s="41" t="s">
        <v>25</v>
      </c>
      <c r="D6" s="33"/>
      <c r="F6" s="33"/>
      <c r="H6" s="41" t="s">
        <v>612</v>
      </c>
      <c r="J6" s="33"/>
      <c r="L6" s="41" t="s">
        <v>26</v>
      </c>
    </row>
    <row r="7" spans="1:13" s="10" customFormat="1">
      <c r="B7" s="42" t="s">
        <v>27</v>
      </c>
      <c r="C7"/>
      <c r="D7" s="42" t="s">
        <v>107</v>
      </c>
      <c r="E7"/>
      <c r="F7" s="42" t="s">
        <v>108</v>
      </c>
      <c r="G7"/>
      <c r="H7" s="42" t="s">
        <v>613</v>
      </c>
      <c r="I7"/>
      <c r="J7" s="42" t="s">
        <v>109</v>
      </c>
      <c r="K7"/>
      <c r="L7" s="42" t="s">
        <v>27</v>
      </c>
    </row>
    <row r="8" spans="1:13" s="10" customFormat="1">
      <c r="A8" s="3"/>
      <c r="B8" s="54"/>
      <c r="C8"/>
      <c r="D8" s="54"/>
      <c r="E8"/>
      <c r="F8" s="54"/>
      <c r="G8"/>
      <c r="H8" s="54"/>
      <c r="I8"/>
      <c r="J8" s="54"/>
      <c r="K8"/>
      <c r="L8" s="54"/>
    </row>
    <row r="9" spans="1:13" s="10" customFormat="1">
      <c r="A9" s="3" t="s">
        <v>572</v>
      </c>
      <c r="B9" s="54"/>
      <c r="C9"/>
      <c r="D9" s="54"/>
      <c r="E9"/>
      <c r="F9" s="54"/>
      <c r="G9"/>
      <c r="H9" s="54"/>
      <c r="I9"/>
      <c r="J9" s="54"/>
      <c r="K9"/>
      <c r="L9" s="54"/>
    </row>
    <row r="10" spans="1:13">
      <c r="A10" s="3" t="s">
        <v>121</v>
      </c>
    </row>
    <row r="11" spans="1:13">
      <c r="A11" t="s">
        <v>848</v>
      </c>
      <c r="B11" s="33">
        <v>59724.58</v>
      </c>
      <c r="C11" s="33"/>
      <c r="D11" s="33">
        <v>0</v>
      </c>
      <c r="E11" s="33"/>
      <c r="F11" s="300">
        <v>0</v>
      </c>
      <c r="G11" s="33"/>
      <c r="H11" s="300">
        <v>0</v>
      </c>
      <c r="I11" s="33"/>
      <c r="J11" s="33">
        <f>H11+F11+D11</f>
        <v>0</v>
      </c>
      <c r="K11" s="33"/>
      <c r="L11" s="33">
        <f>J11+B11</f>
        <v>59724.58</v>
      </c>
      <c r="M11" s="1"/>
    </row>
    <row r="12" spans="1:13">
      <c r="A12" t="s">
        <v>849</v>
      </c>
      <c r="B12" s="33">
        <v>74018.23</v>
      </c>
      <c r="C12" s="33"/>
      <c r="D12" s="33">
        <v>0</v>
      </c>
      <c r="E12" s="33"/>
      <c r="F12" s="300">
        <v>0</v>
      </c>
      <c r="G12" s="33"/>
      <c r="H12" s="300">
        <v>0</v>
      </c>
      <c r="I12" s="33"/>
      <c r="J12" s="33">
        <f t="shared" ref="J12:J24" si="0">H12+F12+D12</f>
        <v>0</v>
      </c>
      <c r="K12" s="33"/>
      <c r="L12" s="33">
        <f t="shared" ref="L12:L24" si="1">J12+B12</f>
        <v>74018.23</v>
      </c>
      <c r="M12" s="1"/>
    </row>
    <row r="13" spans="1:13">
      <c r="A13" t="s">
        <v>850</v>
      </c>
      <c r="B13" s="33">
        <v>367965.77</v>
      </c>
      <c r="C13" s="33"/>
      <c r="D13" s="33">
        <v>0</v>
      </c>
      <c r="E13" s="33"/>
      <c r="F13" s="300">
        <v>0</v>
      </c>
      <c r="G13" s="33"/>
      <c r="H13" s="300">
        <v>0</v>
      </c>
      <c r="I13" s="33"/>
      <c r="J13" s="33">
        <f t="shared" si="0"/>
        <v>0</v>
      </c>
      <c r="K13" s="33"/>
      <c r="L13" s="33">
        <f t="shared" si="1"/>
        <v>367965.77</v>
      </c>
      <c r="M13" s="1"/>
    </row>
    <row r="14" spans="1:13">
      <c r="A14" t="s">
        <v>71</v>
      </c>
      <c r="B14" s="33">
        <v>532497.30000000005</v>
      </c>
      <c r="C14" s="33"/>
      <c r="D14" s="33">
        <v>0</v>
      </c>
      <c r="E14" s="33"/>
      <c r="F14" s="300">
        <v>0</v>
      </c>
      <c r="G14" s="33"/>
      <c r="H14" s="300">
        <v>0</v>
      </c>
      <c r="I14" s="33"/>
      <c r="J14" s="33">
        <f t="shared" si="0"/>
        <v>0</v>
      </c>
      <c r="K14" s="33"/>
      <c r="L14" s="33">
        <f t="shared" si="1"/>
        <v>532497.30000000005</v>
      </c>
      <c r="M14" s="1"/>
    </row>
    <row r="15" spans="1:13">
      <c r="A15" t="s">
        <v>72</v>
      </c>
      <c r="B15" s="33">
        <v>313081901.35000002</v>
      </c>
      <c r="C15" s="33"/>
      <c r="D15" s="33">
        <f>2127980.69+261646.08</f>
        <v>2389626.77</v>
      </c>
      <c r="E15" s="33"/>
      <c r="F15" s="300">
        <f>-15474.72-2796.78</f>
        <v>-18271.5</v>
      </c>
      <c r="G15" s="33"/>
      <c r="H15" s="300">
        <v>-134900.23000000001</v>
      </c>
      <c r="I15" s="33"/>
      <c r="J15" s="33">
        <f t="shared" si="0"/>
        <v>2236455.04</v>
      </c>
      <c r="K15" s="33"/>
      <c r="L15" s="33">
        <f t="shared" si="1"/>
        <v>315318356.39000005</v>
      </c>
      <c r="M15" s="1"/>
    </row>
    <row r="16" spans="1:13">
      <c r="A16" t="s">
        <v>73</v>
      </c>
      <c r="B16" s="33">
        <v>11613603.43</v>
      </c>
      <c r="C16" s="33"/>
      <c r="D16" s="33">
        <f>-49.51+132054.47</f>
        <v>132004.96</v>
      </c>
      <c r="E16" s="33"/>
      <c r="F16" s="300">
        <f>-2165.5-1918.44</f>
        <v>-4083.94</v>
      </c>
      <c r="G16" s="33"/>
      <c r="H16" s="300">
        <v>0</v>
      </c>
      <c r="I16" s="33"/>
      <c r="J16" s="33">
        <f t="shared" si="0"/>
        <v>127921.01999999999</v>
      </c>
      <c r="K16" s="33"/>
      <c r="L16" s="33">
        <f t="shared" si="1"/>
        <v>11741524.449999999</v>
      </c>
      <c r="M16" s="1"/>
    </row>
    <row r="17" spans="1:15">
      <c r="A17" t="s">
        <v>74</v>
      </c>
      <c r="B17" s="33">
        <v>4383870.12</v>
      </c>
      <c r="C17" s="33"/>
      <c r="D17" s="33">
        <v>0</v>
      </c>
      <c r="E17" s="33"/>
      <c r="F17" s="300">
        <v>0</v>
      </c>
      <c r="G17" s="33"/>
      <c r="H17" s="300">
        <v>0</v>
      </c>
      <c r="I17" s="33"/>
      <c r="J17" s="33">
        <f t="shared" si="0"/>
        <v>0</v>
      </c>
      <c r="K17" s="33"/>
      <c r="L17" s="33">
        <f t="shared" si="1"/>
        <v>4383870.12</v>
      </c>
      <c r="M17" s="1"/>
    </row>
    <row r="18" spans="1:15">
      <c r="A18" t="s">
        <v>75</v>
      </c>
      <c r="B18" s="33">
        <v>186931795.06999999</v>
      </c>
      <c r="C18" s="33"/>
      <c r="D18" s="33">
        <f>263433.93+4299.05</f>
        <v>267732.98</v>
      </c>
      <c r="E18" s="33"/>
      <c r="F18" s="300">
        <v>-1262.3599999999999</v>
      </c>
      <c r="G18" s="33"/>
      <c r="H18" s="300">
        <v>0</v>
      </c>
      <c r="I18" s="33"/>
      <c r="J18" s="33">
        <f t="shared" si="0"/>
        <v>266470.62</v>
      </c>
      <c r="K18" s="33"/>
      <c r="L18" s="33">
        <f t="shared" si="1"/>
        <v>187198265.69</v>
      </c>
      <c r="M18" s="1"/>
    </row>
    <row r="19" spans="1:15">
      <c r="A19" t="s">
        <v>76</v>
      </c>
      <c r="B19" s="33">
        <v>39833751.520000003</v>
      </c>
      <c r="C19" s="33"/>
      <c r="D19" s="33">
        <v>0</v>
      </c>
      <c r="E19" s="33"/>
      <c r="F19" s="300">
        <v>0</v>
      </c>
      <c r="G19" s="33"/>
      <c r="H19" s="300">
        <v>0</v>
      </c>
      <c r="I19" s="33"/>
      <c r="J19" s="33">
        <f t="shared" si="0"/>
        <v>0</v>
      </c>
      <c r="K19" s="33"/>
      <c r="L19" s="33">
        <f t="shared" si="1"/>
        <v>39833751.520000003</v>
      </c>
      <c r="M19" s="1"/>
    </row>
    <row r="20" spans="1:15">
      <c r="A20" t="s">
        <v>77</v>
      </c>
      <c r="B20" s="33">
        <v>23145111.109999999</v>
      </c>
      <c r="C20" s="33"/>
      <c r="D20" s="33">
        <v>0</v>
      </c>
      <c r="E20" s="33"/>
      <c r="F20" s="300">
        <v>0</v>
      </c>
      <c r="G20" s="33"/>
      <c r="H20" s="300">
        <v>0</v>
      </c>
      <c r="I20" s="33"/>
      <c r="J20" s="33">
        <f t="shared" si="0"/>
        <v>0</v>
      </c>
      <c r="K20" s="33"/>
      <c r="L20" s="33">
        <f t="shared" si="1"/>
        <v>23145111.109999999</v>
      </c>
      <c r="M20" s="1"/>
    </row>
    <row r="21" spans="1:15">
      <c r="A21" t="s">
        <v>78</v>
      </c>
      <c r="B21" s="33">
        <v>944360.15</v>
      </c>
      <c r="C21" s="33"/>
      <c r="D21" s="33">
        <v>0</v>
      </c>
      <c r="E21" s="33"/>
      <c r="F21" s="300">
        <v>0</v>
      </c>
      <c r="G21" s="33"/>
      <c r="H21" s="300">
        <v>0</v>
      </c>
      <c r="I21" s="33"/>
      <c r="J21" s="33">
        <f t="shared" si="0"/>
        <v>0</v>
      </c>
      <c r="K21" s="33"/>
      <c r="L21" s="33">
        <f t="shared" si="1"/>
        <v>944360.15</v>
      </c>
      <c r="M21" s="1"/>
    </row>
    <row r="22" spans="1:15">
      <c r="A22" t="s">
        <v>79</v>
      </c>
      <c r="B22" s="37">
        <v>51112.34</v>
      </c>
      <c r="C22" s="37"/>
      <c r="D22" s="37">
        <v>0</v>
      </c>
      <c r="E22" s="37"/>
      <c r="F22" s="37">
        <v>0</v>
      </c>
      <c r="G22" s="37"/>
      <c r="H22" s="37">
        <v>0</v>
      </c>
      <c r="I22" s="37"/>
      <c r="J22" s="37">
        <f t="shared" si="0"/>
        <v>0</v>
      </c>
      <c r="K22" s="37"/>
      <c r="L22" s="37">
        <f t="shared" si="1"/>
        <v>51112.34</v>
      </c>
      <c r="M22" s="6"/>
      <c r="N22" s="7"/>
      <c r="O22" s="7"/>
    </row>
    <row r="23" spans="1:15">
      <c r="A23" t="s">
        <v>80</v>
      </c>
      <c r="B23" s="37">
        <v>2962.94</v>
      </c>
      <c r="C23" s="37"/>
      <c r="D23" s="37">
        <v>0</v>
      </c>
      <c r="E23" s="37"/>
      <c r="F23" s="37">
        <v>0</v>
      </c>
      <c r="G23" s="37"/>
      <c r="H23" s="37">
        <v>0</v>
      </c>
      <c r="I23" s="37"/>
      <c r="J23" s="37">
        <f t="shared" si="0"/>
        <v>0</v>
      </c>
      <c r="K23" s="37"/>
      <c r="L23" s="37">
        <f t="shared" si="1"/>
        <v>2962.94</v>
      </c>
      <c r="M23" s="6"/>
      <c r="N23" s="7"/>
      <c r="O23" s="7"/>
    </row>
    <row r="24" spans="1:15">
      <c r="A24" t="s">
        <v>898</v>
      </c>
      <c r="B24" s="35">
        <v>11928646.510000002</v>
      </c>
      <c r="C24" s="37"/>
      <c r="D24" s="35">
        <v>0</v>
      </c>
      <c r="E24" s="37"/>
      <c r="F24" s="35">
        <v>0</v>
      </c>
      <c r="G24" s="37"/>
      <c r="H24" s="35">
        <v>0</v>
      </c>
      <c r="I24" s="37"/>
      <c r="J24" s="35">
        <f t="shared" si="0"/>
        <v>0</v>
      </c>
      <c r="K24" s="37"/>
      <c r="L24" s="35">
        <f t="shared" si="1"/>
        <v>11928646.510000002</v>
      </c>
      <c r="M24" s="6"/>
      <c r="N24" s="7"/>
      <c r="O24" s="7"/>
    </row>
    <row r="25" spans="1:15">
      <c r="B25" s="37">
        <f>SUM(B11:B24)</f>
        <v>592951320.42000008</v>
      </c>
      <c r="C25" s="37"/>
      <c r="D25" s="37">
        <f>SUM(D11:D24)</f>
        <v>2789364.71</v>
      </c>
      <c r="E25" s="37"/>
      <c r="F25" s="37">
        <f>SUM(F11:F24)</f>
        <v>-23617.8</v>
      </c>
      <c r="G25" s="37"/>
      <c r="H25" s="37">
        <f>SUM(H11:H24)</f>
        <v>-134900.23000000001</v>
      </c>
      <c r="I25" s="37"/>
      <c r="J25" s="37">
        <f>SUM(J11:J24)</f>
        <v>2630846.6800000002</v>
      </c>
      <c r="K25" s="37"/>
      <c r="L25" s="37">
        <f>SUM(L11:L24)</f>
        <v>595582167.10000014</v>
      </c>
      <c r="M25" s="6"/>
      <c r="N25" s="7"/>
      <c r="O25" s="7"/>
    </row>
    <row r="26" spans="1:15">
      <c r="B26" s="33"/>
      <c r="C26" s="33"/>
      <c r="D26" s="33"/>
      <c r="E26" s="33"/>
      <c r="F26" s="33"/>
      <c r="G26" s="33"/>
      <c r="H26" s="33"/>
      <c r="I26" s="33"/>
      <c r="J26" s="33"/>
      <c r="K26" s="33"/>
      <c r="L26" s="33"/>
      <c r="M26" s="1"/>
    </row>
    <row r="27" spans="1:15">
      <c r="A27" s="3" t="s">
        <v>122</v>
      </c>
      <c r="B27" s="33"/>
      <c r="C27" s="33"/>
      <c r="D27" s="33"/>
      <c r="E27" s="33"/>
      <c r="F27" s="33"/>
      <c r="G27" s="33"/>
      <c r="H27" s="33"/>
      <c r="I27" s="33"/>
      <c r="J27" s="33"/>
      <c r="K27" s="33"/>
      <c r="L27" s="33"/>
      <c r="M27" s="1"/>
    </row>
    <row r="28" spans="1:15">
      <c r="A28" t="s">
        <v>899</v>
      </c>
      <c r="B28" s="33">
        <v>1269819.7600000002</v>
      </c>
      <c r="C28" s="33"/>
      <c r="D28" s="33">
        <f>83634.22+28650.52</f>
        <v>112284.74</v>
      </c>
      <c r="E28" s="33"/>
      <c r="F28" s="300">
        <v>0</v>
      </c>
      <c r="G28" s="33"/>
      <c r="H28" s="300">
        <v>0</v>
      </c>
      <c r="I28" s="33"/>
      <c r="J28" s="33">
        <f t="shared" ref="J28:J33" si="2">H28+F28+D28</f>
        <v>112284.74</v>
      </c>
      <c r="K28" s="33"/>
      <c r="L28" s="33">
        <f t="shared" ref="L28:L33" si="3">J28+B28</f>
        <v>1382104.5000000002</v>
      </c>
      <c r="M28" s="1"/>
    </row>
    <row r="29" spans="1:15">
      <c r="A29" t="s">
        <v>900</v>
      </c>
      <c r="B29" s="33">
        <v>542516.12</v>
      </c>
      <c r="C29" s="33"/>
      <c r="D29" s="33">
        <v>57340.17</v>
      </c>
      <c r="E29" s="33"/>
      <c r="F29" s="300">
        <v>0</v>
      </c>
      <c r="G29" s="33"/>
      <c r="H29" s="300">
        <v>0</v>
      </c>
      <c r="I29" s="33"/>
      <c r="J29" s="33">
        <f t="shared" si="2"/>
        <v>57340.17</v>
      </c>
      <c r="K29" s="33"/>
      <c r="L29" s="33">
        <f t="shared" si="3"/>
        <v>599856.29</v>
      </c>
      <c r="M29" s="1"/>
    </row>
    <row r="30" spans="1:15">
      <c r="A30" t="s">
        <v>901</v>
      </c>
      <c r="B30" s="33">
        <v>4041521.8600000003</v>
      </c>
      <c r="C30" s="33"/>
      <c r="D30" s="33">
        <f>337582.35+90324.38</f>
        <v>427906.73</v>
      </c>
      <c r="E30" s="33"/>
      <c r="F30" s="300">
        <v>0</v>
      </c>
      <c r="G30" s="33"/>
      <c r="H30" s="300">
        <v>0</v>
      </c>
      <c r="I30" s="33"/>
      <c r="J30" s="33">
        <f t="shared" si="2"/>
        <v>427906.73</v>
      </c>
      <c r="K30" s="33"/>
      <c r="L30" s="33">
        <f t="shared" si="3"/>
        <v>4469428.59</v>
      </c>
      <c r="M30" s="1"/>
    </row>
    <row r="31" spans="1:15">
      <c r="A31" t="s">
        <v>995</v>
      </c>
      <c r="B31" s="33">
        <v>0</v>
      </c>
      <c r="C31" s="33"/>
      <c r="D31" s="33">
        <v>0</v>
      </c>
      <c r="E31" s="33"/>
      <c r="F31" s="300">
        <v>0</v>
      </c>
      <c r="G31" s="33"/>
      <c r="H31" s="300">
        <v>0</v>
      </c>
      <c r="I31" s="33"/>
      <c r="J31" s="33">
        <f t="shared" si="2"/>
        <v>0</v>
      </c>
      <c r="K31" s="33"/>
      <c r="L31" s="33">
        <f t="shared" si="3"/>
        <v>0</v>
      </c>
      <c r="M31" s="1"/>
    </row>
    <row r="32" spans="1:15">
      <c r="A32" t="s">
        <v>996</v>
      </c>
      <c r="B32" s="37">
        <v>2286752</v>
      </c>
      <c r="C32" s="37"/>
      <c r="D32" s="37">
        <v>0</v>
      </c>
      <c r="E32" s="37"/>
      <c r="F32" s="37">
        <v>0</v>
      </c>
      <c r="G32" s="37"/>
      <c r="H32" s="37">
        <v>0</v>
      </c>
      <c r="I32" s="37"/>
      <c r="J32" s="33">
        <f t="shared" si="2"/>
        <v>0</v>
      </c>
      <c r="K32" s="37"/>
      <c r="L32" s="37">
        <f t="shared" si="3"/>
        <v>2286752</v>
      </c>
      <c r="M32" s="6"/>
    </row>
    <row r="33" spans="1:13">
      <c r="A33" t="s">
        <v>997</v>
      </c>
      <c r="B33" s="35">
        <v>63562.729999999996</v>
      </c>
      <c r="C33" s="37"/>
      <c r="D33" s="35">
        <v>0</v>
      </c>
      <c r="E33" s="37"/>
      <c r="F33" s="35">
        <v>0</v>
      </c>
      <c r="G33" s="37"/>
      <c r="H33" s="35">
        <v>0</v>
      </c>
      <c r="I33" s="37"/>
      <c r="J33" s="35">
        <f t="shared" si="2"/>
        <v>0</v>
      </c>
      <c r="K33" s="37"/>
      <c r="L33" s="35">
        <f t="shared" si="3"/>
        <v>63562.729999999996</v>
      </c>
      <c r="M33" s="6"/>
    </row>
    <row r="34" spans="1:13">
      <c r="B34" s="37">
        <f>SUM(B28:B33)</f>
        <v>8204172.4700000007</v>
      </c>
      <c r="C34" s="37"/>
      <c r="D34" s="37">
        <f>SUM(D28:D33)</f>
        <v>597531.64</v>
      </c>
      <c r="E34" s="37"/>
      <c r="F34" s="37">
        <f>SUM(F28:F33)</f>
        <v>0</v>
      </c>
      <c r="G34" s="37"/>
      <c r="H34" s="37">
        <f>SUM(H28:H33)</f>
        <v>0</v>
      </c>
      <c r="I34" s="37"/>
      <c r="J34" s="37">
        <f>SUM(J28:J33)</f>
        <v>597531.64</v>
      </c>
      <c r="K34" s="37"/>
      <c r="L34" s="37">
        <f>SUM(L28:L33)</f>
        <v>8801704.1099999994</v>
      </c>
      <c r="M34" s="6"/>
    </row>
    <row r="35" spans="1:13">
      <c r="B35" s="37"/>
      <c r="C35" s="37"/>
      <c r="D35" s="37"/>
      <c r="E35" s="37"/>
      <c r="F35" s="37"/>
      <c r="G35" s="37"/>
      <c r="H35" s="37"/>
      <c r="I35" s="37"/>
      <c r="J35" s="37"/>
      <c r="K35" s="37"/>
      <c r="L35" s="37"/>
      <c r="M35" s="6"/>
    </row>
    <row r="36" spans="1:13">
      <c r="A36" s="3" t="s">
        <v>123</v>
      </c>
      <c r="B36" s="37"/>
      <c r="C36" s="37"/>
      <c r="D36" s="37"/>
      <c r="E36" s="37"/>
      <c r="F36" s="37"/>
      <c r="G36" s="37"/>
      <c r="H36" s="37"/>
      <c r="I36" s="37"/>
      <c r="J36" s="37"/>
      <c r="K36" s="37"/>
      <c r="L36" s="37"/>
      <c r="M36" s="6"/>
    </row>
    <row r="37" spans="1:13">
      <c r="A37" t="s">
        <v>998</v>
      </c>
      <c r="B37" s="35">
        <v>387.49</v>
      </c>
      <c r="C37" s="37"/>
      <c r="D37" s="35">
        <v>0</v>
      </c>
      <c r="E37" s="37"/>
      <c r="F37" s="35">
        <v>0</v>
      </c>
      <c r="G37" s="37"/>
      <c r="H37" s="35">
        <v>0</v>
      </c>
      <c r="I37" s="37"/>
      <c r="J37" s="35">
        <f>H37+F37+D37</f>
        <v>0</v>
      </c>
      <c r="K37" s="37"/>
      <c r="L37" s="35">
        <f>J37+B37</f>
        <v>387.49</v>
      </c>
      <c r="M37" s="6"/>
    </row>
    <row r="38" spans="1:13">
      <c r="B38" s="37">
        <f>SUM(B37)</f>
        <v>387.49</v>
      </c>
      <c r="C38" s="37"/>
      <c r="D38" s="37">
        <f>SUM(D37)</f>
        <v>0</v>
      </c>
      <c r="E38" s="37"/>
      <c r="F38" s="37">
        <f>SUM(F37)</f>
        <v>0</v>
      </c>
      <c r="G38" s="37"/>
      <c r="H38" s="37">
        <f>SUM(H37)</f>
        <v>0</v>
      </c>
      <c r="I38" s="37"/>
      <c r="J38" s="37">
        <f>SUM(J37)</f>
        <v>0</v>
      </c>
      <c r="K38" s="37"/>
      <c r="L38" s="37">
        <f>SUM(L37)</f>
        <v>387.49</v>
      </c>
      <c r="M38" s="6"/>
    </row>
    <row r="39" spans="1:13">
      <c r="B39" s="37"/>
      <c r="C39" s="37"/>
      <c r="D39" s="37"/>
      <c r="E39" s="37"/>
      <c r="F39" s="37"/>
      <c r="G39" s="37"/>
      <c r="H39" s="37"/>
      <c r="I39" s="37"/>
      <c r="J39" s="37"/>
      <c r="K39" s="37"/>
      <c r="L39" s="37"/>
      <c r="M39" s="6"/>
    </row>
    <row r="40" spans="1:13">
      <c r="A40" s="3" t="s">
        <v>124</v>
      </c>
      <c r="B40" s="37"/>
      <c r="C40" s="37"/>
      <c r="D40" s="37"/>
      <c r="E40" s="37"/>
      <c r="F40" s="37"/>
      <c r="G40" s="37"/>
      <c r="H40" s="37"/>
      <c r="I40" s="37"/>
      <c r="J40" s="37"/>
      <c r="K40" s="37"/>
      <c r="L40" s="37"/>
      <c r="M40" s="6"/>
    </row>
    <row r="41" spans="1:13">
      <c r="A41" t="s">
        <v>13</v>
      </c>
      <c r="B41" s="37">
        <v>29500.57</v>
      </c>
      <c r="C41" s="37"/>
      <c r="D41" s="37">
        <v>0</v>
      </c>
      <c r="E41" s="37"/>
      <c r="F41" s="37">
        <v>0</v>
      </c>
      <c r="G41" s="37"/>
      <c r="H41" s="37">
        <v>0</v>
      </c>
      <c r="I41" s="37"/>
      <c r="J41" s="37">
        <f t="shared" ref="J41:J58" si="4">H41+F41+D41</f>
        <v>0</v>
      </c>
      <c r="K41" s="37"/>
      <c r="L41" s="37">
        <f t="shared" ref="L41:L58" si="5">J41+B41</f>
        <v>29500.57</v>
      </c>
      <c r="M41" s="6"/>
    </row>
    <row r="42" spans="1:13">
      <c r="A42" t="s">
        <v>559</v>
      </c>
      <c r="B42" s="37">
        <v>95613.59</v>
      </c>
      <c r="C42" s="37"/>
      <c r="D42" s="37">
        <v>0</v>
      </c>
      <c r="E42" s="37"/>
      <c r="F42" s="37">
        <v>0</v>
      </c>
      <c r="G42" s="37"/>
      <c r="H42" s="37">
        <v>0</v>
      </c>
      <c r="I42" s="37"/>
      <c r="J42" s="37">
        <f t="shared" si="4"/>
        <v>0</v>
      </c>
      <c r="K42" s="37"/>
      <c r="L42" s="37">
        <f t="shared" si="5"/>
        <v>95613.59</v>
      </c>
      <c r="M42" s="6"/>
    </row>
    <row r="43" spans="1:13">
      <c r="A43" t="s">
        <v>560</v>
      </c>
      <c r="B43" s="37">
        <v>5410190.919999999</v>
      </c>
      <c r="C43" s="37"/>
      <c r="D43" s="37">
        <v>0</v>
      </c>
      <c r="E43" s="37"/>
      <c r="F43" s="37">
        <v>0</v>
      </c>
      <c r="G43" s="37"/>
      <c r="H43" s="37">
        <v>0</v>
      </c>
      <c r="I43" s="37"/>
      <c r="J43" s="37">
        <f t="shared" si="4"/>
        <v>0</v>
      </c>
      <c r="K43" s="37"/>
      <c r="L43" s="37">
        <f t="shared" si="5"/>
        <v>5410190.919999999</v>
      </c>
      <c r="M43" s="6"/>
    </row>
    <row r="44" spans="1:13">
      <c r="A44" t="s">
        <v>561</v>
      </c>
      <c r="B44" s="37">
        <v>33151.61</v>
      </c>
      <c r="C44" s="37"/>
      <c r="D44" s="37">
        <v>0</v>
      </c>
      <c r="E44" s="37"/>
      <c r="F44" s="37">
        <v>0</v>
      </c>
      <c r="G44" s="37"/>
      <c r="H44" s="37">
        <v>0</v>
      </c>
      <c r="I44" s="37"/>
      <c r="J44" s="37">
        <f t="shared" si="4"/>
        <v>0</v>
      </c>
      <c r="K44" s="37"/>
      <c r="L44" s="37">
        <f t="shared" si="5"/>
        <v>33151.61</v>
      </c>
      <c r="M44" s="6"/>
    </row>
    <row r="45" spans="1:13">
      <c r="A45" t="s">
        <v>14</v>
      </c>
      <c r="B45" s="37">
        <v>2113071.91</v>
      </c>
      <c r="C45" s="37"/>
      <c r="D45" s="37">
        <v>26259.07</v>
      </c>
      <c r="E45" s="37"/>
      <c r="F45" s="37">
        <v>0</v>
      </c>
      <c r="G45" s="37"/>
      <c r="H45" s="37">
        <v>0</v>
      </c>
      <c r="I45" s="37"/>
      <c r="J45" s="37">
        <f t="shared" si="4"/>
        <v>26259.07</v>
      </c>
      <c r="K45" s="37"/>
      <c r="L45" s="37">
        <f t="shared" si="5"/>
        <v>2139330.98</v>
      </c>
      <c r="M45" s="6"/>
    </row>
    <row r="46" spans="1:13">
      <c r="A46" t="s">
        <v>562</v>
      </c>
      <c r="B46" s="37">
        <v>548241.14</v>
      </c>
      <c r="C46" s="37"/>
      <c r="D46" s="37">
        <v>0</v>
      </c>
      <c r="E46" s="37"/>
      <c r="F46" s="37">
        <v>0</v>
      </c>
      <c r="G46" s="37"/>
      <c r="H46" s="37">
        <v>0</v>
      </c>
      <c r="I46" s="37"/>
      <c r="J46" s="37">
        <f t="shared" si="4"/>
        <v>0</v>
      </c>
      <c r="K46" s="37"/>
      <c r="L46" s="37">
        <f t="shared" si="5"/>
        <v>548241.14</v>
      </c>
      <c r="M46" s="6"/>
    </row>
    <row r="47" spans="1:13">
      <c r="A47" t="s">
        <v>563</v>
      </c>
      <c r="B47" s="37">
        <v>400511.4</v>
      </c>
      <c r="C47" s="37"/>
      <c r="D47" s="37">
        <v>0</v>
      </c>
      <c r="E47" s="37"/>
      <c r="F47" s="37">
        <v>0</v>
      </c>
      <c r="G47" s="37"/>
      <c r="H47" s="37">
        <v>0</v>
      </c>
      <c r="I47" s="37"/>
      <c r="J47" s="37">
        <f t="shared" si="4"/>
        <v>0</v>
      </c>
      <c r="K47" s="37"/>
      <c r="L47" s="37">
        <f t="shared" si="5"/>
        <v>400511.4</v>
      </c>
      <c r="M47" s="6"/>
    </row>
    <row r="48" spans="1:13">
      <c r="A48" t="s">
        <v>564</v>
      </c>
      <c r="B48" s="37">
        <v>9648855</v>
      </c>
      <c r="C48" s="37"/>
      <c r="D48" s="37">
        <v>0</v>
      </c>
      <c r="E48" s="37"/>
      <c r="F48" s="37">
        <v>0</v>
      </c>
      <c r="G48" s="37"/>
      <c r="H48" s="37">
        <v>0</v>
      </c>
      <c r="I48" s="37"/>
      <c r="J48" s="37">
        <f t="shared" si="4"/>
        <v>0</v>
      </c>
      <c r="K48" s="37"/>
      <c r="L48" s="37">
        <f t="shared" si="5"/>
        <v>9648855</v>
      </c>
      <c r="M48" s="6"/>
    </row>
    <row r="49" spans="1:13">
      <c r="A49" t="s">
        <v>15</v>
      </c>
      <c r="B49" s="37">
        <v>2079488.3099999998</v>
      </c>
      <c r="C49" s="37"/>
      <c r="D49" s="37">
        <v>0</v>
      </c>
      <c r="E49" s="37"/>
      <c r="F49" s="37">
        <v>0</v>
      </c>
      <c r="G49" s="37"/>
      <c r="H49" s="37">
        <v>0</v>
      </c>
      <c r="I49" s="37"/>
      <c r="J49" s="37">
        <f t="shared" si="4"/>
        <v>0</v>
      </c>
      <c r="K49" s="37"/>
      <c r="L49" s="37">
        <f t="shared" si="5"/>
        <v>2079488.3099999998</v>
      </c>
      <c r="M49" s="6"/>
    </row>
    <row r="50" spans="1:13">
      <c r="A50" t="s">
        <v>1089</v>
      </c>
      <c r="B50" s="37">
        <v>3303148.58</v>
      </c>
      <c r="C50" s="37"/>
      <c r="D50" s="37">
        <v>0</v>
      </c>
      <c r="E50" s="37"/>
      <c r="F50" s="37">
        <v>0</v>
      </c>
      <c r="G50" s="37"/>
      <c r="H50" s="37">
        <v>0</v>
      </c>
      <c r="I50" s="37"/>
      <c r="J50" s="37">
        <f t="shared" si="4"/>
        <v>0</v>
      </c>
      <c r="K50" s="37"/>
      <c r="L50" s="37">
        <f t="shared" si="5"/>
        <v>3303148.58</v>
      </c>
      <c r="M50" s="6"/>
    </row>
    <row r="51" spans="1:13">
      <c r="A51" t="s">
        <v>1092</v>
      </c>
      <c r="B51" s="37">
        <v>4680087.9399999995</v>
      </c>
      <c r="C51" s="37"/>
      <c r="D51" s="37">
        <v>4559.62</v>
      </c>
      <c r="E51" s="37"/>
      <c r="F51" s="37">
        <v>0</v>
      </c>
      <c r="G51" s="37"/>
      <c r="H51" s="37">
        <v>0</v>
      </c>
      <c r="I51" s="37"/>
      <c r="J51" s="37">
        <f t="shared" si="4"/>
        <v>4559.62</v>
      </c>
      <c r="K51" s="37"/>
      <c r="L51" s="37">
        <f t="shared" si="5"/>
        <v>4684647.5599999996</v>
      </c>
      <c r="M51" s="6"/>
    </row>
    <row r="52" spans="1:13">
      <c r="A52" t="s">
        <v>16</v>
      </c>
      <c r="B52" s="37">
        <v>13272900.109999998</v>
      </c>
      <c r="C52" s="37"/>
      <c r="D52" s="37">
        <v>147253.93</v>
      </c>
      <c r="E52" s="37"/>
      <c r="F52" s="37">
        <v>-18547.78</v>
      </c>
      <c r="G52" s="37"/>
      <c r="H52" s="37">
        <v>0</v>
      </c>
      <c r="I52" s="37"/>
      <c r="J52" s="37">
        <f t="shared" si="4"/>
        <v>128706.15</v>
      </c>
      <c r="K52" s="37"/>
      <c r="L52" s="37">
        <f t="shared" si="5"/>
        <v>13401606.259999998</v>
      </c>
      <c r="M52" s="6"/>
    </row>
    <row r="53" spans="1:13">
      <c r="A53" t="s">
        <v>565</v>
      </c>
      <c r="B53" s="37">
        <v>16207961.99</v>
      </c>
      <c r="C53" s="37"/>
      <c r="D53" s="37">
        <f>152539.16+41409.48</f>
        <v>193948.64</v>
      </c>
      <c r="E53" s="37"/>
      <c r="F53" s="37">
        <v>-27481.74</v>
      </c>
      <c r="G53" s="37"/>
      <c r="H53" s="37">
        <v>-49284.1</v>
      </c>
      <c r="I53" s="37"/>
      <c r="J53" s="37">
        <f t="shared" si="4"/>
        <v>117182.80000000002</v>
      </c>
      <c r="K53" s="37"/>
      <c r="L53" s="37">
        <f t="shared" si="5"/>
        <v>16325144.790000001</v>
      </c>
      <c r="M53" s="6"/>
    </row>
    <row r="54" spans="1:13">
      <c r="A54" t="s">
        <v>566</v>
      </c>
      <c r="B54" s="37">
        <v>390025.41</v>
      </c>
      <c r="C54" s="37"/>
      <c r="D54" s="37">
        <v>0</v>
      </c>
      <c r="E54" s="37"/>
      <c r="F54" s="37">
        <v>0</v>
      </c>
      <c r="G54" s="37"/>
      <c r="H54" s="37">
        <v>0</v>
      </c>
      <c r="I54" s="37"/>
      <c r="J54" s="37">
        <f t="shared" si="4"/>
        <v>0</v>
      </c>
      <c r="K54" s="37"/>
      <c r="L54" s="37">
        <f t="shared" si="5"/>
        <v>390025.41</v>
      </c>
      <c r="M54" s="6"/>
    </row>
    <row r="55" spans="1:13">
      <c r="A55" t="s">
        <v>567</v>
      </c>
      <c r="B55" s="37">
        <v>11973222.450000001</v>
      </c>
      <c r="C55" s="37"/>
      <c r="D55" s="37">
        <v>105827.81</v>
      </c>
      <c r="E55" s="37"/>
      <c r="F55" s="37">
        <v>-9008.6299999999992</v>
      </c>
      <c r="G55" s="37"/>
      <c r="H55" s="37">
        <v>49284.1</v>
      </c>
      <c r="I55" s="37"/>
      <c r="J55" s="37">
        <f t="shared" si="4"/>
        <v>146103.28</v>
      </c>
      <c r="K55" s="37"/>
      <c r="L55" s="37">
        <f t="shared" si="5"/>
        <v>12119325.73</v>
      </c>
      <c r="M55" s="6"/>
    </row>
    <row r="56" spans="1:13">
      <c r="A56" t="s">
        <v>17</v>
      </c>
      <c r="B56" s="37">
        <v>1219154.31</v>
      </c>
      <c r="C56" s="37"/>
      <c r="D56" s="37">
        <f>13523.6+14747.08</f>
        <v>28270.68</v>
      </c>
      <c r="E56" s="37"/>
      <c r="F56" s="37">
        <v>0</v>
      </c>
      <c r="G56" s="37"/>
      <c r="H56" s="37">
        <v>0</v>
      </c>
      <c r="I56" s="37"/>
      <c r="J56" s="37">
        <f t="shared" si="4"/>
        <v>28270.68</v>
      </c>
      <c r="K56" s="37"/>
      <c r="L56" s="37">
        <f t="shared" si="5"/>
        <v>1247424.99</v>
      </c>
      <c r="M56" s="6"/>
    </row>
    <row r="57" spans="1:13">
      <c r="A57" t="s">
        <v>568</v>
      </c>
      <c r="B57" s="37">
        <v>30876.410000000003</v>
      </c>
      <c r="C57" s="37"/>
      <c r="D57" s="37">
        <v>0</v>
      </c>
      <c r="E57" s="37"/>
      <c r="F57" s="37">
        <v>0</v>
      </c>
      <c r="G57" s="37"/>
      <c r="H57" s="37">
        <v>0</v>
      </c>
      <c r="I57" s="37"/>
      <c r="J57" s="37">
        <f t="shared" si="4"/>
        <v>0</v>
      </c>
      <c r="K57" s="37"/>
      <c r="L57" s="37">
        <f t="shared" si="5"/>
        <v>30876.410000000003</v>
      </c>
      <c r="M57" s="6"/>
    </row>
    <row r="58" spans="1:13">
      <c r="A58" t="s">
        <v>569</v>
      </c>
      <c r="B58" s="35">
        <v>5170297.07</v>
      </c>
      <c r="C58" s="37"/>
      <c r="D58" s="35">
        <v>0</v>
      </c>
      <c r="E58" s="37"/>
      <c r="F58" s="35">
        <v>0</v>
      </c>
      <c r="G58" s="37"/>
      <c r="H58" s="35">
        <v>0</v>
      </c>
      <c r="I58" s="37"/>
      <c r="J58" s="35">
        <f t="shared" si="4"/>
        <v>0</v>
      </c>
      <c r="K58" s="37"/>
      <c r="L58" s="35">
        <f t="shared" si="5"/>
        <v>5170297.07</v>
      </c>
      <c r="M58" s="6"/>
    </row>
    <row r="59" spans="1:13">
      <c r="B59" s="37">
        <f>SUM(B41:B58)</f>
        <v>76606298.719999999</v>
      </c>
      <c r="C59" s="37"/>
      <c r="D59" s="37">
        <f>SUM(D41:D58)</f>
        <v>506119.75</v>
      </c>
      <c r="E59" s="37"/>
      <c r="F59" s="37">
        <f>SUM(F41:F58)</f>
        <v>-55038.15</v>
      </c>
      <c r="G59" s="37"/>
      <c r="H59" s="37">
        <f>SUM(H41:H58)</f>
        <v>0</v>
      </c>
      <c r="I59" s="37"/>
      <c r="J59" s="37">
        <f>SUM(J41:J58)</f>
        <v>451081.60000000003</v>
      </c>
      <c r="K59" s="37"/>
      <c r="L59" s="37">
        <f>SUM(L41:L58)</f>
        <v>77057380.319999993</v>
      </c>
      <c r="M59" s="6"/>
    </row>
    <row r="60" spans="1:13">
      <c r="B60" s="33"/>
      <c r="C60" s="33"/>
      <c r="D60" s="33"/>
      <c r="E60" s="33"/>
      <c r="F60" s="33"/>
      <c r="G60" s="33"/>
      <c r="H60" s="33"/>
      <c r="I60" s="33"/>
      <c r="J60" s="33"/>
      <c r="K60" s="33"/>
      <c r="L60" s="33"/>
      <c r="M60" s="1"/>
    </row>
    <row r="61" spans="1:13">
      <c r="A61" s="3" t="s">
        <v>125</v>
      </c>
      <c r="B61" s="33"/>
      <c r="C61" s="33"/>
      <c r="D61" s="33"/>
      <c r="E61" s="33"/>
      <c r="F61" s="33"/>
      <c r="G61" s="33"/>
      <c r="H61" s="33"/>
      <c r="I61" s="33"/>
      <c r="J61" s="33"/>
      <c r="K61" s="33"/>
      <c r="L61" s="33"/>
      <c r="M61" s="1"/>
    </row>
    <row r="62" spans="1:13">
      <c r="A62" t="s">
        <v>570</v>
      </c>
      <c r="B62" s="33">
        <v>220659.05</v>
      </c>
      <c r="C62" s="33"/>
      <c r="D62" s="33">
        <v>0</v>
      </c>
      <c r="E62" s="33"/>
      <c r="F62" s="300">
        <v>0</v>
      </c>
      <c r="G62" s="33"/>
      <c r="H62" s="300">
        <v>0</v>
      </c>
      <c r="I62" s="33"/>
      <c r="J62" s="33">
        <f>H62+F62+D62</f>
        <v>0</v>
      </c>
      <c r="K62" s="33"/>
      <c r="L62" s="33">
        <f>J62+B62</f>
        <v>220659.05</v>
      </c>
      <c r="M62" s="1"/>
    </row>
    <row r="63" spans="1:13">
      <c r="A63" t="s">
        <v>571</v>
      </c>
      <c r="B63" s="300">
        <v>17379779.66</v>
      </c>
      <c r="C63" s="300"/>
      <c r="D63" s="300">
        <v>882947.47</v>
      </c>
      <c r="E63" s="300"/>
      <c r="F63" s="300">
        <v>-1389.93</v>
      </c>
      <c r="G63" s="300"/>
      <c r="H63" s="300">
        <v>134900.23000000001</v>
      </c>
      <c r="I63" s="300"/>
      <c r="J63" s="300">
        <f>H63+F63+D63</f>
        <v>1016457.77</v>
      </c>
      <c r="K63" s="300"/>
      <c r="L63" s="300">
        <f>J63+B63</f>
        <v>18396237.43</v>
      </c>
      <c r="M63" s="1"/>
    </row>
    <row r="64" spans="1:13">
      <c r="A64" s="179" t="s">
        <v>1444</v>
      </c>
      <c r="B64" s="35">
        <v>3941518.65</v>
      </c>
      <c r="C64" s="300"/>
      <c r="D64" s="35">
        <v>0</v>
      </c>
      <c r="E64" s="300"/>
      <c r="F64" s="35">
        <v>0</v>
      </c>
      <c r="G64" s="300"/>
      <c r="H64" s="35">
        <v>0</v>
      </c>
      <c r="I64" s="300"/>
      <c r="J64" s="35">
        <f>H64+F64+D64</f>
        <v>0</v>
      </c>
      <c r="K64" s="300"/>
      <c r="L64" s="35">
        <f>J64+B64</f>
        <v>3941518.65</v>
      </c>
      <c r="M64" s="1"/>
    </row>
    <row r="65" spans="1:14">
      <c r="B65" s="37">
        <f>SUM(B62:B64)</f>
        <v>21541957.359999999</v>
      </c>
      <c r="C65" s="37"/>
      <c r="D65" s="37">
        <f>SUM(D62:D64)</f>
        <v>882947.47</v>
      </c>
      <c r="E65" s="37"/>
      <c r="F65" s="37">
        <f>SUM(F62:F64)</f>
        <v>-1389.93</v>
      </c>
      <c r="G65" s="37"/>
      <c r="H65" s="37">
        <f>SUM(H62:H64)</f>
        <v>134900.23000000001</v>
      </c>
      <c r="I65" s="37"/>
      <c r="J65" s="37">
        <f>SUM(J62:J64)</f>
        <v>1016457.77</v>
      </c>
      <c r="K65" s="37"/>
      <c r="L65" s="37">
        <f>SUM(L62:L64)</f>
        <v>22558415.129999999</v>
      </c>
      <c r="M65" s="6"/>
    </row>
    <row r="66" spans="1:14">
      <c r="B66" s="37"/>
      <c r="C66" s="37"/>
      <c r="D66" s="37"/>
      <c r="E66" s="37"/>
      <c r="F66" s="37"/>
      <c r="G66" s="37"/>
      <c r="H66" s="37"/>
      <c r="I66" s="37"/>
      <c r="J66" s="37"/>
      <c r="K66" s="37"/>
      <c r="L66" s="37"/>
      <c r="M66" s="6"/>
    </row>
    <row r="67" spans="1:14">
      <c r="B67" s="37"/>
      <c r="C67" s="37"/>
      <c r="D67" s="37"/>
      <c r="E67" s="37"/>
      <c r="F67" s="37"/>
      <c r="G67" s="37"/>
      <c r="H67" s="37"/>
      <c r="I67" s="37"/>
      <c r="J67" s="37"/>
      <c r="K67" s="37"/>
      <c r="L67" s="37"/>
      <c r="M67" s="1"/>
    </row>
    <row r="68" spans="1:14">
      <c r="A68" s="3" t="s">
        <v>763</v>
      </c>
      <c r="B68" s="34">
        <f>B65+B59+B38+B34+B25</f>
        <v>699304136.46000004</v>
      </c>
      <c r="C68" s="37"/>
      <c r="D68" s="34">
        <f>D65+D59+D38+D34+D25</f>
        <v>4775963.57</v>
      </c>
      <c r="E68" s="37"/>
      <c r="F68" s="34">
        <f>F65+F59+F38+F34+F25</f>
        <v>-80045.88</v>
      </c>
      <c r="G68" s="37"/>
      <c r="H68" s="34">
        <f>H65+H59+H38+H34+H25</f>
        <v>0</v>
      </c>
      <c r="I68" s="37"/>
      <c r="J68" s="34">
        <f>J65+J59+J38+J34+J25</f>
        <v>4695917.6900000004</v>
      </c>
      <c r="K68" s="37"/>
      <c r="L68" s="34">
        <f>L65+L59+L38+L34+L25</f>
        <v>704000054.1500001</v>
      </c>
      <c r="M68" s="1"/>
    </row>
    <row r="69" spans="1:14">
      <c r="B69" s="37"/>
      <c r="C69" s="37"/>
      <c r="D69" s="37"/>
      <c r="E69" s="37"/>
      <c r="F69" s="37"/>
      <c r="G69" s="37"/>
      <c r="H69" s="37"/>
      <c r="I69" s="37"/>
      <c r="J69" s="37"/>
      <c r="K69" s="37"/>
      <c r="L69" s="37"/>
      <c r="M69" s="1"/>
    </row>
    <row r="70" spans="1:14">
      <c r="B70" s="33"/>
      <c r="C70" s="33"/>
      <c r="D70" s="33"/>
      <c r="E70" s="33"/>
      <c r="F70" s="33"/>
      <c r="G70" s="33"/>
      <c r="H70" s="33"/>
      <c r="I70" s="33"/>
      <c r="J70" s="33"/>
      <c r="K70" s="33"/>
      <c r="L70" s="33"/>
      <c r="M70" s="1"/>
    </row>
    <row r="71" spans="1:14">
      <c r="A71" s="3" t="s">
        <v>689</v>
      </c>
      <c r="B71" s="33"/>
      <c r="C71" s="33"/>
      <c r="D71" s="33"/>
      <c r="E71" s="33"/>
      <c r="F71" s="33"/>
      <c r="G71" s="33"/>
      <c r="H71" s="33"/>
      <c r="I71" s="33"/>
      <c r="J71" s="33"/>
      <c r="K71" s="33"/>
      <c r="L71" s="33"/>
      <c r="M71" s="1"/>
    </row>
    <row r="72" spans="1:14">
      <c r="A72" s="3" t="s">
        <v>121</v>
      </c>
      <c r="B72" s="33"/>
      <c r="C72" s="33"/>
      <c r="D72" s="33"/>
      <c r="E72" s="33"/>
      <c r="F72" s="33"/>
      <c r="G72" s="33"/>
      <c r="H72" s="33"/>
      <c r="I72" s="33"/>
      <c r="J72" s="33"/>
      <c r="K72" s="33"/>
      <c r="L72" s="33"/>
      <c r="M72" s="1"/>
    </row>
    <row r="73" spans="1:14">
      <c r="A73" s="10" t="s">
        <v>850</v>
      </c>
      <c r="B73" s="33">
        <v>0</v>
      </c>
      <c r="C73" s="33"/>
      <c r="D73" s="33">
        <v>0</v>
      </c>
      <c r="E73" s="33"/>
      <c r="F73" s="33">
        <v>0</v>
      </c>
      <c r="G73" s="33"/>
      <c r="H73" s="33">
        <v>0</v>
      </c>
      <c r="I73" s="33"/>
      <c r="J73" s="33">
        <f t="shared" ref="J73:J82" si="6">H73+F73+D73</f>
        <v>0</v>
      </c>
      <c r="K73" s="33"/>
      <c r="L73" s="33">
        <f t="shared" ref="L73:L82" si="7">J73+B73</f>
        <v>0</v>
      </c>
      <c r="M73" s="1"/>
    </row>
    <row r="74" spans="1:14">
      <c r="A74" s="10" t="s">
        <v>83</v>
      </c>
      <c r="B74" s="33">
        <v>0</v>
      </c>
      <c r="C74" s="33"/>
      <c r="D74" s="33">
        <v>0</v>
      </c>
      <c r="E74" s="33"/>
      <c r="F74" s="33">
        <v>0</v>
      </c>
      <c r="G74" s="33"/>
      <c r="H74" s="33">
        <v>0</v>
      </c>
      <c r="I74" s="33"/>
      <c r="J74" s="33">
        <f t="shared" si="6"/>
        <v>0</v>
      </c>
      <c r="K74" s="33"/>
      <c r="L74" s="33">
        <f t="shared" si="7"/>
        <v>0</v>
      </c>
      <c r="M74" s="1"/>
    </row>
    <row r="75" spans="1:14">
      <c r="A75" s="10" t="s">
        <v>72</v>
      </c>
      <c r="B75" s="33">
        <v>11010631.390000006</v>
      </c>
      <c r="C75" s="33"/>
      <c r="D75" s="33">
        <f>416393.43+9093432.16+237903.44</f>
        <v>9747729.0299999993</v>
      </c>
      <c r="E75" s="33"/>
      <c r="F75" s="33">
        <v>0</v>
      </c>
      <c r="G75" s="33"/>
      <c r="H75" s="33">
        <v>0</v>
      </c>
      <c r="I75" s="33"/>
      <c r="J75" s="33">
        <f t="shared" si="6"/>
        <v>9747729.0299999993</v>
      </c>
      <c r="K75" s="33"/>
      <c r="L75" s="33">
        <f t="shared" si="7"/>
        <v>20758360.420000006</v>
      </c>
      <c r="M75" s="1"/>
      <c r="N75" s="89"/>
    </row>
    <row r="76" spans="1:14">
      <c r="A76" t="s">
        <v>73</v>
      </c>
      <c r="B76" s="33">
        <v>824434.66</v>
      </c>
      <c r="C76" s="33"/>
      <c r="D76" s="180">
        <f>4733.21-103983.3</f>
        <v>-99250.09</v>
      </c>
      <c r="E76" s="33"/>
      <c r="F76" s="33">
        <v>0</v>
      </c>
      <c r="G76" s="33"/>
      <c r="H76" s="33">
        <v>0</v>
      </c>
      <c r="I76" s="33"/>
      <c r="J76" s="33">
        <f t="shared" si="6"/>
        <v>-99250.09</v>
      </c>
      <c r="K76" s="33"/>
      <c r="L76" s="33">
        <f t="shared" si="7"/>
        <v>725184.57000000007</v>
      </c>
      <c r="M76" s="1"/>
      <c r="N76" s="89"/>
    </row>
    <row r="77" spans="1:14">
      <c r="A77" t="s">
        <v>74</v>
      </c>
      <c r="B77" s="33">
        <v>0</v>
      </c>
      <c r="C77" s="33"/>
      <c r="D77" s="33">
        <v>76938.37</v>
      </c>
      <c r="E77" s="33"/>
      <c r="F77" s="33">
        <v>0</v>
      </c>
      <c r="G77" s="33"/>
      <c r="H77" s="33">
        <v>0</v>
      </c>
      <c r="I77" s="33"/>
      <c r="J77" s="33">
        <f t="shared" si="6"/>
        <v>76938.37</v>
      </c>
      <c r="K77" s="33"/>
      <c r="L77" s="33">
        <f t="shared" si="7"/>
        <v>76938.37</v>
      </c>
      <c r="M77" s="1"/>
    </row>
    <row r="78" spans="1:14">
      <c r="A78" t="s">
        <v>75</v>
      </c>
      <c r="B78" s="37">
        <v>6698075.0399999991</v>
      </c>
      <c r="C78" s="37"/>
      <c r="D78" s="37">
        <f>469272.26+668.63+776050.15+12691.67+495180.28+17457.63-4488.65-5675.64-5675.85</f>
        <v>1755480.48</v>
      </c>
      <c r="E78" s="37"/>
      <c r="F78" s="37">
        <v>0</v>
      </c>
      <c r="G78" s="37"/>
      <c r="H78" s="37">
        <v>0</v>
      </c>
      <c r="I78" s="37"/>
      <c r="J78" s="37">
        <f t="shared" si="6"/>
        <v>1755480.48</v>
      </c>
      <c r="K78" s="37"/>
      <c r="L78" s="37">
        <f t="shared" si="7"/>
        <v>8453555.5199999996</v>
      </c>
      <c r="M78" s="1"/>
      <c r="N78" s="89"/>
    </row>
    <row r="79" spans="1:14">
      <c r="A79" t="s">
        <v>76</v>
      </c>
      <c r="B79" s="37">
        <v>0</v>
      </c>
      <c r="C79" s="37"/>
      <c r="D79" s="37">
        <v>156773.64000000001</v>
      </c>
      <c r="E79" s="37"/>
      <c r="F79" s="37">
        <v>0</v>
      </c>
      <c r="G79" s="37"/>
      <c r="H79" s="37">
        <v>0</v>
      </c>
      <c r="I79" s="37"/>
      <c r="J79" s="37">
        <f t="shared" si="6"/>
        <v>156773.64000000001</v>
      </c>
      <c r="K79" s="37"/>
      <c r="L79" s="37">
        <f t="shared" si="7"/>
        <v>156773.64000000001</v>
      </c>
      <c r="M79" s="1"/>
    </row>
    <row r="80" spans="1:14">
      <c r="A80" t="s">
        <v>77</v>
      </c>
      <c r="B80" s="37">
        <v>332843.38999999873</v>
      </c>
      <c r="C80" s="37"/>
      <c r="D80" s="37">
        <f>232472.78+234359.61-30081.11</f>
        <v>436751.28</v>
      </c>
      <c r="E80" s="37"/>
      <c r="F80" s="37">
        <v>0</v>
      </c>
      <c r="G80" s="37"/>
      <c r="H80" s="37">
        <v>0</v>
      </c>
      <c r="I80" s="37"/>
      <c r="J80" s="37">
        <f t="shared" si="6"/>
        <v>436751.28</v>
      </c>
      <c r="K80" s="37"/>
      <c r="L80" s="37">
        <f t="shared" si="7"/>
        <v>769594.66999999876</v>
      </c>
      <c r="M80" s="1"/>
      <c r="N80" s="89"/>
    </row>
    <row r="81" spans="1:14">
      <c r="A81" t="s">
        <v>78</v>
      </c>
      <c r="B81" s="37">
        <v>0</v>
      </c>
      <c r="C81" s="37"/>
      <c r="D81" s="37">
        <v>0</v>
      </c>
      <c r="E81" s="37"/>
      <c r="F81" s="37">
        <v>0</v>
      </c>
      <c r="G81" s="37"/>
      <c r="H81" s="37">
        <v>0</v>
      </c>
      <c r="I81" s="37"/>
      <c r="J81" s="37">
        <f t="shared" si="6"/>
        <v>0</v>
      </c>
      <c r="K81" s="37"/>
      <c r="L81" s="37">
        <f t="shared" si="7"/>
        <v>0</v>
      </c>
      <c r="M81" s="1"/>
      <c r="N81" s="89"/>
    </row>
    <row r="82" spans="1:14">
      <c r="A82" t="s">
        <v>79</v>
      </c>
      <c r="B82" s="35">
        <v>0</v>
      </c>
      <c r="C82" s="37"/>
      <c r="D82" s="35">
        <v>0</v>
      </c>
      <c r="E82" s="37"/>
      <c r="F82" s="35">
        <v>0</v>
      </c>
      <c r="G82" s="37"/>
      <c r="H82" s="35">
        <v>0</v>
      </c>
      <c r="I82" s="37"/>
      <c r="J82" s="35">
        <f t="shared" si="6"/>
        <v>0</v>
      </c>
      <c r="K82" s="37"/>
      <c r="L82" s="35">
        <f t="shared" si="7"/>
        <v>0</v>
      </c>
      <c r="M82" s="1"/>
      <c r="N82" s="89"/>
    </row>
    <row r="83" spans="1:14">
      <c r="B83" s="37">
        <f>SUM(B73:B82)</f>
        <v>18865984.480000004</v>
      </c>
      <c r="C83" s="37"/>
      <c r="D83" s="37">
        <f>SUM(D73:D82)</f>
        <v>12074422.709999999</v>
      </c>
      <c r="E83" s="37"/>
      <c r="F83" s="37">
        <f>SUM(F73:F82)</f>
        <v>0</v>
      </c>
      <c r="G83" s="37"/>
      <c r="H83" s="37">
        <f>SUM(H73:H82)</f>
        <v>0</v>
      </c>
      <c r="I83" s="37"/>
      <c r="J83" s="37">
        <f>SUM(J73:J82)</f>
        <v>12074422.709999999</v>
      </c>
      <c r="K83" s="37"/>
      <c r="L83" s="37">
        <f>SUM(L73:L82)</f>
        <v>30940407.190000005</v>
      </c>
      <c r="M83" s="1"/>
    </row>
    <row r="84" spans="1:14">
      <c r="B84" s="37"/>
      <c r="C84" s="37"/>
      <c r="D84" s="37"/>
      <c r="E84" s="37"/>
      <c r="F84" s="37"/>
      <c r="G84" s="37"/>
      <c r="H84" s="37"/>
      <c r="I84" s="37"/>
      <c r="J84" s="37"/>
      <c r="K84" s="37"/>
      <c r="L84" s="37"/>
      <c r="M84" s="1"/>
    </row>
    <row r="85" spans="1:14">
      <c r="A85" s="3" t="s">
        <v>122</v>
      </c>
      <c r="B85" s="33"/>
      <c r="C85" s="33"/>
      <c r="D85" s="33"/>
      <c r="E85" s="33"/>
      <c r="F85" s="33"/>
      <c r="G85" s="33"/>
      <c r="H85" s="33"/>
      <c r="I85" s="33"/>
      <c r="J85" s="33"/>
      <c r="K85" s="33"/>
      <c r="L85" s="33"/>
      <c r="M85" s="1"/>
    </row>
    <row r="86" spans="1:14">
      <c r="A86" t="s">
        <v>899</v>
      </c>
      <c r="B86" s="33">
        <v>0</v>
      </c>
      <c r="C86" s="33"/>
      <c r="D86" s="33">
        <v>0</v>
      </c>
      <c r="E86" s="33"/>
      <c r="F86" s="33">
        <v>0</v>
      </c>
      <c r="G86" s="33"/>
      <c r="H86" s="33">
        <v>0</v>
      </c>
      <c r="I86" s="33"/>
      <c r="J86" s="33">
        <f t="shared" ref="J86:J91" si="8">H86+F86+D86</f>
        <v>0</v>
      </c>
      <c r="K86" s="33"/>
      <c r="L86" s="33">
        <f t="shared" ref="L86:L91" si="9">J86+B86</f>
        <v>0</v>
      </c>
      <c r="M86" s="1"/>
    </row>
    <row r="87" spans="1:14">
      <c r="A87" t="s">
        <v>900</v>
      </c>
      <c r="B87" s="33">
        <v>42896.12</v>
      </c>
      <c r="C87" s="33"/>
      <c r="D87" s="33">
        <v>-42896.12</v>
      </c>
      <c r="E87" s="33"/>
      <c r="F87" s="33">
        <v>0</v>
      </c>
      <c r="G87" s="33"/>
      <c r="H87" s="33">
        <v>0</v>
      </c>
      <c r="I87" s="33"/>
      <c r="J87" s="33">
        <f t="shared" si="8"/>
        <v>-42896.12</v>
      </c>
      <c r="K87" s="33"/>
      <c r="L87" s="33">
        <f t="shared" si="9"/>
        <v>0</v>
      </c>
      <c r="M87" s="1"/>
    </row>
    <row r="88" spans="1:14">
      <c r="A88" t="s">
        <v>901</v>
      </c>
      <c r="B88" s="33">
        <v>105958.59000000001</v>
      </c>
      <c r="C88" s="33"/>
      <c r="D88" s="33">
        <f>49134.31-105958.59+15163.49</f>
        <v>-41660.79</v>
      </c>
      <c r="E88" s="33"/>
      <c r="F88" s="33">
        <v>0</v>
      </c>
      <c r="G88" s="33"/>
      <c r="H88" s="33">
        <v>0</v>
      </c>
      <c r="I88" s="33"/>
      <c r="J88" s="33">
        <f t="shared" si="8"/>
        <v>-41660.79</v>
      </c>
      <c r="K88" s="33"/>
      <c r="L88" s="33">
        <f t="shared" si="9"/>
        <v>64297.80000000001</v>
      </c>
      <c r="M88" s="1"/>
    </row>
    <row r="89" spans="1:14">
      <c r="A89" t="s">
        <v>995</v>
      </c>
      <c r="B89" s="33">
        <v>0</v>
      </c>
      <c r="C89" s="33"/>
      <c r="D89" s="33">
        <v>0</v>
      </c>
      <c r="E89" s="33"/>
      <c r="F89" s="33">
        <v>0</v>
      </c>
      <c r="G89" s="33"/>
      <c r="H89" s="33">
        <v>0</v>
      </c>
      <c r="I89" s="33"/>
      <c r="J89" s="33">
        <f t="shared" si="8"/>
        <v>0</v>
      </c>
      <c r="K89" s="33"/>
      <c r="L89" s="33">
        <f t="shared" si="9"/>
        <v>0</v>
      </c>
      <c r="M89" s="1"/>
    </row>
    <row r="90" spans="1:14">
      <c r="A90" t="s">
        <v>996</v>
      </c>
      <c r="B90" s="37">
        <v>0</v>
      </c>
      <c r="C90" s="37"/>
      <c r="D90" s="37">
        <v>0</v>
      </c>
      <c r="E90" s="37"/>
      <c r="F90" s="37">
        <v>0</v>
      </c>
      <c r="G90" s="37"/>
      <c r="H90" s="37">
        <v>0</v>
      </c>
      <c r="I90" s="37"/>
      <c r="J90" s="37">
        <f t="shared" si="8"/>
        <v>0</v>
      </c>
      <c r="K90" s="37"/>
      <c r="L90" s="37">
        <f t="shared" si="9"/>
        <v>0</v>
      </c>
      <c r="M90" s="6"/>
    </row>
    <row r="91" spans="1:14">
      <c r="A91" t="s">
        <v>997</v>
      </c>
      <c r="B91" s="35">
        <v>114219.07</v>
      </c>
      <c r="C91" s="37"/>
      <c r="D91" s="35">
        <v>0</v>
      </c>
      <c r="E91" s="37"/>
      <c r="F91" s="35">
        <v>0</v>
      </c>
      <c r="G91" s="37"/>
      <c r="H91" s="35">
        <v>0</v>
      </c>
      <c r="I91" s="37"/>
      <c r="J91" s="35">
        <f t="shared" si="8"/>
        <v>0</v>
      </c>
      <c r="K91" s="37"/>
      <c r="L91" s="35">
        <f t="shared" si="9"/>
        <v>114219.07</v>
      </c>
      <c r="M91" s="6"/>
    </row>
    <row r="92" spans="1:14">
      <c r="B92" s="37">
        <f>SUM(B86:B91)</f>
        <v>263073.78000000003</v>
      </c>
      <c r="C92" s="37"/>
      <c r="D92" s="37">
        <f>SUM(D86:D91)</f>
        <v>-84556.91</v>
      </c>
      <c r="E92" s="37"/>
      <c r="F92" s="37">
        <f>SUM(F86:F91)</f>
        <v>0</v>
      </c>
      <c r="G92" s="37"/>
      <c r="H92" s="37">
        <f>SUM(H86:H91)</f>
        <v>0</v>
      </c>
      <c r="I92" s="37"/>
      <c r="J92" s="37">
        <f>SUM(J86:J91)</f>
        <v>-84556.91</v>
      </c>
      <c r="K92" s="37"/>
      <c r="L92" s="37">
        <f>SUM(L86:L91)</f>
        <v>178516.87000000002</v>
      </c>
      <c r="M92" s="6"/>
    </row>
    <row r="93" spans="1:14">
      <c r="B93" s="37"/>
      <c r="C93" s="37"/>
      <c r="D93" s="37"/>
      <c r="E93" s="37"/>
      <c r="F93" s="37"/>
      <c r="G93" s="37"/>
      <c r="H93" s="37"/>
      <c r="I93" s="37"/>
      <c r="J93" s="37"/>
      <c r="K93" s="37"/>
      <c r="L93" s="37"/>
      <c r="M93" s="6"/>
    </row>
    <row r="94" spans="1:14">
      <c r="A94" s="3" t="s">
        <v>124</v>
      </c>
      <c r="B94" s="37"/>
      <c r="C94" s="37"/>
      <c r="D94" s="37"/>
      <c r="E94" s="37"/>
      <c r="F94" s="37"/>
      <c r="G94" s="37"/>
      <c r="H94" s="37"/>
      <c r="I94" s="37"/>
      <c r="J94" s="37"/>
      <c r="K94" s="37"/>
      <c r="L94" s="37"/>
      <c r="M94" s="1"/>
    </row>
    <row r="95" spans="1:14">
      <c r="A95" t="s">
        <v>560</v>
      </c>
      <c r="B95" s="37">
        <v>0</v>
      </c>
      <c r="C95" s="37"/>
      <c r="D95" s="37">
        <f>26259.07+15818.62-26259.07</f>
        <v>15818.620000000003</v>
      </c>
      <c r="E95" s="37"/>
      <c r="F95" s="37">
        <v>0</v>
      </c>
      <c r="G95" s="37"/>
      <c r="H95" s="37">
        <v>0</v>
      </c>
      <c r="I95" s="37"/>
      <c r="J95" s="37">
        <f t="shared" ref="J95:J103" si="10">H95+F95+D95</f>
        <v>15818.620000000003</v>
      </c>
      <c r="K95" s="37"/>
      <c r="L95" s="37">
        <f t="shared" ref="L95:L103" si="11">J95+B95</f>
        <v>15818.620000000003</v>
      </c>
      <c r="M95" s="1"/>
    </row>
    <row r="96" spans="1:14">
      <c r="A96" t="s">
        <v>14</v>
      </c>
      <c r="B96" s="37">
        <v>0</v>
      </c>
      <c r="C96" s="37"/>
      <c r="D96" s="37">
        <v>0</v>
      </c>
      <c r="E96" s="37"/>
      <c r="F96" s="37">
        <v>0</v>
      </c>
      <c r="G96" s="37"/>
      <c r="H96" s="37">
        <v>0</v>
      </c>
      <c r="I96" s="37"/>
      <c r="J96" s="37">
        <f t="shared" si="10"/>
        <v>0</v>
      </c>
      <c r="K96" s="37"/>
      <c r="L96" s="37">
        <f t="shared" si="11"/>
        <v>0</v>
      </c>
      <c r="M96" s="1"/>
    </row>
    <row r="97" spans="1:13">
      <c r="A97" s="179" t="s">
        <v>1093</v>
      </c>
      <c r="B97" s="37">
        <v>0</v>
      </c>
      <c r="C97" s="37"/>
      <c r="D97" s="37">
        <v>309537.40000000002</v>
      </c>
      <c r="E97" s="37"/>
      <c r="F97" s="37">
        <v>0</v>
      </c>
      <c r="G97" s="37"/>
      <c r="H97" s="37">
        <v>0</v>
      </c>
      <c r="I97" s="37"/>
      <c r="J97" s="37">
        <f t="shared" si="10"/>
        <v>309537.40000000002</v>
      </c>
      <c r="K97" s="37"/>
      <c r="L97" s="37">
        <f t="shared" si="11"/>
        <v>309537.40000000002</v>
      </c>
      <c r="M97" s="1"/>
    </row>
    <row r="98" spans="1:13">
      <c r="A98" s="179" t="s">
        <v>1092</v>
      </c>
      <c r="B98" s="37">
        <v>94689.33</v>
      </c>
      <c r="C98" s="37"/>
      <c r="D98" s="37">
        <f>706156.39+110736.37</f>
        <v>816892.76</v>
      </c>
      <c r="E98" s="37"/>
      <c r="F98" s="37">
        <v>0</v>
      </c>
      <c r="G98" s="37"/>
      <c r="H98" s="37">
        <v>0</v>
      </c>
      <c r="I98" s="37"/>
      <c r="J98" s="37">
        <f t="shared" si="10"/>
        <v>816892.76</v>
      </c>
      <c r="K98" s="37"/>
      <c r="L98" s="37">
        <f t="shared" si="11"/>
        <v>911582.09</v>
      </c>
      <c r="M98" s="1"/>
    </row>
    <row r="99" spans="1:13">
      <c r="A99" t="s">
        <v>16</v>
      </c>
      <c r="B99" s="37">
        <v>147253.93</v>
      </c>
      <c r="C99" s="37"/>
      <c r="D99" s="37">
        <f>9222.41-147253.93</f>
        <v>-138031.51999999999</v>
      </c>
      <c r="E99" s="37"/>
      <c r="F99" s="37">
        <v>0</v>
      </c>
      <c r="G99" s="37"/>
      <c r="H99" s="37">
        <v>0</v>
      </c>
      <c r="I99" s="37"/>
      <c r="J99" s="37">
        <f t="shared" si="10"/>
        <v>-138031.51999999999</v>
      </c>
      <c r="K99" s="37"/>
      <c r="L99" s="37">
        <f t="shared" si="11"/>
        <v>9222.4100000000035</v>
      </c>
      <c r="M99" s="1"/>
    </row>
    <row r="100" spans="1:13">
      <c r="A100" t="s">
        <v>565</v>
      </c>
      <c r="B100" s="37">
        <v>121352.84999999995</v>
      </c>
      <c r="C100" s="37"/>
      <c r="D100" s="37">
        <f>437743.88+126707.7+45398.77</f>
        <v>609850.35</v>
      </c>
      <c r="E100" s="37"/>
      <c r="F100" s="37">
        <v>0</v>
      </c>
      <c r="G100" s="37"/>
      <c r="H100" s="37">
        <v>0</v>
      </c>
      <c r="I100" s="37"/>
      <c r="J100" s="37">
        <f t="shared" si="10"/>
        <v>609850.35</v>
      </c>
      <c r="K100" s="37"/>
      <c r="L100" s="37">
        <f t="shared" si="11"/>
        <v>731203.2</v>
      </c>
      <c r="M100" s="1"/>
    </row>
    <row r="101" spans="1:13">
      <c r="A101" t="s">
        <v>566</v>
      </c>
      <c r="B101" s="37">
        <v>134824.35</v>
      </c>
      <c r="C101" s="37"/>
      <c r="D101" s="37">
        <v>0</v>
      </c>
      <c r="E101" s="37"/>
      <c r="F101" s="37">
        <v>0</v>
      </c>
      <c r="G101" s="37"/>
      <c r="H101" s="37">
        <v>0</v>
      </c>
      <c r="I101" s="37"/>
      <c r="J101" s="37">
        <f t="shared" si="10"/>
        <v>0</v>
      </c>
      <c r="K101" s="37"/>
      <c r="L101" s="37">
        <f t="shared" si="11"/>
        <v>134824.35</v>
      </c>
      <c r="M101" s="1"/>
    </row>
    <row r="102" spans="1:13">
      <c r="A102" t="s">
        <v>567</v>
      </c>
      <c r="B102" s="37">
        <v>0</v>
      </c>
      <c r="C102" s="37"/>
      <c r="D102" s="37">
        <f>390401.29-84446.22+915150.55</f>
        <v>1221105.6200000001</v>
      </c>
      <c r="E102" s="37"/>
      <c r="F102" s="37">
        <v>0</v>
      </c>
      <c r="G102" s="37"/>
      <c r="H102" s="37">
        <v>0</v>
      </c>
      <c r="I102" s="37"/>
      <c r="J102" s="37">
        <f t="shared" si="10"/>
        <v>1221105.6200000001</v>
      </c>
      <c r="K102" s="37"/>
      <c r="L102" s="37">
        <f t="shared" si="11"/>
        <v>1221105.6200000001</v>
      </c>
      <c r="M102" s="1"/>
    </row>
    <row r="103" spans="1:13">
      <c r="A103" t="s">
        <v>17</v>
      </c>
      <c r="B103" s="35">
        <v>16492.54</v>
      </c>
      <c r="C103" s="37"/>
      <c r="D103" s="35">
        <f>57336.69-30016.14-14747.08</f>
        <v>12573.470000000003</v>
      </c>
      <c r="E103" s="37"/>
      <c r="F103" s="35">
        <v>0</v>
      </c>
      <c r="G103" s="37"/>
      <c r="H103" s="35">
        <v>0</v>
      </c>
      <c r="I103" s="37"/>
      <c r="J103" s="35">
        <f t="shared" si="10"/>
        <v>12573.470000000003</v>
      </c>
      <c r="K103" s="37"/>
      <c r="L103" s="35">
        <f t="shared" si="11"/>
        <v>29066.010000000002</v>
      </c>
      <c r="M103" s="1"/>
    </row>
    <row r="104" spans="1:13">
      <c r="B104" s="37">
        <f>SUM(B95:B103)</f>
        <v>514612.99999999994</v>
      </c>
      <c r="C104" s="37"/>
      <c r="D104" s="37">
        <f>SUM(D95:D103)</f>
        <v>2847746.7</v>
      </c>
      <c r="E104" s="37"/>
      <c r="F104" s="37">
        <f>SUM(F95:F103)</f>
        <v>0</v>
      </c>
      <c r="G104" s="37"/>
      <c r="H104" s="37">
        <f>SUM(H95:H103)</f>
        <v>0</v>
      </c>
      <c r="I104" s="37"/>
      <c r="J104" s="37">
        <f>SUM(J95:J103)</f>
        <v>2847746.7</v>
      </c>
      <c r="K104" s="37"/>
      <c r="L104" s="37">
        <f>SUM(L95:L103)</f>
        <v>3362359.6999999997</v>
      </c>
      <c r="M104" s="1"/>
    </row>
    <row r="105" spans="1:13">
      <c r="B105" s="37"/>
      <c r="C105" s="37"/>
      <c r="D105" s="37"/>
      <c r="E105" s="37"/>
      <c r="F105" s="37"/>
      <c r="G105" s="37"/>
      <c r="H105" s="37"/>
      <c r="I105" s="37"/>
      <c r="J105" s="37"/>
      <c r="K105" s="37"/>
      <c r="L105" s="37"/>
      <c r="M105" s="1"/>
    </row>
    <row r="106" spans="1:13">
      <c r="A106" s="3" t="s">
        <v>125</v>
      </c>
      <c r="B106" s="37"/>
      <c r="C106" s="37"/>
      <c r="D106" s="37"/>
      <c r="E106" s="37"/>
      <c r="F106" s="37"/>
      <c r="G106" s="37"/>
      <c r="H106" s="37"/>
      <c r="I106" s="37"/>
      <c r="J106" s="37"/>
      <c r="K106" s="37"/>
      <c r="L106" s="37"/>
      <c r="M106" s="1"/>
    </row>
    <row r="107" spans="1:13">
      <c r="A107" t="s">
        <v>571</v>
      </c>
      <c r="B107" s="35">
        <v>1459528.0299999996</v>
      </c>
      <c r="C107" s="37"/>
      <c r="D107" s="35">
        <f>2072.08-921177.09+2814.52</f>
        <v>-916290.49</v>
      </c>
      <c r="E107" s="37"/>
      <c r="F107" s="35">
        <v>0</v>
      </c>
      <c r="G107" s="37"/>
      <c r="H107" s="35">
        <v>0</v>
      </c>
      <c r="I107" s="37"/>
      <c r="J107" s="35">
        <f>H107+F107+D107</f>
        <v>-916290.49</v>
      </c>
      <c r="K107" s="37"/>
      <c r="L107" s="35">
        <f>J107+B107</f>
        <v>543237.53999999957</v>
      </c>
      <c r="M107" s="1"/>
    </row>
    <row r="108" spans="1:13">
      <c r="B108" s="37">
        <f>SUM(B107)</f>
        <v>1459528.0299999996</v>
      </c>
      <c r="C108" s="37"/>
      <c r="D108" s="37">
        <f>SUM(D107)</f>
        <v>-916290.49</v>
      </c>
      <c r="E108" s="37"/>
      <c r="F108" s="37">
        <f>SUM(F107)</f>
        <v>0</v>
      </c>
      <c r="G108" s="37"/>
      <c r="H108" s="37">
        <f>SUM(H107)</f>
        <v>0</v>
      </c>
      <c r="I108" s="37"/>
      <c r="J108" s="37">
        <f>SUM(J107)</f>
        <v>-916290.49</v>
      </c>
      <c r="K108" s="37"/>
      <c r="L108" s="37">
        <f>SUM(L107)</f>
        <v>543237.53999999957</v>
      </c>
      <c r="M108" s="1"/>
    </row>
    <row r="109" spans="1:13">
      <c r="B109" s="37"/>
      <c r="C109" s="37"/>
      <c r="D109" s="37"/>
      <c r="E109" s="37"/>
      <c r="F109" s="37"/>
      <c r="G109" s="37"/>
      <c r="H109" s="37"/>
      <c r="I109" s="37"/>
      <c r="J109" s="37"/>
      <c r="K109" s="37"/>
      <c r="L109" s="37"/>
      <c r="M109" s="1"/>
    </row>
    <row r="110" spans="1:13">
      <c r="B110" s="37"/>
      <c r="C110" s="33"/>
      <c r="D110" s="37"/>
      <c r="E110" s="33"/>
      <c r="F110" s="37"/>
      <c r="G110" s="33"/>
      <c r="H110" s="37"/>
      <c r="I110" s="33"/>
      <c r="J110" s="37"/>
      <c r="K110" s="33"/>
      <c r="L110" s="37"/>
      <c r="M110" s="1"/>
    </row>
    <row r="111" spans="1:13">
      <c r="B111" s="33"/>
      <c r="C111" s="33"/>
      <c r="D111" s="33"/>
      <c r="E111" s="33"/>
      <c r="F111" s="33"/>
      <c r="G111" s="33"/>
      <c r="H111" s="33"/>
      <c r="I111" s="33"/>
      <c r="J111" s="33"/>
      <c r="K111" s="33"/>
      <c r="L111" s="33"/>
      <c r="M111" s="1"/>
    </row>
    <row r="112" spans="1:13">
      <c r="A112" s="3" t="s">
        <v>764</v>
      </c>
      <c r="B112" s="34">
        <f>B104+B83+B92+B108</f>
        <v>21103199.290000007</v>
      </c>
      <c r="C112" s="37"/>
      <c r="D112" s="34">
        <f>D104+D83+D92+D108</f>
        <v>13921322.01</v>
      </c>
      <c r="E112" s="37"/>
      <c r="F112" s="34">
        <f>F104+F83+F92+F108</f>
        <v>0</v>
      </c>
      <c r="G112" s="37"/>
      <c r="H112" s="34">
        <f>H104+H83+H92+H108</f>
        <v>0</v>
      </c>
      <c r="I112" s="37"/>
      <c r="J112" s="34">
        <f>J104+J83+J92+J108</f>
        <v>13921322.01</v>
      </c>
      <c r="K112" s="37"/>
      <c r="L112" s="34">
        <f>L104+L83+L92+L108</f>
        <v>35024521.300000004</v>
      </c>
      <c r="M112" s="6"/>
    </row>
    <row r="113" spans="1:13">
      <c r="B113" s="37"/>
      <c r="C113" s="33"/>
      <c r="D113" s="37"/>
      <c r="E113" s="33"/>
      <c r="F113" s="37"/>
      <c r="G113" s="33"/>
      <c r="H113" s="37"/>
      <c r="I113" s="33"/>
      <c r="J113" s="37"/>
      <c r="K113" s="33"/>
      <c r="L113" s="37"/>
      <c r="M113" s="1"/>
    </row>
    <row r="114" spans="1:13">
      <c r="B114" s="33"/>
      <c r="C114" s="33"/>
      <c r="D114" s="33"/>
      <c r="E114" s="33"/>
      <c r="F114" s="33"/>
      <c r="G114" s="33"/>
      <c r="H114" s="33"/>
      <c r="I114" s="33"/>
      <c r="J114" s="33"/>
      <c r="K114" s="33"/>
      <c r="L114" s="33"/>
      <c r="M114" s="1"/>
    </row>
    <row r="115" spans="1:13" ht="13.5" thickBot="1">
      <c r="A115" s="3" t="s">
        <v>692</v>
      </c>
      <c r="B115" s="44">
        <f>B112+B68</f>
        <v>720407335.75</v>
      </c>
      <c r="C115" s="33"/>
      <c r="D115" s="44">
        <f>D112+D68</f>
        <v>18697285.579999998</v>
      </c>
      <c r="E115" s="33"/>
      <c r="F115" s="44">
        <f>F112+F68</f>
        <v>-80045.88</v>
      </c>
      <c r="G115" s="33"/>
      <c r="H115" s="44">
        <f>H112+H68</f>
        <v>0</v>
      </c>
      <c r="I115" s="33"/>
      <c r="J115" s="44">
        <f>J112+J68</f>
        <v>18617239.699999999</v>
      </c>
      <c r="K115" s="33"/>
      <c r="L115" s="44">
        <f>L112+L68</f>
        <v>739024575.45000005</v>
      </c>
      <c r="M115" s="1"/>
    </row>
    <row r="116" spans="1:13" ht="13.5" thickTop="1">
      <c r="B116" s="33"/>
      <c r="C116" s="33"/>
      <c r="D116" s="33"/>
      <c r="E116" s="33"/>
      <c r="F116" s="33"/>
      <c r="G116" s="33"/>
      <c r="H116" s="33"/>
      <c r="I116" s="33"/>
      <c r="J116" s="33"/>
      <c r="K116" s="33"/>
      <c r="L116" s="33"/>
      <c r="M116" s="1"/>
    </row>
    <row r="117" spans="1:13">
      <c r="B117" s="33"/>
      <c r="C117" s="33"/>
      <c r="D117" s="33"/>
      <c r="E117" s="33"/>
      <c r="F117" s="33"/>
      <c r="G117" s="33"/>
      <c r="H117" s="33"/>
      <c r="I117" s="33"/>
      <c r="J117" s="33"/>
      <c r="K117" s="33"/>
      <c r="L117" s="33"/>
      <c r="M117" s="1"/>
    </row>
    <row r="118" spans="1:13">
      <c r="B118" s="33"/>
      <c r="C118" s="33"/>
      <c r="D118" s="33"/>
      <c r="E118" s="33"/>
      <c r="F118" s="33"/>
      <c r="G118" s="33"/>
      <c r="H118" s="33"/>
      <c r="I118" s="33"/>
      <c r="J118" s="33"/>
      <c r="K118" s="33"/>
      <c r="L118" s="33"/>
      <c r="M118" s="1"/>
    </row>
    <row r="119" spans="1:13">
      <c r="B119" s="1"/>
      <c r="C119" s="1"/>
      <c r="D119" s="1"/>
      <c r="E119" s="1"/>
      <c r="F119" s="1"/>
      <c r="G119" s="1"/>
      <c r="H119" s="1"/>
      <c r="I119" s="1"/>
      <c r="J119" s="1"/>
      <c r="K119" s="1"/>
      <c r="L119" s="1"/>
      <c r="M119" s="1"/>
    </row>
    <row r="120" spans="1:13">
      <c r="B120" s="1"/>
      <c r="C120" s="1"/>
      <c r="D120" s="1"/>
      <c r="E120" s="1"/>
      <c r="F120" s="1"/>
      <c r="G120" s="1"/>
      <c r="H120" s="1"/>
      <c r="I120" s="1"/>
      <c r="J120" s="1"/>
      <c r="K120" s="1"/>
      <c r="L120" s="1"/>
      <c r="M120" s="1"/>
    </row>
    <row r="121" spans="1:13">
      <c r="B121" s="1"/>
      <c r="C121" s="1"/>
      <c r="D121" s="1"/>
      <c r="E121" s="1"/>
      <c r="F121" s="1"/>
      <c r="G121" s="1"/>
      <c r="H121" s="1"/>
      <c r="I121" s="1"/>
      <c r="J121" s="1"/>
      <c r="K121" s="1"/>
      <c r="L121" s="1"/>
      <c r="M121" s="1"/>
    </row>
    <row r="122" spans="1:13">
      <c r="B122" s="1"/>
      <c r="C122" s="1"/>
      <c r="D122" s="1"/>
      <c r="E122" s="1"/>
      <c r="F122" s="1"/>
      <c r="G122" s="1"/>
      <c r="H122" s="1"/>
      <c r="I122" s="1"/>
      <c r="J122" s="1"/>
      <c r="K122" s="1"/>
      <c r="L122" s="1"/>
      <c r="M122" s="1"/>
    </row>
    <row r="123" spans="1:13">
      <c r="B123" s="1"/>
      <c r="C123" s="1"/>
      <c r="D123" s="1"/>
      <c r="E123" s="1"/>
      <c r="F123" s="1"/>
      <c r="G123" s="1"/>
      <c r="H123" s="1"/>
      <c r="I123" s="1"/>
      <c r="J123" s="1"/>
      <c r="K123" s="1"/>
      <c r="L123" s="1"/>
      <c r="M123" s="1"/>
    </row>
    <row r="124" spans="1:13">
      <c r="B124" s="1"/>
      <c r="C124" s="1"/>
      <c r="D124" s="1"/>
      <c r="E124" s="1"/>
      <c r="F124" s="1"/>
      <c r="G124" s="1"/>
      <c r="H124" s="1"/>
      <c r="I124" s="1"/>
      <c r="J124" s="1"/>
      <c r="K124" s="1"/>
      <c r="L124" s="1"/>
      <c r="M124" s="1"/>
    </row>
    <row r="125" spans="1:13">
      <c r="B125" s="1"/>
      <c r="C125" s="1"/>
      <c r="D125" s="1"/>
      <c r="E125" s="1"/>
      <c r="F125" s="1"/>
      <c r="G125" s="1"/>
      <c r="H125" s="1"/>
      <c r="I125" s="1"/>
      <c r="J125" s="1"/>
      <c r="K125" s="1"/>
      <c r="L125" s="1"/>
      <c r="M125" s="1"/>
    </row>
    <row r="126" spans="1:13">
      <c r="B126" s="1"/>
      <c r="C126" s="1"/>
      <c r="D126" s="1"/>
      <c r="E126" s="1"/>
      <c r="F126" s="1"/>
      <c r="G126" s="1"/>
      <c r="H126" s="1"/>
      <c r="I126" s="1"/>
      <c r="J126" s="1"/>
      <c r="K126" s="1"/>
      <c r="L126" s="1"/>
      <c r="M126" s="1"/>
    </row>
    <row r="127" spans="1:13">
      <c r="B127" s="1"/>
      <c r="C127" s="1"/>
      <c r="D127" s="1"/>
      <c r="E127" s="1"/>
      <c r="F127" s="1"/>
      <c r="G127" s="1"/>
      <c r="H127" s="1"/>
      <c r="I127" s="1"/>
      <c r="J127" s="1"/>
      <c r="K127" s="1"/>
      <c r="L127" s="1"/>
      <c r="M127" s="1"/>
    </row>
    <row r="128" spans="1:13">
      <c r="B128" s="1"/>
      <c r="C128" s="1"/>
      <c r="D128" s="1"/>
      <c r="E128" s="1"/>
      <c r="F128" s="1"/>
      <c r="G128" s="1"/>
      <c r="H128" s="1"/>
      <c r="I128" s="1"/>
      <c r="J128" s="1"/>
      <c r="K128" s="1"/>
      <c r="L128" s="1"/>
      <c r="M128" s="1"/>
    </row>
    <row r="129" spans="2:13">
      <c r="B129" s="1"/>
      <c r="C129" s="1"/>
      <c r="D129" s="1"/>
      <c r="E129" s="1"/>
      <c r="F129" s="1"/>
      <c r="G129" s="1"/>
      <c r="H129" s="1"/>
      <c r="I129" s="1"/>
      <c r="J129" s="1"/>
      <c r="K129" s="1"/>
      <c r="L129" s="1"/>
      <c r="M129" s="1"/>
    </row>
    <row r="130" spans="2:13">
      <c r="B130" s="1"/>
      <c r="C130" s="1"/>
      <c r="D130" s="1"/>
      <c r="E130" s="1"/>
      <c r="F130" s="1"/>
      <c r="G130" s="1"/>
      <c r="H130" s="1"/>
      <c r="I130" s="1"/>
      <c r="J130" s="1"/>
      <c r="K130" s="1"/>
      <c r="L130" s="1"/>
      <c r="M130" s="1"/>
    </row>
    <row r="131" spans="2:13">
      <c r="B131" s="1"/>
      <c r="C131" s="1"/>
      <c r="D131" s="1"/>
      <c r="E131" s="1"/>
      <c r="F131" s="1"/>
      <c r="G131" s="1"/>
      <c r="H131" s="1"/>
      <c r="I131" s="1"/>
      <c r="J131" s="1"/>
      <c r="K131" s="1"/>
      <c r="L131" s="1"/>
      <c r="M131" s="1"/>
    </row>
    <row r="132" spans="2:13">
      <c r="B132" s="1"/>
      <c r="C132" s="1"/>
      <c r="D132" s="1"/>
      <c r="E132" s="1"/>
      <c r="F132" s="1"/>
      <c r="G132" s="1"/>
      <c r="H132" s="1"/>
      <c r="I132" s="1"/>
      <c r="J132" s="1"/>
      <c r="K132" s="1"/>
      <c r="L132" s="1"/>
      <c r="M132" s="1"/>
    </row>
    <row r="133" spans="2:13">
      <c r="B133" s="1"/>
      <c r="C133" s="1"/>
      <c r="D133" s="1"/>
      <c r="E133" s="1"/>
      <c r="F133" s="1"/>
      <c r="G133" s="1"/>
      <c r="H133" s="1"/>
      <c r="I133" s="1"/>
      <c r="J133" s="1"/>
      <c r="K133" s="1"/>
      <c r="L133" s="1"/>
      <c r="M133" s="1"/>
    </row>
    <row r="134" spans="2:13">
      <c r="B134" s="1"/>
      <c r="C134" s="1"/>
      <c r="D134" s="1"/>
      <c r="E134" s="1"/>
      <c r="F134" s="1"/>
      <c r="G134" s="1"/>
      <c r="H134" s="1"/>
      <c r="I134" s="1"/>
      <c r="J134" s="1"/>
      <c r="K134" s="1"/>
      <c r="L134" s="1"/>
      <c r="M134" s="1"/>
    </row>
    <row r="135" spans="2:13">
      <c r="B135" s="1"/>
      <c r="C135" s="1"/>
      <c r="D135" s="1"/>
      <c r="E135" s="1"/>
      <c r="F135" s="1"/>
      <c r="G135" s="1"/>
      <c r="H135" s="1"/>
      <c r="I135" s="1"/>
      <c r="J135" s="1"/>
      <c r="K135" s="1"/>
      <c r="L135" s="1"/>
      <c r="M135" s="1"/>
    </row>
    <row r="136" spans="2:13">
      <c r="B136" s="1"/>
      <c r="C136" s="1"/>
      <c r="D136" s="1"/>
      <c r="E136" s="1"/>
      <c r="F136" s="1"/>
      <c r="G136" s="1"/>
      <c r="H136" s="1"/>
      <c r="I136" s="1"/>
      <c r="J136" s="1"/>
      <c r="K136" s="1"/>
      <c r="L136" s="1"/>
      <c r="M136" s="1"/>
    </row>
    <row r="137" spans="2:13">
      <c r="B137" s="1"/>
      <c r="C137" s="1"/>
      <c r="D137" s="1"/>
      <c r="E137" s="1"/>
      <c r="F137" s="1"/>
      <c r="G137" s="1"/>
      <c r="H137" s="1"/>
      <c r="I137" s="1"/>
      <c r="J137" s="1"/>
      <c r="K137" s="1"/>
      <c r="L137" s="1"/>
      <c r="M137" s="1"/>
    </row>
    <row r="138" spans="2:13">
      <c r="B138" s="1"/>
      <c r="C138" s="1"/>
      <c r="D138" s="1"/>
      <c r="E138" s="1"/>
      <c r="F138" s="1"/>
      <c r="G138" s="1"/>
      <c r="H138" s="1"/>
      <c r="I138" s="1"/>
      <c r="J138" s="1"/>
      <c r="K138" s="1"/>
      <c r="L138" s="1"/>
      <c r="M138" s="1"/>
    </row>
    <row r="139" spans="2:13">
      <c r="B139" s="1"/>
      <c r="C139" s="1"/>
      <c r="D139" s="1"/>
      <c r="E139" s="1"/>
      <c r="F139" s="1"/>
      <c r="G139" s="1"/>
      <c r="H139" s="1"/>
      <c r="I139" s="1"/>
      <c r="J139" s="1"/>
      <c r="K139" s="1"/>
      <c r="L139" s="1"/>
      <c r="M139" s="1"/>
    </row>
    <row r="140" spans="2:13">
      <c r="B140" s="1"/>
      <c r="C140" s="1"/>
      <c r="D140" s="1"/>
      <c r="E140" s="1"/>
      <c r="F140" s="1"/>
      <c r="G140" s="1"/>
      <c r="H140" s="1"/>
      <c r="I140" s="1"/>
      <c r="J140" s="1"/>
      <c r="K140" s="1"/>
      <c r="L140" s="1"/>
      <c r="M140" s="1"/>
    </row>
    <row r="141" spans="2:13">
      <c r="B141" s="1"/>
      <c r="C141" s="1"/>
      <c r="D141" s="1"/>
      <c r="E141" s="1"/>
      <c r="F141" s="1"/>
      <c r="G141" s="1"/>
      <c r="H141" s="1"/>
      <c r="I141" s="1"/>
      <c r="J141" s="1"/>
      <c r="K141" s="1"/>
      <c r="L141" s="1"/>
      <c r="M141" s="1"/>
    </row>
    <row r="142" spans="2:13">
      <c r="B142" s="1"/>
      <c r="C142" s="1"/>
      <c r="D142" s="1"/>
      <c r="E142" s="1"/>
      <c r="F142" s="1"/>
      <c r="G142" s="1"/>
      <c r="H142" s="1"/>
      <c r="I142" s="1"/>
      <c r="J142" s="1"/>
      <c r="K142" s="1"/>
      <c r="L142" s="1"/>
      <c r="M142" s="1"/>
    </row>
    <row r="143" spans="2:13">
      <c r="B143" s="1"/>
      <c r="C143" s="1"/>
      <c r="D143" s="1"/>
      <c r="E143" s="1"/>
      <c r="F143" s="1"/>
      <c r="G143" s="1"/>
      <c r="H143" s="1"/>
      <c r="I143" s="1"/>
      <c r="J143" s="1"/>
      <c r="K143" s="1"/>
      <c r="L143" s="1"/>
      <c r="M143" s="1"/>
    </row>
    <row r="144" spans="2:13">
      <c r="B144" s="1"/>
      <c r="C144" s="1"/>
      <c r="D144" s="1"/>
      <c r="E144" s="1"/>
      <c r="F144" s="1"/>
      <c r="G144" s="1"/>
      <c r="H144" s="1"/>
      <c r="I144" s="1"/>
      <c r="J144" s="1"/>
      <c r="K144" s="1"/>
      <c r="L144" s="1"/>
      <c r="M144" s="1"/>
    </row>
    <row r="145" spans="2:13">
      <c r="B145" s="1"/>
      <c r="C145" s="1"/>
      <c r="D145" s="1"/>
      <c r="E145" s="1"/>
      <c r="F145" s="1"/>
      <c r="G145" s="1"/>
      <c r="H145" s="1"/>
      <c r="I145" s="1"/>
      <c r="J145" s="1"/>
      <c r="K145" s="1"/>
      <c r="L145" s="1"/>
      <c r="M145" s="1"/>
    </row>
    <row r="146" spans="2:13">
      <c r="B146" s="1"/>
      <c r="C146" s="1"/>
      <c r="D146" s="1"/>
      <c r="E146" s="1"/>
      <c r="F146" s="1"/>
      <c r="G146" s="1"/>
      <c r="H146" s="1"/>
      <c r="I146" s="1"/>
      <c r="J146" s="1"/>
      <c r="K146" s="1"/>
      <c r="L146" s="1"/>
      <c r="M146" s="1"/>
    </row>
    <row r="147" spans="2:13">
      <c r="B147" s="1"/>
      <c r="C147" s="1"/>
      <c r="D147" s="1"/>
      <c r="E147" s="1"/>
      <c r="F147" s="1"/>
      <c r="G147" s="1"/>
      <c r="H147" s="1"/>
      <c r="I147" s="1"/>
      <c r="J147" s="1"/>
      <c r="K147" s="1"/>
      <c r="L147" s="1"/>
      <c r="M147" s="1"/>
    </row>
    <row r="148" spans="2:13">
      <c r="B148" s="1"/>
      <c r="C148" s="1"/>
      <c r="D148" s="1"/>
      <c r="E148" s="1"/>
      <c r="F148" s="1"/>
      <c r="G148" s="1"/>
      <c r="H148" s="1"/>
      <c r="I148" s="1"/>
      <c r="J148" s="1"/>
      <c r="K148" s="1"/>
      <c r="L148" s="1"/>
      <c r="M148" s="1"/>
    </row>
    <row r="149" spans="2:13">
      <c r="B149" s="1"/>
      <c r="C149" s="1"/>
      <c r="D149" s="1"/>
      <c r="E149" s="1"/>
      <c r="F149" s="1"/>
      <c r="G149" s="1"/>
      <c r="H149" s="1"/>
      <c r="I149" s="1"/>
      <c r="J149" s="1"/>
      <c r="K149" s="1"/>
      <c r="L149" s="1"/>
      <c r="M149" s="1"/>
    </row>
    <row r="150" spans="2:13">
      <c r="B150" s="1"/>
      <c r="C150" s="1"/>
      <c r="D150" s="1"/>
      <c r="E150" s="1"/>
      <c r="F150" s="1"/>
      <c r="G150" s="1"/>
      <c r="H150" s="1"/>
      <c r="I150" s="1"/>
      <c r="J150" s="1"/>
      <c r="K150" s="1"/>
      <c r="L150" s="1"/>
      <c r="M150" s="1"/>
    </row>
    <row r="151" spans="2:13">
      <c r="B151" s="1"/>
      <c r="C151" s="1"/>
      <c r="D151" s="1"/>
      <c r="E151" s="1"/>
      <c r="F151" s="1"/>
      <c r="G151" s="1"/>
      <c r="H151" s="1"/>
      <c r="I151" s="1"/>
      <c r="J151" s="1"/>
      <c r="K151" s="1"/>
      <c r="L151" s="1"/>
      <c r="M151" s="1"/>
    </row>
    <row r="152" spans="2:13">
      <c r="B152" s="1"/>
      <c r="C152" s="1"/>
      <c r="D152" s="1"/>
      <c r="E152" s="1"/>
      <c r="F152" s="1"/>
      <c r="G152" s="1"/>
      <c r="H152" s="1"/>
      <c r="I152" s="1"/>
      <c r="J152" s="1"/>
      <c r="K152" s="1"/>
      <c r="L152" s="1"/>
      <c r="M152" s="1"/>
    </row>
    <row r="153" spans="2:13">
      <c r="B153" s="1"/>
      <c r="C153" s="1"/>
      <c r="D153" s="1"/>
      <c r="E153" s="1"/>
      <c r="F153" s="1"/>
      <c r="G153" s="1"/>
      <c r="H153" s="1"/>
      <c r="I153" s="1"/>
      <c r="J153" s="1"/>
      <c r="K153" s="1"/>
      <c r="L153" s="1"/>
      <c r="M153" s="1"/>
    </row>
  </sheetData>
  <customSheetViews>
    <customSheetView guid="{6B74E52F-9552-408A-8775-25AFF24E6639}" scale="75" showPageBreaks="1" fitToPage="1" showRuler="0">
      <selection activeCell="A6" sqref="A6"/>
      <rowBreaks count="2" manualBreakCount="2">
        <brk id="39" max="16383" man="1"/>
        <brk id="68" max="16383" man="1"/>
      </rowBreaks>
      <pageMargins left="0.75" right="0.75" top="1" bottom="1" header="0.5" footer="0.5"/>
      <pageSetup scale="76" fitToHeight="0" orientation="landscape" r:id="rId1"/>
      <headerFooter alignWithMargins="0">
        <oddFooter>&amp;L&amp;Z
&amp;F&amp;C&amp;A&amp;R20.&amp;P</oddFooter>
      </headerFooter>
    </customSheetView>
  </customSheetViews>
  <mergeCells count="3">
    <mergeCell ref="A1:L1"/>
    <mergeCell ref="A2:L2"/>
    <mergeCell ref="A3:L3"/>
  </mergeCells>
  <phoneticPr fontId="0" type="noConversion"/>
  <pageMargins left="0.75" right="0.75" top="1" bottom="1" header="0.5" footer="0.5"/>
  <pageSetup scale="76" fitToHeight="0" orientation="landscape" r:id="rId2"/>
  <headerFooter alignWithMargins="0">
    <oddFooter>&amp;L&amp;Z
&amp;F&amp;C&amp;A&amp;R20.&amp;P</oddFooter>
  </headerFooter>
  <rowBreaks count="2" manualBreakCount="2">
    <brk id="39" max="16383" man="1"/>
    <brk id="70" max="16383" man="1"/>
  </rowBreaks>
</worksheet>
</file>

<file path=xl/worksheets/sheet107.xml><?xml version="1.0" encoding="utf-8"?>
<worksheet xmlns="http://schemas.openxmlformats.org/spreadsheetml/2006/main" xmlns:r="http://schemas.openxmlformats.org/officeDocument/2006/relationships">
  <sheetPr codeName="Sheet72">
    <pageSetUpPr fitToPage="1"/>
  </sheetPr>
  <dimension ref="A1:Q24"/>
  <sheetViews>
    <sheetView zoomScaleNormal="100" workbookViewId="0">
      <selection sqref="A1:Q1"/>
    </sheetView>
  </sheetViews>
  <sheetFormatPr defaultRowHeight="12.75"/>
  <cols>
    <col min="1" max="1" width="40.5703125" bestFit="1" customWidth="1"/>
    <col min="2" max="2" width="17.7109375" customWidth="1"/>
    <col min="3" max="3" width="1.7109375" customWidth="1"/>
    <col min="4" max="4" width="17.7109375" customWidth="1"/>
    <col min="5" max="5" width="1.7109375" customWidth="1"/>
    <col min="6" max="6" width="17.7109375" customWidth="1"/>
    <col min="7" max="7" width="1.7109375" customWidth="1"/>
    <col min="8" max="8" width="17.7109375" customWidth="1"/>
    <col min="9" max="9" width="1.7109375" customWidth="1"/>
    <col min="10" max="10" width="17.7109375" customWidth="1"/>
    <col min="11" max="11" width="1.7109375" customWidth="1"/>
    <col min="12" max="12" width="17.7109375" customWidth="1"/>
    <col min="13" max="13" width="2.28515625" customWidth="1"/>
    <col min="14" max="14" width="13.5703125" bestFit="1" customWidth="1"/>
    <col min="15" max="15" width="1.85546875" customWidth="1"/>
    <col min="16" max="16" width="23.140625" bestFit="1" customWidth="1"/>
  </cols>
  <sheetData>
    <row r="1" spans="1:17" s="38" customFormat="1" ht="15.75">
      <c r="A1" s="366" t="s">
        <v>134</v>
      </c>
      <c r="B1" s="366"/>
      <c r="C1" s="366"/>
      <c r="D1" s="366"/>
      <c r="E1" s="366"/>
      <c r="F1" s="366"/>
      <c r="G1" s="366"/>
      <c r="H1" s="366"/>
      <c r="I1" s="366"/>
      <c r="J1" s="366"/>
      <c r="K1" s="366"/>
      <c r="L1" s="366"/>
      <c r="M1" s="366"/>
      <c r="N1" s="366"/>
      <c r="O1" s="366"/>
      <c r="P1" s="366"/>
      <c r="Q1" s="366"/>
    </row>
    <row r="2" spans="1:17" s="38" customFormat="1" ht="15.75">
      <c r="A2" s="366" t="s">
        <v>1229</v>
      </c>
      <c r="B2" s="366"/>
      <c r="C2" s="366"/>
      <c r="D2" s="366"/>
      <c r="E2" s="366"/>
      <c r="F2" s="366"/>
      <c r="G2" s="366"/>
      <c r="H2" s="366"/>
      <c r="I2" s="366"/>
      <c r="J2" s="366"/>
      <c r="K2" s="366"/>
      <c r="L2" s="366"/>
      <c r="M2" s="366"/>
      <c r="N2" s="366"/>
      <c r="O2" s="366"/>
      <c r="P2" s="366"/>
      <c r="Q2" s="366"/>
    </row>
    <row r="3" spans="1:17">
      <c r="A3" s="357" t="str">
        <f>'Summary - Cost - PG 1 (Fin)'!A3:N3</f>
        <v>MARCH 2012</v>
      </c>
      <c r="B3" s="357"/>
      <c r="C3" s="357"/>
      <c r="D3" s="357"/>
      <c r="E3" s="357"/>
      <c r="F3" s="357"/>
      <c r="G3" s="357"/>
      <c r="H3" s="357"/>
      <c r="I3" s="357"/>
      <c r="J3" s="357"/>
      <c r="K3" s="357"/>
      <c r="L3" s="357"/>
      <c r="M3" s="357"/>
      <c r="N3" s="357"/>
      <c r="O3" s="357"/>
      <c r="P3" s="357"/>
      <c r="Q3" s="357"/>
    </row>
    <row r="4" spans="1:17">
      <c r="A4" s="30"/>
      <c r="B4" s="30"/>
      <c r="C4" s="30"/>
      <c r="D4" s="30"/>
      <c r="E4" s="30"/>
      <c r="F4" s="30"/>
      <c r="G4" s="30"/>
      <c r="H4" s="30"/>
      <c r="I4" s="30"/>
      <c r="J4" s="30"/>
      <c r="K4" s="30"/>
      <c r="L4" s="30"/>
    </row>
    <row r="6" spans="1:17">
      <c r="B6" s="41" t="s">
        <v>25</v>
      </c>
      <c r="D6" s="45"/>
      <c r="F6" s="45"/>
      <c r="H6" s="41" t="s">
        <v>612</v>
      </c>
      <c r="J6" s="45"/>
      <c r="L6" s="41" t="s">
        <v>26</v>
      </c>
      <c r="P6" s="3" t="s">
        <v>422</v>
      </c>
    </row>
    <row r="7" spans="1:17" s="10" customFormat="1">
      <c r="B7" s="42" t="s">
        <v>27</v>
      </c>
      <c r="C7"/>
      <c r="D7" s="42" t="s">
        <v>107</v>
      </c>
      <c r="E7"/>
      <c r="F7" s="42" t="s">
        <v>108</v>
      </c>
      <c r="G7"/>
      <c r="H7" s="42" t="s">
        <v>613</v>
      </c>
      <c r="I7"/>
      <c r="J7" s="42" t="s">
        <v>109</v>
      </c>
      <c r="K7"/>
      <c r="L7" s="42" t="s">
        <v>27</v>
      </c>
      <c r="N7" s="42" t="s">
        <v>46</v>
      </c>
      <c r="P7" s="42" t="s">
        <v>419</v>
      </c>
    </row>
    <row r="8" spans="1:17" s="10" customFormat="1">
      <c r="A8" s="12" t="s">
        <v>296</v>
      </c>
      <c r="B8" s="54"/>
      <c r="C8"/>
      <c r="D8" s="54"/>
      <c r="E8"/>
      <c r="F8" s="54"/>
      <c r="G8"/>
      <c r="H8" s="54"/>
      <c r="I8"/>
      <c r="J8" s="54"/>
      <c r="K8"/>
      <c r="L8" s="54"/>
    </row>
    <row r="9" spans="1:17">
      <c r="A9" s="12" t="s">
        <v>420</v>
      </c>
    </row>
    <row r="10" spans="1:17">
      <c r="A10" s="3" t="s">
        <v>124</v>
      </c>
    </row>
    <row r="11" spans="1:17">
      <c r="A11" t="s">
        <v>13</v>
      </c>
      <c r="B11" s="45">
        <f>'IN_Cost Plant Acct-Gas-P22(Fin)'!B11</f>
        <v>3363.5</v>
      </c>
      <c r="C11" s="45"/>
      <c r="D11" s="45">
        <f>'IN_Cost Plant Acct-Gas-P22(Fin)'!D11</f>
        <v>0</v>
      </c>
      <c r="E11" s="45"/>
      <c r="F11" s="45">
        <f>'IN_Cost Plant Acct-Gas-P22(Fin)'!F11</f>
        <v>0</v>
      </c>
      <c r="G11" s="45"/>
      <c r="H11" s="45">
        <f>'IN_Cost Plant Acct-Gas-P22(Fin)'!H11</f>
        <v>0</v>
      </c>
      <c r="I11" s="45">
        <v>0</v>
      </c>
      <c r="J11" s="45">
        <f t="shared" ref="J11:J18" si="0">D11+F11+H11</f>
        <v>0</v>
      </c>
      <c r="K11" s="45"/>
      <c r="L11" s="45">
        <f t="shared" ref="L11:L18" si="1">B11+J11</f>
        <v>3363.5</v>
      </c>
      <c r="N11" s="45">
        <v>0</v>
      </c>
      <c r="O11" s="4"/>
      <c r="P11" s="89">
        <f t="shared" ref="P11:P18" si="2">L11+N11</f>
        <v>3363.5</v>
      </c>
    </row>
    <row r="12" spans="1:17">
      <c r="A12" t="s">
        <v>14</v>
      </c>
      <c r="B12" s="45">
        <f>'IN_Cost Plant Acct-Gas-P22(Fin)'!B12</f>
        <v>512844.72</v>
      </c>
      <c r="C12" s="45"/>
      <c r="D12" s="45">
        <f>'IN_Cost Plant Acct-Gas-P22(Fin)'!D12</f>
        <v>0</v>
      </c>
      <c r="E12" s="45"/>
      <c r="F12" s="45">
        <f>'IN_Cost Plant Acct-Gas-P22(Fin)'!F12</f>
        <v>0</v>
      </c>
      <c r="G12" s="45"/>
      <c r="H12" s="45">
        <f>'IN_Cost Plant Acct-Gas-P22(Fin)'!H12</f>
        <v>0</v>
      </c>
      <c r="I12" s="45">
        <v>0</v>
      </c>
      <c r="J12" s="45">
        <f t="shared" si="0"/>
        <v>0</v>
      </c>
      <c r="K12" s="45"/>
      <c r="L12" s="45">
        <f t="shared" si="1"/>
        <v>512844.72</v>
      </c>
      <c r="N12" s="89">
        <f>'IN_Res by Plant Acct-P30 (Fin)'!R29</f>
        <v>-73439.429999999993</v>
      </c>
      <c r="O12" s="4"/>
      <c r="P12" s="89">
        <f t="shared" si="2"/>
        <v>439405.29</v>
      </c>
    </row>
    <row r="13" spans="1:17">
      <c r="A13" t="s">
        <v>15</v>
      </c>
      <c r="B13" s="45">
        <f>'IN_Cost Plant Acct-Gas-P22(Fin)'!B13+'IN_Cost Plant Acct-Gas-P22(Fin)'!B26</f>
        <v>400231.72</v>
      </c>
      <c r="C13" s="45"/>
      <c r="D13" s="325">
        <f>'IN_Cost Plant Acct-Gas-P22(Fin)'!D13+'IN_Cost Plant Acct-Gas-P22(Fin)'!D26</f>
        <v>244994.24</v>
      </c>
      <c r="E13" s="45"/>
      <c r="F13" s="325">
        <f>'IN_Cost Plant Acct-Gas-P22(Fin)'!F13+'IN_Cost Plant Acct-Gas-P22(Fin)'!F26</f>
        <v>0</v>
      </c>
      <c r="G13" s="45"/>
      <c r="H13" s="325">
        <f>'IN_Cost Plant Acct-Gas-P22(Fin)'!H13+'IN_Cost Plant Acct-Gas-P22(Fin)'!H26</f>
        <v>0</v>
      </c>
      <c r="I13" s="45">
        <v>0</v>
      </c>
      <c r="J13" s="45">
        <f t="shared" si="0"/>
        <v>244994.24</v>
      </c>
      <c r="K13" s="45"/>
      <c r="L13" s="45">
        <f t="shared" si="1"/>
        <v>645225.96</v>
      </c>
      <c r="N13" s="89">
        <f>'IN_Res by Plant Acct-P30 (Fin)'!R30</f>
        <v>-283429.69000000006</v>
      </c>
      <c r="O13" s="4"/>
      <c r="P13" s="89">
        <f t="shared" si="2"/>
        <v>361796.2699999999</v>
      </c>
    </row>
    <row r="14" spans="1:17">
      <c r="A14" t="s">
        <v>1105</v>
      </c>
      <c r="B14" s="325">
        <f>'IN_Cost Plant Acct-Gas-P22(Fin)'!B14+'IN_Cost Plant Acct-Gas-P22(Fin)'!B27</f>
        <v>457936.31999999995</v>
      </c>
      <c r="C14" s="45"/>
      <c r="D14" s="325">
        <f>'IN_Cost Plant Acct-Gas-P22(Fin)'!D14+'IN_Cost Plant Acct-Gas-P22(Fin)'!D27</f>
        <v>1722565.46</v>
      </c>
      <c r="E14" s="45"/>
      <c r="F14" s="325">
        <f>'IN_Cost Plant Acct-Gas-P22(Fin)'!F14+'IN_Cost Plant Acct-Gas-P22(Fin)'!F27</f>
        <v>0</v>
      </c>
      <c r="G14" s="45"/>
      <c r="H14" s="325">
        <f>'IN_Cost Plant Acct-Gas-P22(Fin)'!H14+'IN_Cost Plant Acct-Gas-P22(Fin)'!H27</f>
        <v>0</v>
      </c>
      <c r="I14" s="45">
        <v>0</v>
      </c>
      <c r="J14" s="45">
        <f t="shared" si="0"/>
        <v>1722565.46</v>
      </c>
      <c r="K14" s="45"/>
      <c r="L14" s="45">
        <f t="shared" si="1"/>
        <v>2180501.7799999998</v>
      </c>
      <c r="N14" s="89">
        <f>'IN_Res by Plant Acct-P30 (Fin)'!R31</f>
        <v>-220164.78999999998</v>
      </c>
      <c r="O14" s="4"/>
      <c r="P14" s="89">
        <f t="shared" si="2"/>
        <v>1960336.9899999998</v>
      </c>
    </row>
    <row r="15" spans="1:17">
      <c r="A15" t="s">
        <v>1092</v>
      </c>
      <c r="B15" s="325">
        <f>'IN_Cost Plant Acct-Gas-P22(Fin)'!B15+'IN_Cost Plant Acct-Gas-P22(Fin)'!B28</f>
        <v>717889.7</v>
      </c>
      <c r="C15" s="45"/>
      <c r="D15" s="325">
        <f>'IN_Cost Plant Acct-Gas-P22(Fin)'!D15+'IN_Cost Plant Acct-Gas-P22(Fin)'!D28</f>
        <v>1161374.75</v>
      </c>
      <c r="E15" s="45"/>
      <c r="F15" s="325">
        <f>'IN_Cost Plant Acct-Gas-P22(Fin)'!F15+'IN_Cost Plant Acct-Gas-P22(Fin)'!F28</f>
        <v>0</v>
      </c>
      <c r="G15" s="45"/>
      <c r="H15" s="325">
        <f>'IN_Cost Plant Acct-Gas-P22(Fin)'!H15+'IN_Cost Plant Acct-Gas-P22(Fin)'!H28</f>
        <v>0</v>
      </c>
      <c r="I15" s="45"/>
      <c r="J15" s="45">
        <f t="shared" si="0"/>
        <v>1161374.75</v>
      </c>
      <c r="K15" s="45"/>
      <c r="L15" s="45">
        <f t="shared" si="1"/>
        <v>1879264.45</v>
      </c>
      <c r="N15" s="89">
        <f>'IN_Res by Plant Acct-P30 (Fin)'!R32</f>
        <v>-26967.240000000013</v>
      </c>
      <c r="O15" s="4"/>
      <c r="P15" s="89">
        <f t="shared" si="2"/>
        <v>1852297.21</v>
      </c>
    </row>
    <row r="16" spans="1:17">
      <c r="A16" t="s">
        <v>16</v>
      </c>
      <c r="B16" s="325">
        <f>'IN_Cost Plant Acct-Gas-P22(Fin)'!B16+'IN_Cost Plant Acct-Gas-P22(Fin)'!B29</f>
        <v>1438565.59</v>
      </c>
      <c r="C16" s="45"/>
      <c r="D16" s="325">
        <f>'IN_Cost Plant Acct-Gas-P22(Fin)'!D16+'IN_Cost Plant Acct-Gas-P22(Fin)'!D29</f>
        <v>439676.44</v>
      </c>
      <c r="E16" s="45"/>
      <c r="F16" s="325">
        <f>'IN_Cost Plant Acct-Gas-P22(Fin)'!F16+'IN_Cost Plant Acct-Gas-P22(Fin)'!F29</f>
        <v>-3491.15</v>
      </c>
      <c r="G16" s="45"/>
      <c r="H16" s="325">
        <f>'IN_Cost Plant Acct-Gas-P22(Fin)'!H16+'IN_Cost Plant Acct-Gas-P22(Fin)'!H29</f>
        <v>0</v>
      </c>
      <c r="I16" s="45">
        <v>0</v>
      </c>
      <c r="J16" s="45">
        <f t="shared" si="0"/>
        <v>436185.29</v>
      </c>
      <c r="K16" s="45"/>
      <c r="L16" s="45">
        <f t="shared" si="1"/>
        <v>1874750.8800000001</v>
      </c>
      <c r="N16" s="89">
        <f>'IN_Res by Plant Acct-P30 (Fin)'!R33</f>
        <v>-531516.52999999991</v>
      </c>
      <c r="O16" s="4"/>
      <c r="P16" s="89">
        <f t="shared" si="2"/>
        <v>1343234.35</v>
      </c>
    </row>
    <row r="17" spans="1:16">
      <c r="A17" t="s">
        <v>21</v>
      </c>
      <c r="B17" s="45">
        <f>'IN_Cost Plant Acct-Gas-P22(Fin)'!B17</f>
        <v>0</v>
      </c>
      <c r="C17" s="45"/>
      <c r="D17" s="45">
        <f>'IN_Cost Plant Acct-Gas-P22(Fin)'!D17</f>
        <v>0</v>
      </c>
      <c r="E17" s="45"/>
      <c r="F17" s="45">
        <f>'IN_Cost Plant Acct-Gas-P22(Fin)'!F17</f>
        <v>0</v>
      </c>
      <c r="G17" s="45"/>
      <c r="H17" s="45">
        <f>'IN_Cost Plant Acct-Gas-P22(Fin)'!H17</f>
        <v>0</v>
      </c>
      <c r="I17" s="45"/>
      <c r="J17" s="45">
        <f t="shared" si="0"/>
        <v>0</v>
      </c>
      <c r="K17" s="45"/>
      <c r="L17" s="45">
        <f t="shared" si="1"/>
        <v>0</v>
      </c>
      <c r="N17" s="89">
        <f>'IN_Res by Plant Acct-P30 (Fin)'!R34</f>
        <v>0</v>
      </c>
      <c r="O17" s="4"/>
      <c r="P17" s="89">
        <f t="shared" si="2"/>
        <v>0</v>
      </c>
    </row>
    <row r="18" spans="1:16">
      <c r="A18" t="s">
        <v>17</v>
      </c>
      <c r="B18" s="48">
        <f>'IN_Cost Plant Acct-Gas-P22(Fin)'!B18</f>
        <v>442948.12</v>
      </c>
      <c r="C18" s="52"/>
      <c r="D18" s="48">
        <f>'IN_Cost Plant Acct-Gas-P22(Fin)'!D18</f>
        <v>0</v>
      </c>
      <c r="E18" s="52"/>
      <c r="F18" s="48">
        <f>'IN_Cost Plant Acct-Gas-P22(Fin)'!F18</f>
        <v>0</v>
      </c>
      <c r="G18" s="52"/>
      <c r="H18" s="48">
        <f>'IN_Cost Plant Acct-Gas-P22(Fin)'!H18</f>
        <v>0</v>
      </c>
      <c r="I18" s="52">
        <v>0</v>
      </c>
      <c r="J18" s="48">
        <f t="shared" si="0"/>
        <v>0</v>
      </c>
      <c r="K18" s="52"/>
      <c r="L18" s="48">
        <f t="shared" si="1"/>
        <v>442948.12</v>
      </c>
      <c r="M18" s="7"/>
      <c r="N18" s="90">
        <f>'IN_Res by Plant Acct-P30 (Fin)'!R35</f>
        <v>-54582.18</v>
      </c>
      <c r="O18" s="4"/>
      <c r="P18" s="90">
        <f t="shared" si="2"/>
        <v>388365.94</v>
      </c>
    </row>
    <row r="19" spans="1:16">
      <c r="B19" s="52">
        <f>SUM(B11:B18)</f>
        <v>3973779.67</v>
      </c>
      <c r="C19" s="52"/>
      <c r="D19" s="52">
        <f>SUM(D11:D18)</f>
        <v>3568610.89</v>
      </c>
      <c r="E19" s="52"/>
      <c r="F19" s="52">
        <f>SUM(F11:F18)</f>
        <v>-3491.15</v>
      </c>
      <c r="G19" s="52"/>
      <c r="H19" s="52">
        <f>SUM(H11:H18)</f>
        <v>0</v>
      </c>
      <c r="I19" s="52"/>
      <c r="J19" s="52">
        <f>SUM(J11:J18)</f>
        <v>3565119.74</v>
      </c>
      <c r="K19" s="52"/>
      <c r="L19" s="52">
        <f>SUM(L11:L18)</f>
        <v>7538899.4100000001</v>
      </c>
      <c r="M19" s="7"/>
      <c r="N19" s="52">
        <f>SUM(N11:N18)</f>
        <v>-1190099.8599999999</v>
      </c>
      <c r="O19" s="4"/>
      <c r="P19" s="52">
        <f>SUM(P11:P18)</f>
        <v>6348799.5499999998</v>
      </c>
    </row>
    <row r="20" spans="1:16">
      <c r="B20" s="52"/>
      <c r="C20" s="52"/>
      <c r="D20" s="52"/>
      <c r="E20" s="52"/>
      <c r="F20" s="52"/>
      <c r="G20" s="52"/>
      <c r="H20" s="52"/>
      <c r="I20" s="52"/>
      <c r="J20" s="52"/>
      <c r="K20" s="52"/>
      <c r="L20" s="52"/>
      <c r="M20" s="7"/>
      <c r="O20" s="4"/>
    </row>
    <row r="21" spans="1:16">
      <c r="B21" s="45"/>
      <c r="C21" s="45"/>
      <c r="D21" s="45"/>
      <c r="E21" s="45"/>
      <c r="F21" s="45"/>
      <c r="G21" s="45"/>
      <c r="H21" s="45"/>
      <c r="I21" s="45"/>
      <c r="J21" s="45"/>
      <c r="K21" s="45"/>
      <c r="L21" s="45"/>
      <c r="O21" s="4"/>
    </row>
    <row r="22" spans="1:16" ht="13.5" thickBot="1">
      <c r="A22" s="3" t="s">
        <v>370</v>
      </c>
      <c r="B22" s="46">
        <f>B19</f>
        <v>3973779.67</v>
      </c>
      <c r="C22" s="45"/>
      <c r="D22" s="46">
        <f>D19</f>
        <v>3568610.89</v>
      </c>
      <c r="E22" s="45"/>
      <c r="F22" s="46">
        <f>F19</f>
        <v>-3491.15</v>
      </c>
      <c r="G22" s="45"/>
      <c r="H22" s="46">
        <f>H19</f>
        <v>0</v>
      </c>
      <c r="I22" s="45"/>
      <c r="J22" s="46">
        <f>J19</f>
        <v>3565119.74</v>
      </c>
      <c r="K22" s="45"/>
      <c r="L22" s="46">
        <f>L19</f>
        <v>7538899.4100000001</v>
      </c>
      <c r="M22" s="4"/>
      <c r="N22" s="46">
        <f>N19</f>
        <v>-1190099.8599999999</v>
      </c>
      <c r="O22" s="4"/>
      <c r="P22" s="46">
        <f>P19</f>
        <v>6348799.5499999998</v>
      </c>
    </row>
    <row r="23" spans="1:16" ht="13.5" thickTop="1">
      <c r="B23" s="45"/>
      <c r="C23" s="45"/>
      <c r="D23" s="45"/>
      <c r="E23" s="45"/>
      <c r="F23" s="45"/>
      <c r="G23" s="45"/>
      <c r="H23" s="45"/>
      <c r="I23" s="45"/>
      <c r="J23" s="45"/>
      <c r="K23" s="45"/>
      <c r="L23" s="45"/>
      <c r="M23" s="4"/>
      <c r="N23" s="4"/>
      <c r="O23" s="4"/>
    </row>
    <row r="24" spans="1:16">
      <c r="B24" s="4"/>
      <c r="C24" s="4"/>
      <c r="D24" s="4"/>
      <c r="E24" s="4"/>
      <c r="F24" s="4"/>
      <c r="G24" s="4"/>
      <c r="H24" s="4"/>
      <c r="I24" s="4"/>
      <c r="J24" s="4"/>
      <c r="K24" s="4"/>
      <c r="L24" s="4"/>
      <c r="M24" s="4"/>
      <c r="N24" s="4"/>
      <c r="O24" s="4"/>
    </row>
  </sheetData>
  <customSheetViews>
    <customSheetView guid="{6B74E52F-9552-408A-8775-25AFF24E6639}" scale="75" fitToPage="1" showRuler="0">
      <selection activeCell="A5" sqref="A5"/>
      <pageMargins left="0.75" right="0.75" top="1" bottom="1" header="0.5" footer="0.5"/>
      <pageSetup scale="60" orientation="landscape" r:id="rId1"/>
      <headerFooter alignWithMargins="0">
        <oddFooter>&amp;L&amp;Z
&amp;F&amp;C&amp;A&amp;R21.&amp;P</oddFooter>
      </headerFooter>
    </customSheetView>
  </customSheetViews>
  <mergeCells count="3">
    <mergeCell ref="A2:Q2"/>
    <mergeCell ref="A1:Q1"/>
    <mergeCell ref="A3:Q3"/>
  </mergeCells>
  <phoneticPr fontId="4" type="noConversion"/>
  <pageMargins left="0.75" right="0.75" top="1" bottom="1" header="0.5" footer="0.5"/>
  <pageSetup scale="60" orientation="landscape" r:id="rId2"/>
  <headerFooter alignWithMargins="0">
    <oddFooter>&amp;L&amp;Z
&amp;F&amp;C&amp;A&amp;R21.&amp;P</oddFooter>
  </headerFooter>
</worksheet>
</file>

<file path=xl/worksheets/sheet108.xml><?xml version="1.0" encoding="utf-8"?>
<worksheet xmlns="http://schemas.openxmlformats.org/spreadsheetml/2006/main" xmlns:r="http://schemas.openxmlformats.org/officeDocument/2006/relationships">
  <sheetPr codeName="Sheet59" enableFormatConditionsCalculation="0">
    <tabColor indexed="33"/>
    <pageSetUpPr fitToPage="1"/>
  </sheetPr>
  <dimension ref="A1:O33"/>
  <sheetViews>
    <sheetView zoomScaleNormal="100" workbookViewId="0">
      <selection sqref="A1:L1"/>
    </sheetView>
  </sheetViews>
  <sheetFormatPr defaultRowHeight="12.75"/>
  <cols>
    <col min="1" max="1" width="40.5703125" bestFit="1" customWidth="1"/>
    <col min="2" max="2" width="17.7109375" customWidth="1"/>
    <col min="3" max="3" width="1.7109375" customWidth="1"/>
    <col min="4" max="4" width="17.7109375" customWidth="1"/>
    <col min="5" max="5" width="1.7109375" customWidth="1"/>
    <col min="6" max="6" width="17.7109375" customWidth="1"/>
    <col min="7" max="7" width="1.7109375" customWidth="1"/>
    <col min="8" max="8" width="17.7109375" customWidth="1"/>
    <col min="9" max="9" width="1.7109375" customWidth="1"/>
    <col min="10" max="10" width="17.7109375" customWidth="1"/>
    <col min="11" max="11" width="1.7109375" customWidth="1"/>
    <col min="12" max="12" width="17.7109375" customWidth="1"/>
  </cols>
  <sheetData>
    <row r="1" spans="1:15" s="38" customFormat="1" ht="15.75">
      <c r="A1" s="366" t="s">
        <v>134</v>
      </c>
      <c r="B1" s="366"/>
      <c r="C1" s="366"/>
      <c r="D1" s="366"/>
      <c r="E1" s="366"/>
      <c r="F1" s="366"/>
      <c r="G1" s="366"/>
      <c r="H1" s="366"/>
      <c r="I1" s="366"/>
      <c r="J1" s="366"/>
      <c r="K1" s="366"/>
      <c r="L1" s="366"/>
    </row>
    <row r="2" spans="1:15" s="38" customFormat="1" ht="15.75">
      <c r="A2" s="366" t="s">
        <v>1230</v>
      </c>
      <c r="B2" s="366"/>
      <c r="C2" s="366"/>
      <c r="D2" s="366"/>
      <c r="E2" s="366"/>
      <c r="F2" s="366"/>
      <c r="G2" s="366"/>
      <c r="H2" s="366"/>
      <c r="I2" s="366"/>
      <c r="J2" s="366"/>
      <c r="K2" s="366"/>
      <c r="L2" s="366"/>
    </row>
    <row r="3" spans="1:15">
      <c r="A3" s="357" t="str">
        <f>'Summary - Cost - PG 1 (Fin)'!A3:N3</f>
        <v>MARCH 2012</v>
      </c>
      <c r="B3" s="357"/>
      <c r="C3" s="357"/>
      <c r="D3" s="357"/>
      <c r="E3" s="357"/>
      <c r="F3" s="357"/>
      <c r="G3" s="357"/>
      <c r="H3" s="357"/>
      <c r="I3" s="357"/>
      <c r="J3" s="357"/>
      <c r="K3" s="357"/>
      <c r="L3" s="357"/>
    </row>
    <row r="4" spans="1:15">
      <c r="A4" s="30"/>
      <c r="B4" s="30"/>
      <c r="C4" s="30"/>
      <c r="D4" s="30"/>
      <c r="E4" s="30"/>
      <c r="F4" s="30"/>
      <c r="G4" s="30"/>
      <c r="H4" s="30"/>
      <c r="I4" s="30"/>
      <c r="J4" s="30"/>
      <c r="K4" s="30"/>
      <c r="L4" s="30"/>
    </row>
    <row r="6" spans="1:15">
      <c r="B6" s="41" t="s">
        <v>25</v>
      </c>
      <c r="D6" s="33"/>
      <c r="F6" s="33"/>
      <c r="H6" s="41" t="s">
        <v>612</v>
      </c>
      <c r="J6" s="33"/>
      <c r="L6" s="41" t="s">
        <v>26</v>
      </c>
    </row>
    <row r="7" spans="1:15" s="10" customFormat="1">
      <c r="B7" s="42" t="s">
        <v>27</v>
      </c>
      <c r="C7"/>
      <c r="D7" s="42" t="s">
        <v>107</v>
      </c>
      <c r="E7"/>
      <c r="F7" s="42" t="s">
        <v>108</v>
      </c>
      <c r="G7"/>
      <c r="H7" s="42" t="s">
        <v>613</v>
      </c>
      <c r="I7"/>
      <c r="J7" s="42" t="s">
        <v>109</v>
      </c>
      <c r="K7"/>
      <c r="L7" s="42" t="s">
        <v>27</v>
      </c>
    </row>
    <row r="8" spans="1:15" s="10" customFormat="1">
      <c r="B8" s="54"/>
      <c r="C8"/>
      <c r="D8" s="54"/>
      <c r="E8"/>
      <c r="F8" s="54"/>
      <c r="G8"/>
      <c r="H8" s="54"/>
      <c r="I8"/>
      <c r="J8" s="54"/>
      <c r="K8"/>
      <c r="L8" s="54"/>
    </row>
    <row r="9" spans="1:15">
      <c r="A9" s="3" t="s">
        <v>681</v>
      </c>
    </row>
    <row r="10" spans="1:15">
      <c r="A10" s="3" t="s">
        <v>124</v>
      </c>
    </row>
    <row r="11" spans="1:15">
      <c r="A11" t="s">
        <v>13</v>
      </c>
      <c r="B11" s="33">
        <v>3363.5</v>
      </c>
      <c r="C11" s="33"/>
      <c r="D11" s="33">
        <v>0</v>
      </c>
      <c r="E11" s="33"/>
      <c r="F11" s="300">
        <v>0</v>
      </c>
      <c r="G11" s="33"/>
      <c r="H11" s="300">
        <v>0</v>
      </c>
      <c r="I11" s="33">
        <v>0</v>
      </c>
      <c r="J11" s="33">
        <f t="shared" ref="J11:J18" si="0">D11+F11+H11</f>
        <v>0</v>
      </c>
      <c r="K11" s="33"/>
      <c r="L11" s="33">
        <f t="shared" ref="L11:L18" si="1">B11+J11</f>
        <v>3363.5</v>
      </c>
      <c r="O11" s="1"/>
    </row>
    <row r="12" spans="1:15">
      <c r="A12" t="s">
        <v>14</v>
      </c>
      <c r="B12" s="33">
        <v>512844.72</v>
      </c>
      <c r="C12" s="33"/>
      <c r="D12" s="33">
        <v>0</v>
      </c>
      <c r="E12" s="33"/>
      <c r="F12" s="300">
        <v>0</v>
      </c>
      <c r="G12" s="33"/>
      <c r="H12" s="300">
        <v>0</v>
      </c>
      <c r="I12" s="33">
        <v>0</v>
      </c>
      <c r="J12" s="33">
        <f t="shared" si="0"/>
        <v>0</v>
      </c>
      <c r="K12" s="33"/>
      <c r="L12" s="33">
        <f t="shared" si="1"/>
        <v>512844.72</v>
      </c>
      <c r="O12" s="1"/>
    </row>
    <row r="13" spans="1:15">
      <c r="A13" t="s">
        <v>15</v>
      </c>
      <c r="B13" s="33">
        <v>400231.72</v>
      </c>
      <c r="C13" s="33"/>
      <c r="D13" s="33">
        <v>0</v>
      </c>
      <c r="E13" s="33"/>
      <c r="F13" s="300">
        <v>0</v>
      </c>
      <c r="G13" s="33"/>
      <c r="H13" s="300">
        <v>0</v>
      </c>
      <c r="I13" s="33">
        <v>0</v>
      </c>
      <c r="J13" s="33">
        <f t="shared" si="0"/>
        <v>0</v>
      </c>
      <c r="K13" s="33"/>
      <c r="L13" s="33">
        <f t="shared" si="1"/>
        <v>400231.72</v>
      </c>
      <c r="O13" s="1"/>
    </row>
    <row r="14" spans="1:15">
      <c r="A14" t="s">
        <v>1089</v>
      </c>
      <c r="B14" s="33">
        <v>457936.31999999995</v>
      </c>
      <c r="C14" s="33"/>
      <c r="D14" s="33">
        <v>0</v>
      </c>
      <c r="E14" s="33"/>
      <c r="F14" s="300">
        <v>0</v>
      </c>
      <c r="G14" s="33"/>
      <c r="H14" s="300">
        <v>0</v>
      </c>
      <c r="I14" s="33">
        <v>0</v>
      </c>
      <c r="J14" s="33">
        <f t="shared" si="0"/>
        <v>0</v>
      </c>
      <c r="K14" s="33"/>
      <c r="L14" s="33">
        <f t="shared" si="1"/>
        <v>457936.31999999995</v>
      </c>
      <c r="O14" s="1"/>
    </row>
    <row r="15" spans="1:15">
      <c r="A15" t="s">
        <v>1092</v>
      </c>
      <c r="B15" s="33">
        <v>717889.7</v>
      </c>
      <c r="C15" s="33"/>
      <c r="D15" s="33">
        <v>0</v>
      </c>
      <c r="E15" s="33"/>
      <c r="F15" s="300">
        <v>0</v>
      </c>
      <c r="G15" s="33"/>
      <c r="H15" s="300">
        <v>0</v>
      </c>
      <c r="I15" s="33">
        <v>0</v>
      </c>
      <c r="J15" s="33">
        <f t="shared" ref="J15" si="2">D15+F15+H15</f>
        <v>0</v>
      </c>
      <c r="K15" s="33"/>
      <c r="L15" s="33">
        <f t="shared" ref="L15" si="3">B15+J15</f>
        <v>717889.7</v>
      </c>
      <c r="O15" s="1"/>
    </row>
    <row r="16" spans="1:15">
      <c r="A16" t="s">
        <v>16</v>
      </c>
      <c r="B16" s="33">
        <v>1438565.59</v>
      </c>
      <c r="C16" s="33"/>
      <c r="D16" s="33">
        <v>122064.43</v>
      </c>
      <c r="E16" s="33"/>
      <c r="F16" s="300">
        <v>-3491.15</v>
      </c>
      <c r="G16" s="33"/>
      <c r="H16" s="300">
        <v>0</v>
      </c>
      <c r="I16" s="33">
        <v>0</v>
      </c>
      <c r="J16" s="33">
        <f>D16+F16+H16</f>
        <v>118573.28</v>
      </c>
      <c r="K16" s="33"/>
      <c r="L16" s="33">
        <f t="shared" si="1"/>
        <v>1557138.87</v>
      </c>
      <c r="O16" s="1"/>
    </row>
    <row r="17" spans="1:15">
      <c r="A17" t="s">
        <v>21</v>
      </c>
      <c r="B17" s="33">
        <v>0</v>
      </c>
      <c r="C17" s="33"/>
      <c r="D17" s="33">
        <v>0</v>
      </c>
      <c r="E17" s="33"/>
      <c r="F17" s="300">
        <v>0</v>
      </c>
      <c r="G17" s="33"/>
      <c r="H17" s="300">
        <v>0</v>
      </c>
      <c r="I17" s="33"/>
      <c r="J17" s="33">
        <f t="shared" si="0"/>
        <v>0</v>
      </c>
      <c r="K17" s="33"/>
      <c r="L17" s="33">
        <f t="shared" si="1"/>
        <v>0</v>
      </c>
      <c r="O17" s="1"/>
    </row>
    <row r="18" spans="1:15">
      <c r="A18" t="s">
        <v>17</v>
      </c>
      <c r="B18" s="35">
        <v>442948.12</v>
      </c>
      <c r="C18" s="37"/>
      <c r="D18" s="35">
        <v>0</v>
      </c>
      <c r="E18" s="37"/>
      <c r="F18" s="35">
        <v>0</v>
      </c>
      <c r="G18" s="37"/>
      <c r="H18" s="35">
        <v>0</v>
      </c>
      <c r="I18" s="37">
        <v>0</v>
      </c>
      <c r="J18" s="35">
        <f t="shared" si="0"/>
        <v>0</v>
      </c>
      <c r="K18" s="37"/>
      <c r="L18" s="35">
        <f t="shared" si="1"/>
        <v>442948.12</v>
      </c>
      <c r="M18" s="7"/>
      <c r="O18" s="1"/>
    </row>
    <row r="19" spans="1:15">
      <c r="B19" s="37">
        <f>SUM(B11:B18)</f>
        <v>3973779.67</v>
      </c>
      <c r="C19" s="37"/>
      <c r="D19" s="37">
        <f>SUM(D11:D18)</f>
        <v>122064.43</v>
      </c>
      <c r="E19" s="37"/>
      <c r="F19" s="37">
        <f>SUM(F11:F18)</f>
        <v>-3491.15</v>
      </c>
      <c r="G19" s="37"/>
      <c r="H19" s="37">
        <f>SUM(H11:H18)</f>
        <v>0</v>
      </c>
      <c r="I19" s="37"/>
      <c r="J19" s="37">
        <f>SUM(J11:J18)</f>
        <v>118573.28</v>
      </c>
      <c r="K19" s="37"/>
      <c r="L19" s="37">
        <f>SUM(L11:L18)</f>
        <v>4092352.95</v>
      </c>
      <c r="M19" s="7"/>
      <c r="O19" s="1"/>
    </row>
    <row r="20" spans="1:15">
      <c r="B20" s="37"/>
      <c r="C20" s="37"/>
      <c r="D20" s="37"/>
      <c r="E20" s="37"/>
      <c r="F20" s="37"/>
      <c r="G20" s="37"/>
      <c r="H20" s="37"/>
      <c r="I20" s="37"/>
      <c r="J20" s="37"/>
      <c r="K20" s="37"/>
      <c r="L20" s="37"/>
      <c r="M20" s="7"/>
      <c r="O20" s="1"/>
    </row>
    <row r="21" spans="1:15">
      <c r="B21" s="33"/>
      <c r="C21" s="33"/>
      <c r="D21" s="33"/>
      <c r="E21" s="33"/>
      <c r="F21" s="33"/>
      <c r="G21" s="33"/>
      <c r="H21" s="33"/>
      <c r="I21" s="33"/>
      <c r="J21" s="33"/>
      <c r="K21" s="33"/>
      <c r="L21" s="33"/>
      <c r="O21" s="1"/>
    </row>
    <row r="22" spans="1:15">
      <c r="A22" s="3" t="s">
        <v>605</v>
      </c>
      <c r="B22" s="34">
        <f>B19</f>
        <v>3973779.67</v>
      </c>
      <c r="C22" s="33"/>
      <c r="D22" s="34">
        <f>D19</f>
        <v>122064.43</v>
      </c>
      <c r="E22" s="33"/>
      <c r="F22" s="34">
        <f>F19</f>
        <v>-3491.15</v>
      </c>
      <c r="G22" s="33"/>
      <c r="H22" s="34">
        <f>H19</f>
        <v>0</v>
      </c>
      <c r="I22" s="33"/>
      <c r="J22" s="34">
        <f>J19</f>
        <v>118573.28</v>
      </c>
      <c r="K22" s="33"/>
      <c r="L22" s="34">
        <f>L19</f>
        <v>4092352.95</v>
      </c>
      <c r="M22" s="1"/>
      <c r="N22" s="1"/>
      <c r="O22" s="1"/>
    </row>
    <row r="23" spans="1:15">
      <c r="B23" s="33"/>
      <c r="C23" s="33"/>
      <c r="D23" s="33"/>
      <c r="E23" s="33"/>
      <c r="F23" s="33"/>
      <c r="G23" s="33"/>
      <c r="H23" s="33"/>
      <c r="I23" s="33"/>
      <c r="J23" s="33"/>
      <c r="K23" s="33"/>
      <c r="L23" s="33"/>
      <c r="M23" s="1"/>
      <c r="N23" s="1"/>
      <c r="O23" s="1"/>
    </row>
    <row r="24" spans="1:15">
      <c r="A24" s="3" t="s">
        <v>689</v>
      </c>
      <c r="B24" s="1"/>
      <c r="C24" s="1"/>
      <c r="D24" s="1"/>
      <c r="E24" s="1"/>
      <c r="F24" s="1"/>
      <c r="G24" s="1"/>
      <c r="H24" s="1"/>
      <c r="I24" s="1"/>
      <c r="J24" s="1"/>
      <c r="K24" s="1"/>
      <c r="L24" s="1"/>
      <c r="M24" s="1"/>
      <c r="N24" s="1"/>
      <c r="O24" s="1"/>
    </row>
    <row r="25" spans="1:15">
      <c r="A25" s="3" t="s">
        <v>124</v>
      </c>
      <c r="B25" s="1"/>
      <c r="C25" s="1"/>
      <c r="D25" s="1"/>
      <c r="E25" s="1"/>
      <c r="F25" s="1"/>
      <c r="G25" s="1"/>
      <c r="H25" s="1"/>
      <c r="I25" s="1"/>
      <c r="J25" s="1"/>
      <c r="K25" s="1"/>
      <c r="L25" s="1"/>
      <c r="M25" s="1"/>
      <c r="N25" s="1"/>
      <c r="O25" s="1"/>
    </row>
    <row r="26" spans="1:15">
      <c r="A26" s="179" t="s">
        <v>15</v>
      </c>
      <c r="B26" s="37">
        <v>0</v>
      </c>
      <c r="C26" s="37"/>
      <c r="D26" s="37">
        <v>244994.24</v>
      </c>
      <c r="E26" s="37"/>
      <c r="F26" s="37">
        <v>0</v>
      </c>
      <c r="G26" s="37"/>
      <c r="H26" s="37">
        <v>0</v>
      </c>
      <c r="I26" s="37"/>
      <c r="J26" s="37">
        <f t="shared" ref="J26:J27" si="4">H26+F26+D26</f>
        <v>244994.24</v>
      </c>
      <c r="K26" s="37"/>
      <c r="L26" s="37">
        <f t="shared" ref="L26:L27" si="5">J26+B26</f>
        <v>244994.24</v>
      </c>
      <c r="M26" s="1"/>
    </row>
    <row r="27" spans="1:15">
      <c r="A27" s="179" t="s">
        <v>1089</v>
      </c>
      <c r="B27" s="37">
        <v>0</v>
      </c>
      <c r="C27" s="37"/>
      <c r="D27" s="37">
        <f>1731364.59-37.83-8761.3</f>
        <v>1722565.46</v>
      </c>
      <c r="E27" s="37"/>
      <c r="F27" s="37">
        <v>0</v>
      </c>
      <c r="G27" s="37"/>
      <c r="H27" s="37">
        <v>0</v>
      </c>
      <c r="I27" s="37"/>
      <c r="J27" s="37">
        <f t="shared" si="4"/>
        <v>1722565.46</v>
      </c>
      <c r="K27" s="37"/>
      <c r="L27" s="37">
        <f t="shared" si="5"/>
        <v>1722565.46</v>
      </c>
      <c r="M27" s="1"/>
    </row>
    <row r="28" spans="1:15">
      <c r="A28" s="179" t="s">
        <v>1092</v>
      </c>
      <c r="B28" s="37">
        <v>0</v>
      </c>
      <c r="C28" s="37"/>
      <c r="D28" s="37">
        <v>1161374.75</v>
      </c>
      <c r="E28" s="37"/>
      <c r="F28" s="37">
        <v>0</v>
      </c>
      <c r="G28" s="37"/>
      <c r="H28" s="37">
        <v>0</v>
      </c>
      <c r="I28" s="37"/>
      <c r="J28" s="37">
        <f t="shared" ref="J28:J29" si="6">H28+F28+D28</f>
        <v>1161374.75</v>
      </c>
      <c r="K28" s="37"/>
      <c r="L28" s="37">
        <f t="shared" ref="L28:L29" si="7">J28+B28</f>
        <v>1161374.75</v>
      </c>
      <c r="M28" s="1"/>
    </row>
    <row r="29" spans="1:15">
      <c r="A29" s="179" t="s">
        <v>16</v>
      </c>
      <c r="B29" s="37">
        <v>0</v>
      </c>
      <c r="C29" s="37"/>
      <c r="D29" s="37">
        <f>318094.38+19310.51-2.07-19310.51-480.3</f>
        <v>317612.01</v>
      </c>
      <c r="E29" s="37"/>
      <c r="F29" s="37">
        <v>0</v>
      </c>
      <c r="G29" s="37"/>
      <c r="H29" s="37">
        <v>0</v>
      </c>
      <c r="I29" s="37"/>
      <c r="J29" s="37">
        <f t="shared" si="6"/>
        <v>317612.01</v>
      </c>
      <c r="K29" s="37"/>
      <c r="L29" s="37">
        <f t="shared" si="7"/>
        <v>317612.01</v>
      </c>
      <c r="M29" s="1"/>
    </row>
    <row r="30" spans="1:15">
      <c r="A30" s="3" t="s">
        <v>1087</v>
      </c>
      <c r="B30" s="34">
        <f>SUM(B26:B29)</f>
        <v>0</v>
      </c>
      <c r="C30" s="33"/>
      <c r="D30" s="34">
        <f>SUM(D26:D29)</f>
        <v>3446546.46</v>
      </c>
      <c r="E30" s="33"/>
      <c r="F30" s="34">
        <f>SUM(F26:F29)</f>
        <v>0</v>
      </c>
      <c r="G30" s="33"/>
      <c r="H30" s="34">
        <f>SUM(H26:H29)</f>
        <v>0</v>
      </c>
      <c r="I30" s="33"/>
      <c r="J30" s="34">
        <f>SUM(J26:J29)</f>
        <v>3446546.46</v>
      </c>
      <c r="K30" s="33"/>
      <c r="L30" s="34">
        <f>SUM(L26:L29)</f>
        <v>3446546.46</v>
      </c>
      <c r="M30" s="1"/>
      <c r="N30" s="1"/>
      <c r="O30" s="1"/>
    </row>
    <row r="32" spans="1:15" ht="13.5" thickBot="1">
      <c r="A32" s="3" t="s">
        <v>1088</v>
      </c>
      <c r="B32" s="44">
        <f>B30+B22</f>
        <v>3973779.67</v>
      </c>
      <c r="C32" s="33"/>
      <c r="D32" s="44">
        <f>D30+D22</f>
        <v>3568610.89</v>
      </c>
      <c r="E32" s="33"/>
      <c r="F32" s="44">
        <f>F30+F22</f>
        <v>-3491.15</v>
      </c>
      <c r="G32" s="33"/>
      <c r="H32" s="44">
        <f>H30+H22</f>
        <v>0</v>
      </c>
      <c r="I32" s="33"/>
      <c r="J32" s="44">
        <f>J30+J22</f>
        <v>3565119.7399999998</v>
      </c>
      <c r="K32" s="33"/>
      <c r="L32" s="44">
        <f>L30+L22</f>
        <v>7538899.4100000001</v>
      </c>
      <c r="M32" s="1"/>
    </row>
    <row r="33" ht="13.5" thickTop="1"/>
  </sheetData>
  <customSheetViews>
    <customSheetView guid="{6B74E52F-9552-408A-8775-25AFF24E6639}" scale="75" fitToPage="1" showRuler="0">
      <selection activeCell="A5" sqref="A5"/>
      <pageMargins left="0.75" right="0.75" top="1" bottom="1" header="0.5" footer="0.5"/>
      <pageSetup scale="79" orientation="landscape" r:id="rId1"/>
      <headerFooter alignWithMargins="0">
        <oddFooter>&amp;L&amp;Z
&amp;F&amp;C&amp;A&amp;R22.&amp;P</oddFooter>
      </headerFooter>
    </customSheetView>
  </customSheetViews>
  <mergeCells count="3">
    <mergeCell ref="A1:L1"/>
    <mergeCell ref="A2:L2"/>
    <mergeCell ref="A3:L3"/>
  </mergeCells>
  <phoneticPr fontId="4" type="noConversion"/>
  <pageMargins left="0.75" right="0.75" top="1" bottom="1" header="0.5" footer="0.5"/>
  <pageSetup scale="79" orientation="landscape" r:id="rId2"/>
  <headerFooter alignWithMargins="0">
    <oddFooter>&amp;L&amp;Z
&amp;F&amp;C&amp;A&amp;R22.&amp;P</oddFooter>
  </headerFooter>
  <legacyDrawing r:id="rId3"/>
</worksheet>
</file>

<file path=xl/worksheets/sheet109.xml><?xml version="1.0" encoding="utf-8"?>
<worksheet xmlns="http://schemas.openxmlformats.org/spreadsheetml/2006/main" xmlns:r="http://schemas.openxmlformats.org/officeDocument/2006/relationships">
  <sheetPr codeName="Sheet62">
    <pageSetUpPr fitToPage="1"/>
  </sheetPr>
  <dimension ref="A1:M51"/>
  <sheetViews>
    <sheetView zoomScale="75" workbookViewId="0">
      <selection sqref="A1:L1"/>
    </sheetView>
  </sheetViews>
  <sheetFormatPr defaultRowHeight="12.75"/>
  <cols>
    <col min="1" max="1" width="40.5703125" bestFit="1" customWidth="1"/>
    <col min="2" max="2" width="17.7109375" customWidth="1"/>
    <col min="3" max="3" width="1.7109375" customWidth="1"/>
    <col min="4" max="4" width="17.7109375" customWidth="1"/>
    <col min="5" max="5" width="1.7109375" customWidth="1"/>
    <col min="6" max="6" width="17.7109375" customWidth="1"/>
    <col min="7" max="7" width="1.7109375" customWidth="1"/>
    <col min="8" max="8" width="17.7109375" customWidth="1"/>
    <col min="9" max="9" width="1.7109375" customWidth="1"/>
    <col min="10" max="10" width="17.7109375" customWidth="1"/>
    <col min="11" max="11" width="1.7109375" customWidth="1"/>
    <col min="12" max="12" width="17.7109375" customWidth="1"/>
  </cols>
  <sheetData>
    <row r="1" spans="1:13" s="38" customFormat="1" ht="15.75">
      <c r="A1" s="366" t="s">
        <v>134</v>
      </c>
      <c r="B1" s="366"/>
      <c r="C1" s="366"/>
      <c r="D1" s="366"/>
      <c r="E1" s="366"/>
      <c r="F1" s="366"/>
      <c r="G1" s="366"/>
      <c r="H1" s="366"/>
      <c r="I1" s="366"/>
      <c r="J1" s="366"/>
      <c r="K1" s="366"/>
      <c r="L1" s="366"/>
    </row>
    <row r="2" spans="1:13" s="38" customFormat="1" ht="15.75">
      <c r="A2" s="367" t="s">
        <v>1231</v>
      </c>
      <c r="B2" s="366"/>
      <c r="C2" s="366"/>
      <c r="D2" s="366"/>
      <c r="E2" s="366"/>
      <c r="F2" s="366"/>
      <c r="G2" s="366"/>
      <c r="H2" s="366"/>
      <c r="I2" s="366"/>
      <c r="J2" s="366"/>
      <c r="K2" s="366"/>
      <c r="L2" s="366"/>
    </row>
    <row r="3" spans="1:13">
      <c r="A3" s="357" t="str">
        <f>'Summary - Cost - PG 1 (Fin)'!A3:N3</f>
        <v>MARCH 2012</v>
      </c>
      <c r="B3" s="357"/>
      <c r="C3" s="357"/>
      <c r="D3" s="357"/>
      <c r="E3" s="357"/>
      <c r="F3" s="357"/>
      <c r="G3" s="357"/>
      <c r="H3" s="357"/>
      <c r="I3" s="357"/>
      <c r="J3" s="357"/>
      <c r="K3" s="357"/>
      <c r="L3" s="357"/>
    </row>
    <row r="4" spans="1:13">
      <c r="A4" s="30"/>
      <c r="B4" s="30"/>
      <c r="C4" s="30"/>
      <c r="D4" s="30"/>
      <c r="E4" s="30"/>
      <c r="F4" s="30"/>
      <c r="G4" s="30"/>
      <c r="H4" s="30"/>
      <c r="I4" s="30"/>
      <c r="J4" s="30"/>
      <c r="K4" s="30"/>
      <c r="L4" s="30"/>
    </row>
    <row r="6" spans="1:13">
      <c r="B6" s="41" t="s">
        <v>25</v>
      </c>
      <c r="D6" s="33"/>
      <c r="F6" s="33"/>
      <c r="H6" s="41" t="s">
        <v>612</v>
      </c>
      <c r="J6" s="33"/>
      <c r="L6" s="41" t="s">
        <v>26</v>
      </c>
    </row>
    <row r="7" spans="1:13" s="10" customFormat="1">
      <c r="A7" s="12"/>
      <c r="B7" s="42" t="s">
        <v>27</v>
      </c>
      <c r="C7"/>
      <c r="D7" s="42" t="s">
        <v>107</v>
      </c>
      <c r="E7"/>
      <c r="F7" s="42" t="s">
        <v>108</v>
      </c>
      <c r="G7"/>
      <c r="H7" s="42" t="s">
        <v>613</v>
      </c>
      <c r="I7"/>
      <c r="J7" s="42" t="s">
        <v>109</v>
      </c>
      <c r="K7"/>
      <c r="L7" s="42" t="s">
        <v>27</v>
      </c>
    </row>
    <row r="8" spans="1:13" s="10" customFormat="1">
      <c r="B8"/>
      <c r="C8"/>
      <c r="D8"/>
      <c r="E8"/>
      <c r="F8"/>
      <c r="G8"/>
      <c r="H8"/>
      <c r="I8"/>
      <c r="J8"/>
      <c r="K8"/>
      <c r="L8"/>
    </row>
    <row r="9" spans="1:13">
      <c r="A9" s="95" t="s">
        <v>993</v>
      </c>
      <c r="B9" s="4"/>
      <c r="C9" s="4"/>
      <c r="D9" s="4"/>
      <c r="E9" s="4"/>
      <c r="F9" s="4"/>
      <c r="G9" s="4"/>
      <c r="H9" s="4"/>
      <c r="I9" s="4"/>
      <c r="J9" s="4"/>
      <c r="K9" s="4"/>
      <c r="L9" s="4"/>
      <c r="M9" s="4"/>
    </row>
    <row r="10" spans="1:13">
      <c r="A10" t="s">
        <v>18</v>
      </c>
      <c r="B10" s="45">
        <v>1882661.68</v>
      </c>
      <c r="C10" s="45"/>
      <c r="D10" s="45">
        <v>0</v>
      </c>
      <c r="E10" s="45"/>
      <c r="F10" s="45">
        <v>0</v>
      </c>
      <c r="G10" s="45"/>
      <c r="H10" s="45">
        <v>0</v>
      </c>
      <c r="I10" s="45"/>
      <c r="J10" s="45">
        <v>0</v>
      </c>
      <c r="K10" s="45"/>
      <c r="L10" s="45">
        <v>1882661.68</v>
      </c>
      <c r="M10" s="4"/>
    </row>
    <row r="11" spans="1:13" ht="13.5" thickBot="1">
      <c r="B11" s="46">
        <f>SUM(B10)</f>
        <v>1882661.68</v>
      </c>
      <c r="C11" s="45"/>
      <c r="D11" s="46">
        <f>SUM(D10)</f>
        <v>0</v>
      </c>
      <c r="E11" s="45"/>
      <c r="F11" s="46">
        <f>SUM(F10)</f>
        <v>0</v>
      </c>
      <c r="G11" s="45"/>
      <c r="H11" s="46">
        <f>SUM(H10)</f>
        <v>0</v>
      </c>
      <c r="I11" s="45"/>
      <c r="J11" s="46">
        <f>SUM(J10)</f>
        <v>0</v>
      </c>
      <c r="K11" s="45"/>
      <c r="L11" s="46">
        <f>SUM(L10)</f>
        <v>1882661.68</v>
      </c>
      <c r="M11" s="4"/>
    </row>
    <row r="12" spans="1:13" ht="13.5" thickTop="1">
      <c r="B12" s="4"/>
      <c r="C12" s="4"/>
      <c r="D12" s="4"/>
      <c r="E12" s="4"/>
      <c r="F12" s="4"/>
      <c r="G12" s="4"/>
      <c r="H12" s="4"/>
      <c r="I12" s="4"/>
      <c r="J12" s="4"/>
      <c r="K12" s="4"/>
      <c r="L12" s="4"/>
      <c r="M12" s="4"/>
    </row>
    <row r="13" spans="1:13">
      <c r="B13" s="4"/>
      <c r="C13" s="4"/>
      <c r="D13" s="4"/>
      <c r="E13" s="4"/>
      <c r="F13" s="4"/>
      <c r="G13" s="4"/>
      <c r="H13" s="4"/>
      <c r="I13" s="4"/>
      <c r="J13" s="4"/>
      <c r="K13" s="4"/>
      <c r="L13" s="4"/>
      <c r="M13" s="4"/>
    </row>
    <row r="14" spans="1:13">
      <c r="B14" s="4"/>
      <c r="C14" s="4"/>
      <c r="D14" s="4"/>
      <c r="E14" s="4"/>
      <c r="F14" s="4"/>
      <c r="G14" s="4"/>
      <c r="H14" s="4"/>
      <c r="I14" s="4"/>
      <c r="J14" s="4"/>
      <c r="K14" s="4"/>
      <c r="L14" s="4"/>
      <c r="M14" s="4"/>
    </row>
    <row r="15" spans="1:13">
      <c r="B15" s="4"/>
      <c r="C15" s="4"/>
      <c r="D15" s="4"/>
      <c r="E15" s="4"/>
      <c r="F15" s="4"/>
      <c r="G15" s="4"/>
      <c r="H15" s="4"/>
      <c r="I15" s="4"/>
      <c r="J15" s="4"/>
      <c r="K15" s="4"/>
      <c r="L15" s="4"/>
      <c r="M15" s="4"/>
    </row>
    <row r="16" spans="1:13">
      <c r="B16" s="4"/>
      <c r="C16" s="4"/>
      <c r="D16" s="4"/>
      <c r="E16" s="4"/>
      <c r="F16" s="4"/>
      <c r="G16" s="4"/>
      <c r="H16" s="4"/>
      <c r="I16" s="4"/>
      <c r="J16" s="4"/>
      <c r="K16" s="4"/>
      <c r="L16" s="4"/>
      <c r="M16" s="4"/>
    </row>
    <row r="17" spans="2:13">
      <c r="B17" s="4"/>
      <c r="C17" s="4"/>
      <c r="D17" s="4"/>
      <c r="E17" s="4"/>
      <c r="F17" s="4"/>
      <c r="G17" s="4"/>
      <c r="H17" s="4"/>
      <c r="I17" s="4"/>
      <c r="J17" s="4"/>
      <c r="K17" s="4"/>
      <c r="L17" s="4"/>
      <c r="M17" s="4"/>
    </row>
    <row r="18" spans="2:13">
      <c r="B18" s="4"/>
      <c r="C18" s="4"/>
      <c r="D18" s="4"/>
      <c r="E18" s="4"/>
      <c r="F18" s="4"/>
      <c r="G18" s="4"/>
      <c r="H18" s="4"/>
      <c r="I18" s="4"/>
      <c r="J18" s="4"/>
      <c r="K18" s="4"/>
      <c r="L18" s="4"/>
      <c r="M18" s="4"/>
    </row>
    <row r="19" spans="2:13">
      <c r="B19" s="4"/>
      <c r="C19" s="4"/>
      <c r="D19" s="4"/>
      <c r="E19" s="4"/>
      <c r="F19" s="4"/>
      <c r="G19" s="4"/>
      <c r="H19" s="4"/>
      <c r="I19" s="4"/>
      <c r="J19" s="4"/>
      <c r="K19" s="4"/>
      <c r="L19" s="4"/>
      <c r="M19" s="4"/>
    </row>
    <row r="20" spans="2:13">
      <c r="B20" s="4"/>
      <c r="C20" s="4"/>
      <c r="D20" s="4"/>
      <c r="E20" s="4"/>
      <c r="F20" s="4"/>
      <c r="G20" s="4"/>
      <c r="H20" s="4"/>
      <c r="I20" s="4"/>
      <c r="J20" s="4"/>
      <c r="K20" s="4"/>
      <c r="L20" s="4"/>
      <c r="M20" s="4"/>
    </row>
    <row r="21" spans="2:13">
      <c r="B21" s="4"/>
      <c r="C21" s="4"/>
      <c r="D21" s="4"/>
      <c r="E21" s="4"/>
      <c r="F21" s="4"/>
      <c r="G21" s="4"/>
      <c r="H21" s="4"/>
      <c r="I21" s="4"/>
      <c r="J21" s="4"/>
      <c r="K21" s="4"/>
      <c r="L21" s="4"/>
      <c r="M21" s="4"/>
    </row>
    <row r="22" spans="2:13">
      <c r="B22" s="4"/>
      <c r="C22" s="4"/>
      <c r="D22" s="4"/>
      <c r="E22" s="4"/>
      <c r="F22" s="4"/>
      <c r="G22" s="4"/>
      <c r="H22" s="4"/>
      <c r="I22" s="4"/>
      <c r="J22" s="4"/>
      <c r="K22" s="4"/>
      <c r="L22" s="4"/>
      <c r="M22" s="4"/>
    </row>
    <row r="23" spans="2:13">
      <c r="B23" s="4"/>
      <c r="C23" s="4"/>
      <c r="D23" s="4"/>
      <c r="E23" s="4"/>
      <c r="F23" s="4"/>
      <c r="G23" s="4"/>
      <c r="H23" s="4"/>
      <c r="I23" s="4"/>
      <c r="J23" s="4"/>
      <c r="K23" s="4"/>
      <c r="L23" s="4"/>
      <c r="M23" s="4"/>
    </row>
    <row r="24" spans="2:13">
      <c r="B24" s="4"/>
      <c r="C24" s="4"/>
      <c r="D24" s="4"/>
      <c r="E24" s="4"/>
      <c r="F24" s="4"/>
      <c r="G24" s="4"/>
      <c r="H24" s="4"/>
      <c r="I24" s="4"/>
      <c r="J24" s="4"/>
      <c r="K24" s="4"/>
      <c r="L24" s="4"/>
      <c r="M24" s="4"/>
    </row>
    <row r="25" spans="2:13">
      <c r="B25" s="4"/>
      <c r="C25" s="4"/>
      <c r="D25" s="4"/>
      <c r="E25" s="4"/>
      <c r="F25" s="4"/>
      <c r="G25" s="4"/>
      <c r="H25" s="4"/>
      <c r="I25" s="4"/>
      <c r="J25" s="4"/>
      <c r="K25" s="4"/>
      <c r="L25" s="4"/>
      <c r="M25" s="4"/>
    </row>
    <row r="26" spans="2:13">
      <c r="B26" s="4"/>
      <c r="C26" s="4"/>
      <c r="D26" s="4"/>
      <c r="E26" s="4"/>
      <c r="F26" s="4"/>
      <c r="G26" s="4"/>
      <c r="H26" s="4"/>
      <c r="I26" s="4"/>
      <c r="J26" s="4"/>
      <c r="K26" s="4"/>
      <c r="L26" s="4"/>
      <c r="M26" s="4"/>
    </row>
    <row r="27" spans="2:13">
      <c r="B27" s="4"/>
      <c r="C27" s="4"/>
      <c r="D27" s="4"/>
      <c r="E27" s="4"/>
      <c r="F27" s="4"/>
      <c r="G27" s="4"/>
      <c r="H27" s="4"/>
      <c r="I27" s="4"/>
      <c r="J27" s="4"/>
      <c r="K27" s="4"/>
      <c r="L27" s="4"/>
      <c r="M27" s="4"/>
    </row>
    <row r="28" spans="2:13">
      <c r="B28" s="4"/>
      <c r="C28" s="4"/>
      <c r="D28" s="4"/>
      <c r="E28" s="4"/>
      <c r="F28" s="4"/>
      <c r="G28" s="4"/>
      <c r="H28" s="4"/>
      <c r="I28" s="4"/>
      <c r="J28" s="4"/>
      <c r="K28" s="4"/>
      <c r="L28" s="4"/>
      <c r="M28" s="4"/>
    </row>
    <row r="29" spans="2:13">
      <c r="B29" s="4"/>
      <c r="C29" s="4"/>
      <c r="D29" s="4"/>
      <c r="E29" s="4"/>
      <c r="F29" s="4"/>
      <c r="G29" s="4"/>
      <c r="H29" s="4"/>
      <c r="I29" s="4"/>
      <c r="J29" s="4"/>
      <c r="K29" s="4"/>
      <c r="L29" s="4"/>
      <c r="M29" s="4"/>
    </row>
    <row r="30" spans="2:13">
      <c r="B30" s="4"/>
      <c r="C30" s="4"/>
      <c r="D30" s="4"/>
      <c r="E30" s="4"/>
      <c r="F30" s="4"/>
      <c r="G30" s="4"/>
      <c r="H30" s="4"/>
      <c r="I30" s="4"/>
      <c r="J30" s="4"/>
      <c r="K30" s="4"/>
      <c r="L30" s="4"/>
      <c r="M30" s="4"/>
    </row>
    <row r="31" spans="2:13">
      <c r="B31" s="4"/>
      <c r="C31" s="4"/>
      <c r="D31" s="4"/>
      <c r="E31" s="4"/>
      <c r="F31" s="4"/>
      <c r="G31" s="4"/>
      <c r="H31" s="4"/>
      <c r="I31" s="4"/>
      <c r="J31" s="4"/>
      <c r="K31" s="4"/>
      <c r="L31" s="4"/>
      <c r="M31" s="4"/>
    </row>
    <row r="32" spans="2:13">
      <c r="B32" s="4"/>
      <c r="C32" s="4"/>
      <c r="D32" s="4"/>
      <c r="E32" s="4"/>
      <c r="F32" s="4"/>
      <c r="G32" s="4"/>
      <c r="H32" s="4"/>
      <c r="I32" s="4"/>
      <c r="J32" s="4"/>
      <c r="K32" s="4"/>
      <c r="L32" s="4"/>
      <c r="M32" s="4"/>
    </row>
    <row r="33" spans="2:13">
      <c r="B33" s="4"/>
      <c r="C33" s="4"/>
      <c r="D33" s="4"/>
      <c r="E33" s="4"/>
      <c r="F33" s="4"/>
      <c r="G33" s="4"/>
      <c r="H33" s="4"/>
      <c r="I33" s="4"/>
      <c r="J33" s="4"/>
      <c r="K33" s="4"/>
      <c r="L33" s="4"/>
      <c r="M33" s="4"/>
    </row>
    <row r="34" spans="2:13">
      <c r="B34" s="4"/>
      <c r="C34" s="4"/>
      <c r="D34" s="4"/>
      <c r="E34" s="4"/>
      <c r="F34" s="4"/>
      <c r="G34" s="4"/>
      <c r="H34" s="4"/>
      <c r="I34" s="4"/>
      <c r="J34" s="4"/>
      <c r="K34" s="4"/>
      <c r="L34" s="4"/>
      <c r="M34" s="4"/>
    </row>
    <row r="35" spans="2:13">
      <c r="B35" s="4"/>
      <c r="C35" s="4"/>
      <c r="D35" s="4"/>
      <c r="E35" s="4"/>
      <c r="F35" s="4"/>
      <c r="G35" s="4"/>
      <c r="H35" s="4"/>
      <c r="I35" s="4"/>
      <c r="J35" s="4"/>
      <c r="K35" s="4"/>
      <c r="L35" s="4"/>
      <c r="M35" s="4"/>
    </row>
    <row r="36" spans="2:13">
      <c r="B36" s="4"/>
      <c r="C36" s="4"/>
      <c r="D36" s="4"/>
      <c r="E36" s="4"/>
      <c r="F36" s="4"/>
      <c r="G36" s="4"/>
      <c r="H36" s="4"/>
      <c r="I36" s="4"/>
      <c r="J36" s="4"/>
      <c r="K36" s="4"/>
      <c r="L36" s="4"/>
      <c r="M36" s="4"/>
    </row>
    <row r="37" spans="2:13">
      <c r="B37" s="4"/>
      <c r="C37" s="4"/>
      <c r="D37" s="4"/>
      <c r="E37" s="4"/>
      <c r="F37" s="4"/>
      <c r="G37" s="4"/>
      <c r="H37" s="4"/>
      <c r="I37" s="4"/>
      <c r="J37" s="4"/>
      <c r="K37" s="4"/>
      <c r="L37" s="4"/>
      <c r="M37" s="4"/>
    </row>
    <row r="38" spans="2:13">
      <c r="B38" s="4"/>
      <c r="C38" s="4"/>
      <c r="D38" s="4"/>
      <c r="E38" s="4"/>
      <c r="F38" s="4"/>
      <c r="G38" s="4"/>
      <c r="H38" s="4"/>
      <c r="I38" s="4"/>
      <c r="J38" s="4"/>
      <c r="K38" s="4"/>
      <c r="L38" s="4"/>
      <c r="M38" s="4"/>
    </row>
    <row r="39" spans="2:13">
      <c r="B39" s="4"/>
      <c r="C39" s="4"/>
      <c r="D39" s="4"/>
      <c r="E39" s="4"/>
      <c r="F39" s="4"/>
      <c r="G39" s="4"/>
      <c r="H39" s="4"/>
      <c r="I39" s="4"/>
      <c r="J39" s="4"/>
      <c r="K39" s="4"/>
      <c r="L39" s="4"/>
      <c r="M39" s="4"/>
    </row>
    <row r="40" spans="2:13">
      <c r="B40" s="4"/>
      <c r="C40" s="4"/>
      <c r="D40" s="4"/>
      <c r="E40" s="4"/>
      <c r="F40" s="4"/>
      <c r="G40" s="4"/>
      <c r="H40" s="4"/>
      <c r="I40" s="4"/>
      <c r="J40" s="4"/>
      <c r="K40" s="4"/>
      <c r="L40" s="4"/>
      <c r="M40" s="4"/>
    </row>
    <row r="41" spans="2:13">
      <c r="B41" s="4"/>
      <c r="C41" s="4"/>
      <c r="D41" s="4"/>
      <c r="E41" s="4"/>
      <c r="F41" s="4"/>
      <c r="G41" s="4"/>
      <c r="H41" s="4"/>
      <c r="I41" s="4"/>
      <c r="J41" s="4"/>
      <c r="K41" s="4"/>
      <c r="L41" s="4"/>
      <c r="M41" s="4"/>
    </row>
    <row r="42" spans="2:13">
      <c r="B42" s="4"/>
      <c r="C42" s="4"/>
      <c r="D42" s="4"/>
      <c r="E42" s="4"/>
      <c r="F42" s="4"/>
      <c r="G42" s="4"/>
      <c r="H42" s="4"/>
      <c r="I42" s="4"/>
      <c r="J42" s="4"/>
      <c r="K42" s="4"/>
      <c r="L42" s="4"/>
      <c r="M42" s="4"/>
    </row>
    <row r="43" spans="2:13">
      <c r="B43" s="4"/>
      <c r="C43" s="4"/>
      <c r="D43" s="4"/>
      <c r="E43" s="4"/>
      <c r="F43" s="4"/>
      <c r="G43" s="4"/>
      <c r="H43" s="4"/>
      <c r="I43" s="4"/>
      <c r="J43" s="4"/>
      <c r="K43" s="4"/>
      <c r="L43" s="4"/>
      <c r="M43" s="4"/>
    </row>
    <row r="44" spans="2:13">
      <c r="B44" s="4"/>
      <c r="C44" s="4"/>
      <c r="D44" s="4"/>
      <c r="E44" s="4"/>
      <c r="F44" s="4"/>
      <c r="G44" s="4"/>
      <c r="H44" s="4"/>
      <c r="I44" s="4"/>
      <c r="J44" s="4"/>
      <c r="K44" s="4"/>
      <c r="L44" s="4"/>
      <c r="M44" s="4"/>
    </row>
    <row r="45" spans="2:13">
      <c r="B45" s="4"/>
      <c r="C45" s="4"/>
      <c r="D45" s="4"/>
      <c r="E45" s="4"/>
      <c r="F45" s="4"/>
      <c r="G45" s="4"/>
      <c r="H45" s="4"/>
      <c r="I45" s="4"/>
      <c r="J45" s="4"/>
      <c r="K45" s="4"/>
      <c r="L45" s="4"/>
      <c r="M45" s="4"/>
    </row>
    <row r="46" spans="2:13">
      <c r="B46" s="4"/>
      <c r="C46" s="4"/>
      <c r="D46" s="4"/>
      <c r="E46" s="4"/>
      <c r="F46" s="4"/>
      <c r="G46" s="4"/>
      <c r="H46" s="4"/>
      <c r="I46" s="4"/>
      <c r="J46" s="4"/>
      <c r="K46" s="4"/>
      <c r="L46" s="4"/>
      <c r="M46" s="4"/>
    </row>
    <row r="47" spans="2:13">
      <c r="B47" s="4"/>
      <c r="C47" s="4"/>
      <c r="D47" s="4"/>
      <c r="E47" s="4"/>
      <c r="F47" s="4"/>
      <c r="G47" s="4"/>
      <c r="H47" s="4"/>
      <c r="I47" s="4"/>
      <c r="J47" s="4"/>
      <c r="K47" s="4"/>
      <c r="L47" s="4"/>
      <c r="M47" s="4"/>
    </row>
    <row r="48" spans="2:13">
      <c r="B48" s="4"/>
      <c r="C48" s="4"/>
      <c r="D48" s="4"/>
      <c r="E48" s="4"/>
      <c r="F48" s="4"/>
      <c r="G48" s="4"/>
      <c r="H48" s="4"/>
      <c r="I48" s="4"/>
      <c r="J48" s="4"/>
      <c r="K48" s="4"/>
      <c r="L48" s="4"/>
      <c r="M48" s="4"/>
    </row>
    <row r="49" spans="2:13">
      <c r="B49" s="4"/>
      <c r="C49" s="4"/>
      <c r="D49" s="4"/>
      <c r="E49" s="4"/>
      <c r="F49" s="4"/>
      <c r="G49" s="4"/>
      <c r="H49" s="4"/>
      <c r="I49" s="4"/>
      <c r="J49" s="4"/>
      <c r="K49" s="4"/>
      <c r="L49" s="4"/>
      <c r="M49" s="4"/>
    </row>
    <row r="50" spans="2:13">
      <c r="B50" s="4"/>
      <c r="C50" s="4"/>
      <c r="D50" s="4"/>
      <c r="E50" s="4"/>
      <c r="F50" s="4"/>
      <c r="G50" s="4"/>
      <c r="H50" s="4"/>
      <c r="I50" s="4"/>
      <c r="J50" s="4"/>
      <c r="K50" s="4"/>
      <c r="L50" s="4"/>
      <c r="M50" s="4"/>
    </row>
    <row r="51" spans="2:13">
      <c r="B51" s="4"/>
      <c r="C51" s="4"/>
      <c r="D51" s="4"/>
      <c r="E51" s="4"/>
      <c r="F51" s="4"/>
      <c r="G51" s="4"/>
      <c r="H51" s="4"/>
      <c r="I51" s="4"/>
      <c r="J51" s="4"/>
      <c r="K51" s="4"/>
      <c r="L51" s="4"/>
      <c r="M51" s="4"/>
    </row>
  </sheetData>
  <customSheetViews>
    <customSheetView guid="{6B74E52F-9552-408A-8775-25AFF24E6639}" scale="75" fitToPage="1" showRuler="0">
      <selection activeCell="A5" sqref="A5"/>
      <pageMargins left="0.75" right="0.75" top="1" bottom="1" header="0.5" footer="0.5"/>
      <pageSetup scale="79" orientation="landscape" r:id="rId1"/>
      <headerFooter alignWithMargins="0">
        <oddFooter>&amp;L&amp;Z
&amp;F&amp;C&amp;A&amp;R23.&amp;P</oddFooter>
      </headerFooter>
    </customSheetView>
  </customSheetViews>
  <mergeCells count="3">
    <mergeCell ref="A1:L1"/>
    <mergeCell ref="A2:L2"/>
    <mergeCell ref="A3:L3"/>
  </mergeCells>
  <phoneticPr fontId="0" type="noConversion"/>
  <pageMargins left="0.75" right="0.75" top="1" bottom="1" header="0.5" footer="0.5"/>
  <pageSetup scale="79" orientation="landscape" r:id="rId2"/>
  <headerFooter alignWithMargins="0">
    <oddFooter>&amp;L&amp;Z
&amp;F&amp;C&amp;A&amp;R23.&amp;P</oddFooter>
  </headerFooter>
</worksheet>
</file>

<file path=xl/worksheets/sheet11.xml><?xml version="1.0" encoding="utf-8"?>
<worksheet xmlns="http://schemas.openxmlformats.org/spreadsheetml/2006/main" xmlns:r="http://schemas.openxmlformats.org/officeDocument/2006/relationships">
  <sheetPr codeName="Sheet11"/>
  <dimension ref="A1:C1"/>
  <sheetViews>
    <sheetView workbookViewId="0"/>
  </sheetViews>
  <sheetFormatPr defaultColWidth="25.7109375" defaultRowHeight="13.5"/>
  <cols>
    <col min="1" max="16384" width="25.7109375" style="14"/>
  </cols>
  <sheetData>
    <row r="1" spans="1:3">
      <c r="A1" s="14">
        <v>0</v>
      </c>
      <c r="B1" s="14">
        <v>18</v>
      </c>
      <c r="C1" s="14" t="s">
        <v>790</v>
      </c>
    </row>
  </sheetData>
  <customSheetViews>
    <customSheetView guid="{6B74E52F-9552-408A-8775-25AFF24E6639}" state="hidden" showRuler="0">
      <pageMargins left="0.75" right="0.75" top="1" bottom="1" header="0.5" footer="0.5"/>
      <headerFooter alignWithMargins="0"/>
    </customSheetView>
  </customSheetViews>
  <phoneticPr fontId="4" type="noConversion"/>
  <pageMargins left="0.75" right="0.75" top="1" bottom="1" header="0.5" footer="0.5"/>
  <headerFooter alignWithMargins="0"/>
</worksheet>
</file>

<file path=xl/worksheets/sheet110.xml><?xml version="1.0" encoding="utf-8"?>
<worksheet xmlns="http://schemas.openxmlformats.org/spreadsheetml/2006/main" xmlns:r="http://schemas.openxmlformats.org/officeDocument/2006/relationships">
  <sheetPr codeName="Sheet63">
    <pageSetUpPr fitToPage="1"/>
  </sheetPr>
  <dimension ref="A1:M51"/>
  <sheetViews>
    <sheetView zoomScale="75" workbookViewId="0">
      <selection sqref="A1:L1"/>
    </sheetView>
  </sheetViews>
  <sheetFormatPr defaultRowHeight="12.75"/>
  <cols>
    <col min="1" max="1" width="40.5703125" bestFit="1" customWidth="1"/>
    <col min="2" max="2" width="17.7109375" customWidth="1"/>
    <col min="3" max="3" width="1.7109375" customWidth="1"/>
    <col min="4" max="4" width="17.7109375" customWidth="1"/>
    <col min="5" max="5" width="1.7109375" customWidth="1"/>
    <col min="6" max="6" width="17.7109375" customWidth="1"/>
    <col min="7" max="7" width="1.7109375" customWidth="1"/>
    <col min="8" max="8" width="17.7109375" customWidth="1"/>
    <col min="9" max="9" width="1.7109375" customWidth="1"/>
    <col min="10" max="10" width="17.7109375" customWidth="1"/>
    <col min="11" max="11" width="1.7109375" customWidth="1"/>
    <col min="12" max="12" width="17.7109375" customWidth="1"/>
  </cols>
  <sheetData>
    <row r="1" spans="1:13" s="38" customFormat="1" ht="15.75">
      <c r="A1" s="366" t="s">
        <v>134</v>
      </c>
      <c r="B1" s="366"/>
      <c r="C1" s="366"/>
      <c r="D1" s="366"/>
      <c r="E1" s="366"/>
      <c r="F1" s="366"/>
      <c r="G1" s="366"/>
      <c r="H1" s="366"/>
      <c r="I1" s="366"/>
      <c r="J1" s="366"/>
      <c r="K1" s="366"/>
      <c r="L1" s="366"/>
    </row>
    <row r="2" spans="1:13" s="38" customFormat="1" ht="15.75">
      <c r="A2" s="367" t="s">
        <v>1232</v>
      </c>
      <c r="B2" s="366"/>
      <c r="C2" s="366"/>
      <c r="D2" s="366"/>
      <c r="E2" s="366"/>
      <c r="F2" s="366"/>
      <c r="G2" s="366"/>
      <c r="H2" s="366"/>
      <c r="I2" s="366"/>
      <c r="J2" s="366"/>
      <c r="K2" s="366"/>
      <c r="L2" s="366"/>
    </row>
    <row r="3" spans="1:13">
      <c r="A3" s="357" t="str">
        <f>'Summary - Cost - PG 1 (Fin)'!A3:N3</f>
        <v>MARCH 2012</v>
      </c>
      <c r="B3" s="357"/>
      <c r="C3" s="357"/>
      <c r="D3" s="357"/>
      <c r="E3" s="357"/>
      <c r="F3" s="357"/>
      <c r="G3" s="357"/>
      <c r="H3" s="357"/>
      <c r="I3" s="357"/>
      <c r="J3" s="357"/>
      <c r="K3" s="357"/>
      <c r="L3" s="357"/>
    </row>
    <row r="4" spans="1:13">
      <c r="A4" s="30"/>
      <c r="B4" s="30"/>
      <c r="C4" s="30"/>
      <c r="D4" s="30"/>
      <c r="E4" s="30"/>
      <c r="F4" s="30"/>
      <c r="G4" s="30"/>
      <c r="H4" s="30"/>
      <c r="I4" s="30"/>
      <c r="J4" s="30"/>
      <c r="K4" s="30"/>
      <c r="L4" s="30"/>
    </row>
    <row r="6" spans="1:13">
      <c r="B6" s="41" t="s">
        <v>25</v>
      </c>
      <c r="D6" s="33"/>
      <c r="F6" s="33"/>
      <c r="H6" s="41" t="s">
        <v>612</v>
      </c>
      <c r="J6" s="33"/>
      <c r="L6" s="41" t="s">
        <v>26</v>
      </c>
    </row>
    <row r="7" spans="1:13" s="10" customFormat="1">
      <c r="B7" s="42" t="s">
        <v>27</v>
      </c>
      <c r="C7"/>
      <c r="D7" s="42" t="s">
        <v>107</v>
      </c>
      <c r="E7"/>
      <c r="F7" s="42" t="s">
        <v>108</v>
      </c>
      <c r="G7"/>
      <c r="H7" s="42" t="s">
        <v>613</v>
      </c>
      <c r="I7"/>
      <c r="J7" s="42" t="s">
        <v>109</v>
      </c>
      <c r="K7"/>
      <c r="L7" s="42" t="s">
        <v>27</v>
      </c>
    </row>
    <row r="8" spans="1:13" s="10" customFormat="1">
      <c r="B8"/>
      <c r="C8"/>
      <c r="D8"/>
      <c r="E8"/>
      <c r="F8"/>
      <c r="G8"/>
      <c r="H8"/>
      <c r="I8"/>
      <c r="J8"/>
      <c r="K8"/>
      <c r="L8"/>
    </row>
    <row r="9" spans="1:13">
      <c r="A9" s="95" t="s">
        <v>993</v>
      </c>
      <c r="B9" s="4"/>
      <c r="C9" s="4"/>
      <c r="D9" s="4"/>
      <c r="E9" s="4"/>
      <c r="F9" s="4"/>
      <c r="G9" s="4"/>
      <c r="H9" s="4"/>
      <c r="I9" s="4"/>
      <c r="J9" s="4"/>
      <c r="K9" s="4"/>
      <c r="L9" s="4"/>
      <c r="M9" s="4"/>
    </row>
    <row r="10" spans="1:13">
      <c r="A10" t="s">
        <v>18</v>
      </c>
      <c r="B10" s="33">
        <v>257328.32</v>
      </c>
      <c r="C10" s="45"/>
      <c r="D10" s="45">
        <v>0</v>
      </c>
      <c r="E10" s="45"/>
      <c r="F10" s="45">
        <v>0</v>
      </c>
      <c r="G10" s="45"/>
      <c r="H10" s="45">
        <v>0</v>
      </c>
      <c r="I10" s="45"/>
      <c r="J10" s="45">
        <f>D10+F10+H10</f>
        <v>0</v>
      </c>
      <c r="K10" s="45"/>
      <c r="L10" s="45">
        <f>B10+J10</f>
        <v>257328.32</v>
      </c>
      <c r="M10" s="4"/>
    </row>
    <row r="11" spans="1:13" ht="13.5" thickBot="1">
      <c r="B11" s="46">
        <f>SUM(B10)</f>
        <v>257328.32</v>
      </c>
      <c r="C11" s="45"/>
      <c r="D11" s="46">
        <f>SUM(D10)</f>
        <v>0</v>
      </c>
      <c r="E11" s="45"/>
      <c r="F11" s="46">
        <f>SUM(F10)</f>
        <v>0</v>
      </c>
      <c r="G11" s="45"/>
      <c r="H11" s="46">
        <f>SUM(H10)</f>
        <v>0</v>
      </c>
      <c r="I11" s="45"/>
      <c r="J11" s="46">
        <f>SUM(J10)</f>
        <v>0</v>
      </c>
      <c r="K11" s="45"/>
      <c r="L11" s="46">
        <f>SUM(L10)</f>
        <v>257328.32</v>
      </c>
      <c r="M11" s="4"/>
    </row>
    <row r="12" spans="1:13" ht="13.5" thickTop="1">
      <c r="B12" s="4"/>
      <c r="C12" s="4"/>
      <c r="D12" s="4"/>
      <c r="E12" s="4"/>
      <c r="F12" s="4"/>
      <c r="G12" s="4"/>
      <c r="H12" s="4"/>
      <c r="I12" s="4"/>
      <c r="J12" s="4"/>
      <c r="K12" s="4"/>
      <c r="L12" s="4"/>
      <c r="M12" s="4"/>
    </row>
    <row r="13" spans="1:13">
      <c r="B13" s="4"/>
      <c r="C13" s="4"/>
      <c r="D13" s="4"/>
      <c r="E13" s="4"/>
      <c r="F13" s="4"/>
      <c r="G13" s="4"/>
      <c r="H13" s="4"/>
      <c r="I13" s="4"/>
      <c r="J13" s="4"/>
      <c r="K13" s="4"/>
      <c r="L13" s="4"/>
      <c r="M13" s="4"/>
    </row>
    <row r="14" spans="1:13">
      <c r="B14" s="4"/>
      <c r="C14" s="4"/>
      <c r="D14" s="4"/>
      <c r="E14" s="4"/>
      <c r="F14" s="4"/>
      <c r="G14" s="4"/>
      <c r="H14" s="4"/>
      <c r="I14" s="4"/>
      <c r="J14" s="4"/>
      <c r="K14" s="4"/>
      <c r="L14" s="4"/>
      <c r="M14" s="4"/>
    </row>
    <row r="15" spans="1:13">
      <c r="B15" s="4"/>
      <c r="C15" s="4"/>
      <c r="D15" s="4"/>
      <c r="E15" s="4"/>
      <c r="F15" s="4"/>
      <c r="G15" s="4"/>
      <c r="H15" s="4"/>
      <c r="I15" s="4"/>
      <c r="J15" s="4"/>
      <c r="K15" s="4"/>
      <c r="L15" s="4"/>
      <c r="M15" s="4"/>
    </row>
    <row r="16" spans="1:13">
      <c r="B16" s="4"/>
      <c r="C16" s="4"/>
      <c r="D16" s="4"/>
      <c r="E16" s="4"/>
      <c r="F16" s="4"/>
      <c r="G16" s="4"/>
      <c r="H16" s="4"/>
      <c r="I16" s="4"/>
      <c r="J16" s="4"/>
      <c r="K16" s="4"/>
      <c r="L16" s="4"/>
      <c r="M16" s="4"/>
    </row>
    <row r="17" spans="2:13">
      <c r="B17" s="4"/>
      <c r="C17" s="4"/>
      <c r="D17" s="4"/>
      <c r="E17" s="4"/>
      <c r="F17" s="4"/>
      <c r="G17" s="4"/>
      <c r="H17" s="4"/>
      <c r="I17" s="4"/>
      <c r="J17" s="4"/>
      <c r="K17" s="4"/>
      <c r="L17" s="4"/>
      <c r="M17" s="4"/>
    </row>
    <row r="18" spans="2:13">
      <c r="B18" s="4"/>
      <c r="C18" s="4"/>
      <c r="D18" s="4"/>
      <c r="E18" s="4"/>
      <c r="F18" s="4"/>
      <c r="G18" s="4"/>
      <c r="H18" s="4"/>
      <c r="I18" s="4"/>
      <c r="J18" s="4"/>
      <c r="K18" s="4"/>
      <c r="L18" s="4"/>
      <c r="M18" s="4"/>
    </row>
    <row r="19" spans="2:13">
      <c r="B19" s="4"/>
      <c r="C19" s="4"/>
      <c r="D19" s="4"/>
      <c r="E19" s="4"/>
      <c r="F19" s="4"/>
      <c r="G19" s="4"/>
      <c r="H19" s="4"/>
      <c r="I19" s="4"/>
      <c r="J19" s="4"/>
      <c r="K19" s="4"/>
      <c r="L19" s="4"/>
      <c r="M19" s="4"/>
    </row>
    <row r="20" spans="2:13">
      <c r="B20" s="4"/>
      <c r="C20" s="4"/>
      <c r="D20" s="4"/>
      <c r="E20" s="4"/>
      <c r="F20" s="4"/>
      <c r="G20" s="4"/>
      <c r="H20" s="4"/>
      <c r="I20" s="4"/>
      <c r="J20" s="4"/>
      <c r="K20" s="4"/>
      <c r="L20" s="4"/>
      <c r="M20" s="4"/>
    </row>
    <row r="21" spans="2:13">
      <c r="B21" s="4"/>
      <c r="C21" s="4"/>
      <c r="D21" s="4"/>
      <c r="E21" s="4"/>
      <c r="F21" s="4"/>
      <c r="G21" s="4"/>
      <c r="H21" s="4"/>
      <c r="I21" s="4"/>
      <c r="J21" s="4"/>
      <c r="K21" s="4"/>
      <c r="L21" s="4"/>
      <c r="M21" s="4"/>
    </row>
    <row r="22" spans="2:13">
      <c r="B22" s="4"/>
      <c r="C22" s="4"/>
      <c r="D22" s="4"/>
      <c r="E22" s="4"/>
      <c r="F22" s="4"/>
      <c r="G22" s="4"/>
      <c r="H22" s="4"/>
      <c r="I22" s="4"/>
      <c r="J22" s="4"/>
      <c r="K22" s="4"/>
      <c r="L22" s="4"/>
      <c r="M22" s="4"/>
    </row>
    <row r="23" spans="2:13">
      <c r="B23" s="4"/>
      <c r="C23" s="4"/>
      <c r="D23" s="4"/>
      <c r="E23" s="4"/>
      <c r="F23" s="4"/>
      <c r="G23" s="4"/>
      <c r="H23" s="4"/>
      <c r="I23" s="4"/>
      <c r="J23" s="4"/>
      <c r="K23" s="4"/>
      <c r="L23" s="4"/>
      <c r="M23" s="4"/>
    </row>
    <row r="24" spans="2:13">
      <c r="B24" s="4"/>
      <c r="C24" s="4"/>
      <c r="D24" s="4"/>
      <c r="E24" s="4"/>
      <c r="F24" s="4"/>
      <c r="G24" s="4"/>
      <c r="H24" s="4"/>
      <c r="I24" s="4"/>
      <c r="J24" s="4"/>
      <c r="K24" s="4"/>
      <c r="L24" s="4"/>
      <c r="M24" s="4"/>
    </row>
    <row r="25" spans="2:13">
      <c r="B25" s="4"/>
      <c r="C25" s="4"/>
      <c r="D25" s="4"/>
      <c r="E25" s="4"/>
      <c r="F25" s="4"/>
      <c r="G25" s="4"/>
      <c r="H25" s="4"/>
      <c r="I25" s="4"/>
      <c r="J25" s="4"/>
      <c r="K25" s="4"/>
      <c r="L25" s="4"/>
      <c r="M25" s="4"/>
    </row>
    <row r="26" spans="2:13">
      <c r="B26" s="4"/>
      <c r="C26" s="4"/>
      <c r="D26" s="4"/>
      <c r="E26" s="4"/>
      <c r="F26" s="4"/>
      <c r="G26" s="4"/>
      <c r="H26" s="4"/>
      <c r="I26" s="4"/>
      <c r="J26" s="4"/>
      <c r="K26" s="4"/>
      <c r="L26" s="4"/>
      <c r="M26" s="4"/>
    </row>
    <row r="27" spans="2:13">
      <c r="B27" s="4"/>
      <c r="C27" s="4"/>
      <c r="D27" s="4"/>
      <c r="E27" s="4"/>
      <c r="F27" s="4"/>
      <c r="G27" s="4"/>
      <c r="H27" s="4"/>
      <c r="I27" s="4"/>
      <c r="J27" s="4"/>
      <c r="K27" s="4"/>
      <c r="L27" s="4"/>
      <c r="M27" s="4"/>
    </row>
    <row r="28" spans="2:13">
      <c r="B28" s="4"/>
      <c r="C28" s="4"/>
      <c r="D28" s="4"/>
      <c r="E28" s="4"/>
      <c r="F28" s="4"/>
      <c r="G28" s="4"/>
      <c r="H28" s="4"/>
      <c r="I28" s="4"/>
      <c r="J28" s="4"/>
      <c r="K28" s="4"/>
      <c r="L28" s="4"/>
      <c r="M28" s="4"/>
    </row>
    <row r="29" spans="2:13">
      <c r="B29" s="4"/>
      <c r="C29" s="4"/>
      <c r="D29" s="4"/>
      <c r="E29" s="4"/>
      <c r="F29" s="4"/>
      <c r="G29" s="4"/>
      <c r="H29" s="4"/>
      <c r="I29" s="4"/>
      <c r="J29" s="4"/>
      <c r="K29" s="4"/>
      <c r="L29" s="4"/>
      <c r="M29" s="4"/>
    </row>
    <row r="30" spans="2:13">
      <c r="B30" s="4"/>
      <c r="C30" s="4"/>
      <c r="D30" s="4"/>
      <c r="E30" s="4"/>
      <c r="F30" s="4"/>
      <c r="G30" s="4"/>
      <c r="H30" s="4"/>
      <c r="I30" s="4"/>
      <c r="J30" s="4"/>
      <c r="K30" s="4"/>
      <c r="L30" s="4"/>
      <c r="M30" s="4"/>
    </row>
    <row r="31" spans="2:13">
      <c r="B31" s="4"/>
      <c r="C31" s="4"/>
      <c r="D31" s="4"/>
      <c r="E31" s="4"/>
      <c r="F31" s="4"/>
      <c r="G31" s="4"/>
      <c r="H31" s="4"/>
      <c r="I31" s="4"/>
      <c r="J31" s="4"/>
      <c r="K31" s="4"/>
      <c r="L31" s="4"/>
      <c r="M31" s="4"/>
    </row>
    <row r="32" spans="2:13">
      <c r="B32" s="4"/>
      <c r="C32" s="4"/>
      <c r="D32" s="4"/>
      <c r="E32" s="4"/>
      <c r="F32" s="4"/>
      <c r="G32" s="4"/>
      <c r="H32" s="4"/>
      <c r="I32" s="4"/>
      <c r="J32" s="4"/>
      <c r="K32" s="4"/>
      <c r="L32" s="4"/>
      <c r="M32" s="4"/>
    </row>
    <row r="33" spans="2:13">
      <c r="B33" s="4"/>
      <c r="C33" s="4"/>
      <c r="D33" s="4"/>
      <c r="E33" s="4"/>
      <c r="F33" s="4"/>
      <c r="G33" s="4"/>
      <c r="H33" s="4"/>
      <c r="I33" s="4"/>
      <c r="J33" s="4"/>
      <c r="K33" s="4"/>
      <c r="L33" s="4"/>
      <c r="M33" s="4"/>
    </row>
    <row r="34" spans="2:13">
      <c r="B34" s="4"/>
      <c r="C34" s="4"/>
      <c r="D34" s="4"/>
      <c r="E34" s="4"/>
      <c r="F34" s="4"/>
      <c r="G34" s="4"/>
      <c r="H34" s="4"/>
      <c r="I34" s="4"/>
      <c r="J34" s="4"/>
      <c r="K34" s="4"/>
      <c r="L34" s="4"/>
      <c r="M34" s="4"/>
    </row>
    <row r="35" spans="2:13">
      <c r="B35" s="4"/>
      <c r="C35" s="4"/>
      <c r="D35" s="4"/>
      <c r="E35" s="4"/>
      <c r="F35" s="4"/>
      <c r="G35" s="4"/>
      <c r="H35" s="4"/>
      <c r="I35" s="4"/>
      <c r="J35" s="4"/>
      <c r="K35" s="4"/>
      <c r="L35" s="4"/>
      <c r="M35" s="4"/>
    </row>
    <row r="36" spans="2:13">
      <c r="B36" s="4"/>
      <c r="C36" s="4"/>
      <c r="D36" s="4"/>
      <c r="E36" s="4"/>
      <c r="F36" s="4"/>
      <c r="G36" s="4"/>
      <c r="H36" s="4"/>
      <c r="I36" s="4"/>
      <c r="J36" s="4"/>
      <c r="K36" s="4"/>
      <c r="L36" s="4"/>
      <c r="M36" s="4"/>
    </row>
    <row r="37" spans="2:13">
      <c r="B37" s="4"/>
      <c r="C37" s="4"/>
      <c r="D37" s="4"/>
      <c r="E37" s="4"/>
      <c r="F37" s="4"/>
      <c r="G37" s="4"/>
      <c r="H37" s="4"/>
      <c r="I37" s="4"/>
      <c r="J37" s="4"/>
      <c r="K37" s="4"/>
      <c r="L37" s="4"/>
      <c r="M37" s="4"/>
    </row>
    <row r="38" spans="2:13">
      <c r="B38" s="4"/>
      <c r="C38" s="4"/>
      <c r="D38" s="4"/>
      <c r="E38" s="4"/>
      <c r="F38" s="4"/>
      <c r="G38" s="4"/>
      <c r="H38" s="4"/>
      <c r="I38" s="4"/>
      <c r="J38" s="4"/>
      <c r="K38" s="4"/>
      <c r="L38" s="4"/>
      <c r="M38" s="4"/>
    </row>
    <row r="39" spans="2:13">
      <c r="B39" s="4"/>
      <c r="C39" s="4"/>
      <c r="D39" s="4"/>
      <c r="E39" s="4"/>
      <c r="F39" s="4"/>
      <c r="G39" s="4"/>
      <c r="H39" s="4"/>
      <c r="I39" s="4"/>
      <c r="J39" s="4"/>
      <c r="K39" s="4"/>
      <c r="L39" s="4"/>
      <c r="M39" s="4"/>
    </row>
    <row r="40" spans="2:13">
      <c r="B40" s="4"/>
      <c r="C40" s="4"/>
      <c r="D40" s="4"/>
      <c r="E40" s="4"/>
      <c r="F40" s="4"/>
      <c r="G40" s="4"/>
      <c r="H40" s="4"/>
      <c r="I40" s="4"/>
      <c r="J40" s="4"/>
      <c r="K40" s="4"/>
      <c r="L40" s="4"/>
      <c r="M40" s="4"/>
    </row>
    <row r="41" spans="2:13">
      <c r="B41" s="4"/>
      <c r="C41" s="4"/>
      <c r="D41" s="4"/>
      <c r="E41" s="4"/>
      <c r="F41" s="4"/>
      <c r="G41" s="4"/>
      <c r="H41" s="4"/>
      <c r="I41" s="4"/>
      <c r="J41" s="4"/>
      <c r="K41" s="4"/>
      <c r="L41" s="4"/>
      <c r="M41" s="4"/>
    </row>
    <row r="42" spans="2:13">
      <c r="B42" s="4"/>
      <c r="C42" s="4"/>
      <c r="D42" s="4"/>
      <c r="E42" s="4"/>
      <c r="F42" s="4"/>
      <c r="G42" s="4"/>
      <c r="H42" s="4"/>
      <c r="I42" s="4"/>
      <c r="J42" s="4"/>
      <c r="K42" s="4"/>
      <c r="L42" s="4"/>
      <c r="M42" s="4"/>
    </row>
    <row r="43" spans="2:13">
      <c r="B43" s="4"/>
      <c r="C43" s="4"/>
      <c r="D43" s="4"/>
      <c r="E43" s="4"/>
      <c r="F43" s="4"/>
      <c r="G43" s="4"/>
      <c r="H43" s="4"/>
      <c r="I43" s="4"/>
      <c r="J43" s="4"/>
      <c r="K43" s="4"/>
      <c r="L43" s="4"/>
      <c r="M43" s="4"/>
    </row>
    <row r="44" spans="2:13">
      <c r="B44" s="4"/>
      <c r="C44" s="4"/>
      <c r="D44" s="4"/>
      <c r="E44" s="4"/>
      <c r="F44" s="4"/>
      <c r="G44" s="4"/>
      <c r="H44" s="4"/>
      <c r="I44" s="4"/>
      <c r="J44" s="4"/>
      <c r="K44" s="4"/>
      <c r="L44" s="4"/>
      <c r="M44" s="4"/>
    </row>
    <row r="45" spans="2:13">
      <c r="B45" s="4"/>
      <c r="C45" s="4"/>
      <c r="D45" s="4"/>
      <c r="E45" s="4"/>
      <c r="F45" s="4"/>
      <c r="G45" s="4"/>
      <c r="H45" s="4"/>
      <c r="I45" s="4"/>
      <c r="J45" s="4"/>
      <c r="K45" s="4"/>
      <c r="L45" s="4"/>
      <c r="M45" s="4"/>
    </row>
    <row r="46" spans="2:13">
      <c r="B46" s="4"/>
      <c r="C46" s="4"/>
      <c r="D46" s="4"/>
      <c r="E46" s="4"/>
      <c r="F46" s="4"/>
      <c r="G46" s="4"/>
      <c r="H46" s="4"/>
      <c r="I46" s="4"/>
      <c r="J46" s="4"/>
      <c r="K46" s="4"/>
      <c r="L46" s="4"/>
      <c r="M46" s="4"/>
    </row>
    <row r="47" spans="2:13">
      <c r="B47" s="4"/>
      <c r="C47" s="4"/>
      <c r="D47" s="4"/>
      <c r="E47" s="4"/>
      <c r="F47" s="4"/>
      <c r="G47" s="4"/>
      <c r="H47" s="4"/>
      <c r="I47" s="4"/>
      <c r="J47" s="4"/>
      <c r="K47" s="4"/>
      <c r="L47" s="4"/>
      <c r="M47" s="4"/>
    </row>
    <row r="48" spans="2:13">
      <c r="B48" s="4"/>
      <c r="C48" s="4"/>
      <c r="D48" s="4"/>
      <c r="E48" s="4"/>
      <c r="F48" s="4"/>
      <c r="G48" s="4"/>
      <c r="H48" s="4"/>
      <c r="I48" s="4"/>
      <c r="J48" s="4"/>
      <c r="K48" s="4"/>
      <c r="L48" s="4"/>
      <c r="M48" s="4"/>
    </row>
    <row r="49" spans="2:13">
      <c r="B49" s="4"/>
      <c r="C49" s="4"/>
      <c r="D49" s="4"/>
      <c r="E49" s="4"/>
      <c r="F49" s="4"/>
      <c r="G49" s="4"/>
      <c r="H49" s="4"/>
      <c r="I49" s="4"/>
      <c r="J49" s="4"/>
      <c r="K49" s="4"/>
      <c r="L49" s="4"/>
      <c r="M49" s="4"/>
    </row>
    <row r="50" spans="2:13">
      <c r="B50" s="4"/>
      <c r="C50" s="4"/>
      <c r="D50" s="4"/>
      <c r="E50" s="4"/>
      <c r="F50" s="4"/>
      <c r="G50" s="4"/>
      <c r="H50" s="4"/>
      <c r="I50" s="4"/>
      <c r="J50" s="4"/>
      <c r="K50" s="4"/>
      <c r="L50" s="4"/>
      <c r="M50" s="4"/>
    </row>
    <row r="51" spans="2:13">
      <c r="B51" s="4"/>
      <c r="C51" s="4"/>
      <c r="D51" s="4"/>
      <c r="E51" s="4"/>
      <c r="F51" s="4"/>
      <c r="G51" s="4"/>
      <c r="H51" s="4"/>
      <c r="I51" s="4"/>
      <c r="J51" s="4"/>
      <c r="K51" s="4"/>
      <c r="L51" s="4"/>
      <c r="M51" s="4"/>
    </row>
  </sheetData>
  <customSheetViews>
    <customSheetView guid="{6B74E52F-9552-408A-8775-25AFF24E6639}" scale="75" fitToPage="1" showRuler="0">
      <selection activeCell="A6" sqref="A6"/>
      <pageMargins left="0.75" right="0.75" top="1" bottom="1" header="0.5" footer="0.5"/>
      <pageSetup scale="79" orientation="landscape" r:id="rId1"/>
      <headerFooter alignWithMargins="0">
        <oddFooter>&amp;L&amp;Z
&amp;F&amp;C&amp;A&amp;R24.&amp;P</oddFooter>
      </headerFooter>
    </customSheetView>
  </customSheetViews>
  <mergeCells count="3">
    <mergeCell ref="A1:L1"/>
    <mergeCell ref="A2:L2"/>
    <mergeCell ref="A3:L3"/>
  </mergeCells>
  <phoneticPr fontId="0" type="noConversion"/>
  <pageMargins left="0.75" right="0.75" top="1" bottom="1" header="0.5" footer="0.5"/>
  <pageSetup scale="79" orientation="landscape" r:id="rId2"/>
  <headerFooter alignWithMargins="0">
    <oddFooter>&amp;L&amp;Z
&amp;F&amp;C&amp;A&amp;R24.&amp;P</oddFooter>
  </headerFooter>
</worksheet>
</file>

<file path=xl/worksheets/sheet111.xml><?xml version="1.0" encoding="utf-8"?>
<worksheet xmlns="http://schemas.openxmlformats.org/spreadsheetml/2006/main" xmlns:r="http://schemas.openxmlformats.org/officeDocument/2006/relationships">
  <sheetPr codeName="Sheet60">
    <pageSetUpPr fitToPage="1"/>
  </sheetPr>
  <dimension ref="A1:N125"/>
  <sheetViews>
    <sheetView zoomScale="75" workbookViewId="0">
      <selection sqref="A1:L1"/>
    </sheetView>
  </sheetViews>
  <sheetFormatPr defaultRowHeight="12.75"/>
  <cols>
    <col min="1" max="1" width="40.5703125" bestFit="1" customWidth="1"/>
    <col min="2" max="2" width="17.7109375" customWidth="1"/>
    <col min="3" max="3" width="1.7109375" customWidth="1"/>
    <col min="4" max="4" width="17.7109375" customWidth="1"/>
    <col min="5" max="5" width="1.7109375" customWidth="1"/>
    <col min="6" max="6" width="17.7109375" customWidth="1"/>
    <col min="7" max="7" width="1.7109375" customWidth="1"/>
    <col min="8" max="8" width="17.7109375" customWidth="1"/>
    <col min="9" max="9" width="1.7109375" customWidth="1"/>
    <col min="10" max="10" width="17.7109375" customWidth="1"/>
    <col min="11" max="11" width="1.7109375" customWidth="1"/>
    <col min="12" max="12" width="17.7109375" customWidth="1"/>
  </cols>
  <sheetData>
    <row r="1" spans="1:14" s="38" customFormat="1" ht="15.75">
      <c r="A1" s="368" t="s">
        <v>134</v>
      </c>
      <c r="B1" s="368"/>
      <c r="C1" s="368"/>
      <c r="D1" s="368"/>
      <c r="E1" s="368"/>
      <c r="F1" s="368"/>
      <c r="G1" s="368"/>
      <c r="H1" s="368"/>
      <c r="I1" s="368"/>
      <c r="J1" s="368"/>
      <c r="K1" s="368"/>
      <c r="L1" s="368"/>
    </row>
    <row r="2" spans="1:14" s="38" customFormat="1" ht="15.75">
      <c r="A2" s="368" t="s">
        <v>1233</v>
      </c>
      <c r="B2" s="368"/>
      <c r="C2" s="368"/>
      <c r="D2" s="368"/>
      <c r="E2" s="368"/>
      <c r="F2" s="368"/>
      <c r="G2" s="368"/>
      <c r="H2" s="368"/>
      <c r="I2" s="368"/>
      <c r="J2" s="368"/>
      <c r="K2" s="368"/>
      <c r="L2" s="368"/>
    </row>
    <row r="3" spans="1:14">
      <c r="A3" s="357" t="str">
        <f>'Summary - Cost - PG 1 (Fin)'!A3:N3</f>
        <v>MARCH 2012</v>
      </c>
      <c r="B3" s="357"/>
      <c r="C3" s="357"/>
      <c r="D3" s="357"/>
      <c r="E3" s="357"/>
      <c r="F3" s="357"/>
      <c r="G3" s="357"/>
      <c r="H3" s="357"/>
      <c r="I3" s="357"/>
      <c r="J3" s="357"/>
      <c r="K3" s="357"/>
      <c r="L3" s="357"/>
    </row>
    <row r="4" spans="1:14">
      <c r="A4" s="50"/>
      <c r="B4" s="50"/>
      <c r="C4" s="50"/>
      <c r="D4" s="50"/>
      <c r="E4" s="50"/>
      <c r="F4" s="50"/>
      <c r="G4" s="50"/>
      <c r="H4" s="50"/>
      <c r="I4" s="50"/>
      <c r="J4" s="50"/>
      <c r="K4" s="50"/>
      <c r="L4" s="50"/>
    </row>
    <row r="6" spans="1:14">
      <c r="B6" s="41" t="s">
        <v>25</v>
      </c>
      <c r="D6" s="33"/>
      <c r="F6" s="33"/>
      <c r="H6" s="41" t="s">
        <v>612</v>
      </c>
      <c r="J6" s="33"/>
      <c r="L6" s="41" t="s">
        <v>26</v>
      </c>
    </row>
    <row r="7" spans="1:14" s="10" customFormat="1">
      <c r="B7" s="42" t="s">
        <v>27</v>
      </c>
      <c r="C7"/>
      <c r="D7" s="42" t="s">
        <v>107</v>
      </c>
      <c r="E7"/>
      <c r="F7" s="42" t="s">
        <v>108</v>
      </c>
      <c r="G7"/>
      <c r="H7" s="42" t="s">
        <v>613</v>
      </c>
      <c r="I7"/>
      <c r="J7" s="42" t="s">
        <v>109</v>
      </c>
      <c r="K7"/>
      <c r="L7" s="42" t="s">
        <v>27</v>
      </c>
    </row>
    <row r="8" spans="1:14" s="10" customFormat="1">
      <c r="B8"/>
      <c r="C8"/>
      <c r="D8"/>
      <c r="E8"/>
      <c r="F8"/>
      <c r="G8"/>
      <c r="H8"/>
      <c r="I8"/>
      <c r="J8"/>
      <c r="K8"/>
      <c r="L8"/>
    </row>
    <row r="9" spans="1:14" s="10" customFormat="1">
      <c r="A9" s="12" t="s">
        <v>687</v>
      </c>
      <c r="B9" s="49"/>
      <c r="C9" s="49"/>
      <c r="D9" s="49"/>
      <c r="E9" s="49"/>
      <c r="F9" s="49"/>
      <c r="G9" s="49"/>
      <c r="H9" s="49"/>
      <c r="I9" s="49"/>
      <c r="J9" s="49"/>
      <c r="K9" s="49"/>
      <c r="L9" s="49"/>
    </row>
    <row r="10" spans="1:14">
      <c r="A10" t="s">
        <v>845</v>
      </c>
      <c r="B10" s="33">
        <v>0</v>
      </c>
      <c r="C10" s="45"/>
      <c r="D10" s="45">
        <v>0</v>
      </c>
      <c r="E10" s="45"/>
      <c r="F10" s="45">
        <v>0</v>
      </c>
      <c r="G10" s="45"/>
      <c r="H10" s="45">
        <v>0</v>
      </c>
      <c r="I10" s="45"/>
      <c r="J10" s="45">
        <f>D10+F10+H10</f>
        <v>0</v>
      </c>
      <c r="K10" s="45">
        <v>0</v>
      </c>
      <c r="L10" s="45">
        <f>J10+B10</f>
        <v>0</v>
      </c>
      <c r="M10" s="4"/>
      <c r="N10" s="4"/>
    </row>
    <row r="11" spans="1:14" ht="13.5" thickBot="1">
      <c r="B11" s="46">
        <f>SUM(B10:B10)</f>
        <v>0</v>
      </c>
      <c r="C11" s="45"/>
      <c r="D11" s="46">
        <f>SUM(D10:D10)</f>
        <v>0</v>
      </c>
      <c r="E11" s="45"/>
      <c r="F11" s="46">
        <f>SUM(F10:F10)</f>
        <v>0</v>
      </c>
      <c r="G11" s="45"/>
      <c r="H11" s="46">
        <f>SUM(H10:H10)</f>
        <v>0</v>
      </c>
      <c r="I11" s="45"/>
      <c r="J11" s="46">
        <f>SUM(J10:J10)</f>
        <v>0</v>
      </c>
      <c r="K11" s="45"/>
      <c r="L11" s="46">
        <f>SUM(L10:L10)</f>
        <v>0</v>
      </c>
      <c r="M11" s="4"/>
      <c r="N11" s="4"/>
    </row>
    <row r="12" spans="1:14" ht="13.5" thickTop="1">
      <c r="B12" s="45"/>
      <c r="C12" s="45"/>
      <c r="D12" s="45"/>
      <c r="E12" s="45"/>
      <c r="F12" s="45"/>
      <c r="G12" s="45"/>
      <c r="H12" s="45"/>
      <c r="I12" s="45"/>
      <c r="J12" s="45"/>
      <c r="K12" s="45"/>
      <c r="L12" s="45"/>
      <c r="M12" s="4"/>
      <c r="N12" s="4"/>
    </row>
    <row r="13" spans="1:14">
      <c r="B13" s="4"/>
      <c r="C13" s="4"/>
      <c r="D13" s="4"/>
      <c r="E13" s="4"/>
      <c r="F13" s="4"/>
      <c r="G13" s="4"/>
      <c r="H13" s="4"/>
      <c r="I13" s="4"/>
      <c r="J13" s="4"/>
      <c r="K13" s="4"/>
      <c r="L13" s="4"/>
      <c r="M13" s="4"/>
      <c r="N13" s="4"/>
    </row>
    <row r="14" spans="1:14">
      <c r="B14" s="4"/>
      <c r="C14" s="4"/>
      <c r="D14" s="4"/>
      <c r="E14" s="4"/>
      <c r="F14" s="4"/>
      <c r="G14" s="4"/>
      <c r="H14" s="4"/>
      <c r="I14" s="4"/>
      <c r="J14" s="4"/>
      <c r="K14" s="4"/>
      <c r="L14" s="4"/>
      <c r="M14" s="4"/>
      <c r="N14" s="4"/>
    </row>
    <row r="15" spans="1:14">
      <c r="B15" s="4"/>
      <c r="C15" s="4"/>
      <c r="D15" s="4"/>
      <c r="E15" s="4"/>
      <c r="F15" s="4"/>
      <c r="G15" s="4"/>
      <c r="H15" s="4"/>
      <c r="I15" s="4"/>
      <c r="J15" s="4"/>
      <c r="K15" s="4"/>
      <c r="L15" s="4"/>
      <c r="M15" s="4"/>
      <c r="N15" s="4"/>
    </row>
    <row r="16" spans="1:14">
      <c r="B16" s="4"/>
      <c r="C16" s="4"/>
      <c r="D16" s="4"/>
      <c r="E16" s="4"/>
      <c r="F16" s="4"/>
      <c r="G16" s="4"/>
      <c r="H16" s="4"/>
      <c r="I16" s="4"/>
      <c r="J16" s="4"/>
      <c r="K16" s="4"/>
      <c r="L16" s="4"/>
      <c r="M16" s="4"/>
      <c r="N16" s="4"/>
    </row>
    <row r="17" spans="2:14">
      <c r="B17" s="4"/>
      <c r="C17" s="4"/>
      <c r="D17" s="4"/>
      <c r="E17" s="4"/>
      <c r="F17" s="4"/>
      <c r="G17" s="4"/>
      <c r="H17" s="4"/>
      <c r="I17" s="4"/>
      <c r="J17" s="4"/>
      <c r="K17" s="4"/>
      <c r="L17" s="4"/>
      <c r="M17" s="4"/>
      <c r="N17" s="4"/>
    </row>
    <row r="18" spans="2:14">
      <c r="B18" s="4"/>
      <c r="C18" s="4"/>
      <c r="D18" s="4"/>
      <c r="E18" s="4"/>
      <c r="F18" s="4"/>
      <c r="G18" s="4"/>
      <c r="H18" s="4"/>
      <c r="I18" s="4"/>
      <c r="J18" s="4"/>
      <c r="K18" s="4"/>
      <c r="L18" s="4"/>
      <c r="M18" s="4"/>
      <c r="N18" s="4"/>
    </row>
    <row r="19" spans="2:14">
      <c r="B19" s="4"/>
      <c r="C19" s="4"/>
      <c r="D19" s="4"/>
      <c r="E19" s="4"/>
      <c r="F19" s="4"/>
      <c r="G19" s="4"/>
      <c r="H19" s="4"/>
      <c r="I19" s="4"/>
      <c r="J19" s="4"/>
      <c r="K19" s="4"/>
      <c r="L19" s="4"/>
      <c r="M19" s="4"/>
      <c r="N19" s="4"/>
    </row>
    <row r="20" spans="2:14">
      <c r="B20" s="4"/>
      <c r="C20" s="4"/>
      <c r="D20" s="4"/>
      <c r="E20" s="4"/>
      <c r="F20" s="4"/>
      <c r="G20" s="4"/>
      <c r="H20" s="4"/>
      <c r="I20" s="4"/>
      <c r="J20" s="4"/>
      <c r="K20" s="4"/>
      <c r="L20" s="4"/>
      <c r="M20" s="4"/>
      <c r="N20" s="4"/>
    </row>
    <row r="21" spans="2:14">
      <c r="B21" s="4"/>
      <c r="C21" s="4"/>
      <c r="D21" s="4"/>
      <c r="E21" s="4"/>
      <c r="F21" s="4"/>
      <c r="G21" s="4"/>
      <c r="H21" s="4"/>
      <c r="I21" s="4"/>
      <c r="J21" s="4"/>
      <c r="K21" s="4"/>
      <c r="L21" s="4"/>
      <c r="M21" s="4"/>
      <c r="N21" s="4"/>
    </row>
    <row r="22" spans="2:14">
      <c r="B22" s="4"/>
      <c r="C22" s="4"/>
      <c r="D22" s="4"/>
      <c r="E22" s="4"/>
      <c r="F22" s="4"/>
      <c r="G22" s="4"/>
      <c r="H22" s="4"/>
      <c r="I22" s="4"/>
      <c r="J22" s="4"/>
      <c r="K22" s="4"/>
      <c r="L22" s="4"/>
      <c r="M22" s="4"/>
      <c r="N22" s="4"/>
    </row>
    <row r="23" spans="2:14">
      <c r="B23" s="4"/>
      <c r="C23" s="4"/>
      <c r="D23" s="4"/>
      <c r="E23" s="4"/>
      <c r="F23" s="4"/>
      <c r="G23" s="4"/>
      <c r="H23" s="4"/>
      <c r="I23" s="4"/>
      <c r="J23" s="4"/>
      <c r="K23" s="4"/>
      <c r="L23" s="4"/>
      <c r="M23" s="4"/>
      <c r="N23" s="4"/>
    </row>
    <row r="24" spans="2:14">
      <c r="B24" s="4"/>
      <c r="C24" s="4"/>
      <c r="D24" s="4"/>
      <c r="E24" s="4"/>
      <c r="F24" s="4"/>
      <c r="G24" s="4"/>
      <c r="H24" s="4"/>
      <c r="I24" s="4"/>
      <c r="J24" s="4"/>
      <c r="K24" s="4"/>
      <c r="L24" s="4"/>
      <c r="M24" s="4"/>
      <c r="N24" s="4"/>
    </row>
    <row r="25" spans="2:14">
      <c r="B25" s="4"/>
      <c r="C25" s="4"/>
      <c r="D25" s="4"/>
      <c r="E25" s="4"/>
      <c r="F25" s="4"/>
      <c r="G25" s="4"/>
      <c r="H25" s="4"/>
      <c r="I25" s="4"/>
      <c r="J25" s="4"/>
      <c r="K25" s="4"/>
      <c r="L25" s="4"/>
      <c r="M25" s="4"/>
      <c r="N25" s="4"/>
    </row>
    <row r="26" spans="2:14">
      <c r="B26" s="4"/>
      <c r="C26" s="4"/>
      <c r="D26" s="4"/>
      <c r="E26" s="4"/>
      <c r="F26" s="4"/>
      <c r="G26" s="4"/>
      <c r="H26" s="4"/>
      <c r="I26" s="4"/>
      <c r="J26" s="4"/>
      <c r="K26" s="4"/>
      <c r="L26" s="4"/>
      <c r="M26" s="4"/>
      <c r="N26" s="4"/>
    </row>
    <row r="27" spans="2:14">
      <c r="B27" s="4"/>
      <c r="C27" s="4"/>
      <c r="D27" s="4"/>
      <c r="E27" s="4"/>
      <c r="F27" s="4"/>
      <c r="G27" s="4"/>
      <c r="H27" s="4"/>
      <c r="I27" s="4"/>
      <c r="J27" s="4"/>
      <c r="K27" s="4"/>
      <c r="L27" s="4"/>
      <c r="M27" s="4"/>
      <c r="N27" s="4"/>
    </row>
    <row r="28" spans="2:14">
      <c r="B28" s="4"/>
      <c r="C28" s="4"/>
      <c r="D28" s="4"/>
      <c r="E28" s="4"/>
      <c r="F28" s="4"/>
      <c r="G28" s="4"/>
      <c r="H28" s="4"/>
      <c r="I28" s="4"/>
      <c r="J28" s="4"/>
      <c r="K28" s="4"/>
      <c r="L28" s="4"/>
      <c r="M28" s="4"/>
      <c r="N28" s="4"/>
    </row>
    <row r="29" spans="2:14">
      <c r="B29" s="4"/>
      <c r="C29" s="4"/>
      <c r="D29" s="4"/>
      <c r="E29" s="4"/>
      <c r="F29" s="4"/>
      <c r="G29" s="4"/>
      <c r="H29" s="4"/>
      <c r="I29" s="4"/>
      <c r="J29" s="4"/>
      <c r="K29" s="4"/>
      <c r="L29" s="4"/>
      <c r="M29" s="4"/>
      <c r="N29" s="4"/>
    </row>
    <row r="30" spans="2:14">
      <c r="B30" s="4"/>
      <c r="C30" s="4"/>
      <c r="D30" s="4"/>
      <c r="E30" s="4"/>
      <c r="F30" s="4"/>
      <c r="G30" s="4"/>
      <c r="H30" s="4"/>
      <c r="I30" s="4"/>
      <c r="J30" s="4"/>
      <c r="K30" s="4"/>
      <c r="L30" s="4"/>
      <c r="M30" s="4"/>
      <c r="N30" s="4"/>
    </row>
    <row r="31" spans="2:14">
      <c r="B31" s="4"/>
      <c r="C31" s="4"/>
      <c r="D31" s="4"/>
      <c r="E31" s="4"/>
      <c r="F31" s="4"/>
      <c r="G31" s="4"/>
      <c r="H31" s="4"/>
      <c r="I31" s="4"/>
      <c r="J31" s="4"/>
      <c r="K31" s="4"/>
      <c r="L31" s="4"/>
      <c r="M31" s="4"/>
      <c r="N31" s="4"/>
    </row>
    <row r="32" spans="2:14">
      <c r="B32" s="4"/>
      <c r="C32" s="4"/>
      <c r="D32" s="4"/>
      <c r="E32" s="4"/>
      <c r="F32" s="4"/>
      <c r="G32" s="4"/>
      <c r="H32" s="4"/>
      <c r="I32" s="4"/>
      <c r="J32" s="4"/>
      <c r="K32" s="4"/>
      <c r="L32" s="4"/>
      <c r="M32" s="4"/>
      <c r="N32" s="4"/>
    </row>
    <row r="33" spans="2:14">
      <c r="B33" s="4"/>
      <c r="C33" s="4"/>
      <c r="D33" s="4"/>
      <c r="E33" s="4"/>
      <c r="F33" s="4"/>
      <c r="G33" s="4"/>
      <c r="H33" s="4"/>
      <c r="I33" s="4"/>
      <c r="J33" s="4"/>
      <c r="K33" s="4"/>
      <c r="L33" s="4"/>
      <c r="M33" s="4"/>
      <c r="N33" s="4"/>
    </row>
    <row r="34" spans="2:14">
      <c r="B34" s="4"/>
      <c r="C34" s="4"/>
      <c r="D34" s="4"/>
      <c r="E34" s="4"/>
      <c r="F34" s="4"/>
      <c r="G34" s="4"/>
      <c r="H34" s="4"/>
      <c r="I34" s="4"/>
      <c r="J34" s="4"/>
      <c r="K34" s="4"/>
      <c r="L34" s="4"/>
      <c r="M34" s="4"/>
      <c r="N34" s="4"/>
    </row>
    <row r="35" spans="2:14">
      <c r="B35" s="4"/>
      <c r="C35" s="4"/>
      <c r="D35" s="4"/>
      <c r="E35" s="4"/>
      <c r="F35" s="4"/>
      <c r="G35" s="4"/>
      <c r="H35" s="4"/>
      <c r="I35" s="4"/>
      <c r="J35" s="4"/>
      <c r="K35" s="4"/>
      <c r="L35" s="4"/>
      <c r="M35" s="4"/>
      <c r="N35" s="4"/>
    </row>
    <row r="36" spans="2:14">
      <c r="B36" s="4"/>
      <c r="C36" s="4"/>
      <c r="D36" s="4"/>
      <c r="E36" s="4"/>
      <c r="F36" s="4"/>
      <c r="G36" s="4"/>
      <c r="H36" s="4"/>
      <c r="I36" s="4"/>
      <c r="J36" s="4"/>
      <c r="K36" s="4"/>
      <c r="L36" s="4"/>
      <c r="M36" s="4"/>
      <c r="N36" s="4"/>
    </row>
    <row r="37" spans="2:14">
      <c r="B37" s="4"/>
      <c r="C37" s="4"/>
      <c r="D37" s="4"/>
      <c r="E37" s="4"/>
      <c r="F37" s="4"/>
      <c r="G37" s="4"/>
      <c r="H37" s="4"/>
      <c r="I37" s="4"/>
      <c r="J37" s="4"/>
      <c r="K37" s="4"/>
      <c r="L37" s="4"/>
      <c r="M37" s="4"/>
      <c r="N37" s="4"/>
    </row>
    <row r="38" spans="2:14">
      <c r="B38" s="4"/>
      <c r="C38" s="4"/>
      <c r="D38" s="4"/>
      <c r="E38" s="4"/>
      <c r="F38" s="4"/>
      <c r="G38" s="4"/>
      <c r="H38" s="4"/>
      <c r="I38" s="4"/>
      <c r="J38" s="4"/>
      <c r="K38" s="4"/>
      <c r="L38" s="4"/>
      <c r="M38" s="4"/>
      <c r="N38" s="4"/>
    </row>
    <row r="39" spans="2:14">
      <c r="B39" s="4"/>
      <c r="C39" s="4"/>
      <c r="D39" s="4"/>
      <c r="E39" s="4"/>
      <c r="F39" s="4"/>
      <c r="G39" s="4"/>
      <c r="H39" s="4"/>
      <c r="I39" s="4"/>
      <c r="J39" s="4"/>
      <c r="K39" s="4"/>
      <c r="L39" s="4"/>
      <c r="M39" s="4"/>
      <c r="N39" s="4"/>
    </row>
    <row r="40" spans="2:14">
      <c r="B40" s="4"/>
      <c r="C40" s="4"/>
      <c r="D40" s="4"/>
      <c r="E40" s="4"/>
      <c r="F40" s="4"/>
      <c r="G40" s="4"/>
      <c r="H40" s="4"/>
      <c r="I40" s="4"/>
      <c r="J40" s="4"/>
      <c r="K40" s="4"/>
      <c r="L40" s="4"/>
      <c r="M40" s="4"/>
      <c r="N40" s="4"/>
    </row>
    <row r="41" spans="2:14">
      <c r="B41" s="4"/>
      <c r="C41" s="4"/>
      <c r="D41" s="4"/>
      <c r="E41" s="4"/>
      <c r="F41" s="4"/>
      <c r="G41" s="4"/>
      <c r="H41" s="4"/>
      <c r="I41" s="4"/>
      <c r="J41" s="4"/>
      <c r="K41" s="4"/>
      <c r="L41" s="4"/>
      <c r="M41" s="4"/>
      <c r="N41" s="4"/>
    </row>
    <row r="42" spans="2:14">
      <c r="B42" s="4"/>
      <c r="C42" s="4"/>
      <c r="D42" s="4"/>
      <c r="E42" s="4"/>
      <c r="F42" s="4"/>
      <c r="G42" s="4"/>
      <c r="H42" s="4"/>
      <c r="I42" s="4"/>
      <c r="J42" s="4"/>
      <c r="K42" s="4"/>
      <c r="L42" s="4"/>
      <c r="M42" s="4"/>
      <c r="N42" s="4"/>
    </row>
    <row r="43" spans="2:14">
      <c r="B43" s="4"/>
      <c r="C43" s="4"/>
      <c r="D43" s="4"/>
      <c r="E43" s="4"/>
      <c r="F43" s="4"/>
      <c r="G43" s="4"/>
      <c r="H43" s="4"/>
      <c r="I43" s="4"/>
      <c r="J43" s="4"/>
      <c r="K43" s="4"/>
      <c r="L43" s="4"/>
      <c r="M43" s="4"/>
      <c r="N43" s="4"/>
    </row>
    <row r="44" spans="2:14">
      <c r="B44" s="4"/>
      <c r="C44" s="4"/>
      <c r="D44" s="4"/>
      <c r="E44" s="4"/>
      <c r="F44" s="4"/>
      <c r="G44" s="4"/>
      <c r="H44" s="4"/>
      <c r="I44" s="4"/>
      <c r="J44" s="4"/>
      <c r="K44" s="4"/>
      <c r="L44" s="4"/>
      <c r="M44" s="4"/>
      <c r="N44" s="4"/>
    </row>
    <row r="45" spans="2:14">
      <c r="B45" s="4"/>
      <c r="C45" s="4"/>
      <c r="D45" s="4"/>
      <c r="E45" s="4"/>
      <c r="F45" s="4"/>
      <c r="G45" s="4"/>
      <c r="H45" s="4"/>
      <c r="I45" s="4"/>
      <c r="J45" s="4"/>
      <c r="K45" s="4"/>
      <c r="L45" s="4"/>
      <c r="M45" s="4"/>
      <c r="N45" s="4"/>
    </row>
    <row r="46" spans="2:14">
      <c r="B46" s="4"/>
      <c r="C46" s="4"/>
      <c r="D46" s="4"/>
      <c r="E46" s="4"/>
      <c r="F46" s="4"/>
      <c r="G46" s="4"/>
      <c r="H46" s="4"/>
      <c r="I46" s="4"/>
      <c r="J46" s="4"/>
      <c r="K46" s="4"/>
      <c r="L46" s="4"/>
      <c r="M46" s="4"/>
      <c r="N46" s="4"/>
    </row>
    <row r="47" spans="2:14">
      <c r="B47" s="4"/>
      <c r="C47" s="4"/>
      <c r="D47" s="4"/>
      <c r="E47" s="4"/>
      <c r="F47" s="4"/>
      <c r="G47" s="4"/>
      <c r="H47" s="4"/>
      <c r="I47" s="4"/>
      <c r="J47" s="4"/>
      <c r="K47" s="4"/>
      <c r="L47" s="4"/>
      <c r="M47" s="4"/>
      <c r="N47" s="4"/>
    </row>
    <row r="48" spans="2:14">
      <c r="B48" s="4"/>
      <c r="C48" s="4"/>
      <c r="D48" s="4"/>
      <c r="E48" s="4"/>
      <c r="F48" s="4"/>
      <c r="G48" s="4"/>
      <c r="H48" s="4"/>
      <c r="I48" s="4"/>
      <c r="J48" s="4"/>
      <c r="K48" s="4"/>
      <c r="L48" s="4"/>
      <c r="M48" s="4"/>
      <c r="N48" s="4"/>
    </row>
    <row r="49" spans="2:14">
      <c r="B49" s="4"/>
      <c r="C49" s="4"/>
      <c r="D49" s="4"/>
      <c r="E49" s="4"/>
      <c r="F49" s="4"/>
      <c r="G49" s="4"/>
      <c r="H49" s="4"/>
      <c r="I49" s="4"/>
      <c r="J49" s="4"/>
      <c r="K49" s="4"/>
      <c r="L49" s="4"/>
      <c r="M49" s="4"/>
      <c r="N49" s="4"/>
    </row>
    <row r="50" spans="2:14">
      <c r="B50" s="4"/>
      <c r="C50" s="4"/>
      <c r="D50" s="4"/>
      <c r="E50" s="4"/>
      <c r="F50" s="4"/>
      <c r="G50" s="4"/>
      <c r="H50" s="4"/>
      <c r="I50" s="4"/>
      <c r="J50" s="4"/>
      <c r="K50" s="4"/>
      <c r="L50" s="4"/>
      <c r="M50" s="4"/>
      <c r="N50" s="4"/>
    </row>
    <row r="51" spans="2:14">
      <c r="B51" s="4"/>
      <c r="C51" s="4"/>
      <c r="D51" s="4"/>
      <c r="E51" s="4"/>
      <c r="F51" s="4"/>
      <c r="G51" s="4"/>
      <c r="H51" s="4"/>
      <c r="I51" s="4"/>
      <c r="J51" s="4"/>
      <c r="K51" s="4"/>
      <c r="L51" s="4"/>
      <c r="M51" s="4"/>
      <c r="N51" s="4"/>
    </row>
    <row r="52" spans="2:14">
      <c r="B52" s="4"/>
      <c r="C52" s="4"/>
      <c r="D52" s="4"/>
      <c r="E52" s="4"/>
      <c r="F52" s="4"/>
      <c r="G52" s="4"/>
      <c r="H52" s="4"/>
      <c r="I52" s="4"/>
      <c r="J52" s="4"/>
      <c r="K52" s="4"/>
      <c r="L52" s="4"/>
      <c r="M52" s="4"/>
      <c r="N52" s="4"/>
    </row>
    <row r="53" spans="2:14">
      <c r="B53" s="4"/>
      <c r="C53" s="4"/>
      <c r="D53" s="4"/>
      <c r="E53" s="4"/>
      <c r="F53" s="4"/>
      <c r="G53" s="4"/>
      <c r="H53" s="4"/>
      <c r="I53" s="4"/>
      <c r="J53" s="4"/>
      <c r="K53" s="4"/>
      <c r="L53" s="4"/>
      <c r="M53" s="4"/>
      <c r="N53" s="4"/>
    </row>
    <row r="54" spans="2:14">
      <c r="B54" s="4"/>
      <c r="C54" s="4"/>
      <c r="D54" s="4"/>
      <c r="E54" s="4"/>
      <c r="F54" s="4"/>
      <c r="G54" s="4"/>
      <c r="H54" s="4"/>
      <c r="I54" s="4"/>
      <c r="J54" s="4"/>
      <c r="K54" s="4"/>
      <c r="L54" s="4"/>
      <c r="M54" s="4"/>
      <c r="N54" s="4"/>
    </row>
    <row r="55" spans="2:14">
      <c r="B55" s="4"/>
      <c r="C55" s="4"/>
      <c r="D55" s="4"/>
      <c r="E55" s="4"/>
      <c r="F55" s="4"/>
      <c r="G55" s="4"/>
      <c r="H55" s="4"/>
      <c r="I55" s="4"/>
      <c r="J55" s="4"/>
      <c r="K55" s="4"/>
      <c r="L55" s="4"/>
      <c r="M55" s="4"/>
      <c r="N55" s="4"/>
    </row>
    <row r="56" spans="2:14">
      <c r="B56" s="4"/>
      <c r="C56" s="4"/>
      <c r="D56" s="4"/>
      <c r="E56" s="4"/>
      <c r="F56" s="4"/>
      <c r="G56" s="4"/>
      <c r="H56" s="4"/>
      <c r="I56" s="4"/>
      <c r="J56" s="4"/>
      <c r="K56" s="4"/>
      <c r="L56" s="4"/>
      <c r="M56" s="4"/>
      <c r="N56" s="4"/>
    </row>
    <row r="57" spans="2:14">
      <c r="B57" s="4"/>
      <c r="C57" s="4"/>
      <c r="D57" s="4"/>
      <c r="E57" s="4"/>
      <c r="F57" s="4"/>
      <c r="G57" s="4"/>
      <c r="H57" s="4"/>
      <c r="I57" s="4"/>
      <c r="J57" s="4"/>
      <c r="K57" s="4"/>
      <c r="L57" s="4"/>
      <c r="M57" s="4"/>
      <c r="N57" s="4"/>
    </row>
    <row r="58" spans="2:14">
      <c r="B58" s="4"/>
      <c r="C58" s="4"/>
      <c r="D58" s="4"/>
      <c r="E58" s="4"/>
      <c r="F58" s="4"/>
      <c r="G58" s="4"/>
      <c r="H58" s="4"/>
      <c r="I58" s="4"/>
      <c r="J58" s="4"/>
      <c r="K58" s="4"/>
      <c r="L58" s="4"/>
      <c r="M58" s="4"/>
      <c r="N58" s="4"/>
    </row>
    <row r="59" spans="2:14">
      <c r="B59" s="4"/>
      <c r="C59" s="4"/>
      <c r="D59" s="4"/>
      <c r="E59" s="4"/>
      <c r="F59" s="4"/>
      <c r="G59" s="4"/>
      <c r="H59" s="4"/>
      <c r="I59" s="4"/>
      <c r="J59" s="4"/>
      <c r="K59" s="4"/>
      <c r="L59" s="4"/>
      <c r="M59" s="4"/>
      <c r="N59" s="4"/>
    </row>
    <row r="60" spans="2:14">
      <c r="B60" s="4"/>
      <c r="C60" s="4"/>
      <c r="D60" s="4"/>
      <c r="E60" s="4"/>
      <c r="F60" s="4"/>
      <c r="G60" s="4"/>
      <c r="H60" s="4"/>
      <c r="I60" s="4"/>
      <c r="J60" s="4"/>
      <c r="K60" s="4"/>
      <c r="L60" s="4"/>
      <c r="M60" s="4"/>
      <c r="N60" s="4"/>
    </row>
    <row r="61" spans="2:14">
      <c r="B61" s="4"/>
      <c r="C61" s="4"/>
      <c r="D61" s="4"/>
      <c r="E61" s="4"/>
      <c r="F61" s="4"/>
      <c r="G61" s="4"/>
      <c r="H61" s="4"/>
      <c r="I61" s="4"/>
      <c r="J61" s="4"/>
      <c r="K61" s="4"/>
      <c r="L61" s="4"/>
      <c r="M61" s="4"/>
      <c r="N61" s="4"/>
    </row>
    <row r="62" spans="2:14">
      <c r="B62" s="4"/>
      <c r="C62" s="4"/>
      <c r="D62" s="4"/>
      <c r="E62" s="4"/>
      <c r="F62" s="4"/>
      <c r="G62" s="4"/>
      <c r="H62" s="4"/>
      <c r="I62" s="4"/>
      <c r="J62" s="4"/>
      <c r="K62" s="4"/>
      <c r="L62" s="4"/>
      <c r="M62" s="4"/>
      <c r="N62" s="4"/>
    </row>
    <row r="63" spans="2:14">
      <c r="B63" s="4"/>
      <c r="C63" s="4"/>
      <c r="D63" s="4"/>
      <c r="E63" s="4"/>
      <c r="F63" s="4"/>
      <c r="G63" s="4"/>
      <c r="H63" s="4"/>
      <c r="I63" s="4"/>
      <c r="J63" s="4"/>
      <c r="K63" s="4"/>
      <c r="L63" s="4"/>
      <c r="M63" s="4"/>
      <c r="N63" s="4"/>
    </row>
    <row r="64" spans="2:14">
      <c r="B64" s="4"/>
      <c r="C64" s="4"/>
      <c r="D64" s="4"/>
      <c r="E64" s="4"/>
      <c r="F64" s="4"/>
      <c r="G64" s="4"/>
      <c r="H64" s="4"/>
      <c r="I64" s="4"/>
      <c r="J64" s="4"/>
      <c r="K64" s="4"/>
      <c r="L64" s="4"/>
      <c r="M64" s="4"/>
      <c r="N64" s="4"/>
    </row>
    <row r="65" spans="2:14">
      <c r="B65" s="4"/>
      <c r="C65" s="4"/>
      <c r="D65" s="4"/>
      <c r="E65" s="4"/>
      <c r="F65" s="4"/>
      <c r="G65" s="4"/>
      <c r="H65" s="4"/>
      <c r="I65" s="4"/>
      <c r="J65" s="4"/>
      <c r="K65" s="4"/>
      <c r="L65" s="4"/>
      <c r="M65" s="4"/>
      <c r="N65" s="4"/>
    </row>
    <row r="66" spans="2:14">
      <c r="B66" s="4"/>
      <c r="C66" s="4"/>
      <c r="D66" s="4"/>
      <c r="E66" s="4"/>
      <c r="F66" s="4"/>
      <c r="G66" s="4"/>
      <c r="H66" s="4"/>
      <c r="I66" s="4"/>
      <c r="J66" s="4"/>
      <c r="K66" s="4"/>
      <c r="L66" s="4"/>
      <c r="M66" s="4"/>
      <c r="N66" s="4"/>
    </row>
    <row r="67" spans="2:14">
      <c r="B67" s="4"/>
      <c r="C67" s="4"/>
      <c r="D67" s="4"/>
      <c r="E67" s="4"/>
      <c r="F67" s="4"/>
      <c r="G67" s="4"/>
      <c r="H67" s="4"/>
      <c r="I67" s="4"/>
      <c r="J67" s="4"/>
      <c r="K67" s="4"/>
      <c r="L67" s="4"/>
      <c r="M67" s="4"/>
      <c r="N67" s="4"/>
    </row>
    <row r="68" spans="2:14">
      <c r="B68" s="4"/>
      <c r="C68" s="4"/>
      <c r="D68" s="4"/>
      <c r="E68" s="4"/>
      <c r="F68" s="4"/>
      <c r="G68" s="4"/>
      <c r="H68" s="4"/>
      <c r="I68" s="4"/>
      <c r="J68" s="4"/>
      <c r="K68" s="4"/>
      <c r="L68" s="4"/>
      <c r="M68" s="4"/>
      <c r="N68" s="4"/>
    </row>
    <row r="69" spans="2:14">
      <c r="B69" s="4"/>
      <c r="C69" s="4"/>
      <c r="D69" s="4"/>
      <c r="E69" s="4"/>
      <c r="F69" s="4"/>
      <c r="G69" s="4"/>
      <c r="H69" s="4"/>
      <c r="I69" s="4"/>
      <c r="J69" s="4"/>
      <c r="K69" s="4"/>
      <c r="L69" s="4"/>
      <c r="M69" s="4"/>
      <c r="N69" s="4"/>
    </row>
    <row r="70" spans="2:14">
      <c r="B70" s="4"/>
      <c r="C70" s="4"/>
      <c r="D70" s="4"/>
      <c r="E70" s="4"/>
      <c r="F70" s="4"/>
      <c r="G70" s="4"/>
      <c r="H70" s="4"/>
      <c r="I70" s="4"/>
      <c r="J70" s="4"/>
      <c r="K70" s="4"/>
      <c r="L70" s="4"/>
      <c r="M70" s="4"/>
      <c r="N70" s="4"/>
    </row>
    <row r="71" spans="2:14">
      <c r="B71" s="4"/>
      <c r="C71" s="4"/>
      <c r="D71" s="4"/>
      <c r="E71" s="4"/>
      <c r="F71" s="4"/>
      <c r="G71" s="4"/>
      <c r="H71" s="4"/>
      <c r="I71" s="4"/>
      <c r="J71" s="4"/>
      <c r="K71" s="4"/>
      <c r="L71" s="4"/>
      <c r="M71" s="4"/>
      <c r="N71" s="4"/>
    </row>
    <row r="72" spans="2:14">
      <c r="B72" s="4"/>
      <c r="C72" s="4"/>
      <c r="D72" s="4"/>
      <c r="E72" s="4"/>
      <c r="F72" s="4"/>
      <c r="G72" s="4"/>
      <c r="H72" s="4"/>
      <c r="I72" s="4"/>
      <c r="J72" s="4"/>
      <c r="K72" s="4"/>
      <c r="L72" s="4"/>
      <c r="M72" s="4"/>
      <c r="N72" s="4"/>
    </row>
    <row r="73" spans="2:14">
      <c r="B73" s="4"/>
      <c r="C73" s="4"/>
      <c r="D73" s="4"/>
      <c r="E73" s="4"/>
      <c r="F73" s="4"/>
      <c r="G73" s="4"/>
      <c r="H73" s="4"/>
      <c r="I73" s="4"/>
      <c r="J73" s="4"/>
      <c r="K73" s="4"/>
      <c r="L73" s="4"/>
      <c r="M73" s="4"/>
      <c r="N73" s="4"/>
    </row>
    <row r="74" spans="2:14">
      <c r="B74" s="4"/>
      <c r="C74" s="4"/>
      <c r="D74" s="4"/>
      <c r="E74" s="4"/>
      <c r="F74" s="4"/>
      <c r="G74" s="4"/>
      <c r="H74" s="4"/>
      <c r="I74" s="4"/>
      <c r="J74" s="4"/>
      <c r="K74" s="4"/>
      <c r="L74" s="4"/>
      <c r="M74" s="4"/>
      <c r="N74" s="4"/>
    </row>
    <row r="75" spans="2:14">
      <c r="B75" s="4"/>
      <c r="C75" s="4"/>
      <c r="D75" s="4"/>
      <c r="E75" s="4"/>
      <c r="F75" s="4"/>
      <c r="G75" s="4"/>
      <c r="H75" s="4"/>
      <c r="I75" s="4"/>
      <c r="J75" s="4"/>
      <c r="K75" s="4"/>
      <c r="L75" s="4"/>
      <c r="M75" s="4"/>
      <c r="N75" s="4"/>
    </row>
    <row r="76" spans="2:14">
      <c r="B76" s="4"/>
      <c r="C76" s="4"/>
      <c r="D76" s="4"/>
      <c r="E76" s="4"/>
      <c r="F76" s="4"/>
      <c r="G76" s="4"/>
      <c r="H76" s="4"/>
      <c r="I76" s="4"/>
      <c r="J76" s="4"/>
      <c r="K76" s="4"/>
      <c r="L76" s="4"/>
      <c r="M76" s="4"/>
      <c r="N76" s="4"/>
    </row>
    <row r="77" spans="2:14">
      <c r="B77" s="4"/>
      <c r="C77" s="4"/>
      <c r="D77" s="4"/>
      <c r="E77" s="4"/>
      <c r="F77" s="4"/>
      <c r="G77" s="4"/>
      <c r="H77" s="4"/>
      <c r="I77" s="4"/>
      <c r="J77" s="4"/>
      <c r="K77" s="4"/>
      <c r="L77" s="4"/>
      <c r="M77" s="4"/>
      <c r="N77" s="4"/>
    </row>
    <row r="78" spans="2:14">
      <c r="B78" s="4"/>
      <c r="C78" s="4"/>
      <c r="D78" s="4"/>
      <c r="E78" s="4"/>
      <c r="F78" s="4"/>
      <c r="G78" s="4"/>
      <c r="H78" s="4"/>
      <c r="I78" s="4"/>
      <c r="J78" s="4"/>
      <c r="K78" s="4"/>
      <c r="L78" s="4"/>
      <c r="M78" s="4"/>
      <c r="N78" s="4"/>
    </row>
    <row r="79" spans="2:14">
      <c r="B79" s="4"/>
      <c r="C79" s="4"/>
      <c r="D79" s="4"/>
      <c r="E79" s="4"/>
      <c r="F79" s="4"/>
      <c r="G79" s="4"/>
      <c r="H79" s="4"/>
      <c r="I79" s="4"/>
      <c r="J79" s="4"/>
      <c r="K79" s="4"/>
      <c r="L79" s="4"/>
      <c r="M79" s="4"/>
      <c r="N79" s="4"/>
    </row>
    <row r="80" spans="2:14">
      <c r="B80" s="4"/>
      <c r="C80" s="4"/>
      <c r="D80" s="4"/>
      <c r="E80" s="4"/>
      <c r="F80" s="4"/>
      <c r="G80" s="4"/>
      <c r="H80" s="4"/>
      <c r="I80" s="4"/>
      <c r="J80" s="4"/>
      <c r="K80" s="4"/>
      <c r="L80" s="4"/>
      <c r="M80" s="4"/>
      <c r="N80" s="4"/>
    </row>
    <row r="81" spans="2:14">
      <c r="B81" s="4"/>
      <c r="C81" s="4"/>
      <c r="D81" s="4"/>
      <c r="E81" s="4"/>
      <c r="F81" s="4"/>
      <c r="G81" s="4"/>
      <c r="H81" s="4"/>
      <c r="I81" s="4"/>
      <c r="J81" s="4"/>
      <c r="K81" s="4"/>
      <c r="L81" s="4"/>
      <c r="M81" s="4"/>
      <c r="N81" s="4"/>
    </row>
    <row r="82" spans="2:14">
      <c r="B82" s="4"/>
      <c r="C82" s="4"/>
      <c r="D82" s="4"/>
      <c r="E82" s="4"/>
      <c r="F82" s="4"/>
      <c r="G82" s="4"/>
      <c r="H82" s="4"/>
      <c r="I82" s="4"/>
      <c r="J82" s="4"/>
      <c r="K82" s="4"/>
      <c r="L82" s="4"/>
      <c r="M82" s="4"/>
      <c r="N82" s="4"/>
    </row>
    <row r="83" spans="2:14">
      <c r="B83" s="4"/>
      <c r="C83" s="4"/>
      <c r="D83" s="4"/>
      <c r="E83" s="4"/>
      <c r="F83" s="4"/>
      <c r="G83" s="4"/>
      <c r="H83" s="4"/>
      <c r="I83" s="4"/>
      <c r="J83" s="4"/>
      <c r="K83" s="4"/>
      <c r="L83" s="4"/>
      <c r="M83" s="4"/>
      <c r="N83" s="4"/>
    </row>
    <row r="84" spans="2:14">
      <c r="B84" s="4"/>
      <c r="C84" s="4"/>
      <c r="D84" s="4"/>
      <c r="E84" s="4"/>
      <c r="F84" s="4"/>
      <c r="G84" s="4"/>
      <c r="H84" s="4"/>
      <c r="I84" s="4"/>
      <c r="J84" s="4"/>
      <c r="K84" s="4"/>
      <c r="L84" s="4"/>
      <c r="M84" s="4"/>
      <c r="N84" s="4"/>
    </row>
    <row r="85" spans="2:14">
      <c r="B85" s="4"/>
      <c r="C85" s="4"/>
      <c r="D85" s="4"/>
      <c r="E85" s="4"/>
      <c r="F85" s="4"/>
      <c r="G85" s="4"/>
      <c r="H85" s="4"/>
      <c r="I85" s="4"/>
      <c r="J85" s="4"/>
      <c r="K85" s="4"/>
      <c r="L85" s="4"/>
      <c r="M85" s="4"/>
      <c r="N85" s="4"/>
    </row>
    <row r="86" spans="2:14">
      <c r="B86" s="4"/>
      <c r="C86" s="4"/>
      <c r="D86" s="4"/>
      <c r="E86" s="4"/>
      <c r="F86" s="4"/>
      <c r="G86" s="4"/>
      <c r="H86" s="4"/>
      <c r="I86" s="4"/>
      <c r="J86" s="4"/>
      <c r="K86" s="4"/>
      <c r="L86" s="4"/>
      <c r="M86" s="4"/>
      <c r="N86" s="4"/>
    </row>
    <row r="87" spans="2:14">
      <c r="B87" s="4"/>
      <c r="C87" s="4"/>
      <c r="D87" s="4"/>
      <c r="E87" s="4"/>
      <c r="F87" s="4"/>
      <c r="G87" s="4"/>
      <c r="H87" s="4"/>
      <c r="I87" s="4"/>
      <c r="J87" s="4"/>
      <c r="K87" s="4"/>
      <c r="L87" s="4"/>
      <c r="M87" s="4"/>
      <c r="N87" s="4"/>
    </row>
    <row r="88" spans="2:14">
      <c r="B88" s="4"/>
      <c r="C88" s="4"/>
      <c r="D88" s="4"/>
      <c r="E88" s="4"/>
      <c r="F88" s="4"/>
      <c r="G88" s="4"/>
      <c r="H88" s="4"/>
      <c r="I88" s="4"/>
      <c r="J88" s="4"/>
      <c r="K88" s="4"/>
      <c r="L88" s="4"/>
      <c r="M88" s="4"/>
      <c r="N88" s="4"/>
    </row>
    <row r="89" spans="2:14">
      <c r="B89" s="4"/>
      <c r="C89" s="4"/>
      <c r="D89" s="4"/>
      <c r="E89" s="4"/>
      <c r="F89" s="4"/>
      <c r="G89" s="4"/>
      <c r="H89" s="4"/>
      <c r="I89" s="4"/>
      <c r="J89" s="4"/>
      <c r="K89" s="4"/>
      <c r="L89" s="4"/>
      <c r="M89" s="4"/>
      <c r="N89" s="4"/>
    </row>
    <row r="90" spans="2:14">
      <c r="B90" s="4"/>
      <c r="C90" s="4"/>
      <c r="D90" s="4"/>
      <c r="E90" s="4"/>
      <c r="F90" s="4"/>
      <c r="G90" s="4"/>
      <c r="H90" s="4"/>
      <c r="I90" s="4"/>
      <c r="J90" s="4"/>
      <c r="K90" s="4"/>
      <c r="L90" s="4"/>
      <c r="M90" s="4"/>
      <c r="N90" s="4"/>
    </row>
    <row r="91" spans="2:14">
      <c r="B91" s="4"/>
      <c r="C91" s="4"/>
      <c r="D91" s="4"/>
      <c r="E91" s="4"/>
      <c r="F91" s="4"/>
      <c r="G91" s="4"/>
      <c r="H91" s="4"/>
      <c r="I91" s="4"/>
      <c r="J91" s="4"/>
      <c r="K91" s="4"/>
      <c r="L91" s="4"/>
      <c r="M91" s="4"/>
      <c r="N91" s="4"/>
    </row>
    <row r="92" spans="2:14">
      <c r="B92" s="4"/>
      <c r="C92" s="4"/>
      <c r="D92" s="4"/>
      <c r="E92" s="4"/>
      <c r="F92" s="4"/>
      <c r="G92" s="4"/>
      <c r="H92" s="4"/>
      <c r="I92" s="4"/>
      <c r="J92" s="4"/>
      <c r="K92" s="4"/>
      <c r="L92" s="4"/>
      <c r="M92" s="4"/>
      <c r="N92" s="4"/>
    </row>
    <row r="93" spans="2:14">
      <c r="B93" s="4"/>
      <c r="C93" s="4"/>
      <c r="D93" s="4"/>
      <c r="E93" s="4"/>
      <c r="F93" s="4"/>
      <c r="G93" s="4"/>
      <c r="H93" s="4"/>
      <c r="I93" s="4"/>
      <c r="J93" s="4"/>
      <c r="K93" s="4"/>
      <c r="L93" s="4"/>
      <c r="M93" s="4"/>
      <c r="N93" s="4"/>
    </row>
    <row r="94" spans="2:14">
      <c r="B94" s="4"/>
      <c r="C94" s="4"/>
      <c r="D94" s="4"/>
      <c r="E94" s="4"/>
      <c r="F94" s="4"/>
      <c r="G94" s="4"/>
      <c r="H94" s="4"/>
      <c r="I94" s="4"/>
      <c r="J94" s="4"/>
      <c r="K94" s="4"/>
      <c r="L94" s="4"/>
      <c r="M94" s="4"/>
      <c r="N94" s="4"/>
    </row>
    <row r="95" spans="2:14">
      <c r="B95" s="4"/>
      <c r="C95" s="4"/>
      <c r="D95" s="4"/>
      <c r="E95" s="4"/>
      <c r="F95" s="4"/>
      <c r="G95" s="4"/>
      <c r="H95" s="4"/>
      <c r="I95" s="4"/>
      <c r="J95" s="4"/>
      <c r="K95" s="4"/>
      <c r="L95" s="4"/>
      <c r="M95" s="4"/>
      <c r="N95" s="4"/>
    </row>
    <row r="96" spans="2:14">
      <c r="B96" s="4"/>
      <c r="C96" s="4"/>
      <c r="D96" s="4"/>
      <c r="E96" s="4"/>
      <c r="F96" s="4"/>
      <c r="G96" s="4"/>
      <c r="H96" s="4"/>
      <c r="I96" s="4"/>
      <c r="J96" s="4"/>
      <c r="K96" s="4"/>
      <c r="L96" s="4"/>
      <c r="M96" s="4"/>
      <c r="N96" s="4"/>
    </row>
    <row r="97" spans="2:14">
      <c r="B97" s="4"/>
      <c r="C97" s="4"/>
      <c r="D97" s="4"/>
      <c r="E97" s="4"/>
      <c r="F97" s="4"/>
      <c r="G97" s="4"/>
      <c r="H97" s="4"/>
      <c r="I97" s="4"/>
      <c r="J97" s="4"/>
      <c r="K97" s="4"/>
      <c r="L97" s="4"/>
      <c r="M97" s="4"/>
      <c r="N97" s="4"/>
    </row>
    <row r="98" spans="2:14">
      <c r="B98" s="4"/>
      <c r="C98" s="4"/>
      <c r="D98" s="4"/>
      <c r="E98" s="4"/>
      <c r="F98" s="4"/>
      <c r="G98" s="4"/>
      <c r="H98" s="4"/>
      <c r="I98" s="4"/>
      <c r="J98" s="4"/>
      <c r="K98" s="4"/>
      <c r="L98" s="4"/>
      <c r="M98" s="4"/>
      <c r="N98" s="4"/>
    </row>
    <row r="99" spans="2:14">
      <c r="B99" s="4"/>
      <c r="C99" s="4"/>
      <c r="D99" s="4"/>
      <c r="E99" s="4"/>
      <c r="F99" s="4"/>
      <c r="G99" s="4"/>
      <c r="H99" s="4"/>
      <c r="I99" s="4"/>
      <c r="J99" s="4"/>
      <c r="K99" s="4"/>
      <c r="L99" s="4"/>
      <c r="M99" s="4"/>
      <c r="N99" s="4"/>
    </row>
    <row r="100" spans="2:14">
      <c r="B100" s="4"/>
      <c r="C100" s="4"/>
      <c r="D100" s="4"/>
      <c r="E100" s="4"/>
      <c r="F100" s="4"/>
      <c r="G100" s="4"/>
      <c r="H100" s="4"/>
      <c r="I100" s="4"/>
      <c r="J100" s="4"/>
      <c r="K100" s="4"/>
      <c r="L100" s="4"/>
      <c r="M100" s="4"/>
      <c r="N100" s="4"/>
    </row>
    <row r="101" spans="2:14">
      <c r="B101" s="4"/>
      <c r="C101" s="4"/>
      <c r="D101" s="4"/>
      <c r="E101" s="4"/>
      <c r="F101" s="4"/>
      <c r="G101" s="4"/>
      <c r="H101" s="4"/>
      <c r="I101" s="4"/>
      <c r="J101" s="4"/>
      <c r="K101" s="4"/>
      <c r="L101" s="4"/>
      <c r="M101" s="4"/>
      <c r="N101" s="4"/>
    </row>
    <row r="102" spans="2:14">
      <c r="B102" s="4"/>
      <c r="C102" s="4"/>
      <c r="D102" s="4"/>
      <c r="E102" s="4"/>
      <c r="F102" s="4"/>
      <c r="G102" s="4"/>
      <c r="H102" s="4"/>
      <c r="I102" s="4"/>
      <c r="J102" s="4"/>
      <c r="K102" s="4"/>
      <c r="L102" s="4"/>
      <c r="M102" s="4"/>
      <c r="N102" s="4"/>
    </row>
    <row r="103" spans="2:14">
      <c r="B103" s="4"/>
      <c r="C103" s="4"/>
      <c r="D103" s="4"/>
      <c r="E103" s="4"/>
      <c r="F103" s="4"/>
      <c r="G103" s="4"/>
      <c r="H103" s="4"/>
      <c r="I103" s="4"/>
      <c r="J103" s="4"/>
      <c r="K103" s="4"/>
      <c r="L103" s="4"/>
      <c r="M103" s="4"/>
      <c r="N103" s="4"/>
    </row>
    <row r="104" spans="2:14">
      <c r="B104" s="4"/>
      <c r="C104" s="4"/>
      <c r="D104" s="4"/>
      <c r="E104" s="4"/>
      <c r="F104" s="4"/>
      <c r="G104" s="4"/>
      <c r="H104" s="4"/>
      <c r="I104" s="4"/>
      <c r="J104" s="4"/>
      <c r="K104" s="4"/>
      <c r="L104" s="4"/>
      <c r="M104" s="4"/>
      <c r="N104" s="4"/>
    </row>
    <row r="105" spans="2:14">
      <c r="B105" s="4"/>
      <c r="C105" s="4"/>
      <c r="D105" s="4"/>
      <c r="E105" s="4"/>
      <c r="F105" s="4"/>
      <c r="G105" s="4"/>
      <c r="H105" s="4"/>
      <c r="I105" s="4"/>
      <c r="J105" s="4"/>
      <c r="K105" s="4"/>
      <c r="L105" s="4"/>
      <c r="M105" s="4"/>
      <c r="N105" s="4"/>
    </row>
    <row r="106" spans="2:14">
      <c r="B106" s="4"/>
      <c r="C106" s="4"/>
      <c r="D106" s="4"/>
      <c r="E106" s="4"/>
      <c r="F106" s="4"/>
      <c r="G106" s="4"/>
      <c r="H106" s="4"/>
      <c r="I106" s="4"/>
      <c r="J106" s="4"/>
      <c r="K106" s="4"/>
      <c r="L106" s="4"/>
      <c r="M106" s="4"/>
      <c r="N106" s="4"/>
    </row>
    <row r="107" spans="2:14">
      <c r="B107" s="4"/>
      <c r="C107" s="4"/>
      <c r="D107" s="4"/>
      <c r="E107" s="4"/>
      <c r="F107" s="4"/>
      <c r="G107" s="4"/>
      <c r="H107" s="4"/>
      <c r="I107" s="4"/>
      <c r="J107" s="4"/>
      <c r="K107" s="4"/>
      <c r="L107" s="4"/>
      <c r="M107" s="4"/>
      <c r="N107" s="4"/>
    </row>
    <row r="108" spans="2:14">
      <c r="B108" s="4"/>
      <c r="C108" s="4"/>
      <c r="D108" s="4"/>
      <c r="E108" s="4"/>
      <c r="F108" s="4"/>
      <c r="G108" s="4"/>
      <c r="H108" s="4"/>
      <c r="I108" s="4"/>
      <c r="J108" s="4"/>
      <c r="K108" s="4"/>
      <c r="L108" s="4"/>
      <c r="M108" s="4"/>
      <c r="N108" s="4"/>
    </row>
    <row r="109" spans="2:14">
      <c r="B109" s="4"/>
      <c r="C109" s="4"/>
      <c r="D109" s="4"/>
      <c r="E109" s="4"/>
      <c r="F109" s="4"/>
      <c r="G109" s="4"/>
      <c r="H109" s="4"/>
      <c r="I109" s="4"/>
      <c r="J109" s="4"/>
      <c r="K109" s="4"/>
      <c r="L109" s="4"/>
      <c r="M109" s="4"/>
      <c r="N109" s="4"/>
    </row>
    <row r="110" spans="2:14">
      <c r="B110" s="4"/>
      <c r="C110" s="4"/>
      <c r="D110" s="4"/>
      <c r="E110" s="4"/>
      <c r="F110" s="4"/>
      <c r="G110" s="4"/>
      <c r="H110" s="4"/>
      <c r="I110" s="4"/>
      <c r="J110" s="4"/>
      <c r="K110" s="4"/>
      <c r="L110" s="4"/>
      <c r="M110" s="4"/>
      <c r="N110" s="4"/>
    </row>
    <row r="111" spans="2:14">
      <c r="B111" s="4"/>
      <c r="C111" s="4"/>
      <c r="D111" s="4"/>
      <c r="E111" s="4"/>
      <c r="F111" s="4"/>
      <c r="G111" s="4"/>
      <c r="H111" s="4"/>
      <c r="I111" s="4"/>
      <c r="J111" s="4"/>
      <c r="K111" s="4"/>
      <c r="L111" s="4"/>
      <c r="M111" s="4"/>
      <c r="N111" s="4"/>
    </row>
    <row r="112" spans="2:14">
      <c r="B112" s="4"/>
      <c r="C112" s="4"/>
      <c r="D112" s="4"/>
      <c r="E112" s="4"/>
      <c r="F112" s="4"/>
      <c r="G112" s="4"/>
      <c r="H112" s="4"/>
      <c r="I112" s="4"/>
      <c r="J112" s="4"/>
      <c r="K112" s="4"/>
      <c r="L112" s="4"/>
      <c r="M112" s="4"/>
      <c r="N112" s="4"/>
    </row>
    <row r="113" spans="2:14">
      <c r="B113" s="4"/>
      <c r="C113" s="4"/>
      <c r="D113" s="4"/>
      <c r="E113" s="4"/>
      <c r="F113" s="4"/>
      <c r="G113" s="4"/>
      <c r="H113" s="4"/>
      <c r="I113" s="4"/>
      <c r="J113" s="4"/>
      <c r="K113" s="4"/>
      <c r="L113" s="4"/>
      <c r="M113" s="4"/>
      <c r="N113" s="4"/>
    </row>
    <row r="114" spans="2:14">
      <c r="B114" s="4"/>
      <c r="C114" s="4"/>
      <c r="D114" s="4"/>
      <c r="E114" s="4"/>
      <c r="F114" s="4"/>
      <c r="G114" s="4"/>
      <c r="H114" s="4"/>
      <c r="I114" s="4"/>
      <c r="J114" s="4"/>
      <c r="K114" s="4"/>
      <c r="L114" s="4"/>
      <c r="M114" s="4"/>
      <c r="N114" s="4"/>
    </row>
    <row r="115" spans="2:14">
      <c r="B115" s="4"/>
      <c r="C115" s="4"/>
      <c r="D115" s="4"/>
      <c r="E115" s="4"/>
      <c r="F115" s="4"/>
      <c r="G115" s="4"/>
      <c r="H115" s="4"/>
      <c r="I115" s="4"/>
      <c r="J115" s="4"/>
      <c r="K115" s="4"/>
      <c r="L115" s="4"/>
      <c r="M115" s="4"/>
      <c r="N115" s="4"/>
    </row>
    <row r="116" spans="2:14">
      <c r="B116" s="4"/>
      <c r="C116" s="4"/>
      <c r="D116" s="4"/>
      <c r="E116" s="4"/>
      <c r="F116" s="4"/>
      <c r="G116" s="4"/>
      <c r="H116" s="4"/>
      <c r="I116" s="4"/>
      <c r="J116" s="4"/>
      <c r="K116" s="4"/>
      <c r="L116" s="4"/>
      <c r="M116" s="4"/>
      <c r="N116" s="4"/>
    </row>
    <row r="117" spans="2:14">
      <c r="B117" s="4"/>
      <c r="C117" s="4"/>
      <c r="D117" s="4"/>
      <c r="E117" s="4"/>
      <c r="F117" s="4"/>
      <c r="G117" s="4"/>
      <c r="H117" s="4"/>
      <c r="I117" s="4"/>
      <c r="J117" s="4"/>
      <c r="K117" s="4"/>
      <c r="L117" s="4"/>
      <c r="M117" s="4"/>
      <c r="N117" s="4"/>
    </row>
    <row r="118" spans="2:14">
      <c r="B118" s="4"/>
      <c r="C118" s="4"/>
      <c r="D118" s="4"/>
      <c r="E118" s="4"/>
      <c r="F118" s="4"/>
      <c r="G118" s="4"/>
      <c r="H118" s="4"/>
      <c r="I118" s="4"/>
      <c r="J118" s="4"/>
      <c r="K118" s="4"/>
      <c r="L118" s="4"/>
      <c r="M118" s="4"/>
      <c r="N118" s="4"/>
    </row>
    <row r="119" spans="2:14">
      <c r="B119" s="4"/>
      <c r="C119" s="4"/>
      <c r="D119" s="4"/>
      <c r="E119" s="4"/>
      <c r="F119" s="4"/>
      <c r="G119" s="4"/>
      <c r="H119" s="4"/>
      <c r="I119" s="4"/>
      <c r="J119" s="4"/>
      <c r="K119" s="4"/>
      <c r="L119" s="4"/>
      <c r="M119" s="4"/>
      <c r="N119" s="4"/>
    </row>
    <row r="120" spans="2:14">
      <c r="B120" s="4"/>
      <c r="C120" s="4"/>
      <c r="D120" s="4"/>
      <c r="E120" s="4"/>
      <c r="F120" s="4"/>
      <c r="G120" s="4"/>
      <c r="H120" s="4"/>
      <c r="I120" s="4"/>
      <c r="J120" s="4"/>
      <c r="K120" s="4"/>
      <c r="L120" s="4"/>
      <c r="M120" s="4"/>
      <c r="N120" s="4"/>
    </row>
    <row r="121" spans="2:14">
      <c r="B121" s="4"/>
      <c r="C121" s="4"/>
      <c r="D121" s="4"/>
      <c r="E121" s="4"/>
      <c r="F121" s="4"/>
      <c r="G121" s="4"/>
      <c r="H121" s="4"/>
      <c r="I121" s="4"/>
      <c r="J121" s="4"/>
      <c r="K121" s="4"/>
      <c r="L121" s="4"/>
      <c r="M121" s="4"/>
      <c r="N121" s="4"/>
    </row>
    <row r="122" spans="2:14">
      <c r="B122" s="4"/>
      <c r="C122" s="4"/>
      <c r="D122" s="4"/>
      <c r="E122" s="4"/>
      <c r="F122" s="4"/>
      <c r="G122" s="4"/>
      <c r="H122" s="4"/>
      <c r="I122" s="4"/>
      <c r="J122" s="4"/>
      <c r="K122" s="4"/>
      <c r="L122" s="4"/>
      <c r="M122" s="4"/>
      <c r="N122" s="4"/>
    </row>
    <row r="123" spans="2:14">
      <c r="B123" s="4"/>
      <c r="C123" s="4"/>
      <c r="D123" s="4"/>
      <c r="E123" s="4"/>
      <c r="F123" s="4"/>
      <c r="G123" s="4"/>
      <c r="H123" s="4"/>
      <c r="I123" s="4"/>
      <c r="J123" s="4"/>
      <c r="K123" s="4"/>
      <c r="L123" s="4"/>
      <c r="M123" s="4"/>
      <c r="N123" s="4"/>
    </row>
    <row r="124" spans="2:14">
      <c r="B124" s="4"/>
      <c r="C124" s="4"/>
      <c r="D124" s="4"/>
      <c r="E124" s="4"/>
      <c r="F124" s="4"/>
      <c r="G124" s="4"/>
      <c r="H124" s="4"/>
      <c r="I124" s="4"/>
      <c r="J124" s="4"/>
      <c r="K124" s="4"/>
      <c r="L124" s="4"/>
      <c r="M124" s="4"/>
      <c r="N124" s="4"/>
    </row>
    <row r="125" spans="2:14">
      <c r="B125" s="4"/>
      <c r="C125" s="4"/>
      <c r="D125" s="4"/>
      <c r="E125" s="4"/>
      <c r="F125" s="4"/>
      <c r="G125" s="4"/>
      <c r="H125" s="4"/>
      <c r="I125" s="4"/>
      <c r="J125" s="4"/>
      <c r="K125" s="4"/>
      <c r="L125" s="4"/>
      <c r="M125" s="4"/>
      <c r="N125" s="4"/>
    </row>
  </sheetData>
  <customSheetViews>
    <customSheetView guid="{6B74E52F-9552-408A-8775-25AFF24E6639}" scale="75" fitToPage="1" showRuler="0">
      <selection activeCell="A5" sqref="A5"/>
      <pageMargins left="0.75" right="0.75" top="1" bottom="1" header="0.5" footer="0.5"/>
      <pageSetup scale="79" orientation="landscape" r:id="rId1"/>
      <headerFooter alignWithMargins="0">
        <oddFooter>&amp;L&amp;Z
&amp;F&amp;C&amp;A&amp;R25.&amp;P</oddFooter>
      </headerFooter>
    </customSheetView>
  </customSheetViews>
  <mergeCells count="3">
    <mergeCell ref="A1:L1"/>
    <mergeCell ref="A2:L2"/>
    <mergeCell ref="A3:L3"/>
  </mergeCells>
  <phoneticPr fontId="0" type="noConversion"/>
  <pageMargins left="0.75" right="0.75" top="1" bottom="1" header="0.5" footer="0.5"/>
  <pageSetup scale="79" orientation="landscape" r:id="rId2"/>
  <headerFooter alignWithMargins="0">
    <oddFooter>&amp;L&amp;Z
&amp;F&amp;C&amp;A&amp;R25.&amp;P</oddFooter>
  </headerFooter>
</worksheet>
</file>

<file path=xl/worksheets/sheet112.xml><?xml version="1.0" encoding="utf-8"?>
<worksheet xmlns="http://schemas.openxmlformats.org/spreadsheetml/2006/main" xmlns:r="http://schemas.openxmlformats.org/officeDocument/2006/relationships">
  <sheetPr codeName="Sheet61">
    <pageSetUpPr fitToPage="1"/>
  </sheetPr>
  <dimension ref="A1:N130"/>
  <sheetViews>
    <sheetView zoomScale="90" zoomScaleNormal="90" workbookViewId="0">
      <pane xSplit="1" ySplit="10" topLeftCell="B11" activePane="bottomRight" state="frozen"/>
      <selection pane="topRight" activeCell="B1" sqref="B1"/>
      <selection pane="bottomLeft" activeCell="A11" sqref="A11"/>
      <selection pane="bottomRight" activeCell="B11" sqref="B11"/>
    </sheetView>
  </sheetViews>
  <sheetFormatPr defaultRowHeight="12.75"/>
  <cols>
    <col min="1" max="1" width="40.5703125" bestFit="1" customWidth="1"/>
    <col min="2" max="2" width="17.7109375" customWidth="1"/>
    <col min="3" max="3" width="1.7109375" customWidth="1"/>
    <col min="4" max="4" width="17.7109375" customWidth="1"/>
    <col min="5" max="5" width="1.7109375" customWidth="1"/>
    <col min="6" max="6" width="17.7109375" customWidth="1"/>
    <col min="7" max="7" width="1.7109375" customWidth="1"/>
    <col min="8" max="8" width="17.7109375" customWidth="1"/>
    <col min="9" max="9" width="1.7109375" customWidth="1"/>
    <col min="10" max="10" width="17.7109375" customWidth="1"/>
    <col min="11" max="11" width="1.7109375" customWidth="1"/>
    <col min="12" max="12" width="17.7109375" customWidth="1"/>
  </cols>
  <sheetData>
    <row r="1" spans="1:14" s="38" customFormat="1" ht="15.75">
      <c r="A1" s="366" t="s">
        <v>134</v>
      </c>
      <c r="B1" s="366"/>
      <c r="C1" s="366"/>
      <c r="D1" s="366"/>
      <c r="E1" s="366"/>
      <c r="F1" s="366"/>
      <c r="G1" s="366"/>
      <c r="H1" s="366"/>
      <c r="I1" s="366"/>
      <c r="J1" s="366"/>
      <c r="K1" s="366"/>
      <c r="L1" s="366"/>
    </row>
    <row r="2" spans="1:14" s="38" customFormat="1" ht="15.75">
      <c r="A2" s="366" t="s">
        <v>1234</v>
      </c>
      <c r="B2" s="366"/>
      <c r="C2" s="366"/>
      <c r="D2" s="366"/>
      <c r="E2" s="366"/>
      <c r="F2" s="366"/>
      <c r="G2" s="366"/>
      <c r="H2" s="366"/>
      <c r="I2" s="366"/>
      <c r="J2" s="366"/>
      <c r="K2" s="366"/>
      <c r="L2" s="366"/>
    </row>
    <row r="3" spans="1:14">
      <c r="A3" s="357" t="str">
        <f>'Summary - Cost - PG 1 (Fin)'!A3:N3</f>
        <v>MARCH 2012</v>
      </c>
      <c r="B3" s="357"/>
      <c r="C3" s="357"/>
      <c r="D3" s="357"/>
      <c r="E3" s="357"/>
      <c r="F3" s="357"/>
      <c r="G3" s="357"/>
      <c r="H3" s="357"/>
      <c r="I3" s="357"/>
      <c r="J3" s="357"/>
      <c r="K3" s="357"/>
      <c r="L3" s="357"/>
    </row>
    <row r="4" spans="1:14">
      <c r="A4" s="30"/>
      <c r="B4" s="30"/>
      <c r="C4" s="30"/>
      <c r="D4" s="30"/>
      <c r="E4" s="30"/>
      <c r="F4" s="30"/>
      <c r="G4" s="30"/>
      <c r="H4" s="30"/>
      <c r="I4" s="30"/>
      <c r="J4" s="30"/>
      <c r="K4" s="30"/>
      <c r="L4" s="30"/>
    </row>
    <row r="6" spans="1:14">
      <c r="B6" s="41" t="s">
        <v>25</v>
      </c>
      <c r="D6" s="33"/>
      <c r="F6" s="33"/>
      <c r="H6" s="41" t="s">
        <v>612</v>
      </c>
      <c r="J6" s="33"/>
      <c r="L6" s="41" t="s">
        <v>26</v>
      </c>
    </row>
    <row r="7" spans="1:14" s="10" customFormat="1">
      <c r="B7" s="42" t="s">
        <v>27</v>
      </c>
      <c r="C7"/>
      <c r="D7" s="42" t="s">
        <v>107</v>
      </c>
      <c r="E7"/>
      <c r="F7" s="42" t="s">
        <v>108</v>
      </c>
      <c r="G7"/>
      <c r="H7" s="42" t="s">
        <v>613</v>
      </c>
      <c r="I7"/>
      <c r="J7" s="42" t="s">
        <v>109</v>
      </c>
      <c r="K7"/>
      <c r="L7" s="42" t="s">
        <v>27</v>
      </c>
    </row>
    <row r="8" spans="1:14" s="10" customFormat="1">
      <c r="B8" s="54"/>
      <c r="C8"/>
      <c r="D8" s="54"/>
      <c r="E8"/>
      <c r="F8" s="54"/>
      <c r="G8"/>
      <c r="H8" s="54"/>
      <c r="I8"/>
      <c r="J8" s="54"/>
      <c r="K8"/>
      <c r="L8" s="54"/>
    </row>
    <row r="9" spans="1:14" s="10" customFormat="1">
      <c r="A9" s="12" t="s">
        <v>686</v>
      </c>
      <c r="B9"/>
      <c r="C9"/>
      <c r="D9"/>
      <c r="E9"/>
      <c r="F9"/>
      <c r="G9"/>
      <c r="H9"/>
      <c r="I9"/>
      <c r="J9"/>
      <c r="K9"/>
      <c r="L9"/>
    </row>
    <row r="10" spans="1:14" s="10" customFormat="1">
      <c r="A10" s="12" t="s">
        <v>691</v>
      </c>
      <c r="B10" s="33"/>
      <c r="C10" s="33"/>
      <c r="D10" s="33"/>
      <c r="E10" s="33"/>
      <c r="F10" s="33"/>
      <c r="G10" s="33"/>
      <c r="H10" s="33"/>
      <c r="I10" s="33"/>
      <c r="J10" s="33"/>
      <c r="K10" s="33"/>
      <c r="L10" s="33"/>
    </row>
    <row r="11" spans="1:14">
      <c r="A11" t="s">
        <v>846</v>
      </c>
      <c r="B11" s="33">
        <v>637632.37</v>
      </c>
      <c r="C11" s="33"/>
      <c r="D11" s="33">
        <v>0</v>
      </c>
      <c r="E11" s="33"/>
      <c r="F11" s="33">
        <v>0</v>
      </c>
      <c r="G11" s="33"/>
      <c r="H11" s="33">
        <v>-21926.880000000001</v>
      </c>
      <c r="I11" s="33"/>
      <c r="J11" s="33">
        <f>D11+F11+H11</f>
        <v>-21926.880000000001</v>
      </c>
      <c r="K11" s="33">
        <v>0</v>
      </c>
      <c r="L11" s="33">
        <f>J11+B11</f>
        <v>615705.49</v>
      </c>
      <c r="M11" s="4"/>
      <c r="N11" s="4"/>
    </row>
    <row r="12" spans="1:14">
      <c r="A12" t="s">
        <v>847</v>
      </c>
      <c r="B12" s="35">
        <v>11382.11</v>
      </c>
      <c r="C12" s="37"/>
      <c r="D12" s="35">
        <v>0</v>
      </c>
      <c r="E12" s="37"/>
      <c r="F12" s="35">
        <v>0</v>
      </c>
      <c r="G12" s="37"/>
      <c r="H12" s="35">
        <v>0</v>
      </c>
      <c r="I12" s="37"/>
      <c r="J12" s="35">
        <f>D12+F12+H12</f>
        <v>0</v>
      </c>
      <c r="K12" s="37">
        <v>0</v>
      </c>
      <c r="L12" s="35">
        <f>J12+B12</f>
        <v>11382.11</v>
      </c>
      <c r="M12" s="55"/>
      <c r="N12" s="4"/>
    </row>
    <row r="13" spans="1:14">
      <c r="B13" s="52">
        <f>SUM(B11:B12)</f>
        <v>649014.48</v>
      </c>
      <c r="C13" s="52"/>
      <c r="D13" s="52">
        <f>SUM(D11:D12)</f>
        <v>0</v>
      </c>
      <c r="E13" s="52"/>
      <c r="F13" s="52">
        <f>SUM(F11:F12)</f>
        <v>0</v>
      </c>
      <c r="G13" s="52"/>
      <c r="H13" s="52">
        <f>SUM(H11:H12)</f>
        <v>-21926.880000000001</v>
      </c>
      <c r="I13" s="52"/>
      <c r="J13" s="52">
        <f>SUM(J11:J12)</f>
        <v>-21926.880000000001</v>
      </c>
      <c r="K13" s="52"/>
      <c r="L13" s="52">
        <f>SUM(L11:L12)</f>
        <v>627087.6</v>
      </c>
      <c r="M13" s="55"/>
      <c r="N13" s="4"/>
    </row>
    <row r="14" spans="1:14">
      <c r="B14" s="52"/>
      <c r="C14" s="52"/>
      <c r="D14" s="52"/>
      <c r="E14" s="52"/>
      <c r="F14" s="52"/>
      <c r="G14" s="52"/>
      <c r="H14" s="52"/>
      <c r="I14" s="52"/>
      <c r="J14" s="52"/>
      <c r="K14" s="52"/>
      <c r="L14" s="52"/>
      <c r="M14" s="55"/>
      <c r="N14" s="4"/>
    </row>
    <row r="15" spans="1:14">
      <c r="A15" s="3" t="s">
        <v>812</v>
      </c>
      <c r="B15" s="52"/>
      <c r="C15" s="52"/>
      <c r="D15" s="52"/>
      <c r="E15" s="52"/>
      <c r="F15" s="52"/>
      <c r="G15" s="52"/>
      <c r="H15" s="52"/>
      <c r="I15" s="52"/>
      <c r="J15" s="52"/>
      <c r="K15" s="52"/>
      <c r="L15" s="52"/>
      <c r="M15" s="55"/>
      <c r="N15" s="4"/>
    </row>
    <row r="16" spans="1:14">
      <c r="A16" t="s">
        <v>832</v>
      </c>
      <c r="B16" s="52">
        <v>0</v>
      </c>
      <c r="C16" s="52"/>
      <c r="D16" s="52">
        <v>0</v>
      </c>
      <c r="E16" s="52"/>
      <c r="F16" s="52">
        <v>0</v>
      </c>
      <c r="G16" s="52"/>
      <c r="H16" s="52">
        <v>0</v>
      </c>
      <c r="I16" s="52"/>
      <c r="J16" s="37">
        <f>D16+F16+H16</f>
        <v>0</v>
      </c>
      <c r="K16" s="52"/>
      <c r="L16" s="37">
        <f>J16+B16</f>
        <v>0</v>
      </c>
      <c r="M16" s="55"/>
      <c r="N16" s="4"/>
    </row>
    <row r="17" spans="1:14">
      <c r="A17" t="s">
        <v>834</v>
      </c>
      <c r="B17" s="52">
        <v>0</v>
      </c>
      <c r="C17" s="52"/>
      <c r="D17" s="52">
        <v>0</v>
      </c>
      <c r="E17" s="52"/>
      <c r="F17" s="52">
        <v>0</v>
      </c>
      <c r="G17" s="52"/>
      <c r="H17" s="52">
        <v>0</v>
      </c>
      <c r="I17" s="52"/>
      <c r="J17" s="37">
        <f>D17+F17+H17</f>
        <v>0</v>
      </c>
      <c r="K17" s="52"/>
      <c r="L17" s="37">
        <f>J17+B17</f>
        <v>0</v>
      </c>
      <c r="M17" s="55"/>
      <c r="N17" s="4"/>
    </row>
    <row r="18" spans="1:14">
      <c r="A18" t="s">
        <v>836</v>
      </c>
      <c r="B18" s="52">
        <v>0</v>
      </c>
      <c r="C18" s="52"/>
      <c r="D18" s="52">
        <v>0</v>
      </c>
      <c r="E18" s="52"/>
      <c r="F18" s="52">
        <v>0</v>
      </c>
      <c r="G18" s="52"/>
      <c r="H18" s="52">
        <v>0</v>
      </c>
      <c r="I18" s="52"/>
      <c r="J18" s="37">
        <f>D18+F18+H18</f>
        <v>0</v>
      </c>
      <c r="K18" s="52"/>
      <c r="L18" s="37">
        <f>J18+B18</f>
        <v>0</v>
      </c>
      <c r="M18" s="55"/>
      <c r="N18" s="4"/>
    </row>
    <row r="19" spans="1:14">
      <c r="A19" t="s">
        <v>606</v>
      </c>
      <c r="B19" s="48">
        <v>0</v>
      </c>
      <c r="C19" s="52"/>
      <c r="D19" s="48">
        <v>0</v>
      </c>
      <c r="E19" s="52"/>
      <c r="F19" s="48">
        <v>0</v>
      </c>
      <c r="G19" s="52"/>
      <c r="H19" s="48">
        <v>0</v>
      </c>
      <c r="I19" s="52"/>
      <c r="J19" s="35">
        <f>D19+F19+H19</f>
        <v>0</v>
      </c>
      <c r="K19" s="52"/>
      <c r="L19" s="35">
        <f>J19+B19</f>
        <v>0</v>
      </c>
      <c r="M19" s="55"/>
      <c r="N19" s="4"/>
    </row>
    <row r="20" spans="1:14">
      <c r="B20" s="52">
        <f>SUM(B16:B19)</f>
        <v>0</v>
      </c>
      <c r="C20" s="52"/>
      <c r="D20" s="52">
        <f>SUM(D16:D19)</f>
        <v>0</v>
      </c>
      <c r="E20" s="52"/>
      <c r="F20" s="52">
        <f>SUM(F16:F19)</f>
        <v>0</v>
      </c>
      <c r="G20" s="52"/>
      <c r="H20" s="52">
        <f>SUM(H16:H19)</f>
        <v>0</v>
      </c>
      <c r="I20" s="52"/>
      <c r="J20" s="52">
        <f>SUM(J16:J19)</f>
        <v>0</v>
      </c>
      <c r="K20" s="52"/>
      <c r="L20" s="52">
        <f>SUM(L16:L19)</f>
        <v>0</v>
      </c>
      <c r="M20" s="55"/>
      <c r="N20" s="4"/>
    </row>
    <row r="21" spans="1:14">
      <c r="B21" s="52"/>
      <c r="C21" s="45"/>
      <c r="D21" s="52"/>
      <c r="E21" s="45"/>
      <c r="F21" s="52"/>
      <c r="G21" s="45"/>
      <c r="H21" s="52"/>
      <c r="I21" s="45"/>
      <c r="J21" s="52"/>
      <c r="K21" s="45"/>
      <c r="L21" s="52"/>
      <c r="M21" s="4"/>
      <c r="N21" s="4"/>
    </row>
    <row r="22" spans="1:14">
      <c r="B22" s="45"/>
      <c r="C22" s="45"/>
      <c r="D22" s="45"/>
      <c r="E22" s="45"/>
      <c r="F22" s="45"/>
      <c r="G22" s="45"/>
      <c r="H22" s="45"/>
      <c r="I22" s="45"/>
      <c r="J22" s="45"/>
      <c r="K22" s="45"/>
      <c r="L22" s="45"/>
      <c r="M22" s="4"/>
      <c r="N22" s="4"/>
    </row>
    <row r="23" spans="1:14" ht="13.5" thickBot="1">
      <c r="A23" s="3" t="s">
        <v>607</v>
      </c>
      <c r="B23" s="46">
        <f>B20+B13</f>
        <v>649014.48</v>
      </c>
      <c r="C23" s="45"/>
      <c r="D23" s="46">
        <f>D20+D13</f>
        <v>0</v>
      </c>
      <c r="E23" s="45"/>
      <c r="F23" s="46">
        <f>F20+F13</f>
        <v>0</v>
      </c>
      <c r="G23" s="45"/>
      <c r="H23" s="46">
        <f>H20+H13</f>
        <v>-21926.880000000001</v>
      </c>
      <c r="I23" s="45"/>
      <c r="J23" s="46">
        <f>J20+J13</f>
        <v>-21926.880000000001</v>
      </c>
      <c r="K23" s="45"/>
      <c r="L23" s="46">
        <f>L20+L13</f>
        <v>627087.6</v>
      </c>
      <c r="M23" s="4"/>
      <c r="N23" s="4"/>
    </row>
    <row r="24" spans="1:14" ht="13.5" thickTop="1">
      <c r="B24" s="45"/>
      <c r="C24" s="45"/>
      <c r="D24" s="45"/>
      <c r="E24" s="45"/>
      <c r="F24" s="45"/>
      <c r="G24" s="45"/>
      <c r="H24" s="45"/>
      <c r="I24" s="45"/>
      <c r="J24" s="45"/>
      <c r="K24" s="45"/>
      <c r="L24" s="45"/>
      <c r="M24" s="4"/>
      <c r="N24" s="4"/>
    </row>
    <row r="25" spans="1:14">
      <c r="B25" s="4"/>
      <c r="C25" s="4"/>
      <c r="D25" s="4"/>
      <c r="E25" s="4"/>
      <c r="F25" s="4"/>
      <c r="G25" s="4"/>
      <c r="H25" s="4"/>
      <c r="I25" s="4"/>
      <c r="J25" s="4"/>
      <c r="K25" s="4"/>
      <c r="L25" s="4"/>
      <c r="M25" s="4"/>
      <c r="N25" s="4"/>
    </row>
    <row r="26" spans="1:14">
      <c r="B26" s="4"/>
      <c r="C26" s="4"/>
      <c r="D26" s="4"/>
      <c r="E26" s="4"/>
      <c r="F26" s="4"/>
      <c r="G26" s="4"/>
      <c r="H26" s="4"/>
      <c r="I26" s="4"/>
      <c r="J26" s="4"/>
      <c r="K26" s="4"/>
      <c r="L26" s="4"/>
      <c r="M26" s="4"/>
      <c r="N26" s="4"/>
    </row>
    <row r="27" spans="1:14">
      <c r="B27" s="4"/>
      <c r="C27" s="4"/>
      <c r="D27" s="4"/>
      <c r="E27" s="4"/>
      <c r="F27" s="4"/>
      <c r="G27" s="4"/>
      <c r="H27" s="4"/>
      <c r="I27" s="4"/>
      <c r="J27" s="4"/>
      <c r="K27" s="4"/>
      <c r="L27" s="4"/>
      <c r="M27" s="4"/>
      <c r="N27" s="4"/>
    </row>
    <row r="28" spans="1:14">
      <c r="B28" s="4"/>
      <c r="C28" s="4"/>
      <c r="D28" s="4"/>
      <c r="E28" s="4"/>
      <c r="F28" s="4"/>
      <c r="G28" s="4"/>
      <c r="H28" s="4"/>
      <c r="I28" s="4"/>
      <c r="J28" s="4"/>
      <c r="K28" s="4"/>
      <c r="L28" s="4"/>
      <c r="M28" s="4"/>
      <c r="N28" s="4"/>
    </row>
    <row r="29" spans="1:14">
      <c r="B29" s="4"/>
      <c r="C29" s="4"/>
      <c r="D29" s="4"/>
      <c r="E29" s="4"/>
      <c r="F29" s="4"/>
      <c r="G29" s="4"/>
      <c r="H29" s="4"/>
      <c r="I29" s="4"/>
      <c r="J29" s="4"/>
      <c r="K29" s="4"/>
      <c r="L29" s="4"/>
      <c r="M29" s="4"/>
      <c r="N29" s="4"/>
    </row>
    <row r="30" spans="1:14">
      <c r="B30" s="4"/>
      <c r="C30" s="4"/>
      <c r="D30" s="4"/>
      <c r="E30" s="4"/>
      <c r="F30" s="4"/>
      <c r="G30" s="4"/>
      <c r="H30" s="4"/>
      <c r="I30" s="4"/>
      <c r="J30" s="4"/>
      <c r="K30" s="4"/>
      <c r="L30" s="4"/>
      <c r="M30" s="4"/>
      <c r="N30" s="4"/>
    </row>
    <row r="31" spans="1:14">
      <c r="B31" s="4"/>
      <c r="C31" s="4"/>
      <c r="D31" s="4"/>
      <c r="E31" s="4"/>
      <c r="F31" s="4"/>
      <c r="G31" s="4"/>
      <c r="H31" s="4"/>
      <c r="I31" s="4"/>
      <c r="J31" s="4"/>
      <c r="K31" s="4"/>
      <c r="L31" s="4"/>
      <c r="M31" s="4"/>
      <c r="N31" s="4"/>
    </row>
    <row r="32" spans="1:14">
      <c r="B32" s="4"/>
      <c r="C32" s="4"/>
      <c r="D32" s="4"/>
      <c r="E32" s="4"/>
      <c r="F32" s="4"/>
      <c r="G32" s="4"/>
      <c r="H32" s="4"/>
      <c r="I32" s="4"/>
      <c r="J32" s="4"/>
      <c r="K32" s="4"/>
      <c r="L32" s="4"/>
      <c r="M32" s="4"/>
      <c r="N32" s="4"/>
    </row>
    <row r="33" spans="2:14">
      <c r="B33" s="4"/>
      <c r="C33" s="4"/>
      <c r="D33" s="4"/>
      <c r="E33" s="4"/>
      <c r="F33" s="4"/>
      <c r="G33" s="4"/>
      <c r="H33" s="4"/>
      <c r="I33" s="4"/>
      <c r="J33" s="4"/>
      <c r="K33" s="4"/>
      <c r="L33" s="4"/>
      <c r="M33" s="4"/>
      <c r="N33" s="4"/>
    </row>
    <row r="34" spans="2:14">
      <c r="B34" s="4"/>
      <c r="C34" s="4"/>
      <c r="D34" s="4"/>
      <c r="E34" s="4"/>
      <c r="F34" s="4"/>
      <c r="G34" s="4"/>
      <c r="H34" s="4"/>
      <c r="I34" s="4"/>
      <c r="J34" s="4"/>
      <c r="K34" s="4"/>
      <c r="L34" s="4"/>
      <c r="M34" s="4"/>
      <c r="N34" s="4"/>
    </row>
    <row r="35" spans="2:14">
      <c r="B35" s="4"/>
      <c r="C35" s="4"/>
      <c r="D35" s="4"/>
      <c r="E35" s="4"/>
      <c r="F35" s="4"/>
      <c r="G35" s="4"/>
      <c r="H35" s="4"/>
      <c r="I35" s="4"/>
      <c r="J35" s="4"/>
      <c r="K35" s="4"/>
      <c r="L35" s="4"/>
      <c r="M35" s="4"/>
      <c r="N35" s="4"/>
    </row>
    <row r="36" spans="2:14">
      <c r="B36" s="4"/>
      <c r="C36" s="4"/>
      <c r="D36" s="4"/>
      <c r="E36" s="4"/>
      <c r="F36" s="4"/>
      <c r="G36" s="4"/>
      <c r="H36" s="4"/>
      <c r="I36" s="4"/>
      <c r="J36" s="4"/>
      <c r="K36" s="4"/>
      <c r="L36" s="4"/>
      <c r="M36" s="4"/>
      <c r="N36" s="4"/>
    </row>
    <row r="37" spans="2:14">
      <c r="B37" s="4"/>
      <c r="C37" s="4"/>
      <c r="D37" s="4"/>
      <c r="E37" s="4"/>
      <c r="F37" s="4"/>
      <c r="G37" s="4"/>
      <c r="H37" s="4"/>
      <c r="I37" s="4"/>
      <c r="J37" s="4"/>
      <c r="K37" s="4"/>
      <c r="L37" s="4"/>
      <c r="M37" s="4"/>
      <c r="N37" s="4"/>
    </row>
    <row r="38" spans="2:14">
      <c r="B38" s="4"/>
      <c r="C38" s="4"/>
      <c r="D38" s="4"/>
      <c r="E38" s="4"/>
      <c r="F38" s="4"/>
      <c r="G38" s="4"/>
      <c r="H38" s="4"/>
      <c r="I38" s="4"/>
      <c r="J38" s="4"/>
      <c r="K38" s="4"/>
      <c r="L38" s="4"/>
      <c r="M38" s="4"/>
      <c r="N38" s="4"/>
    </row>
    <row r="39" spans="2:14">
      <c r="B39" s="4"/>
      <c r="C39" s="4"/>
      <c r="D39" s="4"/>
      <c r="E39" s="4"/>
      <c r="F39" s="4"/>
      <c r="G39" s="4"/>
      <c r="H39" s="4"/>
      <c r="I39" s="4"/>
      <c r="J39" s="4"/>
      <c r="K39" s="4"/>
      <c r="L39" s="4"/>
      <c r="M39" s="4"/>
      <c r="N39" s="4"/>
    </row>
    <row r="40" spans="2:14">
      <c r="B40" s="4"/>
      <c r="C40" s="4"/>
      <c r="D40" s="4"/>
      <c r="E40" s="4"/>
      <c r="F40" s="4"/>
      <c r="G40" s="4"/>
      <c r="H40" s="4"/>
      <c r="I40" s="4"/>
      <c r="J40" s="4"/>
      <c r="K40" s="4"/>
      <c r="L40" s="4"/>
      <c r="M40" s="4"/>
      <c r="N40" s="4"/>
    </row>
    <row r="41" spans="2:14">
      <c r="B41" s="4"/>
      <c r="C41" s="4"/>
      <c r="D41" s="4"/>
      <c r="E41" s="4"/>
      <c r="F41" s="4"/>
      <c r="G41" s="4"/>
      <c r="H41" s="4"/>
      <c r="I41" s="4"/>
      <c r="J41" s="4"/>
      <c r="K41" s="4"/>
      <c r="L41" s="4"/>
      <c r="M41" s="4"/>
      <c r="N41" s="4"/>
    </row>
    <row r="42" spans="2:14">
      <c r="B42" s="4"/>
      <c r="C42" s="4"/>
      <c r="D42" s="4"/>
      <c r="E42" s="4"/>
      <c r="F42" s="4"/>
      <c r="G42" s="4"/>
      <c r="H42" s="4"/>
      <c r="I42" s="4"/>
      <c r="J42" s="4"/>
      <c r="K42" s="4"/>
      <c r="L42" s="4"/>
      <c r="M42" s="4"/>
      <c r="N42" s="4"/>
    </row>
    <row r="43" spans="2:14">
      <c r="B43" s="4"/>
      <c r="C43" s="4"/>
      <c r="D43" s="4"/>
      <c r="E43" s="4"/>
      <c r="F43" s="4"/>
      <c r="G43" s="4"/>
      <c r="H43" s="4"/>
      <c r="I43" s="4"/>
      <c r="J43" s="4"/>
      <c r="K43" s="4"/>
      <c r="L43" s="4"/>
      <c r="M43" s="4"/>
      <c r="N43" s="4"/>
    </row>
    <row r="44" spans="2:14">
      <c r="B44" s="4"/>
      <c r="C44" s="4"/>
      <c r="D44" s="4"/>
      <c r="E44" s="4"/>
      <c r="F44" s="4"/>
      <c r="G44" s="4"/>
      <c r="H44" s="4"/>
      <c r="I44" s="4"/>
      <c r="J44" s="4"/>
      <c r="K44" s="4"/>
      <c r="L44" s="4"/>
      <c r="M44" s="4"/>
      <c r="N44" s="4"/>
    </row>
    <row r="45" spans="2:14">
      <c r="B45" s="4"/>
      <c r="C45" s="4"/>
      <c r="D45" s="4"/>
      <c r="E45" s="4"/>
      <c r="F45" s="4"/>
      <c r="G45" s="4"/>
      <c r="H45" s="4"/>
      <c r="I45" s="4"/>
      <c r="J45" s="4"/>
      <c r="K45" s="4"/>
      <c r="L45" s="4"/>
      <c r="M45" s="4"/>
      <c r="N45" s="4"/>
    </row>
    <row r="46" spans="2:14">
      <c r="B46" s="4"/>
      <c r="C46" s="4"/>
      <c r="D46" s="4"/>
      <c r="E46" s="4"/>
      <c r="F46" s="4"/>
      <c r="G46" s="4"/>
      <c r="H46" s="4"/>
      <c r="I46" s="4"/>
      <c r="J46" s="4"/>
      <c r="K46" s="4"/>
      <c r="L46" s="4"/>
      <c r="M46" s="4"/>
      <c r="N46" s="4"/>
    </row>
    <row r="47" spans="2:14">
      <c r="B47" s="4"/>
      <c r="C47" s="4"/>
      <c r="D47" s="4"/>
      <c r="E47" s="4"/>
      <c r="F47" s="4"/>
      <c r="G47" s="4"/>
      <c r="H47" s="4"/>
      <c r="I47" s="4"/>
      <c r="J47" s="4"/>
      <c r="K47" s="4"/>
      <c r="L47" s="4"/>
      <c r="M47" s="4"/>
      <c r="N47" s="4"/>
    </row>
    <row r="48" spans="2:14">
      <c r="B48" s="4"/>
      <c r="C48" s="4"/>
      <c r="D48" s="4"/>
      <c r="E48" s="4"/>
      <c r="F48" s="4"/>
      <c r="G48" s="4"/>
      <c r="H48" s="4"/>
      <c r="I48" s="4"/>
      <c r="J48" s="4"/>
      <c r="K48" s="4"/>
      <c r="L48" s="4"/>
      <c r="M48" s="4"/>
      <c r="N48" s="4"/>
    </row>
    <row r="49" spans="2:14">
      <c r="B49" s="4"/>
      <c r="C49" s="4"/>
      <c r="D49" s="4"/>
      <c r="E49" s="4"/>
      <c r="F49" s="4"/>
      <c r="G49" s="4"/>
      <c r="H49" s="4"/>
      <c r="I49" s="4"/>
      <c r="J49" s="4"/>
      <c r="K49" s="4"/>
      <c r="L49" s="4"/>
      <c r="M49" s="4"/>
      <c r="N49" s="4"/>
    </row>
    <row r="50" spans="2:14">
      <c r="B50" s="4"/>
      <c r="C50" s="4"/>
      <c r="D50" s="4"/>
      <c r="E50" s="4"/>
      <c r="F50" s="4"/>
      <c r="G50" s="4"/>
      <c r="H50" s="4"/>
      <c r="I50" s="4"/>
      <c r="J50" s="4"/>
      <c r="K50" s="4"/>
      <c r="L50" s="4"/>
      <c r="M50" s="4"/>
      <c r="N50" s="4"/>
    </row>
    <row r="51" spans="2:14">
      <c r="B51" s="4"/>
      <c r="C51" s="4"/>
      <c r="D51" s="4"/>
      <c r="E51" s="4"/>
      <c r="F51" s="4"/>
      <c r="G51" s="4"/>
      <c r="H51" s="4"/>
      <c r="I51" s="4"/>
      <c r="J51" s="4"/>
      <c r="K51" s="4"/>
      <c r="L51" s="4"/>
      <c r="M51" s="4"/>
      <c r="N51" s="4"/>
    </row>
    <row r="52" spans="2:14">
      <c r="B52" s="4"/>
      <c r="C52" s="4"/>
      <c r="D52" s="4"/>
      <c r="E52" s="4"/>
      <c r="F52" s="4"/>
      <c r="G52" s="4"/>
      <c r="H52" s="4"/>
      <c r="I52" s="4"/>
      <c r="J52" s="4"/>
      <c r="K52" s="4"/>
      <c r="L52" s="4"/>
      <c r="M52" s="4"/>
      <c r="N52" s="4"/>
    </row>
    <row r="53" spans="2:14">
      <c r="B53" s="4"/>
      <c r="C53" s="4"/>
      <c r="D53" s="4"/>
      <c r="E53" s="4"/>
      <c r="F53" s="4"/>
      <c r="G53" s="4"/>
      <c r="H53" s="4"/>
      <c r="I53" s="4"/>
      <c r="J53" s="4"/>
      <c r="K53" s="4"/>
      <c r="L53" s="4"/>
      <c r="M53" s="4"/>
      <c r="N53" s="4"/>
    </row>
    <row r="54" spans="2:14">
      <c r="B54" s="4"/>
      <c r="C54" s="4"/>
      <c r="D54" s="4"/>
      <c r="E54" s="4"/>
      <c r="F54" s="4"/>
      <c r="G54" s="4"/>
      <c r="H54" s="4"/>
      <c r="I54" s="4"/>
      <c r="J54" s="4"/>
      <c r="K54" s="4"/>
      <c r="L54" s="4"/>
      <c r="M54" s="4"/>
      <c r="N54" s="4"/>
    </row>
    <row r="55" spans="2:14">
      <c r="B55" s="4"/>
      <c r="C55" s="4"/>
      <c r="D55" s="4"/>
      <c r="E55" s="4"/>
      <c r="F55" s="4"/>
      <c r="G55" s="4"/>
      <c r="H55" s="4"/>
      <c r="I55" s="4"/>
      <c r="J55" s="4"/>
      <c r="K55" s="4"/>
      <c r="L55" s="4"/>
      <c r="M55" s="4"/>
      <c r="N55" s="4"/>
    </row>
    <row r="56" spans="2:14">
      <c r="B56" s="4"/>
      <c r="C56" s="4"/>
      <c r="D56" s="4"/>
      <c r="E56" s="4"/>
      <c r="F56" s="4"/>
      <c r="G56" s="4"/>
      <c r="H56" s="4"/>
      <c r="I56" s="4"/>
      <c r="J56" s="4"/>
      <c r="K56" s="4"/>
      <c r="L56" s="4"/>
      <c r="M56" s="4"/>
      <c r="N56" s="4"/>
    </row>
    <row r="57" spans="2:14">
      <c r="B57" s="4"/>
      <c r="C57" s="4"/>
      <c r="D57" s="4"/>
      <c r="E57" s="4"/>
      <c r="F57" s="4"/>
      <c r="G57" s="4"/>
      <c r="H57" s="4"/>
      <c r="I57" s="4"/>
      <c r="J57" s="4"/>
      <c r="K57" s="4"/>
      <c r="L57" s="4"/>
      <c r="M57" s="4"/>
      <c r="N57" s="4"/>
    </row>
    <row r="58" spans="2:14">
      <c r="B58" s="4"/>
      <c r="C58" s="4"/>
      <c r="D58" s="4"/>
      <c r="E58" s="4"/>
      <c r="F58" s="4"/>
      <c r="G58" s="4"/>
      <c r="H58" s="4"/>
      <c r="I58" s="4"/>
      <c r="J58" s="4"/>
      <c r="K58" s="4"/>
      <c r="L58" s="4"/>
      <c r="M58" s="4"/>
      <c r="N58" s="4"/>
    </row>
    <row r="59" spans="2:14">
      <c r="B59" s="4"/>
      <c r="C59" s="4"/>
      <c r="D59" s="4"/>
      <c r="E59" s="4"/>
      <c r="F59" s="4"/>
      <c r="G59" s="4"/>
      <c r="H59" s="4"/>
      <c r="I59" s="4"/>
      <c r="J59" s="4"/>
      <c r="K59" s="4"/>
      <c r="L59" s="4"/>
      <c r="M59" s="4"/>
      <c r="N59" s="4"/>
    </row>
    <row r="60" spans="2:14">
      <c r="B60" s="4"/>
      <c r="C60" s="4"/>
      <c r="D60" s="4"/>
      <c r="E60" s="4"/>
      <c r="F60" s="4"/>
      <c r="G60" s="4"/>
      <c r="H60" s="4"/>
      <c r="I60" s="4"/>
      <c r="J60" s="4"/>
      <c r="K60" s="4"/>
      <c r="L60" s="4"/>
      <c r="M60" s="4"/>
      <c r="N60" s="4"/>
    </row>
    <row r="61" spans="2:14">
      <c r="B61" s="4"/>
      <c r="C61" s="4"/>
      <c r="D61" s="4"/>
      <c r="E61" s="4"/>
      <c r="F61" s="4"/>
      <c r="G61" s="4"/>
      <c r="H61" s="4"/>
      <c r="I61" s="4"/>
      <c r="J61" s="4"/>
      <c r="K61" s="4"/>
      <c r="L61" s="4"/>
      <c r="M61" s="4"/>
      <c r="N61" s="4"/>
    </row>
    <row r="62" spans="2:14">
      <c r="B62" s="4"/>
      <c r="C62" s="4"/>
      <c r="D62" s="4"/>
      <c r="E62" s="4"/>
      <c r="F62" s="4"/>
      <c r="G62" s="4"/>
      <c r="H62" s="4"/>
      <c r="I62" s="4"/>
      <c r="J62" s="4"/>
      <c r="K62" s="4"/>
      <c r="L62" s="4"/>
      <c r="M62" s="4"/>
      <c r="N62" s="4"/>
    </row>
    <row r="63" spans="2:14">
      <c r="B63" s="4"/>
      <c r="C63" s="4"/>
      <c r="D63" s="4"/>
      <c r="E63" s="4"/>
      <c r="F63" s="4"/>
      <c r="G63" s="4"/>
      <c r="H63" s="4"/>
      <c r="I63" s="4"/>
      <c r="J63" s="4"/>
      <c r="K63" s="4"/>
      <c r="L63" s="4"/>
      <c r="M63" s="4"/>
      <c r="N63" s="4"/>
    </row>
    <row r="64" spans="2:14">
      <c r="B64" s="4"/>
      <c r="C64" s="4"/>
      <c r="D64" s="4"/>
      <c r="E64" s="4"/>
      <c r="F64" s="4"/>
      <c r="G64" s="4"/>
      <c r="H64" s="4"/>
      <c r="I64" s="4"/>
      <c r="J64" s="4"/>
      <c r="K64" s="4"/>
      <c r="L64" s="4"/>
      <c r="M64" s="4"/>
      <c r="N64" s="4"/>
    </row>
    <row r="65" spans="2:14">
      <c r="B65" s="4"/>
      <c r="C65" s="4"/>
      <c r="D65" s="4"/>
      <c r="E65" s="4"/>
      <c r="F65" s="4"/>
      <c r="G65" s="4"/>
      <c r="H65" s="4"/>
      <c r="I65" s="4"/>
      <c r="J65" s="4"/>
      <c r="K65" s="4"/>
      <c r="L65" s="4"/>
      <c r="M65" s="4"/>
      <c r="N65" s="4"/>
    </row>
    <row r="66" spans="2:14">
      <c r="B66" s="4"/>
      <c r="C66" s="4"/>
      <c r="D66" s="4"/>
      <c r="E66" s="4"/>
      <c r="F66" s="4"/>
      <c r="G66" s="4"/>
      <c r="H66" s="4"/>
      <c r="I66" s="4"/>
      <c r="J66" s="4"/>
      <c r="K66" s="4"/>
      <c r="L66" s="4"/>
      <c r="M66" s="4"/>
      <c r="N66" s="4"/>
    </row>
    <row r="67" spans="2:14">
      <c r="B67" s="4"/>
      <c r="C67" s="4"/>
      <c r="D67" s="4"/>
      <c r="E67" s="4"/>
      <c r="F67" s="4"/>
      <c r="G67" s="4"/>
      <c r="H67" s="4"/>
      <c r="I67" s="4"/>
      <c r="J67" s="4"/>
      <c r="K67" s="4"/>
      <c r="L67" s="4"/>
      <c r="M67" s="4"/>
      <c r="N67" s="4"/>
    </row>
    <row r="68" spans="2:14">
      <c r="B68" s="4"/>
      <c r="C68" s="4"/>
      <c r="D68" s="4"/>
      <c r="E68" s="4"/>
      <c r="F68" s="4"/>
      <c r="G68" s="4"/>
      <c r="H68" s="4"/>
      <c r="I68" s="4"/>
      <c r="J68" s="4"/>
      <c r="K68" s="4"/>
      <c r="L68" s="4"/>
      <c r="M68" s="4"/>
      <c r="N68" s="4"/>
    </row>
    <row r="69" spans="2:14">
      <c r="B69" s="4"/>
      <c r="C69" s="4"/>
      <c r="D69" s="4"/>
      <c r="E69" s="4"/>
      <c r="F69" s="4"/>
      <c r="G69" s="4"/>
      <c r="H69" s="4"/>
      <c r="I69" s="4"/>
      <c r="J69" s="4"/>
      <c r="K69" s="4"/>
      <c r="L69" s="4"/>
      <c r="M69" s="4"/>
      <c r="N69" s="4"/>
    </row>
    <row r="70" spans="2:14">
      <c r="B70" s="4"/>
      <c r="C70" s="4"/>
      <c r="D70" s="4"/>
      <c r="E70" s="4"/>
      <c r="F70" s="4"/>
      <c r="G70" s="4"/>
      <c r="H70" s="4"/>
      <c r="I70" s="4"/>
      <c r="J70" s="4"/>
      <c r="K70" s="4"/>
      <c r="L70" s="4"/>
      <c r="M70" s="4"/>
      <c r="N70" s="4"/>
    </row>
    <row r="71" spans="2:14">
      <c r="B71" s="4"/>
      <c r="C71" s="4"/>
      <c r="D71" s="4"/>
      <c r="E71" s="4"/>
      <c r="F71" s="4"/>
      <c r="G71" s="4"/>
      <c r="H71" s="4"/>
      <c r="I71" s="4"/>
      <c r="J71" s="4"/>
      <c r="K71" s="4"/>
      <c r="L71" s="4"/>
      <c r="M71" s="4"/>
      <c r="N71" s="4"/>
    </row>
    <row r="72" spans="2:14">
      <c r="B72" s="4"/>
      <c r="C72" s="4"/>
      <c r="D72" s="4"/>
      <c r="E72" s="4"/>
      <c r="F72" s="4"/>
      <c r="G72" s="4"/>
      <c r="H72" s="4"/>
      <c r="I72" s="4"/>
      <c r="J72" s="4"/>
      <c r="K72" s="4"/>
      <c r="L72" s="4"/>
      <c r="M72" s="4"/>
      <c r="N72" s="4"/>
    </row>
    <row r="73" spans="2:14">
      <c r="B73" s="4"/>
      <c r="C73" s="4"/>
      <c r="D73" s="4"/>
      <c r="E73" s="4"/>
      <c r="F73" s="4"/>
      <c r="G73" s="4"/>
      <c r="H73" s="4"/>
      <c r="I73" s="4"/>
      <c r="J73" s="4"/>
      <c r="K73" s="4"/>
      <c r="L73" s="4"/>
      <c r="M73" s="4"/>
      <c r="N73" s="4"/>
    </row>
    <row r="74" spans="2:14">
      <c r="B74" s="4"/>
      <c r="C74" s="4"/>
      <c r="D74" s="4"/>
      <c r="E74" s="4"/>
      <c r="F74" s="4"/>
      <c r="G74" s="4"/>
      <c r="H74" s="4"/>
      <c r="I74" s="4"/>
      <c r="J74" s="4"/>
      <c r="K74" s="4"/>
      <c r="L74" s="4"/>
      <c r="M74" s="4"/>
      <c r="N74" s="4"/>
    </row>
    <row r="75" spans="2:14">
      <c r="B75" s="4"/>
      <c r="C75" s="4"/>
      <c r="D75" s="4"/>
      <c r="E75" s="4"/>
      <c r="F75" s="4"/>
      <c r="G75" s="4"/>
      <c r="H75" s="4"/>
      <c r="I75" s="4"/>
      <c r="J75" s="4"/>
      <c r="K75" s="4"/>
      <c r="L75" s="4"/>
      <c r="M75" s="4"/>
      <c r="N75" s="4"/>
    </row>
    <row r="76" spans="2:14">
      <c r="B76" s="4"/>
      <c r="C76" s="4"/>
      <c r="D76" s="4"/>
      <c r="E76" s="4"/>
      <c r="F76" s="4"/>
      <c r="G76" s="4"/>
      <c r="H76" s="4"/>
      <c r="I76" s="4"/>
      <c r="J76" s="4"/>
      <c r="K76" s="4"/>
      <c r="L76" s="4"/>
      <c r="M76" s="4"/>
      <c r="N76" s="4"/>
    </row>
    <row r="77" spans="2:14">
      <c r="B77" s="4"/>
      <c r="C77" s="4"/>
      <c r="D77" s="4"/>
      <c r="E77" s="4"/>
      <c r="F77" s="4"/>
      <c r="G77" s="4"/>
      <c r="H77" s="4"/>
      <c r="I77" s="4"/>
      <c r="J77" s="4"/>
      <c r="K77" s="4"/>
      <c r="L77" s="4"/>
      <c r="M77" s="4"/>
      <c r="N77" s="4"/>
    </row>
    <row r="78" spans="2:14">
      <c r="B78" s="4"/>
      <c r="C78" s="4"/>
      <c r="D78" s="4"/>
      <c r="E78" s="4"/>
      <c r="F78" s="4"/>
      <c r="G78" s="4"/>
      <c r="H78" s="4"/>
      <c r="I78" s="4"/>
      <c r="J78" s="4"/>
      <c r="K78" s="4"/>
      <c r="L78" s="4"/>
      <c r="M78" s="4"/>
      <c r="N78" s="4"/>
    </row>
    <row r="79" spans="2:14">
      <c r="B79" s="4"/>
      <c r="C79" s="4"/>
      <c r="D79" s="4"/>
      <c r="E79" s="4"/>
      <c r="F79" s="4"/>
      <c r="G79" s="4"/>
      <c r="H79" s="4"/>
      <c r="I79" s="4"/>
      <c r="J79" s="4"/>
      <c r="K79" s="4"/>
      <c r="L79" s="4"/>
      <c r="M79" s="4"/>
      <c r="N79" s="4"/>
    </row>
    <row r="80" spans="2:14">
      <c r="B80" s="4"/>
      <c r="C80" s="4"/>
      <c r="D80" s="4"/>
      <c r="E80" s="4"/>
      <c r="F80" s="4"/>
      <c r="G80" s="4"/>
      <c r="H80" s="4"/>
      <c r="I80" s="4"/>
      <c r="J80" s="4"/>
      <c r="K80" s="4"/>
      <c r="L80" s="4"/>
      <c r="M80" s="4"/>
      <c r="N80" s="4"/>
    </row>
    <row r="81" spans="2:14">
      <c r="B81" s="4"/>
      <c r="C81" s="4"/>
      <c r="D81" s="4"/>
      <c r="E81" s="4"/>
      <c r="F81" s="4"/>
      <c r="G81" s="4"/>
      <c r="H81" s="4"/>
      <c r="I81" s="4"/>
      <c r="J81" s="4"/>
      <c r="K81" s="4"/>
      <c r="L81" s="4"/>
      <c r="M81" s="4"/>
      <c r="N81" s="4"/>
    </row>
    <row r="82" spans="2:14">
      <c r="B82" s="4"/>
      <c r="C82" s="4"/>
      <c r="D82" s="4"/>
      <c r="E82" s="4"/>
      <c r="F82" s="4"/>
      <c r="G82" s="4"/>
      <c r="H82" s="4"/>
      <c r="I82" s="4"/>
      <c r="J82" s="4"/>
      <c r="K82" s="4"/>
      <c r="L82" s="4"/>
      <c r="M82" s="4"/>
      <c r="N82" s="4"/>
    </row>
    <row r="83" spans="2:14">
      <c r="B83" s="4"/>
      <c r="C83" s="4"/>
      <c r="D83" s="4"/>
      <c r="E83" s="4"/>
      <c r="F83" s="4"/>
      <c r="G83" s="4"/>
      <c r="H83" s="4"/>
      <c r="I83" s="4"/>
      <c r="J83" s="4"/>
      <c r="K83" s="4"/>
      <c r="L83" s="4"/>
      <c r="M83" s="4"/>
      <c r="N83" s="4"/>
    </row>
    <row r="84" spans="2:14">
      <c r="B84" s="4"/>
      <c r="C84" s="4"/>
      <c r="D84" s="4"/>
      <c r="E84" s="4"/>
      <c r="F84" s="4"/>
      <c r="G84" s="4"/>
      <c r="H84" s="4"/>
      <c r="I84" s="4"/>
      <c r="J84" s="4"/>
      <c r="K84" s="4"/>
      <c r="L84" s="4"/>
      <c r="M84" s="4"/>
      <c r="N84" s="4"/>
    </row>
    <row r="85" spans="2:14">
      <c r="B85" s="4"/>
      <c r="C85" s="4"/>
      <c r="D85" s="4"/>
      <c r="E85" s="4"/>
      <c r="F85" s="4"/>
      <c r="G85" s="4"/>
      <c r="H85" s="4"/>
      <c r="I85" s="4"/>
      <c r="J85" s="4"/>
      <c r="K85" s="4"/>
      <c r="L85" s="4"/>
      <c r="M85" s="4"/>
      <c r="N85" s="4"/>
    </row>
    <row r="86" spans="2:14">
      <c r="B86" s="4"/>
      <c r="C86" s="4"/>
      <c r="D86" s="4"/>
      <c r="E86" s="4"/>
      <c r="F86" s="4"/>
      <c r="G86" s="4"/>
      <c r="H86" s="4"/>
      <c r="I86" s="4"/>
      <c r="J86" s="4"/>
      <c r="K86" s="4"/>
      <c r="L86" s="4"/>
      <c r="M86" s="4"/>
      <c r="N86" s="4"/>
    </row>
    <row r="87" spans="2:14">
      <c r="B87" s="4"/>
      <c r="C87" s="4"/>
      <c r="D87" s="4"/>
      <c r="E87" s="4"/>
      <c r="F87" s="4"/>
      <c r="G87" s="4"/>
      <c r="H87" s="4"/>
      <c r="I87" s="4"/>
      <c r="J87" s="4"/>
      <c r="K87" s="4"/>
      <c r="L87" s="4"/>
      <c r="M87" s="4"/>
      <c r="N87" s="4"/>
    </row>
    <row r="88" spans="2:14">
      <c r="B88" s="4"/>
      <c r="C88" s="4"/>
      <c r="D88" s="4"/>
      <c r="E88" s="4"/>
      <c r="F88" s="4"/>
      <c r="G88" s="4"/>
      <c r="H88" s="4"/>
      <c r="I88" s="4"/>
      <c r="J88" s="4"/>
      <c r="K88" s="4"/>
      <c r="L88" s="4"/>
      <c r="M88" s="4"/>
      <c r="N88" s="4"/>
    </row>
    <row r="89" spans="2:14">
      <c r="B89" s="4"/>
      <c r="C89" s="4"/>
      <c r="D89" s="4"/>
      <c r="E89" s="4"/>
      <c r="F89" s="4"/>
      <c r="G89" s="4"/>
      <c r="H89" s="4"/>
      <c r="I89" s="4"/>
      <c r="J89" s="4"/>
      <c r="K89" s="4"/>
      <c r="L89" s="4"/>
      <c r="M89" s="4"/>
      <c r="N89" s="4"/>
    </row>
    <row r="90" spans="2:14">
      <c r="B90" s="4"/>
      <c r="C90" s="4"/>
      <c r="D90" s="4"/>
      <c r="E90" s="4"/>
      <c r="F90" s="4"/>
      <c r="G90" s="4"/>
      <c r="H90" s="4"/>
      <c r="I90" s="4"/>
      <c r="J90" s="4"/>
      <c r="K90" s="4"/>
      <c r="L90" s="4"/>
      <c r="M90" s="4"/>
      <c r="N90" s="4"/>
    </row>
    <row r="91" spans="2:14">
      <c r="B91" s="4"/>
      <c r="C91" s="4"/>
      <c r="D91" s="4"/>
      <c r="E91" s="4"/>
      <c r="F91" s="4"/>
      <c r="G91" s="4"/>
      <c r="H91" s="4"/>
      <c r="I91" s="4"/>
      <c r="J91" s="4"/>
      <c r="K91" s="4"/>
      <c r="L91" s="4"/>
      <c r="M91" s="4"/>
      <c r="N91" s="4"/>
    </row>
    <row r="92" spans="2:14">
      <c r="B92" s="4"/>
      <c r="C92" s="4"/>
      <c r="D92" s="4"/>
      <c r="E92" s="4"/>
      <c r="F92" s="4"/>
      <c r="G92" s="4"/>
      <c r="H92" s="4"/>
      <c r="I92" s="4"/>
      <c r="J92" s="4"/>
      <c r="K92" s="4"/>
      <c r="L92" s="4"/>
      <c r="M92" s="4"/>
      <c r="N92" s="4"/>
    </row>
    <row r="93" spans="2:14">
      <c r="B93" s="4"/>
      <c r="C93" s="4"/>
      <c r="D93" s="4"/>
      <c r="E93" s="4"/>
      <c r="F93" s="4"/>
      <c r="G93" s="4"/>
      <c r="H93" s="4"/>
      <c r="I93" s="4"/>
      <c r="J93" s="4"/>
      <c r="K93" s="4"/>
      <c r="L93" s="4"/>
      <c r="M93" s="4"/>
      <c r="N93" s="4"/>
    </row>
    <row r="94" spans="2:14">
      <c r="B94" s="4"/>
      <c r="C94" s="4"/>
      <c r="D94" s="4"/>
      <c r="E94" s="4"/>
      <c r="F94" s="4"/>
      <c r="G94" s="4"/>
      <c r="H94" s="4"/>
      <c r="I94" s="4"/>
      <c r="J94" s="4"/>
      <c r="K94" s="4"/>
      <c r="L94" s="4"/>
      <c r="M94" s="4"/>
      <c r="N94" s="4"/>
    </row>
    <row r="95" spans="2:14">
      <c r="B95" s="4"/>
      <c r="C95" s="4"/>
      <c r="D95" s="4"/>
      <c r="E95" s="4"/>
      <c r="F95" s="4"/>
      <c r="G95" s="4"/>
      <c r="H95" s="4"/>
      <c r="I95" s="4"/>
      <c r="J95" s="4"/>
      <c r="K95" s="4"/>
      <c r="L95" s="4"/>
      <c r="M95" s="4"/>
      <c r="N95" s="4"/>
    </row>
    <row r="96" spans="2:14">
      <c r="B96" s="4"/>
      <c r="C96" s="4"/>
      <c r="D96" s="4"/>
      <c r="E96" s="4"/>
      <c r="F96" s="4"/>
      <c r="G96" s="4"/>
      <c r="H96" s="4"/>
      <c r="I96" s="4"/>
      <c r="J96" s="4"/>
      <c r="K96" s="4"/>
      <c r="L96" s="4"/>
      <c r="M96" s="4"/>
      <c r="N96" s="4"/>
    </row>
    <row r="97" spans="2:14">
      <c r="B97" s="4"/>
      <c r="C97" s="4"/>
      <c r="D97" s="4"/>
      <c r="E97" s="4"/>
      <c r="F97" s="4"/>
      <c r="G97" s="4"/>
      <c r="H97" s="4"/>
      <c r="I97" s="4"/>
      <c r="J97" s="4"/>
      <c r="K97" s="4"/>
      <c r="L97" s="4"/>
      <c r="M97" s="4"/>
      <c r="N97" s="4"/>
    </row>
    <row r="98" spans="2:14">
      <c r="B98" s="4"/>
      <c r="C98" s="4"/>
      <c r="D98" s="4"/>
      <c r="E98" s="4"/>
      <c r="F98" s="4"/>
      <c r="G98" s="4"/>
      <c r="H98" s="4"/>
      <c r="I98" s="4"/>
      <c r="J98" s="4"/>
      <c r="K98" s="4"/>
      <c r="L98" s="4"/>
      <c r="M98" s="4"/>
      <c r="N98" s="4"/>
    </row>
    <row r="99" spans="2:14">
      <c r="B99" s="4"/>
      <c r="C99" s="4"/>
      <c r="D99" s="4"/>
      <c r="E99" s="4"/>
      <c r="F99" s="4"/>
      <c r="G99" s="4"/>
      <c r="H99" s="4"/>
      <c r="I99" s="4"/>
      <c r="J99" s="4"/>
      <c r="K99" s="4"/>
      <c r="L99" s="4"/>
      <c r="M99" s="4"/>
      <c r="N99" s="4"/>
    </row>
    <row r="100" spans="2:14">
      <c r="B100" s="4"/>
      <c r="C100" s="4"/>
      <c r="D100" s="4"/>
      <c r="E100" s="4"/>
      <c r="F100" s="4"/>
      <c r="G100" s="4"/>
      <c r="H100" s="4"/>
      <c r="I100" s="4"/>
      <c r="J100" s="4"/>
      <c r="K100" s="4"/>
      <c r="L100" s="4"/>
      <c r="M100" s="4"/>
      <c r="N100" s="4"/>
    </row>
    <row r="101" spans="2:14">
      <c r="B101" s="4"/>
      <c r="C101" s="4"/>
      <c r="D101" s="4"/>
      <c r="E101" s="4"/>
      <c r="F101" s="4"/>
      <c r="G101" s="4"/>
      <c r="H101" s="4"/>
      <c r="I101" s="4"/>
      <c r="J101" s="4"/>
      <c r="K101" s="4"/>
      <c r="L101" s="4"/>
      <c r="M101" s="4"/>
      <c r="N101" s="4"/>
    </row>
    <row r="102" spans="2:14">
      <c r="B102" s="4"/>
      <c r="C102" s="4"/>
      <c r="D102" s="4"/>
      <c r="E102" s="4"/>
      <c r="F102" s="4"/>
      <c r="G102" s="4"/>
      <c r="H102" s="4"/>
      <c r="I102" s="4"/>
      <c r="J102" s="4"/>
      <c r="K102" s="4"/>
      <c r="L102" s="4"/>
      <c r="M102" s="4"/>
      <c r="N102" s="4"/>
    </row>
    <row r="103" spans="2:14">
      <c r="B103" s="4"/>
      <c r="C103" s="4"/>
      <c r="D103" s="4"/>
      <c r="E103" s="4"/>
      <c r="F103" s="4"/>
      <c r="G103" s="4"/>
      <c r="H103" s="4"/>
      <c r="I103" s="4"/>
      <c r="J103" s="4"/>
      <c r="K103" s="4"/>
      <c r="L103" s="4"/>
      <c r="M103" s="4"/>
      <c r="N103" s="4"/>
    </row>
    <row r="104" spans="2:14">
      <c r="B104" s="4"/>
      <c r="C104" s="4"/>
      <c r="D104" s="4"/>
      <c r="E104" s="4"/>
      <c r="F104" s="4"/>
      <c r="G104" s="4"/>
      <c r="H104" s="4"/>
      <c r="I104" s="4"/>
      <c r="J104" s="4"/>
      <c r="K104" s="4"/>
      <c r="L104" s="4"/>
      <c r="M104" s="4"/>
      <c r="N104" s="4"/>
    </row>
    <row r="105" spans="2:14">
      <c r="B105" s="4"/>
      <c r="C105" s="4"/>
      <c r="D105" s="4"/>
      <c r="E105" s="4"/>
      <c r="F105" s="4"/>
      <c r="G105" s="4"/>
      <c r="H105" s="4"/>
      <c r="I105" s="4"/>
      <c r="J105" s="4"/>
      <c r="K105" s="4"/>
      <c r="L105" s="4"/>
      <c r="M105" s="4"/>
      <c r="N105" s="4"/>
    </row>
    <row r="106" spans="2:14">
      <c r="B106" s="4"/>
      <c r="C106" s="4"/>
      <c r="D106" s="4"/>
      <c r="E106" s="4"/>
      <c r="F106" s="4"/>
      <c r="G106" s="4"/>
      <c r="H106" s="4"/>
      <c r="I106" s="4"/>
      <c r="J106" s="4"/>
      <c r="K106" s="4"/>
      <c r="L106" s="4"/>
      <c r="M106" s="4"/>
      <c r="N106" s="4"/>
    </row>
    <row r="107" spans="2:14">
      <c r="B107" s="4"/>
      <c r="C107" s="4"/>
      <c r="D107" s="4"/>
      <c r="E107" s="4"/>
      <c r="F107" s="4"/>
      <c r="G107" s="4"/>
      <c r="H107" s="4"/>
      <c r="I107" s="4"/>
      <c r="J107" s="4"/>
      <c r="K107" s="4"/>
      <c r="L107" s="4"/>
      <c r="M107" s="4"/>
      <c r="N107" s="4"/>
    </row>
    <row r="108" spans="2:14">
      <c r="B108" s="4"/>
      <c r="C108" s="4"/>
      <c r="D108" s="4"/>
      <c r="E108" s="4"/>
      <c r="F108" s="4"/>
      <c r="G108" s="4"/>
      <c r="H108" s="4"/>
      <c r="I108" s="4"/>
      <c r="J108" s="4"/>
      <c r="K108" s="4"/>
      <c r="L108" s="4"/>
      <c r="M108" s="4"/>
      <c r="N108" s="4"/>
    </row>
    <row r="109" spans="2:14">
      <c r="B109" s="4"/>
      <c r="C109" s="4"/>
      <c r="D109" s="4"/>
      <c r="E109" s="4"/>
      <c r="F109" s="4"/>
      <c r="G109" s="4"/>
      <c r="H109" s="4"/>
      <c r="I109" s="4"/>
      <c r="J109" s="4"/>
      <c r="K109" s="4"/>
      <c r="L109" s="4"/>
      <c r="M109" s="4"/>
      <c r="N109" s="4"/>
    </row>
    <row r="110" spans="2:14">
      <c r="B110" s="4"/>
      <c r="C110" s="4"/>
      <c r="D110" s="4"/>
      <c r="E110" s="4"/>
      <c r="F110" s="4"/>
      <c r="G110" s="4"/>
      <c r="H110" s="4"/>
      <c r="I110" s="4"/>
      <c r="J110" s="4"/>
      <c r="K110" s="4"/>
      <c r="L110" s="4"/>
      <c r="M110" s="4"/>
      <c r="N110" s="4"/>
    </row>
    <row r="111" spans="2:14">
      <c r="B111" s="4"/>
      <c r="C111" s="4"/>
      <c r="D111" s="4"/>
      <c r="E111" s="4"/>
      <c r="F111" s="4"/>
      <c r="G111" s="4"/>
      <c r="H111" s="4"/>
      <c r="I111" s="4"/>
      <c r="J111" s="4"/>
      <c r="K111" s="4"/>
      <c r="L111" s="4"/>
      <c r="M111" s="4"/>
      <c r="N111" s="4"/>
    </row>
    <row r="112" spans="2:14">
      <c r="B112" s="4"/>
      <c r="C112" s="4"/>
      <c r="D112" s="4"/>
      <c r="E112" s="4"/>
      <c r="F112" s="4"/>
      <c r="G112" s="4"/>
      <c r="H112" s="4"/>
      <c r="I112" s="4"/>
      <c r="J112" s="4"/>
      <c r="K112" s="4"/>
      <c r="L112" s="4"/>
      <c r="M112" s="4"/>
      <c r="N112" s="4"/>
    </row>
    <row r="113" spans="2:14">
      <c r="B113" s="4"/>
      <c r="C113" s="4"/>
      <c r="D113" s="4"/>
      <c r="E113" s="4"/>
      <c r="F113" s="4"/>
      <c r="G113" s="4"/>
      <c r="H113" s="4"/>
      <c r="I113" s="4"/>
      <c r="J113" s="4"/>
      <c r="K113" s="4"/>
      <c r="L113" s="4"/>
      <c r="M113" s="4"/>
      <c r="N113" s="4"/>
    </row>
    <row r="114" spans="2:14">
      <c r="B114" s="4"/>
      <c r="C114" s="4"/>
      <c r="D114" s="4"/>
      <c r="E114" s="4"/>
      <c r="F114" s="4"/>
      <c r="G114" s="4"/>
      <c r="H114" s="4"/>
      <c r="I114" s="4"/>
      <c r="J114" s="4"/>
      <c r="K114" s="4"/>
      <c r="L114" s="4"/>
      <c r="M114" s="4"/>
      <c r="N114" s="4"/>
    </row>
    <row r="115" spans="2:14">
      <c r="B115" s="4"/>
      <c r="C115" s="4"/>
      <c r="D115" s="4"/>
      <c r="E115" s="4"/>
      <c r="F115" s="4"/>
      <c r="G115" s="4"/>
      <c r="H115" s="4"/>
      <c r="I115" s="4"/>
      <c r="J115" s="4"/>
      <c r="K115" s="4"/>
      <c r="L115" s="4"/>
      <c r="M115" s="4"/>
      <c r="N115" s="4"/>
    </row>
    <row r="116" spans="2:14">
      <c r="B116" s="4"/>
      <c r="C116" s="4"/>
      <c r="D116" s="4"/>
      <c r="E116" s="4"/>
      <c r="F116" s="4"/>
      <c r="G116" s="4"/>
      <c r="H116" s="4"/>
      <c r="I116" s="4"/>
      <c r="J116" s="4"/>
      <c r="K116" s="4"/>
      <c r="L116" s="4"/>
      <c r="M116" s="4"/>
      <c r="N116" s="4"/>
    </row>
    <row r="117" spans="2:14">
      <c r="B117" s="4"/>
      <c r="C117" s="4"/>
      <c r="D117" s="4"/>
      <c r="E117" s="4"/>
      <c r="F117" s="4"/>
      <c r="G117" s="4"/>
      <c r="H117" s="4"/>
      <c r="I117" s="4"/>
      <c r="J117" s="4"/>
      <c r="K117" s="4"/>
      <c r="L117" s="4"/>
      <c r="M117" s="4"/>
      <c r="N117" s="4"/>
    </row>
    <row r="118" spans="2:14">
      <c r="B118" s="4"/>
      <c r="C118" s="4"/>
      <c r="D118" s="4"/>
      <c r="E118" s="4"/>
      <c r="F118" s="4"/>
      <c r="G118" s="4"/>
      <c r="H118" s="4"/>
      <c r="I118" s="4"/>
      <c r="J118" s="4"/>
      <c r="K118" s="4"/>
      <c r="L118" s="4"/>
      <c r="M118" s="4"/>
      <c r="N118" s="4"/>
    </row>
    <row r="119" spans="2:14">
      <c r="B119" s="4"/>
      <c r="C119" s="4"/>
      <c r="D119" s="4"/>
      <c r="E119" s="4"/>
      <c r="F119" s="4"/>
      <c r="G119" s="4"/>
      <c r="H119" s="4"/>
      <c r="I119" s="4"/>
      <c r="J119" s="4"/>
      <c r="K119" s="4"/>
      <c r="L119" s="4"/>
      <c r="M119" s="4"/>
      <c r="N119" s="4"/>
    </row>
    <row r="120" spans="2:14">
      <c r="B120" s="4"/>
      <c r="C120" s="4"/>
      <c r="D120" s="4"/>
      <c r="E120" s="4"/>
      <c r="F120" s="4"/>
      <c r="G120" s="4"/>
      <c r="H120" s="4"/>
      <c r="I120" s="4"/>
      <c r="J120" s="4"/>
      <c r="K120" s="4"/>
      <c r="L120" s="4"/>
      <c r="M120" s="4"/>
      <c r="N120" s="4"/>
    </row>
    <row r="121" spans="2:14">
      <c r="B121" s="4"/>
      <c r="C121" s="4"/>
      <c r="D121" s="4"/>
      <c r="E121" s="4"/>
      <c r="F121" s="4"/>
      <c r="G121" s="4"/>
      <c r="H121" s="4"/>
      <c r="I121" s="4"/>
      <c r="J121" s="4"/>
      <c r="K121" s="4"/>
      <c r="L121" s="4"/>
      <c r="M121" s="4"/>
      <c r="N121" s="4"/>
    </row>
    <row r="122" spans="2:14">
      <c r="B122" s="4"/>
      <c r="C122" s="4"/>
      <c r="D122" s="4"/>
      <c r="E122" s="4"/>
      <c r="F122" s="4"/>
      <c r="G122" s="4"/>
      <c r="H122" s="4"/>
      <c r="I122" s="4"/>
      <c r="J122" s="4"/>
      <c r="K122" s="4"/>
      <c r="L122" s="4"/>
      <c r="M122" s="4"/>
      <c r="N122" s="4"/>
    </row>
    <row r="123" spans="2:14">
      <c r="B123" s="4"/>
      <c r="C123" s="4"/>
      <c r="D123" s="4"/>
      <c r="E123" s="4"/>
      <c r="F123" s="4"/>
      <c r="G123" s="4"/>
      <c r="H123" s="4"/>
      <c r="I123" s="4"/>
      <c r="J123" s="4"/>
      <c r="K123" s="4"/>
      <c r="L123" s="4"/>
      <c r="M123" s="4"/>
      <c r="N123" s="4"/>
    </row>
    <row r="124" spans="2:14">
      <c r="B124" s="4"/>
      <c r="C124" s="4"/>
      <c r="D124" s="4"/>
      <c r="E124" s="4"/>
      <c r="F124" s="4"/>
      <c r="G124" s="4"/>
      <c r="H124" s="4"/>
      <c r="I124" s="4"/>
      <c r="J124" s="4"/>
      <c r="K124" s="4"/>
      <c r="L124" s="4"/>
      <c r="M124" s="4"/>
      <c r="N124" s="4"/>
    </row>
    <row r="125" spans="2:14">
      <c r="B125" s="4"/>
      <c r="C125" s="4"/>
      <c r="D125" s="4"/>
      <c r="E125" s="4"/>
      <c r="F125" s="4"/>
      <c r="G125" s="4"/>
      <c r="H125" s="4"/>
      <c r="I125" s="4"/>
      <c r="J125" s="4"/>
      <c r="K125" s="4"/>
      <c r="L125" s="4"/>
      <c r="M125" s="4"/>
      <c r="N125" s="4"/>
    </row>
    <row r="126" spans="2:14">
      <c r="B126" s="4"/>
      <c r="C126" s="4"/>
      <c r="D126" s="4"/>
      <c r="E126" s="4"/>
      <c r="F126" s="4"/>
      <c r="G126" s="4"/>
      <c r="H126" s="4"/>
      <c r="I126" s="4"/>
      <c r="J126" s="4"/>
      <c r="K126" s="4"/>
      <c r="L126" s="4"/>
      <c r="M126" s="4"/>
      <c r="N126" s="4"/>
    </row>
    <row r="127" spans="2:14">
      <c r="B127" s="4"/>
      <c r="C127" s="4"/>
      <c r="D127" s="4"/>
      <c r="E127" s="4"/>
      <c r="F127" s="4"/>
      <c r="G127" s="4"/>
      <c r="H127" s="4"/>
      <c r="I127" s="4"/>
      <c r="J127" s="4"/>
      <c r="K127" s="4"/>
      <c r="L127" s="4"/>
      <c r="M127" s="4"/>
      <c r="N127" s="4"/>
    </row>
    <row r="128" spans="2:14">
      <c r="B128" s="4"/>
      <c r="C128" s="4"/>
      <c r="D128" s="4"/>
      <c r="E128" s="4"/>
      <c r="F128" s="4"/>
      <c r="G128" s="4"/>
      <c r="H128" s="4"/>
      <c r="I128" s="4"/>
      <c r="J128" s="4"/>
      <c r="K128" s="4"/>
      <c r="L128" s="4"/>
      <c r="M128" s="4"/>
      <c r="N128" s="4"/>
    </row>
    <row r="129" spans="2:14">
      <c r="B129" s="4"/>
      <c r="C129" s="4"/>
      <c r="D129" s="4"/>
      <c r="E129" s="4"/>
      <c r="F129" s="4"/>
      <c r="G129" s="4"/>
      <c r="H129" s="4"/>
      <c r="I129" s="4"/>
      <c r="J129" s="4"/>
      <c r="K129" s="4"/>
      <c r="L129" s="4"/>
      <c r="M129" s="4"/>
      <c r="N129" s="4"/>
    </row>
    <row r="130" spans="2:14">
      <c r="B130" s="4"/>
      <c r="C130" s="4"/>
      <c r="D130" s="4"/>
      <c r="E130" s="4"/>
      <c r="F130" s="4"/>
      <c r="G130" s="4"/>
      <c r="H130" s="4"/>
      <c r="I130" s="4"/>
      <c r="J130" s="4"/>
      <c r="K130" s="4"/>
      <c r="L130" s="4"/>
      <c r="M130" s="4"/>
      <c r="N130" s="4"/>
    </row>
  </sheetData>
  <customSheetViews>
    <customSheetView guid="{6B74E52F-9552-408A-8775-25AFF24E6639}" scale="75" fitToPage="1" showRuler="0">
      <selection activeCell="A4" sqref="A4"/>
      <pageMargins left="0.75" right="0.75" top="1" bottom="1" header="0.5" footer="0.5"/>
      <pageSetup scale="79" orientation="landscape" r:id="rId1"/>
      <headerFooter alignWithMargins="0">
        <oddFooter>&amp;L&amp;Z
&amp;F&amp;C&amp;A&amp;R26.&amp;P</oddFooter>
      </headerFooter>
    </customSheetView>
  </customSheetViews>
  <mergeCells count="3">
    <mergeCell ref="A1:L1"/>
    <mergeCell ref="A2:L2"/>
    <mergeCell ref="A3:L3"/>
  </mergeCells>
  <phoneticPr fontId="0" type="noConversion"/>
  <pageMargins left="0.75" right="0.75" top="1" bottom="1" header="0.5" footer="0.5"/>
  <pageSetup scale="79" orientation="landscape" r:id="rId2"/>
  <headerFooter alignWithMargins="0">
    <oddFooter>&amp;L&amp;Z
&amp;F&amp;C&amp;A&amp;R26.&amp;P</oddFooter>
  </headerFooter>
</worksheet>
</file>

<file path=xl/worksheets/sheet113.xml><?xml version="1.0" encoding="utf-8"?>
<worksheet xmlns="http://schemas.openxmlformats.org/spreadsheetml/2006/main" xmlns:r="http://schemas.openxmlformats.org/officeDocument/2006/relationships">
  <sheetPr codeName="Sheet64">
    <pageSetUpPr fitToPage="1"/>
  </sheetPr>
  <dimension ref="A1:N129"/>
  <sheetViews>
    <sheetView zoomScale="75" workbookViewId="0">
      <selection sqref="A1:L1"/>
    </sheetView>
  </sheetViews>
  <sheetFormatPr defaultRowHeight="12.75"/>
  <cols>
    <col min="1" max="1" width="40.5703125" bestFit="1" customWidth="1"/>
    <col min="2" max="2" width="17.7109375" customWidth="1"/>
    <col min="3" max="3" width="1.7109375" customWidth="1"/>
    <col min="4" max="4" width="17.7109375" customWidth="1"/>
    <col min="5" max="5" width="1.7109375" customWidth="1"/>
    <col min="6" max="6" width="17.7109375" customWidth="1"/>
    <col min="7" max="7" width="1.7109375" customWidth="1"/>
    <col min="8" max="8" width="17.7109375" customWidth="1"/>
    <col min="9" max="9" width="1.7109375" customWidth="1"/>
    <col min="10" max="10" width="17.7109375" customWidth="1"/>
    <col min="11" max="11" width="1.7109375" customWidth="1"/>
    <col min="12" max="12" width="17.7109375" customWidth="1"/>
  </cols>
  <sheetData>
    <row r="1" spans="1:14" s="38" customFormat="1" ht="15.75">
      <c r="A1" s="366" t="s">
        <v>134</v>
      </c>
      <c r="B1" s="366"/>
      <c r="C1" s="366"/>
      <c r="D1" s="366"/>
      <c r="E1" s="366"/>
      <c r="F1" s="366"/>
      <c r="G1" s="366"/>
      <c r="H1" s="366"/>
      <c r="I1" s="366"/>
      <c r="J1" s="366"/>
      <c r="K1" s="366"/>
      <c r="L1" s="366"/>
    </row>
    <row r="2" spans="1:14" s="38" customFormat="1" ht="15.75">
      <c r="A2" s="366" t="s">
        <v>1235</v>
      </c>
      <c r="B2" s="366"/>
      <c r="C2" s="366"/>
      <c r="D2" s="366"/>
      <c r="E2" s="366"/>
      <c r="F2" s="366"/>
      <c r="G2" s="366"/>
      <c r="H2" s="366"/>
      <c r="I2" s="366"/>
      <c r="J2" s="366"/>
      <c r="K2" s="366"/>
      <c r="L2" s="366"/>
    </row>
    <row r="3" spans="1:14">
      <c r="A3" s="357" t="str">
        <f>'Summary - Cost - PG 1 (Fin)'!A3:N3</f>
        <v>MARCH 2012</v>
      </c>
      <c r="B3" s="357"/>
      <c r="C3" s="357"/>
      <c r="D3" s="357"/>
      <c r="E3" s="357"/>
      <c r="F3" s="357"/>
      <c r="G3" s="357"/>
      <c r="H3" s="357"/>
      <c r="I3" s="357"/>
      <c r="J3" s="357"/>
      <c r="K3" s="357"/>
      <c r="L3" s="357"/>
    </row>
    <row r="4" spans="1:14">
      <c r="A4" s="30"/>
      <c r="B4" s="30"/>
      <c r="C4" s="30"/>
      <c r="D4" s="30"/>
      <c r="E4" s="30"/>
      <c r="F4" s="30"/>
      <c r="G4" s="30"/>
      <c r="H4" s="30"/>
      <c r="I4" s="30"/>
      <c r="J4" s="30"/>
      <c r="K4" s="30"/>
      <c r="L4" s="30"/>
    </row>
    <row r="6" spans="1:14">
      <c r="B6" s="41" t="s">
        <v>25</v>
      </c>
      <c r="D6" s="33"/>
      <c r="F6" s="33"/>
      <c r="H6" s="41" t="s">
        <v>612</v>
      </c>
      <c r="J6" s="33"/>
      <c r="L6" s="41" t="s">
        <v>26</v>
      </c>
    </row>
    <row r="7" spans="1:14" s="10" customFormat="1">
      <c r="B7" s="42" t="s">
        <v>27</v>
      </c>
      <c r="C7"/>
      <c r="D7" s="42" t="s">
        <v>107</v>
      </c>
      <c r="E7"/>
      <c r="F7" s="42" t="s">
        <v>108</v>
      </c>
      <c r="G7"/>
      <c r="H7" s="42" t="s">
        <v>613</v>
      </c>
      <c r="I7"/>
      <c r="J7" s="42" t="s">
        <v>109</v>
      </c>
      <c r="K7"/>
      <c r="L7" s="42" t="s">
        <v>27</v>
      </c>
    </row>
    <row r="8" spans="1:14" s="10" customFormat="1">
      <c r="B8"/>
      <c r="C8"/>
      <c r="D8"/>
      <c r="E8"/>
      <c r="F8"/>
      <c r="G8"/>
      <c r="H8"/>
      <c r="I8"/>
      <c r="J8"/>
      <c r="K8"/>
      <c r="L8"/>
    </row>
    <row r="9" spans="1:14" s="10" customFormat="1">
      <c r="A9" s="12" t="s">
        <v>684</v>
      </c>
      <c r="B9"/>
      <c r="C9"/>
      <c r="D9"/>
      <c r="E9"/>
      <c r="F9"/>
      <c r="G9"/>
      <c r="H9"/>
      <c r="I9"/>
      <c r="J9"/>
      <c r="K9"/>
      <c r="L9"/>
    </row>
    <row r="10" spans="1:14">
      <c r="A10" t="s">
        <v>270</v>
      </c>
      <c r="B10" s="45">
        <v>690.05</v>
      </c>
      <c r="C10" s="45"/>
      <c r="D10" s="45">
        <v>0</v>
      </c>
      <c r="E10" s="45"/>
      <c r="F10" s="45">
        <v>0</v>
      </c>
      <c r="G10" s="45"/>
      <c r="H10" s="45">
        <v>0</v>
      </c>
      <c r="I10" s="45"/>
      <c r="J10" s="45">
        <v>0</v>
      </c>
      <c r="K10" s="45"/>
      <c r="L10" s="45">
        <v>690.05</v>
      </c>
      <c r="M10" s="4"/>
      <c r="N10" s="4"/>
    </row>
    <row r="11" spans="1:14">
      <c r="A11" t="s">
        <v>271</v>
      </c>
      <c r="B11" s="45">
        <v>63110.43</v>
      </c>
      <c r="C11" s="45"/>
      <c r="D11" s="45">
        <v>0</v>
      </c>
      <c r="E11" s="45"/>
      <c r="F11" s="45">
        <v>0</v>
      </c>
      <c r="G11" s="45"/>
      <c r="H11" s="45">
        <v>0</v>
      </c>
      <c r="I11" s="45"/>
      <c r="J11" s="45">
        <v>0</v>
      </c>
      <c r="K11" s="45"/>
      <c r="L11" s="45">
        <v>63110.43</v>
      </c>
      <c r="M11" s="4"/>
      <c r="N11" s="4"/>
    </row>
    <row r="12" spans="1:14">
      <c r="A12" t="s">
        <v>272</v>
      </c>
      <c r="B12" s="45">
        <v>249.93</v>
      </c>
      <c r="C12" s="45"/>
      <c r="D12" s="45">
        <v>0</v>
      </c>
      <c r="E12" s="45"/>
      <c r="F12" s="45">
        <v>0</v>
      </c>
      <c r="G12" s="45"/>
      <c r="H12" s="45">
        <v>0</v>
      </c>
      <c r="I12" s="45"/>
      <c r="J12" s="45">
        <v>0</v>
      </c>
      <c r="K12" s="45"/>
      <c r="L12" s="45">
        <v>249.93</v>
      </c>
      <c r="M12" s="4"/>
      <c r="N12" s="4"/>
    </row>
    <row r="13" spans="1:14">
      <c r="A13" t="s">
        <v>273</v>
      </c>
      <c r="B13" s="45">
        <v>11189.15</v>
      </c>
      <c r="C13" s="45"/>
      <c r="D13" s="45">
        <v>0</v>
      </c>
      <c r="E13" s="45"/>
      <c r="F13" s="45">
        <v>0</v>
      </c>
      <c r="G13" s="45"/>
      <c r="H13" s="45">
        <v>0</v>
      </c>
      <c r="I13" s="45"/>
      <c r="J13" s="45">
        <v>0</v>
      </c>
      <c r="K13" s="45"/>
      <c r="L13" s="45">
        <v>11189.15</v>
      </c>
      <c r="M13" s="4"/>
      <c r="N13" s="4"/>
    </row>
    <row r="14" spans="1:14" ht="13.5" thickBot="1">
      <c r="B14" s="46">
        <f>SUM(B10:B13)</f>
        <v>75239.56</v>
      </c>
      <c r="C14" s="45"/>
      <c r="D14" s="46">
        <f>SUM(D10:D13)</f>
        <v>0</v>
      </c>
      <c r="E14" s="45"/>
      <c r="F14" s="46">
        <f>SUM(F10:F13)</f>
        <v>0</v>
      </c>
      <c r="G14" s="45"/>
      <c r="H14" s="46">
        <f>SUM(H10:H13)</f>
        <v>0</v>
      </c>
      <c r="I14" s="45"/>
      <c r="J14" s="46">
        <f>SUM(J10:J13)</f>
        <v>0</v>
      </c>
      <c r="K14" s="45"/>
      <c r="L14" s="46">
        <f>SUM(L10:L13)</f>
        <v>75239.56</v>
      </c>
      <c r="M14" s="4"/>
      <c r="N14" s="4"/>
    </row>
    <row r="15" spans="1:14" ht="13.5" thickTop="1">
      <c r="B15" s="45"/>
      <c r="C15" s="45"/>
      <c r="D15" s="45"/>
      <c r="E15" s="45"/>
      <c r="F15" s="45"/>
      <c r="G15" s="45"/>
      <c r="H15" s="45"/>
      <c r="I15" s="45"/>
      <c r="J15" s="45"/>
      <c r="K15" s="45"/>
      <c r="L15" s="45"/>
      <c r="M15" s="4"/>
      <c r="N15" s="4"/>
    </row>
    <row r="16" spans="1:14">
      <c r="B16" s="4"/>
      <c r="C16" s="4"/>
      <c r="D16" s="4"/>
      <c r="E16" s="4"/>
      <c r="F16" s="4"/>
      <c r="G16" s="4"/>
      <c r="H16" s="4"/>
      <c r="I16" s="4"/>
      <c r="J16" s="4"/>
      <c r="K16" s="4"/>
      <c r="L16" s="4"/>
      <c r="M16" s="4"/>
      <c r="N16" s="4"/>
    </row>
    <row r="17" spans="2:14">
      <c r="B17" s="4"/>
      <c r="C17" s="4"/>
      <c r="D17" s="4"/>
      <c r="E17" s="4"/>
      <c r="F17" s="4"/>
      <c r="G17" s="4"/>
      <c r="H17" s="4"/>
      <c r="I17" s="4"/>
      <c r="J17" s="4"/>
      <c r="K17" s="4"/>
      <c r="L17" s="4"/>
      <c r="M17" s="4"/>
      <c r="N17" s="4"/>
    </row>
    <row r="18" spans="2:14">
      <c r="B18" s="4"/>
      <c r="C18" s="4"/>
      <c r="D18" s="4"/>
      <c r="E18" s="4"/>
      <c r="F18" s="4"/>
      <c r="G18" s="4"/>
      <c r="H18" s="4"/>
      <c r="I18" s="4"/>
      <c r="J18" s="4"/>
      <c r="K18" s="4"/>
      <c r="L18" s="4"/>
      <c r="M18" s="4"/>
      <c r="N18" s="4"/>
    </row>
    <row r="19" spans="2:14">
      <c r="B19" s="4"/>
      <c r="C19" s="4"/>
      <c r="D19" s="4"/>
      <c r="E19" s="4"/>
      <c r="F19" s="4"/>
      <c r="G19" s="4"/>
      <c r="H19" s="4"/>
      <c r="I19" s="4"/>
      <c r="J19" s="4"/>
      <c r="K19" s="4"/>
      <c r="L19" s="4"/>
      <c r="M19" s="4"/>
      <c r="N19" s="4"/>
    </row>
    <row r="20" spans="2:14">
      <c r="B20" s="4"/>
      <c r="C20" s="4"/>
      <c r="D20" s="4"/>
      <c r="E20" s="4"/>
      <c r="F20" s="4"/>
      <c r="G20" s="4"/>
      <c r="H20" s="4"/>
      <c r="I20" s="4"/>
      <c r="J20" s="4"/>
      <c r="K20" s="4"/>
      <c r="L20" s="4"/>
      <c r="M20" s="4"/>
      <c r="N20" s="4"/>
    </row>
    <row r="21" spans="2:14">
      <c r="B21" s="4"/>
      <c r="C21" s="4"/>
      <c r="D21" s="4"/>
      <c r="E21" s="4"/>
      <c r="F21" s="4"/>
      <c r="G21" s="4"/>
      <c r="H21" s="4"/>
      <c r="I21" s="4"/>
      <c r="J21" s="4"/>
      <c r="K21" s="4"/>
      <c r="L21" s="4"/>
      <c r="M21" s="4"/>
      <c r="N21" s="4"/>
    </row>
    <row r="22" spans="2:14">
      <c r="B22" s="4"/>
      <c r="C22" s="4"/>
      <c r="D22" s="4"/>
      <c r="E22" s="4"/>
      <c r="F22" s="4"/>
      <c r="G22" s="4"/>
      <c r="H22" s="4"/>
      <c r="I22" s="4"/>
      <c r="J22" s="4"/>
      <c r="K22" s="4"/>
      <c r="L22" s="4"/>
      <c r="M22" s="4"/>
      <c r="N22" s="4"/>
    </row>
    <row r="23" spans="2:14">
      <c r="B23" s="4"/>
      <c r="C23" s="4"/>
      <c r="D23" s="4"/>
      <c r="E23" s="4"/>
      <c r="F23" s="4"/>
      <c r="G23" s="4"/>
      <c r="H23" s="4"/>
      <c r="I23" s="4"/>
      <c r="J23" s="4"/>
      <c r="K23" s="4"/>
      <c r="L23" s="4"/>
      <c r="M23" s="4"/>
      <c r="N23" s="4"/>
    </row>
    <row r="24" spans="2:14">
      <c r="B24" s="4"/>
      <c r="C24" s="4"/>
      <c r="D24" s="4"/>
      <c r="E24" s="4"/>
      <c r="F24" s="4"/>
      <c r="G24" s="4"/>
      <c r="H24" s="4"/>
      <c r="I24" s="4"/>
      <c r="J24" s="4"/>
      <c r="K24" s="4"/>
      <c r="L24" s="4"/>
      <c r="M24" s="4"/>
      <c r="N24" s="4"/>
    </row>
    <row r="25" spans="2:14">
      <c r="B25" s="4"/>
      <c r="C25" s="4"/>
      <c r="D25" s="4"/>
      <c r="E25" s="4"/>
      <c r="F25" s="4"/>
      <c r="G25" s="4"/>
      <c r="H25" s="4"/>
      <c r="I25" s="4"/>
      <c r="J25" s="4"/>
      <c r="K25" s="4"/>
      <c r="L25" s="4"/>
      <c r="M25" s="4"/>
      <c r="N25" s="4"/>
    </row>
    <row r="26" spans="2:14">
      <c r="B26" s="4"/>
      <c r="C26" s="4"/>
      <c r="D26" s="4"/>
      <c r="E26" s="4"/>
      <c r="F26" s="4"/>
      <c r="G26" s="4"/>
      <c r="H26" s="4"/>
      <c r="I26" s="4"/>
      <c r="J26" s="4"/>
      <c r="K26" s="4"/>
      <c r="L26" s="4"/>
      <c r="M26" s="4"/>
      <c r="N26" s="4"/>
    </row>
    <row r="27" spans="2:14">
      <c r="B27" s="4"/>
      <c r="C27" s="4"/>
      <c r="D27" s="4"/>
      <c r="E27" s="4"/>
      <c r="F27" s="4"/>
      <c r="G27" s="4"/>
      <c r="H27" s="4"/>
      <c r="I27" s="4"/>
      <c r="J27" s="4"/>
      <c r="K27" s="4"/>
      <c r="L27" s="4"/>
      <c r="M27" s="4"/>
      <c r="N27" s="4"/>
    </row>
    <row r="28" spans="2:14">
      <c r="B28" s="4"/>
      <c r="C28" s="4"/>
      <c r="D28" s="4"/>
      <c r="E28" s="4"/>
      <c r="F28" s="4"/>
      <c r="G28" s="4"/>
      <c r="H28" s="4"/>
      <c r="I28" s="4"/>
      <c r="J28" s="4"/>
      <c r="K28" s="4"/>
      <c r="L28" s="4"/>
      <c r="M28" s="4"/>
      <c r="N28" s="4"/>
    </row>
    <row r="29" spans="2:14">
      <c r="B29" s="4"/>
      <c r="C29" s="4"/>
      <c r="D29" s="4"/>
      <c r="E29" s="4"/>
      <c r="F29" s="4"/>
      <c r="G29" s="4"/>
      <c r="H29" s="4"/>
      <c r="I29" s="4"/>
      <c r="J29" s="4"/>
      <c r="K29" s="4"/>
      <c r="L29" s="4"/>
      <c r="M29" s="4"/>
      <c r="N29" s="4"/>
    </row>
    <row r="30" spans="2:14">
      <c r="B30" s="4"/>
      <c r="C30" s="4"/>
      <c r="D30" s="4"/>
      <c r="E30" s="4"/>
      <c r="F30" s="4"/>
      <c r="G30" s="4"/>
      <c r="H30" s="4"/>
      <c r="I30" s="4"/>
      <c r="J30" s="4"/>
      <c r="K30" s="4"/>
      <c r="L30" s="4"/>
      <c r="M30" s="4"/>
      <c r="N30" s="4"/>
    </row>
    <row r="31" spans="2:14">
      <c r="B31" s="4"/>
      <c r="C31" s="4"/>
      <c r="D31" s="4"/>
      <c r="E31" s="4"/>
      <c r="F31" s="4"/>
      <c r="G31" s="4"/>
      <c r="H31" s="4"/>
      <c r="I31" s="4"/>
      <c r="J31" s="4"/>
      <c r="K31" s="4"/>
      <c r="L31" s="4"/>
      <c r="M31" s="4"/>
      <c r="N31" s="4"/>
    </row>
    <row r="32" spans="2:14">
      <c r="B32" s="4"/>
      <c r="C32" s="4"/>
      <c r="D32" s="4"/>
      <c r="E32" s="4"/>
      <c r="F32" s="4"/>
      <c r="G32" s="4"/>
      <c r="H32" s="4"/>
      <c r="I32" s="4"/>
      <c r="J32" s="4"/>
      <c r="K32" s="4"/>
      <c r="L32" s="4"/>
      <c r="M32" s="4"/>
      <c r="N32" s="4"/>
    </row>
    <row r="33" spans="2:14">
      <c r="B33" s="4"/>
      <c r="C33" s="4"/>
      <c r="D33" s="4"/>
      <c r="E33" s="4"/>
      <c r="F33" s="4"/>
      <c r="G33" s="4"/>
      <c r="H33" s="4"/>
      <c r="I33" s="4"/>
      <c r="J33" s="4"/>
      <c r="K33" s="4"/>
      <c r="L33" s="4"/>
      <c r="M33" s="4"/>
      <c r="N33" s="4"/>
    </row>
    <row r="34" spans="2:14">
      <c r="B34" s="4"/>
      <c r="C34" s="4"/>
      <c r="D34" s="4"/>
      <c r="E34" s="4"/>
      <c r="F34" s="4"/>
      <c r="G34" s="4"/>
      <c r="H34" s="4"/>
      <c r="I34" s="4"/>
      <c r="J34" s="4"/>
      <c r="K34" s="4"/>
      <c r="L34" s="4"/>
      <c r="M34" s="4"/>
      <c r="N34" s="4"/>
    </row>
    <row r="35" spans="2:14">
      <c r="B35" s="4"/>
      <c r="C35" s="4"/>
      <c r="D35" s="4"/>
      <c r="E35" s="4"/>
      <c r="F35" s="4"/>
      <c r="G35" s="4"/>
      <c r="H35" s="4"/>
      <c r="I35" s="4"/>
      <c r="J35" s="4"/>
      <c r="K35" s="4"/>
      <c r="L35" s="4"/>
      <c r="M35" s="4"/>
      <c r="N35" s="4"/>
    </row>
    <row r="36" spans="2:14">
      <c r="B36" s="4"/>
      <c r="C36" s="4"/>
      <c r="D36" s="4"/>
      <c r="E36" s="4"/>
      <c r="F36" s="4"/>
      <c r="G36" s="4"/>
      <c r="H36" s="4"/>
      <c r="I36" s="4"/>
      <c r="J36" s="4"/>
      <c r="K36" s="4"/>
      <c r="L36" s="4"/>
      <c r="M36" s="4"/>
      <c r="N36" s="4"/>
    </row>
    <row r="37" spans="2:14">
      <c r="B37" s="4"/>
      <c r="C37" s="4"/>
      <c r="D37" s="4"/>
      <c r="E37" s="4"/>
      <c r="F37" s="4"/>
      <c r="G37" s="4"/>
      <c r="H37" s="4"/>
      <c r="I37" s="4"/>
      <c r="J37" s="4"/>
      <c r="K37" s="4"/>
      <c r="L37" s="4"/>
      <c r="M37" s="4"/>
      <c r="N37" s="4"/>
    </row>
    <row r="38" spans="2:14">
      <c r="B38" s="4"/>
      <c r="C38" s="4"/>
      <c r="D38" s="4"/>
      <c r="E38" s="4"/>
      <c r="F38" s="4"/>
      <c r="G38" s="4"/>
      <c r="H38" s="4"/>
      <c r="I38" s="4"/>
      <c r="J38" s="4"/>
      <c r="K38" s="4"/>
      <c r="L38" s="4"/>
      <c r="M38" s="4"/>
      <c r="N38" s="4"/>
    </row>
    <row r="39" spans="2:14">
      <c r="B39" s="4"/>
      <c r="C39" s="4"/>
      <c r="D39" s="4"/>
      <c r="E39" s="4"/>
      <c r="F39" s="4"/>
      <c r="G39" s="4"/>
      <c r="H39" s="4"/>
      <c r="I39" s="4"/>
      <c r="J39" s="4"/>
      <c r="K39" s="4"/>
      <c r="L39" s="4"/>
      <c r="M39" s="4"/>
      <c r="N39" s="4"/>
    </row>
    <row r="40" spans="2:14">
      <c r="B40" s="4"/>
      <c r="C40" s="4"/>
      <c r="D40" s="4"/>
      <c r="E40" s="4"/>
      <c r="F40" s="4"/>
      <c r="G40" s="4"/>
      <c r="H40" s="4"/>
      <c r="I40" s="4"/>
      <c r="J40" s="4"/>
      <c r="K40" s="4"/>
      <c r="L40" s="4"/>
      <c r="M40" s="4"/>
      <c r="N40" s="4"/>
    </row>
    <row r="41" spans="2:14">
      <c r="B41" s="4"/>
      <c r="C41" s="4"/>
      <c r="D41" s="4"/>
      <c r="E41" s="4"/>
      <c r="F41" s="4"/>
      <c r="G41" s="4"/>
      <c r="H41" s="4"/>
      <c r="I41" s="4"/>
      <c r="J41" s="4"/>
      <c r="K41" s="4"/>
      <c r="L41" s="4"/>
      <c r="M41" s="4"/>
      <c r="N41" s="4"/>
    </row>
    <row r="42" spans="2:14">
      <c r="B42" s="4"/>
      <c r="C42" s="4"/>
      <c r="D42" s="4"/>
      <c r="E42" s="4"/>
      <c r="F42" s="4"/>
      <c r="G42" s="4"/>
      <c r="H42" s="4"/>
      <c r="I42" s="4"/>
      <c r="J42" s="4"/>
      <c r="K42" s="4"/>
      <c r="L42" s="4"/>
      <c r="M42" s="4"/>
      <c r="N42" s="4"/>
    </row>
    <row r="43" spans="2:14">
      <c r="B43" s="4"/>
      <c r="C43" s="4"/>
      <c r="D43" s="4"/>
      <c r="E43" s="4"/>
      <c r="F43" s="4"/>
      <c r="G43" s="4"/>
      <c r="H43" s="4"/>
      <c r="I43" s="4"/>
      <c r="J43" s="4"/>
      <c r="K43" s="4"/>
      <c r="L43" s="4"/>
      <c r="M43" s="4"/>
      <c r="N43" s="4"/>
    </row>
    <row r="44" spans="2:14">
      <c r="B44" s="4"/>
      <c r="C44" s="4"/>
      <c r="D44" s="4"/>
      <c r="E44" s="4"/>
      <c r="F44" s="4"/>
      <c r="G44" s="4"/>
      <c r="H44" s="4"/>
      <c r="I44" s="4"/>
      <c r="J44" s="4"/>
      <c r="K44" s="4"/>
      <c r="L44" s="4"/>
      <c r="M44" s="4"/>
      <c r="N44" s="4"/>
    </row>
    <row r="45" spans="2:14">
      <c r="B45" s="4"/>
      <c r="C45" s="4"/>
      <c r="D45" s="4"/>
      <c r="E45" s="4"/>
      <c r="F45" s="4"/>
      <c r="G45" s="4"/>
      <c r="H45" s="4"/>
      <c r="I45" s="4"/>
      <c r="J45" s="4"/>
      <c r="K45" s="4"/>
      <c r="L45" s="4"/>
      <c r="M45" s="4"/>
      <c r="N45" s="4"/>
    </row>
    <row r="46" spans="2:14">
      <c r="B46" s="4"/>
      <c r="C46" s="4"/>
      <c r="D46" s="4"/>
      <c r="E46" s="4"/>
      <c r="F46" s="4"/>
      <c r="G46" s="4"/>
      <c r="H46" s="4"/>
      <c r="I46" s="4"/>
      <c r="J46" s="4"/>
      <c r="K46" s="4"/>
      <c r="L46" s="4"/>
      <c r="M46" s="4"/>
      <c r="N46" s="4"/>
    </row>
    <row r="47" spans="2:14">
      <c r="B47" s="4"/>
      <c r="C47" s="4"/>
      <c r="D47" s="4"/>
      <c r="E47" s="4"/>
      <c r="F47" s="4"/>
      <c r="G47" s="4"/>
      <c r="H47" s="4"/>
      <c r="I47" s="4"/>
      <c r="J47" s="4"/>
      <c r="K47" s="4"/>
      <c r="L47" s="4"/>
      <c r="M47" s="4"/>
      <c r="N47" s="4"/>
    </row>
    <row r="48" spans="2:14">
      <c r="B48" s="4"/>
      <c r="C48" s="4"/>
      <c r="D48" s="4"/>
      <c r="E48" s="4"/>
      <c r="F48" s="4"/>
      <c r="G48" s="4"/>
      <c r="H48" s="4"/>
      <c r="I48" s="4"/>
      <c r="J48" s="4"/>
      <c r="K48" s="4"/>
      <c r="L48" s="4"/>
      <c r="M48" s="4"/>
      <c r="N48" s="4"/>
    </row>
    <row r="49" spans="2:14">
      <c r="B49" s="4"/>
      <c r="C49" s="4"/>
      <c r="D49" s="4"/>
      <c r="E49" s="4"/>
      <c r="F49" s="4"/>
      <c r="G49" s="4"/>
      <c r="H49" s="4"/>
      <c r="I49" s="4"/>
      <c r="J49" s="4"/>
      <c r="K49" s="4"/>
      <c r="L49" s="4"/>
      <c r="M49" s="4"/>
      <c r="N49" s="4"/>
    </row>
    <row r="50" spans="2:14">
      <c r="B50" s="4"/>
      <c r="C50" s="4"/>
      <c r="D50" s="4"/>
      <c r="E50" s="4"/>
      <c r="F50" s="4"/>
      <c r="G50" s="4"/>
      <c r="H50" s="4"/>
      <c r="I50" s="4"/>
      <c r="J50" s="4"/>
      <c r="K50" s="4"/>
      <c r="L50" s="4"/>
      <c r="M50" s="4"/>
      <c r="N50" s="4"/>
    </row>
    <row r="51" spans="2:14">
      <c r="B51" s="4"/>
      <c r="C51" s="4"/>
      <c r="D51" s="4"/>
      <c r="E51" s="4"/>
      <c r="F51" s="4"/>
      <c r="G51" s="4"/>
      <c r="H51" s="4"/>
      <c r="I51" s="4"/>
      <c r="J51" s="4"/>
      <c r="K51" s="4"/>
      <c r="L51" s="4"/>
      <c r="M51" s="4"/>
      <c r="N51" s="4"/>
    </row>
    <row r="52" spans="2:14">
      <c r="B52" s="4"/>
      <c r="C52" s="4"/>
      <c r="D52" s="4"/>
      <c r="E52" s="4"/>
      <c r="F52" s="4"/>
      <c r="G52" s="4"/>
      <c r="H52" s="4"/>
      <c r="I52" s="4"/>
      <c r="J52" s="4"/>
      <c r="K52" s="4"/>
      <c r="L52" s="4"/>
      <c r="M52" s="4"/>
      <c r="N52" s="4"/>
    </row>
    <row r="53" spans="2:14">
      <c r="B53" s="4"/>
      <c r="C53" s="4"/>
      <c r="D53" s="4"/>
      <c r="E53" s="4"/>
      <c r="F53" s="4"/>
      <c r="G53" s="4"/>
      <c r="H53" s="4"/>
      <c r="I53" s="4"/>
      <c r="J53" s="4"/>
      <c r="K53" s="4"/>
      <c r="L53" s="4"/>
      <c r="M53" s="4"/>
      <c r="N53" s="4"/>
    </row>
    <row r="54" spans="2:14">
      <c r="B54" s="4"/>
      <c r="C54" s="4"/>
      <c r="D54" s="4"/>
      <c r="E54" s="4"/>
      <c r="F54" s="4"/>
      <c r="G54" s="4"/>
      <c r="H54" s="4"/>
      <c r="I54" s="4"/>
      <c r="J54" s="4"/>
      <c r="K54" s="4"/>
      <c r="L54" s="4"/>
      <c r="M54" s="4"/>
      <c r="N54" s="4"/>
    </row>
    <row r="55" spans="2:14">
      <c r="B55" s="4"/>
      <c r="C55" s="4"/>
      <c r="D55" s="4"/>
      <c r="E55" s="4"/>
      <c r="F55" s="4"/>
      <c r="G55" s="4"/>
      <c r="H55" s="4"/>
      <c r="I55" s="4"/>
      <c r="J55" s="4"/>
      <c r="K55" s="4"/>
      <c r="L55" s="4"/>
      <c r="M55" s="4"/>
      <c r="N55" s="4"/>
    </row>
    <row r="56" spans="2:14">
      <c r="B56" s="4"/>
      <c r="C56" s="4"/>
      <c r="D56" s="4"/>
      <c r="E56" s="4"/>
      <c r="F56" s="4"/>
      <c r="G56" s="4"/>
      <c r="H56" s="4"/>
      <c r="I56" s="4"/>
      <c r="J56" s="4"/>
      <c r="K56" s="4"/>
      <c r="L56" s="4"/>
      <c r="M56" s="4"/>
      <c r="N56" s="4"/>
    </row>
    <row r="57" spans="2:14">
      <c r="B57" s="4"/>
      <c r="C57" s="4"/>
      <c r="D57" s="4"/>
      <c r="E57" s="4"/>
      <c r="F57" s="4"/>
      <c r="G57" s="4"/>
      <c r="H57" s="4"/>
      <c r="I57" s="4"/>
      <c r="J57" s="4"/>
      <c r="K57" s="4"/>
      <c r="L57" s="4"/>
      <c r="M57" s="4"/>
      <c r="N57" s="4"/>
    </row>
    <row r="58" spans="2:14">
      <c r="B58" s="4"/>
      <c r="C58" s="4"/>
      <c r="D58" s="4"/>
      <c r="E58" s="4"/>
      <c r="F58" s="4"/>
      <c r="G58" s="4"/>
      <c r="H58" s="4"/>
      <c r="I58" s="4"/>
      <c r="J58" s="4"/>
      <c r="K58" s="4"/>
      <c r="L58" s="4"/>
      <c r="M58" s="4"/>
      <c r="N58" s="4"/>
    </row>
    <row r="59" spans="2:14">
      <c r="B59" s="4"/>
      <c r="C59" s="4"/>
      <c r="D59" s="4"/>
      <c r="E59" s="4"/>
      <c r="F59" s="4"/>
      <c r="G59" s="4"/>
      <c r="H59" s="4"/>
      <c r="I59" s="4"/>
      <c r="J59" s="4"/>
      <c r="K59" s="4"/>
      <c r="L59" s="4"/>
      <c r="M59" s="4"/>
      <c r="N59" s="4"/>
    </row>
    <row r="60" spans="2:14">
      <c r="B60" s="4"/>
      <c r="C60" s="4"/>
      <c r="D60" s="4"/>
      <c r="E60" s="4"/>
      <c r="F60" s="4"/>
      <c r="G60" s="4"/>
      <c r="H60" s="4"/>
      <c r="I60" s="4"/>
      <c r="J60" s="4"/>
      <c r="K60" s="4"/>
      <c r="L60" s="4"/>
      <c r="M60" s="4"/>
      <c r="N60" s="4"/>
    </row>
    <row r="61" spans="2:14">
      <c r="B61" s="4"/>
      <c r="C61" s="4"/>
      <c r="D61" s="4"/>
      <c r="E61" s="4"/>
      <c r="F61" s="4"/>
      <c r="G61" s="4"/>
      <c r="H61" s="4"/>
      <c r="I61" s="4"/>
      <c r="J61" s="4"/>
      <c r="K61" s="4"/>
      <c r="L61" s="4"/>
      <c r="M61" s="4"/>
      <c r="N61" s="4"/>
    </row>
    <row r="62" spans="2:14">
      <c r="B62" s="4"/>
      <c r="C62" s="4"/>
      <c r="D62" s="4"/>
      <c r="E62" s="4"/>
      <c r="F62" s="4"/>
      <c r="G62" s="4"/>
      <c r="H62" s="4"/>
      <c r="I62" s="4"/>
      <c r="J62" s="4"/>
      <c r="K62" s="4"/>
      <c r="L62" s="4"/>
      <c r="M62" s="4"/>
      <c r="N62" s="4"/>
    </row>
    <row r="63" spans="2:14">
      <c r="B63" s="4"/>
      <c r="C63" s="4"/>
      <c r="D63" s="4"/>
      <c r="E63" s="4"/>
      <c r="F63" s="4"/>
      <c r="G63" s="4"/>
      <c r="H63" s="4"/>
      <c r="I63" s="4"/>
      <c r="J63" s="4"/>
      <c r="K63" s="4"/>
      <c r="L63" s="4"/>
      <c r="M63" s="4"/>
      <c r="N63" s="4"/>
    </row>
    <row r="64" spans="2:14">
      <c r="B64" s="4"/>
      <c r="C64" s="4"/>
      <c r="D64" s="4"/>
      <c r="E64" s="4"/>
      <c r="F64" s="4"/>
      <c r="G64" s="4"/>
      <c r="H64" s="4"/>
      <c r="I64" s="4"/>
      <c r="J64" s="4"/>
      <c r="K64" s="4"/>
      <c r="L64" s="4"/>
      <c r="M64" s="4"/>
      <c r="N64" s="4"/>
    </row>
    <row r="65" spans="2:14">
      <c r="B65" s="4"/>
      <c r="C65" s="4"/>
      <c r="D65" s="4"/>
      <c r="E65" s="4"/>
      <c r="F65" s="4"/>
      <c r="G65" s="4"/>
      <c r="H65" s="4"/>
      <c r="I65" s="4"/>
      <c r="J65" s="4"/>
      <c r="K65" s="4"/>
      <c r="L65" s="4"/>
      <c r="M65" s="4"/>
      <c r="N65" s="4"/>
    </row>
    <row r="66" spans="2:14">
      <c r="B66" s="4"/>
      <c r="C66" s="4"/>
      <c r="D66" s="4"/>
      <c r="E66" s="4"/>
      <c r="F66" s="4"/>
      <c r="G66" s="4"/>
      <c r="H66" s="4"/>
      <c r="I66" s="4"/>
      <c r="J66" s="4"/>
      <c r="K66" s="4"/>
      <c r="L66" s="4"/>
      <c r="M66" s="4"/>
      <c r="N66" s="4"/>
    </row>
    <row r="67" spans="2:14">
      <c r="B67" s="4"/>
      <c r="C67" s="4"/>
      <c r="D67" s="4"/>
      <c r="E67" s="4"/>
      <c r="F67" s="4"/>
      <c r="G67" s="4"/>
      <c r="H67" s="4"/>
      <c r="I67" s="4"/>
      <c r="J67" s="4"/>
      <c r="K67" s="4"/>
      <c r="L67" s="4"/>
      <c r="M67" s="4"/>
      <c r="N67" s="4"/>
    </row>
    <row r="68" spans="2:14">
      <c r="B68" s="4"/>
      <c r="C68" s="4"/>
      <c r="D68" s="4"/>
      <c r="E68" s="4"/>
      <c r="F68" s="4"/>
      <c r="G68" s="4"/>
      <c r="H68" s="4"/>
      <c r="I68" s="4"/>
      <c r="J68" s="4"/>
      <c r="K68" s="4"/>
      <c r="L68" s="4"/>
      <c r="M68" s="4"/>
      <c r="N68" s="4"/>
    </row>
    <row r="69" spans="2:14">
      <c r="B69" s="4"/>
      <c r="C69" s="4"/>
      <c r="D69" s="4"/>
      <c r="E69" s="4"/>
      <c r="F69" s="4"/>
      <c r="G69" s="4"/>
      <c r="H69" s="4"/>
      <c r="I69" s="4"/>
      <c r="J69" s="4"/>
      <c r="K69" s="4"/>
      <c r="L69" s="4"/>
      <c r="M69" s="4"/>
      <c r="N69" s="4"/>
    </row>
    <row r="70" spans="2:14">
      <c r="B70" s="4"/>
      <c r="C70" s="4"/>
      <c r="D70" s="4"/>
      <c r="E70" s="4"/>
      <c r="F70" s="4"/>
      <c r="G70" s="4"/>
      <c r="H70" s="4"/>
      <c r="I70" s="4"/>
      <c r="J70" s="4"/>
      <c r="K70" s="4"/>
      <c r="L70" s="4"/>
      <c r="M70" s="4"/>
      <c r="N70" s="4"/>
    </row>
    <row r="71" spans="2:14">
      <c r="B71" s="4"/>
      <c r="C71" s="4"/>
      <c r="D71" s="4"/>
      <c r="E71" s="4"/>
      <c r="F71" s="4"/>
      <c r="G71" s="4"/>
      <c r="H71" s="4"/>
      <c r="I71" s="4"/>
      <c r="J71" s="4"/>
      <c r="K71" s="4"/>
      <c r="L71" s="4"/>
      <c r="M71" s="4"/>
      <c r="N71" s="4"/>
    </row>
    <row r="72" spans="2:14">
      <c r="B72" s="4"/>
      <c r="C72" s="4"/>
      <c r="D72" s="4"/>
      <c r="E72" s="4"/>
      <c r="F72" s="4"/>
      <c r="G72" s="4"/>
      <c r="H72" s="4"/>
      <c r="I72" s="4"/>
      <c r="J72" s="4"/>
      <c r="K72" s="4"/>
      <c r="L72" s="4"/>
      <c r="M72" s="4"/>
      <c r="N72" s="4"/>
    </row>
    <row r="73" spans="2:14">
      <c r="B73" s="4"/>
      <c r="C73" s="4"/>
      <c r="D73" s="4"/>
      <c r="E73" s="4"/>
      <c r="F73" s="4"/>
      <c r="G73" s="4"/>
      <c r="H73" s="4"/>
      <c r="I73" s="4"/>
      <c r="J73" s="4"/>
      <c r="K73" s="4"/>
      <c r="L73" s="4"/>
      <c r="M73" s="4"/>
      <c r="N73" s="4"/>
    </row>
    <row r="74" spans="2:14">
      <c r="B74" s="4"/>
      <c r="C74" s="4"/>
      <c r="D74" s="4"/>
      <c r="E74" s="4"/>
      <c r="F74" s="4"/>
      <c r="G74" s="4"/>
      <c r="H74" s="4"/>
      <c r="I74" s="4"/>
      <c r="J74" s="4"/>
      <c r="K74" s="4"/>
      <c r="L74" s="4"/>
      <c r="M74" s="4"/>
      <c r="N74" s="4"/>
    </row>
    <row r="75" spans="2:14">
      <c r="B75" s="4"/>
      <c r="C75" s="4"/>
      <c r="D75" s="4"/>
      <c r="E75" s="4"/>
      <c r="F75" s="4"/>
      <c r="G75" s="4"/>
      <c r="H75" s="4"/>
      <c r="I75" s="4"/>
      <c r="J75" s="4"/>
      <c r="K75" s="4"/>
      <c r="L75" s="4"/>
      <c r="M75" s="4"/>
      <c r="N75" s="4"/>
    </row>
    <row r="76" spans="2:14">
      <c r="B76" s="4"/>
      <c r="C76" s="4"/>
      <c r="D76" s="4"/>
      <c r="E76" s="4"/>
      <c r="F76" s="4"/>
      <c r="G76" s="4"/>
      <c r="H76" s="4"/>
      <c r="I76" s="4"/>
      <c r="J76" s="4"/>
      <c r="K76" s="4"/>
      <c r="L76" s="4"/>
      <c r="M76" s="4"/>
      <c r="N76" s="4"/>
    </row>
    <row r="77" spans="2:14">
      <c r="B77" s="4"/>
      <c r="C77" s="4"/>
      <c r="D77" s="4"/>
      <c r="E77" s="4"/>
      <c r="F77" s="4"/>
      <c r="G77" s="4"/>
      <c r="H77" s="4"/>
      <c r="I77" s="4"/>
      <c r="J77" s="4"/>
      <c r="K77" s="4"/>
      <c r="L77" s="4"/>
      <c r="M77" s="4"/>
      <c r="N77" s="4"/>
    </row>
    <row r="78" spans="2:14">
      <c r="B78" s="4"/>
      <c r="C78" s="4"/>
      <c r="D78" s="4"/>
      <c r="E78" s="4"/>
      <c r="F78" s="4"/>
      <c r="G78" s="4"/>
      <c r="H78" s="4"/>
      <c r="I78" s="4"/>
      <c r="J78" s="4"/>
      <c r="K78" s="4"/>
      <c r="L78" s="4"/>
      <c r="M78" s="4"/>
      <c r="N78" s="4"/>
    </row>
    <row r="79" spans="2:14">
      <c r="B79" s="4"/>
      <c r="C79" s="4"/>
      <c r="D79" s="4"/>
      <c r="E79" s="4"/>
      <c r="F79" s="4"/>
      <c r="G79" s="4"/>
      <c r="H79" s="4"/>
      <c r="I79" s="4"/>
      <c r="J79" s="4"/>
      <c r="K79" s="4"/>
      <c r="L79" s="4"/>
      <c r="M79" s="4"/>
      <c r="N79" s="4"/>
    </row>
    <row r="80" spans="2:14">
      <c r="B80" s="4"/>
      <c r="C80" s="4"/>
      <c r="D80" s="4"/>
      <c r="E80" s="4"/>
      <c r="F80" s="4"/>
      <c r="G80" s="4"/>
      <c r="H80" s="4"/>
      <c r="I80" s="4"/>
      <c r="J80" s="4"/>
      <c r="K80" s="4"/>
      <c r="L80" s="4"/>
      <c r="M80" s="4"/>
      <c r="N80" s="4"/>
    </row>
    <row r="81" spans="2:14">
      <c r="B81" s="4"/>
      <c r="C81" s="4"/>
      <c r="D81" s="4"/>
      <c r="E81" s="4"/>
      <c r="F81" s="4"/>
      <c r="G81" s="4"/>
      <c r="H81" s="4"/>
      <c r="I81" s="4"/>
      <c r="J81" s="4"/>
      <c r="K81" s="4"/>
      <c r="L81" s="4"/>
      <c r="M81" s="4"/>
      <c r="N81" s="4"/>
    </row>
    <row r="82" spans="2:14">
      <c r="B82" s="4"/>
      <c r="C82" s="4"/>
      <c r="D82" s="4"/>
      <c r="E82" s="4"/>
      <c r="F82" s="4"/>
      <c r="G82" s="4"/>
      <c r="H82" s="4"/>
      <c r="I82" s="4"/>
      <c r="J82" s="4"/>
      <c r="K82" s="4"/>
      <c r="L82" s="4"/>
      <c r="M82" s="4"/>
      <c r="N82" s="4"/>
    </row>
    <row r="83" spans="2:14">
      <c r="B83" s="4"/>
      <c r="C83" s="4"/>
      <c r="D83" s="4"/>
      <c r="E83" s="4"/>
      <c r="F83" s="4"/>
      <c r="G83" s="4"/>
      <c r="H83" s="4"/>
      <c r="I83" s="4"/>
      <c r="J83" s="4"/>
      <c r="K83" s="4"/>
      <c r="L83" s="4"/>
      <c r="M83" s="4"/>
      <c r="N83" s="4"/>
    </row>
    <row r="84" spans="2:14">
      <c r="B84" s="4"/>
      <c r="C84" s="4"/>
      <c r="D84" s="4"/>
      <c r="E84" s="4"/>
      <c r="F84" s="4"/>
      <c r="G84" s="4"/>
      <c r="H84" s="4"/>
      <c r="I84" s="4"/>
      <c r="J84" s="4"/>
      <c r="K84" s="4"/>
      <c r="L84" s="4"/>
      <c r="M84" s="4"/>
      <c r="N84" s="4"/>
    </row>
    <row r="85" spans="2:14">
      <c r="B85" s="4"/>
      <c r="C85" s="4"/>
      <c r="D85" s="4"/>
      <c r="E85" s="4"/>
      <c r="F85" s="4"/>
      <c r="G85" s="4"/>
      <c r="H85" s="4"/>
      <c r="I85" s="4"/>
      <c r="J85" s="4"/>
      <c r="K85" s="4"/>
      <c r="L85" s="4"/>
      <c r="M85" s="4"/>
      <c r="N85" s="4"/>
    </row>
    <row r="86" spans="2:14">
      <c r="B86" s="4"/>
      <c r="C86" s="4"/>
      <c r="D86" s="4"/>
      <c r="E86" s="4"/>
      <c r="F86" s="4"/>
      <c r="G86" s="4"/>
      <c r="H86" s="4"/>
      <c r="I86" s="4"/>
      <c r="J86" s="4"/>
      <c r="K86" s="4"/>
      <c r="L86" s="4"/>
      <c r="M86" s="4"/>
      <c r="N86" s="4"/>
    </row>
    <row r="87" spans="2:14">
      <c r="B87" s="4"/>
      <c r="C87" s="4"/>
      <c r="D87" s="4"/>
      <c r="E87" s="4"/>
      <c r="F87" s="4"/>
      <c r="G87" s="4"/>
      <c r="H87" s="4"/>
      <c r="I87" s="4"/>
      <c r="J87" s="4"/>
      <c r="K87" s="4"/>
      <c r="L87" s="4"/>
      <c r="M87" s="4"/>
      <c r="N87" s="4"/>
    </row>
    <row r="88" spans="2:14">
      <c r="B88" s="4"/>
      <c r="C88" s="4"/>
      <c r="D88" s="4"/>
      <c r="E88" s="4"/>
      <c r="F88" s="4"/>
      <c r="G88" s="4"/>
      <c r="H88" s="4"/>
      <c r="I88" s="4"/>
      <c r="J88" s="4"/>
      <c r="K88" s="4"/>
      <c r="L88" s="4"/>
      <c r="M88" s="4"/>
      <c r="N88" s="4"/>
    </row>
    <row r="89" spans="2:14">
      <c r="B89" s="4"/>
      <c r="C89" s="4"/>
      <c r="D89" s="4"/>
      <c r="E89" s="4"/>
      <c r="F89" s="4"/>
      <c r="G89" s="4"/>
      <c r="H89" s="4"/>
      <c r="I89" s="4"/>
      <c r="J89" s="4"/>
      <c r="K89" s="4"/>
      <c r="L89" s="4"/>
      <c r="M89" s="4"/>
      <c r="N89" s="4"/>
    </row>
    <row r="90" spans="2:14">
      <c r="B90" s="4"/>
      <c r="C90" s="4"/>
      <c r="D90" s="4"/>
      <c r="E90" s="4"/>
      <c r="F90" s="4"/>
      <c r="G90" s="4"/>
      <c r="H90" s="4"/>
      <c r="I90" s="4"/>
      <c r="J90" s="4"/>
      <c r="K90" s="4"/>
      <c r="L90" s="4"/>
      <c r="M90" s="4"/>
      <c r="N90" s="4"/>
    </row>
    <row r="91" spans="2:14">
      <c r="B91" s="4"/>
      <c r="C91" s="4"/>
      <c r="D91" s="4"/>
      <c r="E91" s="4"/>
      <c r="F91" s="4"/>
      <c r="G91" s="4"/>
      <c r="H91" s="4"/>
      <c r="I91" s="4"/>
      <c r="J91" s="4"/>
      <c r="K91" s="4"/>
      <c r="L91" s="4"/>
      <c r="M91" s="4"/>
      <c r="N91" s="4"/>
    </row>
    <row r="92" spans="2:14">
      <c r="B92" s="4"/>
      <c r="C92" s="4"/>
      <c r="D92" s="4"/>
      <c r="E92" s="4"/>
      <c r="F92" s="4"/>
      <c r="G92" s="4"/>
      <c r="H92" s="4"/>
      <c r="I92" s="4"/>
      <c r="J92" s="4"/>
      <c r="K92" s="4"/>
      <c r="L92" s="4"/>
      <c r="M92" s="4"/>
      <c r="N92" s="4"/>
    </row>
    <row r="93" spans="2:14">
      <c r="B93" s="4"/>
      <c r="C93" s="4"/>
      <c r="D93" s="4"/>
      <c r="E93" s="4"/>
      <c r="F93" s="4"/>
      <c r="G93" s="4"/>
      <c r="H93" s="4"/>
      <c r="I93" s="4"/>
      <c r="J93" s="4"/>
      <c r="K93" s="4"/>
      <c r="L93" s="4"/>
      <c r="M93" s="4"/>
      <c r="N93" s="4"/>
    </row>
    <row r="94" spans="2:14">
      <c r="B94" s="4"/>
      <c r="C94" s="4"/>
      <c r="D94" s="4"/>
      <c r="E94" s="4"/>
      <c r="F94" s="4"/>
      <c r="G94" s="4"/>
      <c r="H94" s="4"/>
      <c r="I94" s="4"/>
      <c r="J94" s="4"/>
      <c r="K94" s="4"/>
      <c r="L94" s="4"/>
      <c r="M94" s="4"/>
      <c r="N94" s="4"/>
    </row>
    <row r="95" spans="2:14">
      <c r="B95" s="4"/>
      <c r="C95" s="4"/>
      <c r="D95" s="4"/>
      <c r="E95" s="4"/>
      <c r="F95" s="4"/>
      <c r="G95" s="4"/>
      <c r="H95" s="4"/>
      <c r="I95" s="4"/>
      <c r="J95" s="4"/>
      <c r="K95" s="4"/>
      <c r="L95" s="4"/>
      <c r="M95" s="4"/>
      <c r="N95" s="4"/>
    </row>
    <row r="96" spans="2:14">
      <c r="B96" s="4"/>
      <c r="C96" s="4"/>
      <c r="D96" s="4"/>
      <c r="E96" s="4"/>
      <c r="F96" s="4"/>
      <c r="G96" s="4"/>
      <c r="H96" s="4"/>
      <c r="I96" s="4"/>
      <c r="J96" s="4"/>
      <c r="K96" s="4"/>
      <c r="L96" s="4"/>
      <c r="M96" s="4"/>
      <c r="N96" s="4"/>
    </row>
    <row r="97" spans="2:14">
      <c r="B97" s="4"/>
      <c r="C97" s="4"/>
      <c r="D97" s="4"/>
      <c r="E97" s="4"/>
      <c r="F97" s="4"/>
      <c r="G97" s="4"/>
      <c r="H97" s="4"/>
      <c r="I97" s="4"/>
      <c r="J97" s="4"/>
      <c r="K97" s="4"/>
      <c r="L97" s="4"/>
      <c r="M97" s="4"/>
      <c r="N97" s="4"/>
    </row>
    <row r="98" spans="2:14">
      <c r="B98" s="4"/>
      <c r="C98" s="4"/>
      <c r="D98" s="4"/>
      <c r="E98" s="4"/>
      <c r="F98" s="4"/>
      <c r="G98" s="4"/>
      <c r="H98" s="4"/>
      <c r="I98" s="4"/>
      <c r="J98" s="4"/>
      <c r="K98" s="4"/>
      <c r="L98" s="4"/>
      <c r="M98" s="4"/>
      <c r="N98" s="4"/>
    </row>
    <row r="99" spans="2:14">
      <c r="B99" s="4"/>
      <c r="C99" s="4"/>
      <c r="D99" s="4"/>
      <c r="E99" s="4"/>
      <c r="F99" s="4"/>
      <c r="G99" s="4"/>
      <c r="H99" s="4"/>
      <c r="I99" s="4"/>
      <c r="J99" s="4"/>
      <c r="K99" s="4"/>
      <c r="L99" s="4"/>
      <c r="M99" s="4"/>
      <c r="N99" s="4"/>
    </row>
    <row r="100" spans="2:14">
      <c r="B100" s="4"/>
      <c r="C100" s="4"/>
      <c r="D100" s="4"/>
      <c r="E100" s="4"/>
      <c r="F100" s="4"/>
      <c r="G100" s="4"/>
      <c r="H100" s="4"/>
      <c r="I100" s="4"/>
      <c r="J100" s="4"/>
      <c r="K100" s="4"/>
      <c r="L100" s="4"/>
      <c r="M100" s="4"/>
      <c r="N100" s="4"/>
    </row>
    <row r="101" spans="2:14">
      <c r="B101" s="4"/>
      <c r="C101" s="4"/>
      <c r="D101" s="4"/>
      <c r="E101" s="4"/>
      <c r="F101" s="4"/>
      <c r="G101" s="4"/>
      <c r="H101" s="4"/>
      <c r="I101" s="4"/>
      <c r="J101" s="4"/>
      <c r="K101" s="4"/>
      <c r="L101" s="4"/>
      <c r="M101" s="4"/>
      <c r="N101" s="4"/>
    </row>
    <row r="102" spans="2:14">
      <c r="B102" s="4"/>
      <c r="C102" s="4"/>
      <c r="D102" s="4"/>
      <c r="E102" s="4"/>
      <c r="F102" s="4"/>
      <c r="G102" s="4"/>
      <c r="H102" s="4"/>
      <c r="I102" s="4"/>
      <c r="J102" s="4"/>
      <c r="K102" s="4"/>
      <c r="L102" s="4"/>
      <c r="M102" s="4"/>
      <c r="N102" s="4"/>
    </row>
    <row r="103" spans="2:14">
      <c r="B103" s="4"/>
      <c r="C103" s="4"/>
      <c r="D103" s="4"/>
      <c r="E103" s="4"/>
      <c r="F103" s="4"/>
      <c r="G103" s="4"/>
      <c r="H103" s="4"/>
      <c r="I103" s="4"/>
      <c r="J103" s="4"/>
      <c r="K103" s="4"/>
      <c r="L103" s="4"/>
      <c r="M103" s="4"/>
      <c r="N103" s="4"/>
    </row>
    <row r="104" spans="2:14">
      <c r="B104" s="4"/>
      <c r="C104" s="4"/>
      <c r="D104" s="4"/>
      <c r="E104" s="4"/>
      <c r="F104" s="4"/>
      <c r="G104" s="4"/>
      <c r="H104" s="4"/>
      <c r="I104" s="4"/>
      <c r="J104" s="4"/>
      <c r="K104" s="4"/>
      <c r="L104" s="4"/>
      <c r="M104" s="4"/>
      <c r="N104" s="4"/>
    </row>
    <row r="105" spans="2:14">
      <c r="B105" s="4"/>
      <c r="C105" s="4"/>
      <c r="D105" s="4"/>
      <c r="E105" s="4"/>
      <c r="F105" s="4"/>
      <c r="G105" s="4"/>
      <c r="H105" s="4"/>
      <c r="I105" s="4"/>
      <c r="J105" s="4"/>
      <c r="K105" s="4"/>
      <c r="L105" s="4"/>
      <c r="M105" s="4"/>
      <c r="N105" s="4"/>
    </row>
    <row r="106" spans="2:14">
      <c r="B106" s="4"/>
      <c r="C106" s="4"/>
      <c r="D106" s="4"/>
      <c r="E106" s="4"/>
      <c r="F106" s="4"/>
      <c r="G106" s="4"/>
      <c r="H106" s="4"/>
      <c r="I106" s="4"/>
      <c r="J106" s="4"/>
      <c r="K106" s="4"/>
      <c r="L106" s="4"/>
      <c r="M106" s="4"/>
      <c r="N106" s="4"/>
    </row>
    <row r="107" spans="2:14">
      <c r="B107" s="4"/>
      <c r="C107" s="4"/>
      <c r="D107" s="4"/>
      <c r="E107" s="4"/>
      <c r="F107" s="4"/>
      <c r="G107" s="4"/>
      <c r="H107" s="4"/>
      <c r="I107" s="4"/>
      <c r="J107" s="4"/>
      <c r="K107" s="4"/>
      <c r="L107" s="4"/>
      <c r="M107" s="4"/>
      <c r="N107" s="4"/>
    </row>
    <row r="108" spans="2:14">
      <c r="B108" s="4"/>
      <c r="C108" s="4"/>
      <c r="D108" s="4"/>
      <c r="E108" s="4"/>
      <c r="F108" s="4"/>
      <c r="G108" s="4"/>
      <c r="H108" s="4"/>
      <c r="I108" s="4"/>
      <c r="J108" s="4"/>
      <c r="K108" s="4"/>
      <c r="L108" s="4"/>
      <c r="M108" s="4"/>
      <c r="N108" s="4"/>
    </row>
    <row r="109" spans="2:14">
      <c r="B109" s="4"/>
      <c r="C109" s="4"/>
      <c r="D109" s="4"/>
      <c r="E109" s="4"/>
      <c r="F109" s="4"/>
      <c r="G109" s="4"/>
      <c r="H109" s="4"/>
      <c r="I109" s="4"/>
      <c r="J109" s="4"/>
      <c r="K109" s="4"/>
      <c r="L109" s="4"/>
      <c r="M109" s="4"/>
      <c r="N109" s="4"/>
    </row>
    <row r="110" spans="2:14">
      <c r="B110" s="4"/>
      <c r="C110" s="4"/>
      <c r="D110" s="4"/>
      <c r="E110" s="4"/>
      <c r="F110" s="4"/>
      <c r="G110" s="4"/>
      <c r="H110" s="4"/>
      <c r="I110" s="4"/>
      <c r="J110" s="4"/>
      <c r="K110" s="4"/>
      <c r="L110" s="4"/>
      <c r="M110" s="4"/>
      <c r="N110" s="4"/>
    </row>
    <row r="111" spans="2:14">
      <c r="B111" s="4"/>
      <c r="C111" s="4"/>
      <c r="D111" s="4"/>
      <c r="E111" s="4"/>
      <c r="F111" s="4"/>
      <c r="G111" s="4"/>
      <c r="H111" s="4"/>
      <c r="I111" s="4"/>
      <c r="J111" s="4"/>
      <c r="K111" s="4"/>
      <c r="L111" s="4"/>
      <c r="M111" s="4"/>
      <c r="N111" s="4"/>
    </row>
    <row r="112" spans="2:14">
      <c r="B112" s="4"/>
      <c r="C112" s="4"/>
      <c r="D112" s="4"/>
      <c r="E112" s="4"/>
      <c r="F112" s="4"/>
      <c r="G112" s="4"/>
      <c r="H112" s="4"/>
      <c r="I112" s="4"/>
      <c r="J112" s="4"/>
      <c r="K112" s="4"/>
      <c r="L112" s="4"/>
      <c r="M112" s="4"/>
      <c r="N112" s="4"/>
    </row>
    <row r="113" spans="2:14">
      <c r="B113" s="4"/>
      <c r="C113" s="4"/>
      <c r="D113" s="4"/>
      <c r="E113" s="4"/>
      <c r="F113" s="4"/>
      <c r="G113" s="4"/>
      <c r="H113" s="4"/>
      <c r="I113" s="4"/>
      <c r="J113" s="4"/>
      <c r="K113" s="4"/>
      <c r="L113" s="4"/>
      <c r="M113" s="4"/>
      <c r="N113" s="4"/>
    </row>
    <row r="114" spans="2:14">
      <c r="B114" s="4"/>
      <c r="C114" s="4"/>
      <c r="D114" s="4"/>
      <c r="E114" s="4"/>
      <c r="F114" s="4"/>
      <c r="G114" s="4"/>
      <c r="H114" s="4"/>
      <c r="I114" s="4"/>
      <c r="J114" s="4"/>
      <c r="K114" s="4"/>
      <c r="L114" s="4"/>
      <c r="M114" s="4"/>
      <c r="N114" s="4"/>
    </row>
    <row r="115" spans="2:14">
      <c r="B115" s="4"/>
      <c r="C115" s="4"/>
      <c r="D115" s="4"/>
      <c r="E115" s="4"/>
      <c r="F115" s="4"/>
      <c r="G115" s="4"/>
      <c r="H115" s="4"/>
      <c r="I115" s="4"/>
      <c r="J115" s="4"/>
      <c r="K115" s="4"/>
      <c r="L115" s="4"/>
      <c r="M115" s="4"/>
      <c r="N115" s="4"/>
    </row>
    <row r="116" spans="2:14">
      <c r="B116" s="4"/>
      <c r="C116" s="4"/>
      <c r="D116" s="4"/>
      <c r="E116" s="4"/>
      <c r="F116" s="4"/>
      <c r="G116" s="4"/>
      <c r="H116" s="4"/>
      <c r="I116" s="4"/>
      <c r="J116" s="4"/>
      <c r="K116" s="4"/>
      <c r="L116" s="4"/>
      <c r="M116" s="4"/>
      <c r="N116" s="4"/>
    </row>
    <row r="117" spans="2:14">
      <c r="B117" s="4"/>
      <c r="C117" s="4"/>
      <c r="D117" s="4"/>
      <c r="E117" s="4"/>
      <c r="F117" s="4"/>
      <c r="G117" s="4"/>
      <c r="H117" s="4"/>
      <c r="I117" s="4"/>
      <c r="J117" s="4"/>
      <c r="K117" s="4"/>
      <c r="L117" s="4"/>
      <c r="M117" s="4"/>
      <c r="N117" s="4"/>
    </row>
    <row r="118" spans="2:14">
      <c r="B118" s="4"/>
      <c r="C118" s="4"/>
      <c r="D118" s="4"/>
      <c r="E118" s="4"/>
      <c r="F118" s="4"/>
      <c r="G118" s="4"/>
      <c r="H118" s="4"/>
      <c r="I118" s="4"/>
      <c r="J118" s="4"/>
      <c r="K118" s="4"/>
      <c r="L118" s="4"/>
      <c r="M118" s="4"/>
      <c r="N118" s="4"/>
    </row>
    <row r="119" spans="2:14">
      <c r="B119" s="4"/>
      <c r="C119" s="4"/>
      <c r="D119" s="4"/>
      <c r="E119" s="4"/>
      <c r="F119" s="4"/>
      <c r="G119" s="4"/>
      <c r="H119" s="4"/>
      <c r="I119" s="4"/>
      <c r="J119" s="4"/>
      <c r="K119" s="4"/>
      <c r="L119" s="4"/>
      <c r="M119" s="4"/>
      <c r="N119" s="4"/>
    </row>
    <row r="120" spans="2:14">
      <c r="B120" s="4"/>
      <c r="C120" s="4"/>
      <c r="D120" s="4"/>
      <c r="E120" s="4"/>
      <c r="F120" s="4"/>
      <c r="G120" s="4"/>
      <c r="H120" s="4"/>
      <c r="I120" s="4"/>
      <c r="J120" s="4"/>
      <c r="K120" s="4"/>
      <c r="L120" s="4"/>
      <c r="M120" s="4"/>
      <c r="N120" s="4"/>
    </row>
    <row r="121" spans="2:14">
      <c r="B121" s="4"/>
      <c r="C121" s="4"/>
      <c r="D121" s="4"/>
      <c r="E121" s="4"/>
      <c r="F121" s="4"/>
      <c r="G121" s="4"/>
      <c r="H121" s="4"/>
      <c r="I121" s="4"/>
      <c r="J121" s="4"/>
      <c r="K121" s="4"/>
      <c r="L121" s="4"/>
      <c r="M121" s="4"/>
      <c r="N121" s="4"/>
    </row>
    <row r="122" spans="2:14">
      <c r="B122" s="4"/>
      <c r="C122" s="4"/>
      <c r="D122" s="4"/>
      <c r="E122" s="4"/>
      <c r="F122" s="4"/>
      <c r="G122" s="4"/>
      <c r="H122" s="4"/>
      <c r="I122" s="4"/>
      <c r="J122" s="4"/>
      <c r="K122" s="4"/>
      <c r="L122" s="4"/>
      <c r="M122" s="4"/>
      <c r="N122" s="4"/>
    </row>
    <row r="123" spans="2:14">
      <c r="B123" s="4"/>
      <c r="C123" s="4"/>
      <c r="D123" s="4"/>
      <c r="E123" s="4"/>
      <c r="F123" s="4"/>
      <c r="G123" s="4"/>
      <c r="H123" s="4"/>
      <c r="I123" s="4"/>
      <c r="J123" s="4"/>
      <c r="K123" s="4"/>
      <c r="L123" s="4"/>
      <c r="M123" s="4"/>
      <c r="N123" s="4"/>
    </row>
    <row r="124" spans="2:14">
      <c r="B124" s="4"/>
      <c r="C124" s="4"/>
      <c r="D124" s="4"/>
      <c r="E124" s="4"/>
      <c r="F124" s="4"/>
      <c r="G124" s="4"/>
      <c r="H124" s="4"/>
      <c r="I124" s="4"/>
      <c r="J124" s="4"/>
      <c r="K124" s="4"/>
      <c r="L124" s="4"/>
      <c r="M124" s="4"/>
      <c r="N124" s="4"/>
    </row>
    <row r="125" spans="2:14">
      <c r="B125" s="4"/>
      <c r="C125" s="4"/>
      <c r="D125" s="4"/>
      <c r="E125" s="4"/>
      <c r="F125" s="4"/>
      <c r="G125" s="4"/>
      <c r="H125" s="4"/>
      <c r="I125" s="4"/>
      <c r="J125" s="4"/>
      <c r="K125" s="4"/>
      <c r="L125" s="4"/>
      <c r="M125" s="4"/>
      <c r="N125" s="4"/>
    </row>
    <row r="126" spans="2:14">
      <c r="B126" s="4"/>
      <c r="C126" s="4"/>
      <c r="D126" s="4"/>
      <c r="E126" s="4"/>
      <c r="F126" s="4"/>
      <c r="G126" s="4"/>
      <c r="H126" s="4"/>
      <c r="I126" s="4"/>
      <c r="J126" s="4"/>
      <c r="K126" s="4"/>
      <c r="L126" s="4"/>
      <c r="M126" s="4"/>
      <c r="N126" s="4"/>
    </row>
    <row r="127" spans="2:14">
      <c r="B127" s="4"/>
      <c r="C127" s="4"/>
      <c r="D127" s="4"/>
      <c r="E127" s="4"/>
      <c r="F127" s="4"/>
      <c r="G127" s="4"/>
      <c r="H127" s="4"/>
      <c r="I127" s="4"/>
      <c r="J127" s="4"/>
      <c r="K127" s="4"/>
      <c r="L127" s="4"/>
      <c r="M127" s="4"/>
      <c r="N127" s="4"/>
    </row>
    <row r="128" spans="2:14">
      <c r="B128" s="4"/>
      <c r="C128" s="4"/>
      <c r="D128" s="4"/>
      <c r="E128" s="4"/>
      <c r="F128" s="4"/>
      <c r="G128" s="4"/>
      <c r="H128" s="4"/>
      <c r="I128" s="4"/>
      <c r="J128" s="4"/>
      <c r="K128" s="4"/>
      <c r="L128" s="4"/>
      <c r="M128" s="4"/>
      <c r="N128" s="4"/>
    </row>
    <row r="129" spans="2:14">
      <c r="B129" s="4"/>
      <c r="C129" s="4"/>
      <c r="D129" s="4"/>
      <c r="E129" s="4"/>
      <c r="F129" s="4"/>
      <c r="G129" s="4"/>
      <c r="H129" s="4"/>
      <c r="I129" s="4"/>
      <c r="J129" s="4"/>
      <c r="K129" s="4"/>
      <c r="L129" s="4"/>
      <c r="M129" s="4"/>
      <c r="N129" s="4"/>
    </row>
  </sheetData>
  <customSheetViews>
    <customSheetView guid="{6B74E52F-9552-408A-8775-25AFF24E6639}" scale="75" fitToPage="1" showRuler="0">
      <selection activeCell="A6" sqref="A6"/>
      <pageMargins left="0.75" right="0.75" top="1" bottom="1" header="0.5" footer="0.5"/>
      <pageSetup scale="79" orientation="landscape" r:id="rId1"/>
      <headerFooter alignWithMargins="0">
        <oddFooter>&amp;L&amp;Z
&amp;F&amp;C&amp;A&amp;R27.&amp;P</oddFooter>
      </headerFooter>
    </customSheetView>
  </customSheetViews>
  <mergeCells count="3">
    <mergeCell ref="A1:L1"/>
    <mergeCell ref="A2:L2"/>
    <mergeCell ref="A3:L3"/>
  </mergeCells>
  <phoneticPr fontId="0" type="noConversion"/>
  <pageMargins left="0.75" right="0.75" top="1" bottom="1" header="0.5" footer="0.5"/>
  <pageSetup scale="79" orientation="landscape" r:id="rId2"/>
  <headerFooter alignWithMargins="0">
    <oddFooter>&amp;L&amp;Z
&amp;F&amp;C&amp;A&amp;R27.&amp;P</oddFooter>
  </headerFooter>
</worksheet>
</file>

<file path=xl/worksheets/sheet114.xml><?xml version="1.0" encoding="utf-8"?>
<worksheet xmlns="http://schemas.openxmlformats.org/spreadsheetml/2006/main" xmlns:r="http://schemas.openxmlformats.org/officeDocument/2006/relationships">
  <sheetPr codeName="Sheet81">
    <pageSetUpPr fitToPage="1"/>
  </sheetPr>
  <dimension ref="A1:N126"/>
  <sheetViews>
    <sheetView zoomScale="75" workbookViewId="0">
      <selection sqref="A1:L1"/>
    </sheetView>
  </sheetViews>
  <sheetFormatPr defaultRowHeight="12.75"/>
  <cols>
    <col min="1" max="1" width="40.5703125" bestFit="1" customWidth="1"/>
    <col min="2" max="2" width="17.7109375" customWidth="1"/>
    <col min="3" max="3" width="1.7109375" customWidth="1"/>
    <col min="4" max="4" width="17.7109375" customWidth="1"/>
    <col min="5" max="5" width="1.7109375" customWidth="1"/>
    <col min="6" max="6" width="17.7109375" customWidth="1"/>
    <col min="7" max="7" width="1.7109375" customWidth="1"/>
    <col min="8" max="8" width="17.7109375" customWidth="1"/>
    <col min="9" max="9" width="1.7109375" customWidth="1"/>
    <col min="10" max="10" width="17.7109375" customWidth="1"/>
    <col min="11" max="11" width="1.7109375" customWidth="1"/>
    <col min="12" max="12" width="17.7109375" customWidth="1"/>
  </cols>
  <sheetData>
    <row r="1" spans="1:14" s="38" customFormat="1" ht="15.75">
      <c r="A1" s="366" t="s">
        <v>134</v>
      </c>
      <c r="B1" s="366"/>
      <c r="C1" s="366"/>
      <c r="D1" s="366"/>
      <c r="E1" s="366"/>
      <c r="F1" s="366"/>
      <c r="G1" s="366"/>
      <c r="H1" s="366"/>
      <c r="I1" s="366"/>
      <c r="J1" s="366"/>
      <c r="K1" s="366"/>
      <c r="L1" s="366"/>
    </row>
    <row r="2" spans="1:14" s="38" customFormat="1" ht="15.75">
      <c r="A2" s="366" t="s">
        <v>1236</v>
      </c>
      <c r="B2" s="366"/>
      <c r="C2" s="366"/>
      <c r="D2" s="366"/>
      <c r="E2" s="366"/>
      <c r="F2" s="366"/>
      <c r="G2" s="366"/>
      <c r="H2" s="366"/>
      <c r="I2" s="366"/>
      <c r="J2" s="366"/>
      <c r="K2" s="366"/>
      <c r="L2" s="366"/>
    </row>
    <row r="3" spans="1:14">
      <c r="A3" s="357" t="str">
        <f>'Summary - Cost - PG 1 (Fin)'!A3:N3</f>
        <v>MARCH 2012</v>
      </c>
      <c r="B3" s="357"/>
      <c r="C3" s="357"/>
      <c r="D3" s="357"/>
      <c r="E3" s="357"/>
      <c r="F3" s="357"/>
      <c r="G3" s="357"/>
      <c r="H3" s="357"/>
      <c r="I3" s="357"/>
      <c r="J3" s="357"/>
      <c r="K3" s="357"/>
      <c r="L3" s="357"/>
    </row>
    <row r="4" spans="1:14">
      <c r="A4" s="30"/>
      <c r="B4" s="30"/>
      <c r="C4" s="30"/>
      <c r="D4" s="30"/>
      <c r="E4" s="30"/>
      <c r="F4" s="30"/>
      <c r="G4" s="30"/>
      <c r="H4" s="30"/>
      <c r="I4" s="30"/>
      <c r="J4" s="30"/>
      <c r="K4" s="30"/>
      <c r="L4" s="30"/>
    </row>
    <row r="6" spans="1:14">
      <c r="B6" s="41" t="s">
        <v>25</v>
      </c>
      <c r="D6" s="45"/>
      <c r="F6" s="45"/>
      <c r="H6" s="41" t="s">
        <v>612</v>
      </c>
      <c r="J6" s="45"/>
      <c r="L6" s="41" t="s">
        <v>26</v>
      </c>
    </row>
    <row r="7" spans="1:14" s="10" customFormat="1">
      <c r="B7" s="42" t="s">
        <v>27</v>
      </c>
      <c r="C7"/>
      <c r="D7" s="42" t="s">
        <v>107</v>
      </c>
      <c r="E7"/>
      <c r="F7" s="42" t="s">
        <v>108</v>
      </c>
      <c r="G7"/>
      <c r="H7" s="42" t="s">
        <v>613</v>
      </c>
      <c r="I7"/>
      <c r="J7" s="42" t="s">
        <v>109</v>
      </c>
      <c r="K7"/>
      <c r="L7" s="42" t="s">
        <v>27</v>
      </c>
    </row>
    <row r="8" spans="1:14" s="10" customFormat="1">
      <c r="B8"/>
      <c r="C8"/>
      <c r="D8"/>
      <c r="E8"/>
      <c r="F8"/>
      <c r="G8"/>
      <c r="H8"/>
      <c r="I8"/>
      <c r="J8"/>
      <c r="K8"/>
      <c r="L8"/>
    </row>
    <row r="9" spans="1:14" s="10" customFormat="1">
      <c r="A9" s="12" t="s">
        <v>499</v>
      </c>
      <c r="B9"/>
      <c r="C9"/>
      <c r="D9"/>
      <c r="E9"/>
      <c r="F9"/>
      <c r="G9"/>
      <c r="H9"/>
      <c r="I9"/>
      <c r="J9"/>
      <c r="K9"/>
      <c r="L9"/>
    </row>
    <row r="10" spans="1:14">
      <c r="A10" t="s">
        <v>500</v>
      </c>
      <c r="B10" s="45">
        <v>0</v>
      </c>
      <c r="C10" s="45"/>
      <c r="D10" s="45">
        <f>-74076.28+74076.28</f>
        <v>0</v>
      </c>
      <c r="E10" s="45"/>
      <c r="F10" s="45">
        <v>0</v>
      </c>
      <c r="G10" s="45"/>
      <c r="H10" s="45">
        <v>0</v>
      </c>
      <c r="I10" s="45"/>
      <c r="J10" s="45">
        <v>0</v>
      </c>
      <c r="K10" s="45"/>
      <c r="L10" s="45">
        <v>0</v>
      </c>
      <c r="M10" s="4"/>
      <c r="N10" s="4"/>
    </row>
    <row r="11" spans="1:14" ht="13.5" thickBot="1">
      <c r="B11" s="46">
        <f>SUM(B10:B10)</f>
        <v>0</v>
      </c>
      <c r="C11" s="45"/>
      <c r="D11" s="46">
        <f>SUM(D10:D10)</f>
        <v>0</v>
      </c>
      <c r="E11" s="45"/>
      <c r="F11" s="46">
        <f>SUM(F10:F10)</f>
        <v>0</v>
      </c>
      <c r="G11" s="45"/>
      <c r="H11" s="46">
        <f>SUM(H10:H10)</f>
        <v>0</v>
      </c>
      <c r="I11" s="45"/>
      <c r="J11" s="46">
        <f>SUM(J10:J10)</f>
        <v>0</v>
      </c>
      <c r="K11" s="45"/>
      <c r="L11" s="46">
        <f>SUM(L10:L10)</f>
        <v>0</v>
      </c>
      <c r="M11" s="4"/>
      <c r="N11" s="4"/>
    </row>
    <row r="12" spans="1:14" ht="13.5" thickTop="1">
      <c r="B12" s="45"/>
      <c r="C12" s="45"/>
      <c r="D12" s="45"/>
      <c r="E12" s="45"/>
      <c r="F12" s="45"/>
      <c r="G12" s="45"/>
      <c r="H12" s="45"/>
      <c r="I12" s="45"/>
      <c r="J12" s="45"/>
      <c r="K12" s="45"/>
      <c r="L12" s="45"/>
      <c r="M12" s="4"/>
      <c r="N12" s="4"/>
    </row>
    <row r="13" spans="1:14">
      <c r="B13" s="4"/>
      <c r="C13" s="4"/>
      <c r="D13" s="4"/>
      <c r="E13" s="4"/>
      <c r="F13" s="4"/>
      <c r="G13" s="4"/>
      <c r="H13" s="4"/>
      <c r="I13" s="4"/>
      <c r="J13" s="4"/>
      <c r="K13" s="4"/>
      <c r="L13" s="4"/>
      <c r="M13" s="4"/>
      <c r="N13" s="4"/>
    </row>
    <row r="14" spans="1:14">
      <c r="B14" s="4"/>
      <c r="C14" s="4"/>
      <c r="D14" s="4"/>
      <c r="E14" s="4"/>
      <c r="F14" s="4"/>
      <c r="G14" s="4"/>
      <c r="H14" s="4"/>
      <c r="I14" s="4"/>
      <c r="J14" s="4"/>
      <c r="K14" s="4"/>
      <c r="L14" s="4"/>
      <c r="M14" s="4"/>
      <c r="N14" s="4"/>
    </row>
    <row r="15" spans="1:14">
      <c r="B15" s="4"/>
      <c r="C15" s="4"/>
      <c r="D15" s="4"/>
      <c r="E15" s="4"/>
      <c r="F15" s="4"/>
      <c r="G15" s="4"/>
      <c r="H15" s="4"/>
      <c r="I15" s="4"/>
      <c r="J15" s="4"/>
      <c r="K15" s="4"/>
      <c r="L15" s="4"/>
      <c r="M15" s="4"/>
      <c r="N15" s="4"/>
    </row>
    <row r="16" spans="1:14">
      <c r="B16" s="4"/>
      <c r="C16" s="4"/>
      <c r="D16" s="4"/>
      <c r="E16" s="4"/>
      <c r="F16" s="4"/>
      <c r="G16" s="4"/>
      <c r="H16" s="4"/>
      <c r="I16" s="4"/>
      <c r="J16" s="4"/>
      <c r="K16" s="4"/>
      <c r="L16" s="4"/>
      <c r="M16" s="4"/>
      <c r="N16" s="4"/>
    </row>
    <row r="17" spans="2:14">
      <c r="B17" s="4"/>
      <c r="C17" s="4"/>
      <c r="D17" s="4"/>
      <c r="E17" s="4"/>
      <c r="F17" s="4"/>
      <c r="G17" s="4"/>
      <c r="H17" s="4"/>
      <c r="I17" s="4"/>
      <c r="J17" s="4"/>
      <c r="K17" s="4"/>
      <c r="L17" s="4"/>
      <c r="M17" s="4"/>
      <c r="N17" s="4"/>
    </row>
    <row r="18" spans="2:14">
      <c r="B18" s="4"/>
      <c r="C18" s="4"/>
      <c r="D18" s="4"/>
      <c r="E18" s="4"/>
      <c r="F18" s="4"/>
      <c r="G18" s="4"/>
      <c r="H18" s="4"/>
      <c r="I18" s="4"/>
      <c r="J18" s="4"/>
      <c r="K18" s="4"/>
      <c r="L18" s="4"/>
      <c r="M18" s="4"/>
      <c r="N18" s="4"/>
    </row>
    <row r="19" spans="2:14">
      <c r="B19" s="4"/>
      <c r="C19" s="4"/>
      <c r="D19" s="4"/>
      <c r="E19" s="4"/>
      <c r="F19" s="4"/>
      <c r="G19" s="4"/>
      <c r="H19" s="4"/>
      <c r="I19" s="4"/>
      <c r="J19" s="4"/>
      <c r="K19" s="4"/>
      <c r="L19" s="4"/>
      <c r="M19" s="4"/>
      <c r="N19" s="4"/>
    </row>
    <row r="20" spans="2:14">
      <c r="B20" s="4"/>
      <c r="C20" s="4"/>
      <c r="D20" s="4"/>
      <c r="E20" s="4"/>
      <c r="F20" s="4"/>
      <c r="G20" s="4"/>
      <c r="H20" s="4"/>
      <c r="I20" s="4"/>
      <c r="J20" s="4"/>
      <c r="K20" s="4"/>
      <c r="L20" s="4"/>
      <c r="M20" s="4"/>
      <c r="N20" s="4"/>
    </row>
    <row r="21" spans="2:14">
      <c r="B21" s="4"/>
      <c r="C21" s="4"/>
      <c r="D21" s="4"/>
      <c r="E21" s="4"/>
      <c r="F21" s="4"/>
      <c r="G21" s="4"/>
      <c r="H21" s="4"/>
      <c r="I21" s="4"/>
      <c r="J21" s="4"/>
      <c r="K21" s="4"/>
      <c r="L21" s="4"/>
      <c r="M21" s="4"/>
      <c r="N21" s="4"/>
    </row>
    <row r="22" spans="2:14">
      <c r="B22" s="4"/>
      <c r="C22" s="4"/>
      <c r="D22" s="4"/>
      <c r="E22" s="4"/>
      <c r="F22" s="4"/>
      <c r="G22" s="4"/>
      <c r="H22" s="4"/>
      <c r="I22" s="4"/>
      <c r="J22" s="4"/>
      <c r="K22" s="4"/>
      <c r="L22" s="4"/>
      <c r="M22" s="4"/>
      <c r="N22" s="4"/>
    </row>
    <row r="23" spans="2:14">
      <c r="B23" s="4"/>
      <c r="C23" s="4"/>
      <c r="D23" s="4"/>
      <c r="E23" s="4"/>
      <c r="F23" s="4"/>
      <c r="G23" s="4"/>
      <c r="H23" s="4"/>
      <c r="I23" s="4"/>
      <c r="J23" s="4"/>
      <c r="K23" s="4"/>
      <c r="L23" s="4"/>
      <c r="M23" s="4"/>
      <c r="N23" s="4"/>
    </row>
    <row r="24" spans="2:14">
      <c r="B24" s="4"/>
      <c r="C24" s="4"/>
      <c r="D24" s="4"/>
      <c r="E24" s="4"/>
      <c r="F24" s="4"/>
      <c r="G24" s="4"/>
      <c r="H24" s="4"/>
      <c r="I24" s="4"/>
      <c r="J24" s="4"/>
      <c r="K24" s="4"/>
      <c r="L24" s="4"/>
      <c r="M24" s="4"/>
      <c r="N24" s="4"/>
    </row>
    <row r="25" spans="2:14">
      <c r="B25" s="4"/>
      <c r="C25" s="4"/>
      <c r="D25" s="4"/>
      <c r="E25" s="4"/>
      <c r="F25" s="4"/>
      <c r="G25" s="4"/>
      <c r="H25" s="4"/>
      <c r="I25" s="4"/>
      <c r="J25" s="4"/>
      <c r="K25" s="4"/>
      <c r="L25" s="4"/>
      <c r="M25" s="4"/>
      <c r="N25" s="4"/>
    </row>
    <row r="26" spans="2:14">
      <c r="B26" s="4"/>
      <c r="C26" s="4"/>
      <c r="D26" s="4"/>
      <c r="E26" s="4"/>
      <c r="F26" s="4"/>
      <c r="G26" s="4"/>
      <c r="H26" s="4"/>
      <c r="I26" s="4"/>
      <c r="J26" s="4"/>
      <c r="K26" s="4"/>
      <c r="L26" s="4"/>
      <c r="M26" s="4"/>
      <c r="N26" s="4"/>
    </row>
    <row r="27" spans="2:14">
      <c r="B27" s="4"/>
      <c r="C27" s="4"/>
      <c r="D27" s="4"/>
      <c r="E27" s="4"/>
      <c r="F27" s="4"/>
      <c r="G27" s="4"/>
      <c r="H27" s="4"/>
      <c r="I27" s="4"/>
      <c r="J27" s="4"/>
      <c r="K27" s="4"/>
      <c r="L27" s="4"/>
      <c r="M27" s="4"/>
      <c r="N27" s="4"/>
    </row>
    <row r="28" spans="2:14">
      <c r="B28" s="4"/>
      <c r="C28" s="4"/>
      <c r="D28" s="4"/>
      <c r="E28" s="4"/>
      <c r="F28" s="4"/>
      <c r="G28" s="4"/>
      <c r="H28" s="4"/>
      <c r="I28" s="4"/>
      <c r="J28" s="4"/>
      <c r="K28" s="4"/>
      <c r="L28" s="4"/>
      <c r="M28" s="4"/>
      <c r="N28" s="4"/>
    </row>
    <row r="29" spans="2:14">
      <c r="B29" s="4"/>
      <c r="C29" s="4"/>
      <c r="D29" s="4"/>
      <c r="E29" s="4"/>
      <c r="F29" s="4"/>
      <c r="G29" s="4"/>
      <c r="H29" s="4"/>
      <c r="I29" s="4"/>
      <c r="J29" s="4"/>
      <c r="K29" s="4"/>
      <c r="L29" s="4"/>
      <c r="M29" s="4"/>
      <c r="N29" s="4"/>
    </row>
    <row r="30" spans="2:14">
      <c r="B30" s="4"/>
      <c r="C30" s="4"/>
      <c r="D30" s="4"/>
      <c r="E30" s="4"/>
      <c r="F30" s="4"/>
      <c r="G30" s="4"/>
      <c r="H30" s="4"/>
      <c r="I30" s="4"/>
      <c r="J30" s="4"/>
      <c r="K30" s="4"/>
      <c r="L30" s="4"/>
      <c r="M30" s="4"/>
      <c r="N30" s="4"/>
    </row>
    <row r="31" spans="2:14">
      <c r="B31" s="4"/>
      <c r="C31" s="4"/>
      <c r="D31" s="4"/>
      <c r="E31" s="4"/>
      <c r="F31" s="4"/>
      <c r="G31" s="4"/>
      <c r="H31" s="4"/>
      <c r="I31" s="4"/>
      <c r="J31" s="4"/>
      <c r="K31" s="4"/>
      <c r="L31" s="4"/>
      <c r="M31" s="4"/>
      <c r="N31" s="4"/>
    </row>
    <row r="32" spans="2:14">
      <c r="B32" s="4"/>
      <c r="C32" s="4"/>
      <c r="D32" s="4"/>
      <c r="E32" s="4"/>
      <c r="F32" s="4"/>
      <c r="G32" s="4"/>
      <c r="H32" s="4"/>
      <c r="I32" s="4"/>
      <c r="J32" s="4"/>
      <c r="K32" s="4"/>
      <c r="L32" s="4"/>
      <c r="M32" s="4"/>
      <c r="N32" s="4"/>
    </row>
    <row r="33" spans="2:14">
      <c r="B33" s="4"/>
      <c r="C33" s="4"/>
      <c r="D33" s="4"/>
      <c r="E33" s="4"/>
      <c r="F33" s="4"/>
      <c r="G33" s="4"/>
      <c r="H33" s="4"/>
      <c r="I33" s="4"/>
      <c r="J33" s="4"/>
      <c r="K33" s="4"/>
      <c r="L33" s="4"/>
      <c r="M33" s="4"/>
      <c r="N33" s="4"/>
    </row>
    <row r="34" spans="2:14">
      <c r="B34" s="4"/>
      <c r="C34" s="4"/>
      <c r="D34" s="4"/>
      <c r="E34" s="4"/>
      <c r="F34" s="4"/>
      <c r="G34" s="4"/>
      <c r="H34" s="4"/>
      <c r="I34" s="4"/>
      <c r="J34" s="4"/>
      <c r="K34" s="4"/>
      <c r="L34" s="4"/>
      <c r="M34" s="4"/>
      <c r="N34" s="4"/>
    </row>
    <row r="35" spans="2:14">
      <c r="B35" s="4"/>
      <c r="C35" s="4"/>
      <c r="D35" s="4"/>
      <c r="E35" s="4"/>
      <c r="F35" s="4"/>
      <c r="G35" s="4"/>
      <c r="H35" s="4"/>
      <c r="I35" s="4"/>
      <c r="J35" s="4"/>
      <c r="K35" s="4"/>
      <c r="L35" s="4"/>
      <c r="M35" s="4"/>
      <c r="N35" s="4"/>
    </row>
    <row r="36" spans="2:14">
      <c r="B36" s="4"/>
      <c r="C36" s="4"/>
      <c r="D36" s="4"/>
      <c r="E36" s="4"/>
      <c r="F36" s="4"/>
      <c r="G36" s="4"/>
      <c r="H36" s="4"/>
      <c r="I36" s="4"/>
      <c r="J36" s="4"/>
      <c r="K36" s="4"/>
      <c r="L36" s="4"/>
      <c r="M36" s="4"/>
      <c r="N36" s="4"/>
    </row>
    <row r="37" spans="2:14">
      <c r="B37" s="4"/>
      <c r="C37" s="4"/>
      <c r="D37" s="4"/>
      <c r="E37" s="4"/>
      <c r="F37" s="4"/>
      <c r="G37" s="4"/>
      <c r="H37" s="4"/>
      <c r="I37" s="4"/>
      <c r="J37" s="4"/>
      <c r="K37" s="4"/>
      <c r="L37" s="4"/>
      <c r="M37" s="4"/>
      <c r="N37" s="4"/>
    </row>
    <row r="38" spans="2:14">
      <c r="B38" s="4"/>
      <c r="C38" s="4"/>
      <c r="D38" s="4"/>
      <c r="E38" s="4"/>
      <c r="F38" s="4"/>
      <c r="G38" s="4"/>
      <c r="H38" s="4"/>
      <c r="I38" s="4"/>
      <c r="J38" s="4"/>
      <c r="K38" s="4"/>
      <c r="L38" s="4"/>
      <c r="M38" s="4"/>
      <c r="N38" s="4"/>
    </row>
    <row r="39" spans="2:14">
      <c r="B39" s="4"/>
      <c r="C39" s="4"/>
      <c r="D39" s="4"/>
      <c r="E39" s="4"/>
      <c r="F39" s="4"/>
      <c r="G39" s="4"/>
      <c r="H39" s="4"/>
      <c r="I39" s="4"/>
      <c r="J39" s="4"/>
      <c r="K39" s="4"/>
      <c r="L39" s="4"/>
      <c r="M39" s="4"/>
      <c r="N39" s="4"/>
    </row>
    <row r="40" spans="2:14">
      <c r="B40" s="4"/>
      <c r="C40" s="4"/>
      <c r="D40" s="4"/>
      <c r="E40" s="4"/>
      <c r="F40" s="4"/>
      <c r="G40" s="4"/>
      <c r="H40" s="4"/>
      <c r="I40" s="4"/>
      <c r="J40" s="4"/>
      <c r="K40" s="4"/>
      <c r="L40" s="4"/>
      <c r="M40" s="4"/>
      <c r="N40" s="4"/>
    </row>
    <row r="41" spans="2:14">
      <c r="B41" s="4"/>
      <c r="C41" s="4"/>
      <c r="D41" s="4"/>
      <c r="E41" s="4"/>
      <c r="F41" s="4"/>
      <c r="G41" s="4"/>
      <c r="H41" s="4"/>
      <c r="I41" s="4"/>
      <c r="J41" s="4"/>
      <c r="K41" s="4"/>
      <c r="L41" s="4"/>
      <c r="M41" s="4"/>
      <c r="N41" s="4"/>
    </row>
    <row r="42" spans="2:14">
      <c r="B42" s="4"/>
      <c r="C42" s="4"/>
      <c r="D42" s="4"/>
      <c r="E42" s="4"/>
      <c r="F42" s="4"/>
      <c r="G42" s="4"/>
      <c r="H42" s="4"/>
      <c r="I42" s="4"/>
      <c r="J42" s="4"/>
      <c r="K42" s="4"/>
      <c r="L42" s="4"/>
      <c r="M42" s="4"/>
      <c r="N42" s="4"/>
    </row>
    <row r="43" spans="2:14">
      <c r="B43" s="4"/>
      <c r="C43" s="4"/>
      <c r="D43" s="4"/>
      <c r="E43" s="4"/>
      <c r="F43" s="4"/>
      <c r="G43" s="4"/>
      <c r="H43" s="4"/>
      <c r="I43" s="4"/>
      <c r="J43" s="4"/>
      <c r="K43" s="4"/>
      <c r="L43" s="4"/>
      <c r="M43" s="4"/>
      <c r="N43" s="4"/>
    </row>
    <row r="44" spans="2:14">
      <c r="B44" s="4"/>
      <c r="C44" s="4"/>
      <c r="D44" s="4"/>
      <c r="E44" s="4"/>
      <c r="F44" s="4"/>
      <c r="G44" s="4"/>
      <c r="H44" s="4"/>
      <c r="I44" s="4"/>
      <c r="J44" s="4"/>
      <c r="K44" s="4"/>
      <c r="L44" s="4"/>
      <c r="M44" s="4"/>
      <c r="N44" s="4"/>
    </row>
    <row r="45" spans="2:14">
      <c r="B45" s="4"/>
      <c r="C45" s="4"/>
      <c r="D45" s="4"/>
      <c r="E45" s="4"/>
      <c r="F45" s="4"/>
      <c r="G45" s="4"/>
      <c r="H45" s="4"/>
      <c r="I45" s="4"/>
      <c r="J45" s="4"/>
      <c r="K45" s="4"/>
      <c r="L45" s="4"/>
      <c r="M45" s="4"/>
      <c r="N45" s="4"/>
    </row>
    <row r="46" spans="2:14">
      <c r="B46" s="4"/>
      <c r="C46" s="4"/>
      <c r="D46" s="4"/>
      <c r="E46" s="4"/>
      <c r="F46" s="4"/>
      <c r="G46" s="4"/>
      <c r="H46" s="4"/>
      <c r="I46" s="4"/>
      <c r="J46" s="4"/>
      <c r="K46" s="4"/>
      <c r="L46" s="4"/>
      <c r="M46" s="4"/>
      <c r="N46" s="4"/>
    </row>
    <row r="47" spans="2:14">
      <c r="B47" s="4"/>
      <c r="C47" s="4"/>
      <c r="D47" s="4"/>
      <c r="E47" s="4"/>
      <c r="F47" s="4"/>
      <c r="G47" s="4"/>
      <c r="H47" s="4"/>
      <c r="I47" s="4"/>
      <c r="J47" s="4"/>
      <c r="K47" s="4"/>
      <c r="L47" s="4"/>
      <c r="M47" s="4"/>
      <c r="N47" s="4"/>
    </row>
    <row r="48" spans="2:14">
      <c r="B48" s="4"/>
      <c r="C48" s="4"/>
      <c r="D48" s="4"/>
      <c r="E48" s="4"/>
      <c r="F48" s="4"/>
      <c r="G48" s="4"/>
      <c r="H48" s="4"/>
      <c r="I48" s="4"/>
      <c r="J48" s="4"/>
      <c r="K48" s="4"/>
      <c r="L48" s="4"/>
      <c r="M48" s="4"/>
      <c r="N48" s="4"/>
    </row>
    <row r="49" spans="2:14">
      <c r="B49" s="4"/>
      <c r="C49" s="4"/>
      <c r="D49" s="4"/>
      <c r="E49" s="4"/>
      <c r="F49" s="4"/>
      <c r="G49" s="4"/>
      <c r="H49" s="4"/>
      <c r="I49" s="4"/>
      <c r="J49" s="4"/>
      <c r="K49" s="4"/>
      <c r="L49" s="4"/>
      <c r="M49" s="4"/>
      <c r="N49" s="4"/>
    </row>
    <row r="50" spans="2:14">
      <c r="B50" s="4"/>
      <c r="C50" s="4"/>
      <c r="D50" s="4"/>
      <c r="E50" s="4"/>
      <c r="F50" s="4"/>
      <c r="G50" s="4"/>
      <c r="H50" s="4"/>
      <c r="I50" s="4"/>
      <c r="J50" s="4"/>
      <c r="K50" s="4"/>
      <c r="L50" s="4"/>
      <c r="M50" s="4"/>
      <c r="N50" s="4"/>
    </row>
    <row r="51" spans="2:14">
      <c r="B51" s="4"/>
      <c r="C51" s="4"/>
      <c r="D51" s="4"/>
      <c r="E51" s="4"/>
      <c r="F51" s="4"/>
      <c r="G51" s="4"/>
      <c r="H51" s="4"/>
      <c r="I51" s="4"/>
      <c r="J51" s="4"/>
      <c r="K51" s="4"/>
      <c r="L51" s="4"/>
      <c r="M51" s="4"/>
      <c r="N51" s="4"/>
    </row>
    <row r="52" spans="2:14">
      <c r="B52" s="4"/>
      <c r="C52" s="4"/>
      <c r="D52" s="4"/>
      <c r="E52" s="4"/>
      <c r="F52" s="4"/>
      <c r="G52" s="4"/>
      <c r="H52" s="4"/>
      <c r="I52" s="4"/>
      <c r="J52" s="4"/>
      <c r="K52" s="4"/>
      <c r="L52" s="4"/>
      <c r="M52" s="4"/>
      <c r="N52" s="4"/>
    </row>
    <row r="53" spans="2:14">
      <c r="B53" s="4"/>
      <c r="C53" s="4"/>
      <c r="D53" s="4"/>
      <c r="E53" s="4"/>
      <c r="F53" s="4"/>
      <c r="G53" s="4"/>
      <c r="H53" s="4"/>
      <c r="I53" s="4"/>
      <c r="J53" s="4"/>
      <c r="K53" s="4"/>
      <c r="L53" s="4"/>
      <c r="M53" s="4"/>
      <c r="N53" s="4"/>
    </row>
    <row r="54" spans="2:14">
      <c r="B54" s="4"/>
      <c r="C54" s="4"/>
      <c r="D54" s="4"/>
      <c r="E54" s="4"/>
      <c r="F54" s="4"/>
      <c r="G54" s="4"/>
      <c r="H54" s="4"/>
      <c r="I54" s="4"/>
      <c r="J54" s="4"/>
      <c r="K54" s="4"/>
      <c r="L54" s="4"/>
      <c r="M54" s="4"/>
      <c r="N54" s="4"/>
    </row>
    <row r="55" spans="2:14">
      <c r="B55" s="4"/>
      <c r="C55" s="4"/>
      <c r="D55" s="4"/>
      <c r="E55" s="4"/>
      <c r="F55" s="4"/>
      <c r="G55" s="4"/>
      <c r="H55" s="4"/>
      <c r="I55" s="4"/>
      <c r="J55" s="4"/>
      <c r="K55" s="4"/>
      <c r="L55" s="4"/>
      <c r="M55" s="4"/>
      <c r="N55" s="4"/>
    </row>
    <row r="56" spans="2:14">
      <c r="B56" s="4"/>
      <c r="C56" s="4"/>
      <c r="D56" s="4"/>
      <c r="E56" s="4"/>
      <c r="F56" s="4"/>
      <c r="G56" s="4"/>
      <c r="H56" s="4"/>
      <c r="I56" s="4"/>
      <c r="J56" s="4"/>
      <c r="K56" s="4"/>
      <c r="L56" s="4"/>
      <c r="M56" s="4"/>
      <c r="N56" s="4"/>
    </row>
    <row r="57" spans="2:14">
      <c r="B57" s="4"/>
      <c r="C57" s="4"/>
      <c r="D57" s="4"/>
      <c r="E57" s="4"/>
      <c r="F57" s="4"/>
      <c r="G57" s="4"/>
      <c r="H57" s="4"/>
      <c r="I57" s="4"/>
      <c r="J57" s="4"/>
      <c r="K57" s="4"/>
      <c r="L57" s="4"/>
      <c r="M57" s="4"/>
      <c r="N57" s="4"/>
    </row>
    <row r="58" spans="2:14">
      <c r="B58" s="4"/>
      <c r="C58" s="4"/>
      <c r="D58" s="4"/>
      <c r="E58" s="4"/>
      <c r="F58" s="4"/>
      <c r="G58" s="4"/>
      <c r="H58" s="4"/>
      <c r="I58" s="4"/>
      <c r="J58" s="4"/>
      <c r="K58" s="4"/>
      <c r="L58" s="4"/>
      <c r="M58" s="4"/>
      <c r="N58" s="4"/>
    </row>
    <row r="59" spans="2:14">
      <c r="B59" s="4"/>
      <c r="C59" s="4"/>
      <c r="D59" s="4"/>
      <c r="E59" s="4"/>
      <c r="F59" s="4"/>
      <c r="G59" s="4"/>
      <c r="H59" s="4"/>
      <c r="I59" s="4"/>
      <c r="J59" s="4"/>
      <c r="K59" s="4"/>
      <c r="L59" s="4"/>
      <c r="M59" s="4"/>
      <c r="N59" s="4"/>
    </row>
    <row r="60" spans="2:14">
      <c r="B60" s="4"/>
      <c r="C60" s="4"/>
      <c r="D60" s="4"/>
      <c r="E60" s="4"/>
      <c r="F60" s="4"/>
      <c r="G60" s="4"/>
      <c r="H60" s="4"/>
      <c r="I60" s="4"/>
      <c r="J60" s="4"/>
      <c r="K60" s="4"/>
      <c r="L60" s="4"/>
      <c r="M60" s="4"/>
      <c r="N60" s="4"/>
    </row>
    <row r="61" spans="2:14">
      <c r="B61" s="4"/>
      <c r="C61" s="4"/>
      <c r="D61" s="4"/>
      <c r="E61" s="4"/>
      <c r="F61" s="4"/>
      <c r="G61" s="4"/>
      <c r="H61" s="4"/>
      <c r="I61" s="4"/>
      <c r="J61" s="4"/>
      <c r="K61" s="4"/>
      <c r="L61" s="4"/>
      <c r="M61" s="4"/>
      <c r="N61" s="4"/>
    </row>
    <row r="62" spans="2:14">
      <c r="B62" s="4"/>
      <c r="C62" s="4"/>
      <c r="D62" s="4"/>
      <c r="E62" s="4"/>
      <c r="F62" s="4"/>
      <c r="G62" s="4"/>
      <c r="H62" s="4"/>
      <c r="I62" s="4"/>
      <c r="J62" s="4"/>
      <c r="K62" s="4"/>
      <c r="L62" s="4"/>
      <c r="M62" s="4"/>
      <c r="N62" s="4"/>
    </row>
    <row r="63" spans="2:14">
      <c r="B63" s="4"/>
      <c r="C63" s="4"/>
      <c r="D63" s="4"/>
      <c r="E63" s="4"/>
      <c r="F63" s="4"/>
      <c r="G63" s="4"/>
      <c r="H63" s="4"/>
      <c r="I63" s="4"/>
      <c r="J63" s="4"/>
      <c r="K63" s="4"/>
      <c r="L63" s="4"/>
      <c r="M63" s="4"/>
      <c r="N63" s="4"/>
    </row>
    <row r="64" spans="2:14">
      <c r="B64" s="4"/>
      <c r="C64" s="4"/>
      <c r="D64" s="4"/>
      <c r="E64" s="4"/>
      <c r="F64" s="4"/>
      <c r="G64" s="4"/>
      <c r="H64" s="4"/>
      <c r="I64" s="4"/>
      <c r="J64" s="4"/>
      <c r="K64" s="4"/>
      <c r="L64" s="4"/>
      <c r="M64" s="4"/>
      <c r="N64" s="4"/>
    </row>
    <row r="65" spans="2:14">
      <c r="B65" s="4"/>
      <c r="C65" s="4"/>
      <c r="D65" s="4"/>
      <c r="E65" s="4"/>
      <c r="F65" s="4"/>
      <c r="G65" s="4"/>
      <c r="H65" s="4"/>
      <c r="I65" s="4"/>
      <c r="J65" s="4"/>
      <c r="K65" s="4"/>
      <c r="L65" s="4"/>
      <c r="M65" s="4"/>
      <c r="N65" s="4"/>
    </row>
    <row r="66" spans="2:14">
      <c r="B66" s="4"/>
      <c r="C66" s="4"/>
      <c r="D66" s="4"/>
      <c r="E66" s="4"/>
      <c r="F66" s="4"/>
      <c r="G66" s="4"/>
      <c r="H66" s="4"/>
      <c r="I66" s="4"/>
      <c r="J66" s="4"/>
      <c r="K66" s="4"/>
      <c r="L66" s="4"/>
      <c r="M66" s="4"/>
      <c r="N66" s="4"/>
    </row>
    <row r="67" spans="2:14">
      <c r="B67" s="4"/>
      <c r="C67" s="4"/>
      <c r="D67" s="4"/>
      <c r="E67" s="4"/>
      <c r="F67" s="4"/>
      <c r="G67" s="4"/>
      <c r="H67" s="4"/>
      <c r="I67" s="4"/>
      <c r="J67" s="4"/>
      <c r="K67" s="4"/>
      <c r="L67" s="4"/>
      <c r="M67" s="4"/>
      <c r="N67" s="4"/>
    </row>
    <row r="68" spans="2:14">
      <c r="B68" s="4"/>
      <c r="C68" s="4"/>
      <c r="D68" s="4"/>
      <c r="E68" s="4"/>
      <c r="F68" s="4"/>
      <c r="G68" s="4"/>
      <c r="H68" s="4"/>
      <c r="I68" s="4"/>
      <c r="J68" s="4"/>
      <c r="K68" s="4"/>
      <c r="L68" s="4"/>
      <c r="M68" s="4"/>
      <c r="N68" s="4"/>
    </row>
    <row r="69" spans="2:14">
      <c r="B69" s="4"/>
      <c r="C69" s="4"/>
      <c r="D69" s="4"/>
      <c r="E69" s="4"/>
      <c r="F69" s="4"/>
      <c r="G69" s="4"/>
      <c r="H69" s="4"/>
      <c r="I69" s="4"/>
      <c r="J69" s="4"/>
      <c r="K69" s="4"/>
      <c r="L69" s="4"/>
      <c r="M69" s="4"/>
      <c r="N69" s="4"/>
    </row>
    <row r="70" spans="2:14">
      <c r="B70" s="4"/>
      <c r="C70" s="4"/>
      <c r="D70" s="4"/>
      <c r="E70" s="4"/>
      <c r="F70" s="4"/>
      <c r="G70" s="4"/>
      <c r="H70" s="4"/>
      <c r="I70" s="4"/>
      <c r="J70" s="4"/>
      <c r="K70" s="4"/>
      <c r="L70" s="4"/>
      <c r="M70" s="4"/>
      <c r="N70" s="4"/>
    </row>
    <row r="71" spans="2:14">
      <c r="B71" s="4"/>
      <c r="C71" s="4"/>
      <c r="D71" s="4"/>
      <c r="E71" s="4"/>
      <c r="F71" s="4"/>
      <c r="G71" s="4"/>
      <c r="H71" s="4"/>
      <c r="I71" s="4"/>
      <c r="J71" s="4"/>
      <c r="K71" s="4"/>
      <c r="L71" s="4"/>
      <c r="M71" s="4"/>
      <c r="N71" s="4"/>
    </row>
    <row r="72" spans="2:14">
      <c r="B72" s="4"/>
      <c r="C72" s="4"/>
      <c r="D72" s="4"/>
      <c r="E72" s="4"/>
      <c r="F72" s="4"/>
      <c r="G72" s="4"/>
      <c r="H72" s="4"/>
      <c r="I72" s="4"/>
      <c r="J72" s="4"/>
      <c r="K72" s="4"/>
      <c r="L72" s="4"/>
      <c r="M72" s="4"/>
      <c r="N72" s="4"/>
    </row>
    <row r="73" spans="2:14">
      <c r="B73" s="4"/>
      <c r="C73" s="4"/>
      <c r="D73" s="4"/>
      <c r="E73" s="4"/>
      <c r="F73" s="4"/>
      <c r="G73" s="4"/>
      <c r="H73" s="4"/>
      <c r="I73" s="4"/>
      <c r="J73" s="4"/>
      <c r="K73" s="4"/>
      <c r="L73" s="4"/>
      <c r="M73" s="4"/>
      <c r="N73" s="4"/>
    </row>
    <row r="74" spans="2:14">
      <c r="B74" s="4"/>
      <c r="C74" s="4"/>
      <c r="D74" s="4"/>
      <c r="E74" s="4"/>
      <c r="F74" s="4"/>
      <c r="G74" s="4"/>
      <c r="H74" s="4"/>
      <c r="I74" s="4"/>
      <c r="J74" s="4"/>
      <c r="K74" s="4"/>
      <c r="L74" s="4"/>
      <c r="M74" s="4"/>
      <c r="N74" s="4"/>
    </row>
    <row r="75" spans="2:14">
      <c r="B75" s="4"/>
      <c r="C75" s="4"/>
      <c r="D75" s="4"/>
      <c r="E75" s="4"/>
      <c r="F75" s="4"/>
      <c r="G75" s="4"/>
      <c r="H75" s="4"/>
      <c r="I75" s="4"/>
      <c r="J75" s="4"/>
      <c r="K75" s="4"/>
      <c r="L75" s="4"/>
      <c r="M75" s="4"/>
      <c r="N75" s="4"/>
    </row>
    <row r="76" spans="2:14">
      <c r="B76" s="4"/>
      <c r="C76" s="4"/>
      <c r="D76" s="4"/>
      <c r="E76" s="4"/>
      <c r="F76" s="4"/>
      <c r="G76" s="4"/>
      <c r="H76" s="4"/>
      <c r="I76" s="4"/>
      <c r="J76" s="4"/>
      <c r="K76" s="4"/>
      <c r="L76" s="4"/>
      <c r="M76" s="4"/>
      <c r="N76" s="4"/>
    </row>
    <row r="77" spans="2:14">
      <c r="B77" s="4"/>
      <c r="C77" s="4"/>
      <c r="D77" s="4"/>
      <c r="E77" s="4"/>
      <c r="F77" s="4"/>
      <c r="G77" s="4"/>
      <c r="H77" s="4"/>
      <c r="I77" s="4"/>
      <c r="J77" s="4"/>
      <c r="K77" s="4"/>
      <c r="L77" s="4"/>
      <c r="M77" s="4"/>
      <c r="N77" s="4"/>
    </row>
    <row r="78" spans="2:14">
      <c r="B78" s="4"/>
      <c r="C78" s="4"/>
      <c r="D78" s="4"/>
      <c r="E78" s="4"/>
      <c r="F78" s="4"/>
      <c r="G78" s="4"/>
      <c r="H78" s="4"/>
      <c r="I78" s="4"/>
      <c r="J78" s="4"/>
      <c r="K78" s="4"/>
      <c r="L78" s="4"/>
      <c r="M78" s="4"/>
      <c r="N78" s="4"/>
    </row>
    <row r="79" spans="2:14">
      <c r="B79" s="4"/>
      <c r="C79" s="4"/>
      <c r="D79" s="4"/>
      <c r="E79" s="4"/>
      <c r="F79" s="4"/>
      <c r="G79" s="4"/>
      <c r="H79" s="4"/>
      <c r="I79" s="4"/>
      <c r="J79" s="4"/>
      <c r="K79" s="4"/>
      <c r="L79" s="4"/>
      <c r="M79" s="4"/>
      <c r="N79" s="4"/>
    </row>
    <row r="80" spans="2:14">
      <c r="B80" s="4"/>
      <c r="C80" s="4"/>
      <c r="D80" s="4"/>
      <c r="E80" s="4"/>
      <c r="F80" s="4"/>
      <c r="G80" s="4"/>
      <c r="H80" s="4"/>
      <c r="I80" s="4"/>
      <c r="J80" s="4"/>
      <c r="K80" s="4"/>
      <c r="L80" s="4"/>
      <c r="M80" s="4"/>
      <c r="N80" s="4"/>
    </row>
    <row r="81" spans="2:14">
      <c r="B81" s="4"/>
      <c r="C81" s="4"/>
      <c r="D81" s="4"/>
      <c r="E81" s="4"/>
      <c r="F81" s="4"/>
      <c r="G81" s="4"/>
      <c r="H81" s="4"/>
      <c r="I81" s="4"/>
      <c r="J81" s="4"/>
      <c r="K81" s="4"/>
      <c r="L81" s="4"/>
      <c r="M81" s="4"/>
      <c r="N81" s="4"/>
    </row>
    <row r="82" spans="2:14">
      <c r="B82" s="4"/>
      <c r="C82" s="4"/>
      <c r="D82" s="4"/>
      <c r="E82" s="4"/>
      <c r="F82" s="4"/>
      <c r="G82" s="4"/>
      <c r="H82" s="4"/>
      <c r="I82" s="4"/>
      <c r="J82" s="4"/>
      <c r="K82" s="4"/>
      <c r="L82" s="4"/>
      <c r="M82" s="4"/>
      <c r="N82" s="4"/>
    </row>
    <row r="83" spans="2:14">
      <c r="B83" s="4"/>
      <c r="C83" s="4"/>
      <c r="D83" s="4"/>
      <c r="E83" s="4"/>
      <c r="F83" s="4"/>
      <c r="G83" s="4"/>
      <c r="H83" s="4"/>
      <c r="I83" s="4"/>
      <c r="J83" s="4"/>
      <c r="K83" s="4"/>
      <c r="L83" s="4"/>
      <c r="M83" s="4"/>
      <c r="N83" s="4"/>
    </row>
    <row r="84" spans="2:14">
      <c r="B84" s="4"/>
      <c r="C84" s="4"/>
      <c r="D84" s="4"/>
      <c r="E84" s="4"/>
      <c r="F84" s="4"/>
      <c r="G84" s="4"/>
      <c r="H84" s="4"/>
      <c r="I84" s="4"/>
      <c r="J84" s="4"/>
      <c r="K84" s="4"/>
      <c r="L84" s="4"/>
      <c r="M84" s="4"/>
      <c r="N84" s="4"/>
    </row>
    <row r="85" spans="2:14">
      <c r="B85" s="4"/>
      <c r="C85" s="4"/>
      <c r="D85" s="4"/>
      <c r="E85" s="4"/>
      <c r="F85" s="4"/>
      <c r="G85" s="4"/>
      <c r="H85" s="4"/>
      <c r="I85" s="4"/>
      <c r="J85" s="4"/>
      <c r="K85" s="4"/>
      <c r="L85" s="4"/>
      <c r="M85" s="4"/>
      <c r="N85" s="4"/>
    </row>
    <row r="86" spans="2:14">
      <c r="B86" s="4"/>
      <c r="C86" s="4"/>
      <c r="D86" s="4"/>
      <c r="E86" s="4"/>
      <c r="F86" s="4"/>
      <c r="G86" s="4"/>
      <c r="H86" s="4"/>
      <c r="I86" s="4"/>
      <c r="J86" s="4"/>
      <c r="K86" s="4"/>
      <c r="L86" s="4"/>
      <c r="M86" s="4"/>
      <c r="N86" s="4"/>
    </row>
    <row r="87" spans="2:14">
      <c r="B87" s="4"/>
      <c r="C87" s="4"/>
      <c r="D87" s="4"/>
      <c r="E87" s="4"/>
      <c r="F87" s="4"/>
      <c r="G87" s="4"/>
      <c r="H87" s="4"/>
      <c r="I87" s="4"/>
      <c r="J87" s="4"/>
      <c r="K87" s="4"/>
      <c r="L87" s="4"/>
      <c r="M87" s="4"/>
      <c r="N87" s="4"/>
    </row>
    <row r="88" spans="2:14">
      <c r="B88" s="4"/>
      <c r="C88" s="4"/>
      <c r="D88" s="4"/>
      <c r="E88" s="4"/>
      <c r="F88" s="4"/>
      <c r="G88" s="4"/>
      <c r="H88" s="4"/>
      <c r="I88" s="4"/>
      <c r="J88" s="4"/>
      <c r="K88" s="4"/>
      <c r="L88" s="4"/>
      <c r="M88" s="4"/>
      <c r="N88" s="4"/>
    </row>
    <row r="89" spans="2:14">
      <c r="B89" s="4"/>
      <c r="C89" s="4"/>
      <c r="D89" s="4"/>
      <c r="E89" s="4"/>
      <c r="F89" s="4"/>
      <c r="G89" s="4"/>
      <c r="H89" s="4"/>
      <c r="I89" s="4"/>
      <c r="J89" s="4"/>
      <c r="K89" s="4"/>
      <c r="L89" s="4"/>
      <c r="M89" s="4"/>
      <c r="N89" s="4"/>
    </row>
    <row r="90" spans="2:14">
      <c r="B90" s="4"/>
      <c r="C90" s="4"/>
      <c r="D90" s="4"/>
      <c r="E90" s="4"/>
      <c r="F90" s="4"/>
      <c r="G90" s="4"/>
      <c r="H90" s="4"/>
      <c r="I90" s="4"/>
      <c r="J90" s="4"/>
      <c r="K90" s="4"/>
      <c r="L90" s="4"/>
      <c r="M90" s="4"/>
      <c r="N90" s="4"/>
    </row>
    <row r="91" spans="2:14">
      <c r="B91" s="4"/>
      <c r="C91" s="4"/>
      <c r="D91" s="4"/>
      <c r="E91" s="4"/>
      <c r="F91" s="4"/>
      <c r="G91" s="4"/>
      <c r="H91" s="4"/>
      <c r="I91" s="4"/>
      <c r="J91" s="4"/>
      <c r="K91" s="4"/>
      <c r="L91" s="4"/>
      <c r="M91" s="4"/>
      <c r="N91" s="4"/>
    </row>
    <row r="92" spans="2:14">
      <c r="B92" s="4"/>
      <c r="C92" s="4"/>
      <c r="D92" s="4"/>
      <c r="E92" s="4"/>
      <c r="F92" s="4"/>
      <c r="G92" s="4"/>
      <c r="H92" s="4"/>
      <c r="I92" s="4"/>
      <c r="J92" s="4"/>
      <c r="K92" s="4"/>
      <c r="L92" s="4"/>
      <c r="M92" s="4"/>
      <c r="N92" s="4"/>
    </row>
    <row r="93" spans="2:14">
      <c r="B93" s="4"/>
      <c r="C93" s="4"/>
      <c r="D93" s="4"/>
      <c r="E93" s="4"/>
      <c r="F93" s="4"/>
      <c r="G93" s="4"/>
      <c r="H93" s="4"/>
      <c r="I93" s="4"/>
      <c r="J93" s="4"/>
      <c r="K93" s="4"/>
      <c r="L93" s="4"/>
      <c r="M93" s="4"/>
      <c r="N93" s="4"/>
    </row>
    <row r="94" spans="2:14">
      <c r="B94" s="4"/>
      <c r="C94" s="4"/>
      <c r="D94" s="4"/>
      <c r="E94" s="4"/>
      <c r="F94" s="4"/>
      <c r="G94" s="4"/>
      <c r="H94" s="4"/>
      <c r="I94" s="4"/>
      <c r="J94" s="4"/>
      <c r="K94" s="4"/>
      <c r="L94" s="4"/>
      <c r="M94" s="4"/>
      <c r="N94" s="4"/>
    </row>
    <row r="95" spans="2:14">
      <c r="B95" s="4"/>
      <c r="C95" s="4"/>
      <c r="D95" s="4"/>
      <c r="E95" s="4"/>
      <c r="F95" s="4"/>
      <c r="G95" s="4"/>
      <c r="H95" s="4"/>
      <c r="I95" s="4"/>
      <c r="J95" s="4"/>
      <c r="K95" s="4"/>
      <c r="L95" s="4"/>
      <c r="M95" s="4"/>
      <c r="N95" s="4"/>
    </row>
    <row r="96" spans="2:14">
      <c r="B96" s="4"/>
      <c r="C96" s="4"/>
      <c r="D96" s="4"/>
      <c r="E96" s="4"/>
      <c r="F96" s="4"/>
      <c r="G96" s="4"/>
      <c r="H96" s="4"/>
      <c r="I96" s="4"/>
      <c r="J96" s="4"/>
      <c r="K96" s="4"/>
      <c r="L96" s="4"/>
      <c r="M96" s="4"/>
      <c r="N96" s="4"/>
    </row>
    <row r="97" spans="2:14">
      <c r="B97" s="4"/>
      <c r="C97" s="4"/>
      <c r="D97" s="4"/>
      <c r="E97" s="4"/>
      <c r="F97" s="4"/>
      <c r="G97" s="4"/>
      <c r="H97" s="4"/>
      <c r="I97" s="4"/>
      <c r="J97" s="4"/>
      <c r="K97" s="4"/>
      <c r="L97" s="4"/>
      <c r="M97" s="4"/>
      <c r="N97" s="4"/>
    </row>
    <row r="98" spans="2:14">
      <c r="B98" s="4"/>
      <c r="C98" s="4"/>
      <c r="D98" s="4"/>
      <c r="E98" s="4"/>
      <c r="F98" s="4"/>
      <c r="G98" s="4"/>
      <c r="H98" s="4"/>
      <c r="I98" s="4"/>
      <c r="J98" s="4"/>
      <c r="K98" s="4"/>
      <c r="L98" s="4"/>
      <c r="M98" s="4"/>
      <c r="N98" s="4"/>
    </row>
    <row r="99" spans="2:14">
      <c r="B99" s="4"/>
      <c r="C99" s="4"/>
      <c r="D99" s="4"/>
      <c r="E99" s="4"/>
      <c r="F99" s="4"/>
      <c r="G99" s="4"/>
      <c r="H99" s="4"/>
      <c r="I99" s="4"/>
      <c r="J99" s="4"/>
      <c r="K99" s="4"/>
      <c r="L99" s="4"/>
      <c r="M99" s="4"/>
      <c r="N99" s="4"/>
    </row>
    <row r="100" spans="2:14">
      <c r="B100" s="4"/>
      <c r="C100" s="4"/>
      <c r="D100" s="4"/>
      <c r="E100" s="4"/>
      <c r="F100" s="4"/>
      <c r="G100" s="4"/>
      <c r="H100" s="4"/>
      <c r="I100" s="4"/>
      <c r="J100" s="4"/>
      <c r="K100" s="4"/>
      <c r="L100" s="4"/>
      <c r="M100" s="4"/>
      <c r="N100" s="4"/>
    </row>
    <row r="101" spans="2:14">
      <c r="B101" s="4"/>
      <c r="C101" s="4"/>
      <c r="D101" s="4"/>
      <c r="E101" s="4"/>
      <c r="F101" s="4"/>
      <c r="G101" s="4"/>
      <c r="H101" s="4"/>
      <c r="I101" s="4"/>
      <c r="J101" s="4"/>
      <c r="K101" s="4"/>
      <c r="L101" s="4"/>
      <c r="M101" s="4"/>
      <c r="N101" s="4"/>
    </row>
    <row r="102" spans="2:14">
      <c r="B102" s="4"/>
      <c r="C102" s="4"/>
      <c r="D102" s="4"/>
      <c r="E102" s="4"/>
      <c r="F102" s="4"/>
      <c r="G102" s="4"/>
      <c r="H102" s="4"/>
      <c r="I102" s="4"/>
      <c r="J102" s="4"/>
      <c r="K102" s="4"/>
      <c r="L102" s="4"/>
      <c r="M102" s="4"/>
      <c r="N102" s="4"/>
    </row>
    <row r="103" spans="2:14">
      <c r="B103" s="4"/>
      <c r="C103" s="4"/>
      <c r="D103" s="4"/>
      <c r="E103" s="4"/>
      <c r="F103" s="4"/>
      <c r="G103" s="4"/>
      <c r="H103" s="4"/>
      <c r="I103" s="4"/>
      <c r="J103" s="4"/>
      <c r="K103" s="4"/>
      <c r="L103" s="4"/>
      <c r="M103" s="4"/>
      <c r="N103" s="4"/>
    </row>
    <row r="104" spans="2:14">
      <c r="B104" s="4"/>
      <c r="C104" s="4"/>
      <c r="D104" s="4"/>
      <c r="E104" s="4"/>
      <c r="F104" s="4"/>
      <c r="G104" s="4"/>
      <c r="H104" s="4"/>
      <c r="I104" s="4"/>
      <c r="J104" s="4"/>
      <c r="K104" s="4"/>
      <c r="L104" s="4"/>
      <c r="M104" s="4"/>
      <c r="N104" s="4"/>
    </row>
    <row r="105" spans="2:14">
      <c r="B105" s="4"/>
      <c r="C105" s="4"/>
      <c r="D105" s="4"/>
      <c r="E105" s="4"/>
      <c r="F105" s="4"/>
      <c r="G105" s="4"/>
      <c r="H105" s="4"/>
      <c r="I105" s="4"/>
      <c r="J105" s="4"/>
      <c r="K105" s="4"/>
      <c r="L105" s="4"/>
      <c r="M105" s="4"/>
      <c r="N105" s="4"/>
    </row>
    <row r="106" spans="2:14">
      <c r="B106" s="4"/>
      <c r="C106" s="4"/>
      <c r="D106" s="4"/>
      <c r="E106" s="4"/>
      <c r="F106" s="4"/>
      <c r="G106" s="4"/>
      <c r="H106" s="4"/>
      <c r="I106" s="4"/>
      <c r="J106" s="4"/>
      <c r="K106" s="4"/>
      <c r="L106" s="4"/>
      <c r="M106" s="4"/>
      <c r="N106" s="4"/>
    </row>
    <row r="107" spans="2:14">
      <c r="B107" s="4"/>
      <c r="C107" s="4"/>
      <c r="D107" s="4"/>
      <c r="E107" s="4"/>
      <c r="F107" s="4"/>
      <c r="G107" s="4"/>
      <c r="H107" s="4"/>
      <c r="I107" s="4"/>
      <c r="J107" s="4"/>
      <c r="K107" s="4"/>
      <c r="L107" s="4"/>
      <c r="M107" s="4"/>
      <c r="N107" s="4"/>
    </row>
    <row r="108" spans="2:14">
      <c r="B108" s="4"/>
      <c r="C108" s="4"/>
      <c r="D108" s="4"/>
      <c r="E108" s="4"/>
      <c r="F108" s="4"/>
      <c r="G108" s="4"/>
      <c r="H108" s="4"/>
      <c r="I108" s="4"/>
      <c r="J108" s="4"/>
      <c r="K108" s="4"/>
      <c r="L108" s="4"/>
      <c r="M108" s="4"/>
      <c r="N108" s="4"/>
    </row>
    <row r="109" spans="2:14">
      <c r="B109" s="4"/>
      <c r="C109" s="4"/>
      <c r="D109" s="4"/>
      <c r="E109" s="4"/>
      <c r="F109" s="4"/>
      <c r="G109" s="4"/>
      <c r="H109" s="4"/>
      <c r="I109" s="4"/>
      <c r="J109" s="4"/>
      <c r="K109" s="4"/>
      <c r="L109" s="4"/>
      <c r="M109" s="4"/>
      <c r="N109" s="4"/>
    </row>
    <row r="110" spans="2:14">
      <c r="B110" s="4"/>
      <c r="C110" s="4"/>
      <c r="D110" s="4"/>
      <c r="E110" s="4"/>
      <c r="F110" s="4"/>
      <c r="G110" s="4"/>
      <c r="H110" s="4"/>
      <c r="I110" s="4"/>
      <c r="J110" s="4"/>
      <c r="K110" s="4"/>
      <c r="L110" s="4"/>
      <c r="M110" s="4"/>
      <c r="N110" s="4"/>
    </row>
    <row r="111" spans="2:14">
      <c r="B111" s="4"/>
      <c r="C111" s="4"/>
      <c r="D111" s="4"/>
      <c r="E111" s="4"/>
      <c r="F111" s="4"/>
      <c r="G111" s="4"/>
      <c r="H111" s="4"/>
      <c r="I111" s="4"/>
      <c r="J111" s="4"/>
      <c r="K111" s="4"/>
      <c r="L111" s="4"/>
      <c r="M111" s="4"/>
      <c r="N111" s="4"/>
    </row>
    <row r="112" spans="2:14">
      <c r="B112" s="4"/>
      <c r="C112" s="4"/>
      <c r="D112" s="4"/>
      <c r="E112" s="4"/>
      <c r="F112" s="4"/>
      <c r="G112" s="4"/>
      <c r="H112" s="4"/>
      <c r="I112" s="4"/>
      <c r="J112" s="4"/>
      <c r="K112" s="4"/>
      <c r="L112" s="4"/>
      <c r="M112" s="4"/>
      <c r="N112" s="4"/>
    </row>
    <row r="113" spans="2:14">
      <c r="B113" s="4"/>
      <c r="C113" s="4"/>
      <c r="D113" s="4"/>
      <c r="E113" s="4"/>
      <c r="F113" s="4"/>
      <c r="G113" s="4"/>
      <c r="H113" s="4"/>
      <c r="I113" s="4"/>
      <c r="J113" s="4"/>
      <c r="K113" s="4"/>
      <c r="L113" s="4"/>
      <c r="M113" s="4"/>
      <c r="N113" s="4"/>
    </row>
    <row r="114" spans="2:14">
      <c r="B114" s="4"/>
      <c r="C114" s="4"/>
      <c r="D114" s="4"/>
      <c r="E114" s="4"/>
      <c r="F114" s="4"/>
      <c r="G114" s="4"/>
      <c r="H114" s="4"/>
      <c r="I114" s="4"/>
      <c r="J114" s="4"/>
      <c r="K114" s="4"/>
      <c r="L114" s="4"/>
      <c r="M114" s="4"/>
      <c r="N114" s="4"/>
    </row>
    <row r="115" spans="2:14">
      <c r="B115" s="4"/>
      <c r="C115" s="4"/>
      <c r="D115" s="4"/>
      <c r="E115" s="4"/>
      <c r="F115" s="4"/>
      <c r="G115" s="4"/>
      <c r="H115" s="4"/>
      <c r="I115" s="4"/>
      <c r="J115" s="4"/>
      <c r="K115" s="4"/>
      <c r="L115" s="4"/>
      <c r="M115" s="4"/>
      <c r="N115" s="4"/>
    </row>
    <row r="116" spans="2:14">
      <c r="B116" s="4"/>
      <c r="C116" s="4"/>
      <c r="D116" s="4"/>
      <c r="E116" s="4"/>
      <c r="F116" s="4"/>
      <c r="G116" s="4"/>
      <c r="H116" s="4"/>
      <c r="I116" s="4"/>
      <c r="J116" s="4"/>
      <c r="K116" s="4"/>
      <c r="L116" s="4"/>
      <c r="M116" s="4"/>
      <c r="N116" s="4"/>
    </row>
    <row r="117" spans="2:14">
      <c r="B117" s="4"/>
      <c r="C117" s="4"/>
      <c r="D117" s="4"/>
      <c r="E117" s="4"/>
      <c r="F117" s="4"/>
      <c r="G117" s="4"/>
      <c r="H117" s="4"/>
      <c r="I117" s="4"/>
      <c r="J117" s="4"/>
      <c r="K117" s="4"/>
      <c r="L117" s="4"/>
      <c r="M117" s="4"/>
      <c r="N117" s="4"/>
    </row>
    <row r="118" spans="2:14">
      <c r="B118" s="4"/>
      <c r="C118" s="4"/>
      <c r="D118" s="4"/>
      <c r="E118" s="4"/>
      <c r="F118" s="4"/>
      <c r="G118" s="4"/>
      <c r="H118" s="4"/>
      <c r="I118" s="4"/>
      <c r="J118" s="4"/>
      <c r="K118" s="4"/>
      <c r="L118" s="4"/>
      <c r="M118" s="4"/>
      <c r="N118" s="4"/>
    </row>
    <row r="119" spans="2:14">
      <c r="B119" s="4"/>
      <c r="C119" s="4"/>
      <c r="D119" s="4"/>
      <c r="E119" s="4"/>
      <c r="F119" s="4"/>
      <c r="G119" s="4"/>
      <c r="H119" s="4"/>
      <c r="I119" s="4"/>
      <c r="J119" s="4"/>
      <c r="K119" s="4"/>
      <c r="L119" s="4"/>
      <c r="M119" s="4"/>
      <c r="N119" s="4"/>
    </row>
    <row r="120" spans="2:14">
      <c r="B120" s="4"/>
      <c r="C120" s="4"/>
      <c r="D120" s="4"/>
      <c r="E120" s="4"/>
      <c r="F120" s="4"/>
      <c r="G120" s="4"/>
      <c r="H120" s="4"/>
      <c r="I120" s="4"/>
      <c r="J120" s="4"/>
      <c r="K120" s="4"/>
      <c r="L120" s="4"/>
      <c r="M120" s="4"/>
      <c r="N120" s="4"/>
    </row>
    <row r="121" spans="2:14">
      <c r="B121" s="4"/>
      <c r="C121" s="4"/>
      <c r="D121" s="4"/>
      <c r="E121" s="4"/>
      <c r="F121" s="4"/>
      <c r="G121" s="4"/>
      <c r="H121" s="4"/>
      <c r="I121" s="4"/>
      <c r="J121" s="4"/>
      <c r="K121" s="4"/>
      <c r="L121" s="4"/>
      <c r="M121" s="4"/>
      <c r="N121" s="4"/>
    </row>
    <row r="122" spans="2:14">
      <c r="B122" s="4"/>
      <c r="C122" s="4"/>
      <c r="D122" s="4"/>
      <c r="E122" s="4"/>
      <c r="F122" s="4"/>
      <c r="G122" s="4"/>
      <c r="H122" s="4"/>
      <c r="I122" s="4"/>
      <c r="J122" s="4"/>
      <c r="K122" s="4"/>
      <c r="L122" s="4"/>
      <c r="M122" s="4"/>
      <c r="N122" s="4"/>
    </row>
    <row r="123" spans="2:14">
      <c r="B123" s="4"/>
      <c r="C123" s="4"/>
      <c r="D123" s="4"/>
      <c r="E123" s="4"/>
      <c r="F123" s="4"/>
      <c r="G123" s="4"/>
      <c r="H123" s="4"/>
      <c r="I123" s="4"/>
      <c r="J123" s="4"/>
      <c r="K123" s="4"/>
      <c r="L123" s="4"/>
      <c r="M123" s="4"/>
      <c r="N123" s="4"/>
    </row>
    <row r="124" spans="2:14">
      <c r="B124" s="4"/>
      <c r="C124" s="4"/>
      <c r="D124" s="4"/>
      <c r="E124" s="4"/>
      <c r="F124" s="4"/>
      <c r="G124" s="4"/>
      <c r="H124" s="4"/>
      <c r="I124" s="4"/>
      <c r="J124" s="4"/>
      <c r="K124" s="4"/>
      <c r="L124" s="4"/>
      <c r="M124" s="4"/>
      <c r="N124" s="4"/>
    </row>
    <row r="125" spans="2:14">
      <c r="B125" s="4"/>
      <c r="C125" s="4"/>
      <c r="D125" s="4"/>
      <c r="E125" s="4"/>
      <c r="F125" s="4"/>
      <c r="G125" s="4"/>
      <c r="H125" s="4"/>
      <c r="I125" s="4"/>
      <c r="J125" s="4"/>
      <c r="K125" s="4"/>
      <c r="L125" s="4"/>
      <c r="M125" s="4"/>
      <c r="N125" s="4"/>
    </row>
    <row r="126" spans="2:14">
      <c r="B126" s="4"/>
      <c r="C126" s="4"/>
      <c r="D126" s="4"/>
      <c r="E126" s="4"/>
      <c r="F126" s="4"/>
      <c r="G126" s="4"/>
      <c r="H126" s="4"/>
      <c r="I126" s="4"/>
      <c r="J126" s="4"/>
      <c r="K126" s="4"/>
      <c r="L126" s="4"/>
      <c r="M126" s="4"/>
      <c r="N126" s="4"/>
    </row>
  </sheetData>
  <mergeCells count="3">
    <mergeCell ref="A1:L1"/>
    <mergeCell ref="A2:L2"/>
    <mergeCell ref="A3:L3"/>
  </mergeCells>
  <phoneticPr fontId="0" type="noConversion"/>
  <pageMargins left="0.75" right="0.75" top="1" bottom="1" header="0.5" footer="0.5"/>
  <pageSetup scale="79" orientation="landscape" r:id="rId1"/>
  <headerFooter alignWithMargins="0">
    <oddFooter>&amp;L&amp;Z
&amp;F&amp;C&amp;A&amp;R28.&amp;P</oddFooter>
  </headerFooter>
</worksheet>
</file>

<file path=xl/worksheets/sheet115.xml><?xml version="1.0" encoding="utf-8"?>
<worksheet xmlns="http://schemas.openxmlformats.org/spreadsheetml/2006/main" xmlns:r="http://schemas.openxmlformats.org/officeDocument/2006/relationships">
  <sheetPr codeName="Sheet66">
    <tabColor rgb="FF00B050"/>
    <pageSetUpPr fitToPage="1"/>
  </sheetPr>
  <dimension ref="A1:AA459"/>
  <sheetViews>
    <sheetView zoomScale="80" zoomScaleNormal="80" workbookViewId="0">
      <pane xSplit="3" ySplit="8" topLeftCell="G402" activePane="bottomRight" state="frozen"/>
      <selection activeCell="C38" sqref="C38"/>
      <selection pane="topRight" activeCell="C38" sqref="C38"/>
      <selection pane="bottomLeft" activeCell="C38" sqref="C38"/>
      <selection pane="bottomRight" activeCell="A420" sqref="A420:XFD420"/>
    </sheetView>
  </sheetViews>
  <sheetFormatPr defaultRowHeight="12.75" outlineLevelRow="1"/>
  <cols>
    <col min="1" max="1" width="47.5703125" bestFit="1" customWidth="1"/>
    <col min="2" max="2" width="19" bestFit="1" customWidth="1"/>
    <col min="3" max="3" width="1.7109375" style="7" customWidth="1"/>
    <col min="4" max="4" width="17.7109375" customWidth="1"/>
    <col min="5" max="5" width="1.7109375" style="7" customWidth="1"/>
    <col min="6" max="6" width="17.7109375" customWidth="1"/>
    <col min="7" max="7" width="1.7109375" style="7" customWidth="1"/>
    <col min="8" max="8" width="17.7109375" customWidth="1"/>
    <col min="9" max="9" width="1.7109375" style="7" customWidth="1"/>
    <col min="10" max="10" width="17.7109375" customWidth="1"/>
    <col min="11" max="11" width="1.7109375" style="7" customWidth="1"/>
    <col min="12" max="12" width="17.7109375" customWidth="1"/>
    <col min="13" max="13" width="1.7109375" style="7" customWidth="1"/>
    <col min="14" max="14" width="17.7109375" customWidth="1"/>
    <col min="15" max="15" width="1.7109375" style="7" customWidth="1"/>
    <col min="16" max="16" width="17.7109375" customWidth="1"/>
    <col min="17" max="17" width="1.7109375" style="7" customWidth="1"/>
    <col min="18" max="18" width="19.7109375" bestFit="1" customWidth="1"/>
    <col min="19" max="19" width="12.85546875" bestFit="1" customWidth="1"/>
    <col min="20" max="20" width="17.28515625" bestFit="1" customWidth="1"/>
    <col min="22" max="22" width="13.5703125" bestFit="1" customWidth="1"/>
  </cols>
  <sheetData>
    <row r="1" spans="1:27" s="38" customFormat="1" ht="15.75">
      <c r="A1" s="366" t="s">
        <v>134</v>
      </c>
      <c r="B1" s="366"/>
      <c r="C1" s="366"/>
      <c r="D1" s="366"/>
      <c r="E1" s="366"/>
      <c r="F1" s="366"/>
      <c r="G1" s="366"/>
      <c r="H1" s="366"/>
      <c r="I1" s="366"/>
      <c r="J1" s="366"/>
      <c r="K1" s="366"/>
      <c r="L1" s="366"/>
      <c r="M1" s="366"/>
      <c r="N1" s="366"/>
      <c r="O1" s="366"/>
      <c r="P1" s="366"/>
      <c r="Q1" s="366"/>
      <c r="R1" s="366"/>
      <c r="W1" s="39"/>
    </row>
    <row r="2" spans="1:27" s="38" customFormat="1" ht="15.75">
      <c r="A2" s="366" t="s">
        <v>1237</v>
      </c>
      <c r="B2" s="367"/>
      <c r="C2" s="367"/>
      <c r="D2" s="367"/>
      <c r="E2" s="367"/>
      <c r="F2" s="367"/>
      <c r="G2" s="367"/>
      <c r="H2" s="367"/>
      <c r="I2" s="367"/>
      <c r="J2" s="367"/>
      <c r="K2" s="367"/>
      <c r="L2" s="367"/>
      <c r="M2" s="367"/>
      <c r="N2" s="367"/>
      <c r="O2" s="367"/>
      <c r="P2" s="367"/>
      <c r="Q2" s="367"/>
      <c r="R2" s="367"/>
      <c r="W2" s="39"/>
    </row>
    <row r="3" spans="1:27">
      <c r="A3" s="357" t="str">
        <f>'Summary - Cost - PG 1 (Fin)'!A3:N3</f>
        <v>MARCH 2012</v>
      </c>
      <c r="B3" s="357"/>
      <c r="C3" s="357"/>
      <c r="D3" s="357"/>
      <c r="E3" s="357"/>
      <c r="F3" s="357"/>
      <c r="G3" s="357"/>
      <c r="H3" s="357"/>
      <c r="I3" s="357"/>
      <c r="J3" s="357"/>
      <c r="K3" s="357"/>
      <c r="L3" s="357"/>
      <c r="M3" s="357"/>
      <c r="N3" s="357"/>
      <c r="O3" s="357"/>
      <c r="P3" s="357"/>
      <c r="Q3" s="357"/>
      <c r="R3" s="357"/>
      <c r="S3" s="40"/>
      <c r="T3" s="40"/>
      <c r="U3" s="40"/>
      <c r="V3" s="40"/>
      <c r="W3" s="40"/>
      <c r="X3" s="40"/>
      <c r="Y3" s="40"/>
      <c r="Z3" s="40"/>
      <c r="AA3" s="40"/>
    </row>
    <row r="4" spans="1:27">
      <c r="A4" s="30"/>
      <c r="B4" s="30"/>
      <c r="C4" s="53"/>
      <c r="D4" s="30"/>
      <c r="E4" s="53"/>
      <c r="F4" s="30"/>
      <c r="G4" s="53"/>
      <c r="H4" s="30"/>
      <c r="I4" s="53"/>
      <c r="J4" s="30"/>
      <c r="K4" s="53"/>
      <c r="L4" s="30"/>
      <c r="M4" s="53"/>
      <c r="N4" s="30"/>
      <c r="O4" s="53"/>
      <c r="P4" s="30"/>
      <c r="Q4" s="53"/>
      <c r="R4" s="30"/>
      <c r="S4" s="40"/>
      <c r="T4" s="40"/>
      <c r="U4" s="40"/>
      <c r="V4" s="40"/>
      <c r="W4" s="40"/>
      <c r="X4" s="40"/>
      <c r="Y4" s="40"/>
      <c r="Z4" s="40"/>
      <c r="AA4" s="40"/>
    </row>
    <row r="6" spans="1:27">
      <c r="B6" s="41" t="s">
        <v>25</v>
      </c>
      <c r="D6" s="33"/>
      <c r="F6" s="33"/>
      <c r="H6" s="41" t="s">
        <v>612</v>
      </c>
      <c r="I6" s="54"/>
      <c r="J6" s="41" t="s">
        <v>28</v>
      </c>
      <c r="K6" s="54"/>
      <c r="L6" s="54" t="s">
        <v>37</v>
      </c>
      <c r="P6" s="41" t="s">
        <v>39</v>
      </c>
      <c r="Q6" s="54"/>
      <c r="R6" s="41" t="s">
        <v>26</v>
      </c>
      <c r="S6" s="41"/>
      <c r="U6" s="41"/>
    </row>
    <row r="7" spans="1:27">
      <c r="B7" s="42" t="s">
        <v>27</v>
      </c>
      <c r="D7" s="42" t="s">
        <v>954</v>
      </c>
      <c r="F7" s="42" t="s">
        <v>108</v>
      </c>
      <c r="H7" s="42" t="s">
        <v>613</v>
      </c>
      <c r="I7" s="54"/>
      <c r="J7" s="42" t="s">
        <v>29</v>
      </c>
      <c r="K7" s="54"/>
      <c r="L7" s="42" t="s">
        <v>38</v>
      </c>
      <c r="M7" s="54"/>
      <c r="N7" s="42" t="s">
        <v>955</v>
      </c>
      <c r="O7" s="54"/>
      <c r="P7" s="42" t="s">
        <v>105</v>
      </c>
      <c r="Q7" s="54"/>
      <c r="R7" s="42" t="s">
        <v>27</v>
      </c>
    </row>
    <row r="9" spans="1:27">
      <c r="A9" s="3" t="s">
        <v>113</v>
      </c>
      <c r="B9" s="4"/>
      <c r="C9" s="55"/>
      <c r="D9" s="4"/>
      <c r="E9" s="55"/>
      <c r="F9" s="4"/>
      <c r="G9" s="55"/>
      <c r="H9" s="4"/>
      <c r="I9" s="55"/>
      <c r="J9" s="4"/>
      <c r="K9" s="55"/>
      <c r="L9" s="4"/>
      <c r="M9" s="55"/>
      <c r="N9" s="4"/>
      <c r="O9" s="55"/>
      <c r="P9" s="4"/>
      <c r="Q9" s="55"/>
      <c r="R9" s="4"/>
    </row>
    <row r="10" spans="1:27">
      <c r="A10" t="s">
        <v>347</v>
      </c>
      <c r="B10" s="45">
        <v>0</v>
      </c>
      <c r="C10" s="52"/>
      <c r="D10" s="45">
        <v>0</v>
      </c>
      <c r="E10" s="52"/>
      <c r="F10" s="325">
        <v>0</v>
      </c>
      <c r="G10" s="52"/>
      <c r="H10" s="325">
        <v>0</v>
      </c>
      <c r="I10" s="52"/>
      <c r="J10" s="325">
        <v>0</v>
      </c>
      <c r="K10" s="52"/>
      <c r="L10" s="325">
        <v>0</v>
      </c>
      <c r="M10" s="52"/>
      <c r="N10" s="325">
        <v>0</v>
      </c>
      <c r="O10" s="52"/>
      <c r="P10" s="325">
        <v>0</v>
      </c>
      <c r="Q10" s="52"/>
      <c r="R10" s="45">
        <f>SUM(B10:P10)</f>
        <v>0</v>
      </c>
      <c r="S10" s="33"/>
      <c r="T10" s="33"/>
      <c r="U10" s="33"/>
    </row>
    <row r="11" spans="1:27">
      <c r="A11" t="s">
        <v>57</v>
      </c>
      <c r="B11" s="45">
        <v>0</v>
      </c>
      <c r="C11" s="52"/>
      <c r="D11" s="45">
        <v>0</v>
      </c>
      <c r="E11" s="52"/>
      <c r="F11" s="325">
        <v>0</v>
      </c>
      <c r="G11" s="52"/>
      <c r="H11" s="325">
        <v>0</v>
      </c>
      <c r="I11" s="52"/>
      <c r="J11" s="325">
        <v>0</v>
      </c>
      <c r="K11" s="52"/>
      <c r="L11" s="325">
        <v>0</v>
      </c>
      <c r="M11" s="52"/>
      <c r="N11" s="325">
        <v>0</v>
      </c>
      <c r="O11" s="52"/>
      <c r="P11" s="325">
        <v>0</v>
      </c>
      <c r="Q11" s="52"/>
      <c r="R11" s="45">
        <f t="shared" ref="R11:R24" si="0">SUM(B11:P11)</f>
        <v>0</v>
      </c>
      <c r="S11" s="33"/>
      <c r="T11" s="33"/>
      <c r="U11" s="33"/>
    </row>
    <row r="12" spans="1:27">
      <c r="A12" t="s">
        <v>349</v>
      </c>
      <c r="B12" s="45">
        <v>-1934525.3900000004</v>
      </c>
      <c r="C12" s="52"/>
      <c r="D12" s="45">
        <f>-3840.5-4097.47-4105.88</f>
        <v>-12043.85</v>
      </c>
      <c r="E12" s="52"/>
      <c r="F12" s="325">
        <v>398.73</v>
      </c>
      <c r="G12" s="52"/>
      <c r="H12" s="325">
        <v>0</v>
      </c>
      <c r="I12" s="52"/>
      <c r="J12" s="325">
        <v>0</v>
      </c>
      <c r="K12" s="52"/>
      <c r="L12" s="325">
        <v>3234.57</v>
      </c>
      <c r="M12" s="52"/>
      <c r="N12" s="325">
        <v>0</v>
      </c>
      <c r="O12" s="52"/>
      <c r="P12" s="325">
        <v>0</v>
      </c>
      <c r="Q12" s="52"/>
      <c r="R12" s="45">
        <f t="shared" si="0"/>
        <v>-1942935.9400000004</v>
      </c>
      <c r="S12" s="33"/>
      <c r="T12" s="33"/>
      <c r="U12" s="33"/>
    </row>
    <row r="13" spans="1:27">
      <c r="A13" t="s">
        <v>819</v>
      </c>
      <c r="B13" s="45">
        <v>-37506516.240000002</v>
      </c>
      <c r="C13" s="52"/>
      <c r="D13" s="45">
        <f>-93223.69-96791.89-96585.81</f>
        <v>-286601.39</v>
      </c>
      <c r="E13" s="52"/>
      <c r="F13" s="325">
        <f>76777.47+4875.22</f>
        <v>81652.69</v>
      </c>
      <c r="G13" s="52"/>
      <c r="H13" s="325">
        <v>0</v>
      </c>
      <c r="I13" s="52"/>
      <c r="J13" s="325">
        <v>0</v>
      </c>
      <c r="K13" s="52"/>
      <c r="L13" s="325">
        <v>29669.75</v>
      </c>
      <c r="M13" s="52"/>
      <c r="N13" s="325">
        <v>0</v>
      </c>
      <c r="O13" s="52"/>
      <c r="P13" s="325">
        <v>0</v>
      </c>
      <c r="Q13" s="52"/>
      <c r="R13" s="45">
        <f t="shared" si="0"/>
        <v>-37681795.190000005</v>
      </c>
      <c r="S13" s="33"/>
      <c r="T13" s="33"/>
      <c r="U13" s="33"/>
    </row>
    <row r="14" spans="1:27">
      <c r="A14" t="s">
        <v>348</v>
      </c>
      <c r="B14" s="45">
        <v>0</v>
      </c>
      <c r="C14" s="52"/>
      <c r="D14" s="45">
        <v>0</v>
      </c>
      <c r="E14" s="52"/>
      <c r="F14" s="325">
        <v>0</v>
      </c>
      <c r="G14" s="52"/>
      <c r="H14" s="325">
        <v>0</v>
      </c>
      <c r="I14" s="52"/>
      <c r="J14" s="325">
        <v>0</v>
      </c>
      <c r="K14" s="52"/>
      <c r="L14" s="325">
        <v>0</v>
      </c>
      <c r="M14" s="52"/>
      <c r="N14" s="325">
        <v>0</v>
      </c>
      <c r="O14" s="52"/>
      <c r="P14" s="325">
        <v>0</v>
      </c>
      <c r="Q14" s="52"/>
      <c r="R14" s="45">
        <f t="shared" si="0"/>
        <v>0</v>
      </c>
      <c r="S14" s="33"/>
      <c r="T14" s="33"/>
      <c r="U14" s="33"/>
    </row>
    <row r="15" spans="1:27">
      <c r="A15" t="s">
        <v>60</v>
      </c>
      <c r="B15" s="45">
        <v>-68100569.019999996</v>
      </c>
      <c r="C15" s="52"/>
      <c r="D15" s="45">
        <f>-343657.73-349474.94-350634.21</f>
        <v>-1043766.8799999999</v>
      </c>
      <c r="E15" s="52"/>
      <c r="F15" s="325">
        <f>114852.88+47086.5+165047.53</f>
        <v>326986.91000000003</v>
      </c>
      <c r="G15" s="52"/>
      <c r="H15" s="325">
        <v>0</v>
      </c>
      <c r="I15" s="52"/>
      <c r="J15" s="325">
        <v>0</v>
      </c>
      <c r="K15" s="52"/>
      <c r="L15" s="325">
        <f>92814.68+61722.73+167987.26</f>
        <v>322524.67000000004</v>
      </c>
      <c r="M15" s="52"/>
      <c r="N15" s="325">
        <v>-1807.93</v>
      </c>
      <c r="O15" s="52"/>
      <c r="P15" s="325">
        <v>0</v>
      </c>
      <c r="Q15" s="52"/>
      <c r="R15" s="45">
        <f t="shared" si="0"/>
        <v>-68496632.25</v>
      </c>
      <c r="S15" s="33"/>
      <c r="T15" s="33"/>
      <c r="U15" s="33"/>
    </row>
    <row r="16" spans="1:27">
      <c r="A16" t="s">
        <v>345</v>
      </c>
      <c r="B16" s="45">
        <v>-97059044.890000001</v>
      </c>
      <c r="C16" s="52"/>
      <c r="D16" s="45">
        <f>-573229.49-582261.58-583671.45</f>
        <v>-1739162.5199999998</v>
      </c>
      <c r="E16" s="52"/>
      <c r="F16" s="325">
        <f>222629.05+100120.97+303700.72</f>
        <v>626450.74</v>
      </c>
      <c r="G16" s="52"/>
      <c r="H16" s="325">
        <v>0</v>
      </c>
      <c r="I16" s="52"/>
      <c r="J16" s="325">
        <v>0</v>
      </c>
      <c r="K16" s="52"/>
      <c r="L16" s="325">
        <f>192053.29+146611.92+642667.27</f>
        <v>981332.47999999998</v>
      </c>
      <c r="M16" s="52"/>
      <c r="N16" s="325">
        <v>-6470.52</v>
      </c>
      <c r="O16" s="52"/>
      <c r="P16" s="325">
        <v>0</v>
      </c>
      <c r="Q16" s="52"/>
      <c r="R16" s="45">
        <f t="shared" si="0"/>
        <v>-97196894.709999993</v>
      </c>
      <c r="S16" s="33"/>
      <c r="T16" s="33"/>
      <c r="U16" s="33"/>
    </row>
    <row r="17" spans="1:21">
      <c r="A17" t="s">
        <v>56</v>
      </c>
      <c r="B17" s="45">
        <v>-26343100.25</v>
      </c>
      <c r="C17" s="52"/>
      <c r="D17" s="45">
        <f>-71984.83-71728.17-71911.12</f>
        <v>-215624.12</v>
      </c>
      <c r="E17" s="52"/>
      <c r="F17" s="325">
        <f>1566.44+264.66+10955.49</f>
        <v>12786.59</v>
      </c>
      <c r="G17" s="52"/>
      <c r="H17" s="325">
        <v>0</v>
      </c>
      <c r="I17" s="52"/>
      <c r="J17" s="325">
        <v>0</v>
      </c>
      <c r="K17" s="52"/>
      <c r="L17" s="325">
        <f>1035.79+4207.4+34621.71</f>
        <v>39864.9</v>
      </c>
      <c r="M17" s="52"/>
      <c r="N17" s="325">
        <v>0</v>
      </c>
      <c r="O17" s="52"/>
      <c r="P17" s="325">
        <v>0</v>
      </c>
      <c r="Q17" s="52"/>
      <c r="R17" s="45">
        <f t="shared" si="0"/>
        <v>-26506072.880000003</v>
      </c>
      <c r="S17" s="33"/>
      <c r="T17" s="33"/>
      <c r="U17" s="33"/>
    </row>
    <row r="18" spans="1:21">
      <c r="A18" t="s">
        <v>346</v>
      </c>
      <c r="B18" s="45">
        <v>-48421476.319999993</v>
      </c>
      <c r="C18" s="52"/>
      <c r="D18" s="45">
        <f>-216226.29-219107.34-219094.63</f>
        <v>-654428.26</v>
      </c>
      <c r="E18" s="52"/>
      <c r="F18" s="325">
        <f>101722.26+161752.85+75571.65</f>
        <v>339046.76</v>
      </c>
      <c r="G18" s="52"/>
      <c r="H18" s="325">
        <v>0</v>
      </c>
      <c r="I18" s="52"/>
      <c r="J18" s="325">
        <v>0</v>
      </c>
      <c r="K18" s="52"/>
      <c r="L18" s="325">
        <f>243991.78+66872.72+31307.33</f>
        <v>342171.83</v>
      </c>
      <c r="M18" s="52"/>
      <c r="N18" s="325">
        <f>-20598.73-1917.19</f>
        <v>-22515.919999999998</v>
      </c>
      <c r="O18" s="52"/>
      <c r="P18" s="325">
        <v>0</v>
      </c>
      <c r="Q18" s="52"/>
      <c r="R18" s="45">
        <f t="shared" si="0"/>
        <v>-48417201.909999996</v>
      </c>
      <c r="S18" s="33"/>
      <c r="T18" s="33"/>
      <c r="U18" s="33"/>
    </row>
    <row r="19" spans="1:21">
      <c r="A19" t="s">
        <v>59</v>
      </c>
      <c r="B19" s="45">
        <v>-63126091.619999997</v>
      </c>
      <c r="C19" s="52"/>
      <c r="D19" s="45">
        <f>-255233.25-255648.27-255959.04</f>
        <v>-766840.56</v>
      </c>
      <c r="E19" s="52"/>
      <c r="F19" s="325">
        <f>3015.41+70034.95+1770.52</f>
        <v>74820.88</v>
      </c>
      <c r="G19" s="52"/>
      <c r="H19" s="325">
        <v>0</v>
      </c>
      <c r="I19" s="52"/>
      <c r="J19" s="325">
        <v>0</v>
      </c>
      <c r="K19" s="52"/>
      <c r="L19" s="325">
        <v>13479.69</v>
      </c>
      <c r="M19" s="52"/>
      <c r="N19" s="325">
        <v>-21604.21</v>
      </c>
      <c r="O19" s="52"/>
      <c r="P19" s="325">
        <v>0</v>
      </c>
      <c r="Q19" s="52"/>
      <c r="R19" s="45">
        <f t="shared" si="0"/>
        <v>-63826235.82</v>
      </c>
      <c r="S19" s="33"/>
      <c r="T19" s="33"/>
      <c r="U19" s="33"/>
    </row>
    <row r="20" spans="1:21">
      <c r="A20" t="s">
        <v>61</v>
      </c>
      <c r="B20" s="45">
        <v>-1616004.8299999996</v>
      </c>
      <c r="C20" s="52"/>
      <c r="D20" s="45">
        <f>-12496.29-12429.42-12405.43</f>
        <v>-37331.14</v>
      </c>
      <c r="E20" s="52"/>
      <c r="F20" s="325">
        <f>7190.84+5396.4+10338.23</f>
        <v>22925.47</v>
      </c>
      <c r="G20" s="52"/>
      <c r="H20" s="325">
        <v>0</v>
      </c>
      <c r="I20" s="52"/>
      <c r="J20" s="325">
        <v>0</v>
      </c>
      <c r="K20" s="52"/>
      <c r="L20" s="325">
        <f>133676.44+28578.28+259036.29</f>
        <v>421291.01</v>
      </c>
      <c r="M20" s="52"/>
      <c r="N20" s="325">
        <v>-2537.7600000000002</v>
      </c>
      <c r="O20" s="52"/>
      <c r="P20" s="325">
        <v>0</v>
      </c>
      <c r="Q20" s="52"/>
      <c r="R20" s="45">
        <f t="shared" si="0"/>
        <v>-1211657.2499999995</v>
      </c>
      <c r="S20" s="33"/>
      <c r="T20" s="33"/>
      <c r="U20" s="33"/>
    </row>
    <row r="21" spans="1:21">
      <c r="A21" t="s">
        <v>58</v>
      </c>
      <c r="B21" s="45">
        <v>-19735616.970000006</v>
      </c>
      <c r="C21" s="52"/>
      <c r="D21" s="45">
        <f>-87765.46-87726.06-90315.12</f>
        <v>-265806.64</v>
      </c>
      <c r="E21" s="52"/>
      <c r="F21" s="325">
        <f>18951.68+1949.29</f>
        <v>20900.97</v>
      </c>
      <c r="G21" s="52"/>
      <c r="H21" s="325">
        <v>0</v>
      </c>
      <c r="I21" s="52"/>
      <c r="J21" s="325">
        <v>0</v>
      </c>
      <c r="K21" s="52"/>
      <c r="L21" s="325">
        <v>318943.71000000002</v>
      </c>
      <c r="M21" s="52"/>
      <c r="N21" s="325">
        <v>0</v>
      </c>
      <c r="O21" s="52"/>
      <c r="P21" s="325">
        <v>0</v>
      </c>
      <c r="Q21" s="52"/>
      <c r="R21" s="45">
        <f t="shared" si="0"/>
        <v>-19661578.930000007</v>
      </c>
      <c r="S21" s="33"/>
      <c r="T21" s="33"/>
      <c r="U21" s="33"/>
    </row>
    <row r="22" spans="1:21">
      <c r="A22" t="s">
        <v>343</v>
      </c>
      <c r="B22" s="45">
        <v>-19907328.909999996</v>
      </c>
      <c r="C22" s="52"/>
      <c r="D22" s="45">
        <f>-119094.21-119835.75-120412.43</f>
        <v>-359342.39</v>
      </c>
      <c r="E22" s="52"/>
      <c r="F22" s="325">
        <v>0</v>
      </c>
      <c r="G22" s="52"/>
      <c r="H22" s="325">
        <v>0</v>
      </c>
      <c r="I22" s="52"/>
      <c r="J22" s="325">
        <v>0</v>
      </c>
      <c r="K22" s="52"/>
      <c r="L22" s="325">
        <v>0</v>
      </c>
      <c r="M22" s="52"/>
      <c r="N22" s="325">
        <v>0</v>
      </c>
      <c r="O22" s="52"/>
      <c r="P22" s="325">
        <v>0</v>
      </c>
      <c r="Q22" s="52"/>
      <c r="R22" s="45">
        <f t="shared" si="0"/>
        <v>-20266671.299999997</v>
      </c>
      <c r="S22" s="33"/>
      <c r="T22" s="33"/>
      <c r="U22" s="33"/>
    </row>
    <row r="23" spans="1:21">
      <c r="A23" t="s">
        <v>62</v>
      </c>
      <c r="B23" s="45">
        <v>-12877300.320000006</v>
      </c>
      <c r="C23" s="52"/>
      <c r="D23" s="45">
        <f>-80071.49-81145.49-82024.8</f>
        <v>-243241.78000000003</v>
      </c>
      <c r="E23" s="52"/>
      <c r="F23" s="325">
        <f>2505.62+223275.96</f>
        <v>225781.58</v>
      </c>
      <c r="G23" s="52"/>
      <c r="H23" s="325">
        <v>0</v>
      </c>
      <c r="I23" s="52"/>
      <c r="J23" s="325">
        <v>0</v>
      </c>
      <c r="K23" s="52"/>
      <c r="L23" s="325">
        <f>339.42+261.44+109019.22</f>
        <v>109620.08</v>
      </c>
      <c r="M23" s="52"/>
      <c r="N23" s="325">
        <v>0</v>
      </c>
      <c r="O23" s="52"/>
      <c r="P23" s="325">
        <v>0</v>
      </c>
      <c r="Q23" s="52"/>
      <c r="R23" s="45">
        <f t="shared" si="0"/>
        <v>-12785140.440000005</v>
      </c>
      <c r="S23" s="33"/>
      <c r="T23" s="33"/>
      <c r="U23" s="33"/>
    </row>
    <row r="24" spans="1:21">
      <c r="A24" t="s">
        <v>344</v>
      </c>
      <c r="B24" s="45">
        <v>-21419156.919999998</v>
      </c>
      <c r="C24" s="52"/>
      <c r="D24" s="45">
        <f>-118503.72-119431.38-120285.74</f>
        <v>-358220.84</v>
      </c>
      <c r="E24" s="52"/>
      <c r="F24" s="325">
        <f>2149.92+339.57+64052.05</f>
        <v>66541.540000000008</v>
      </c>
      <c r="G24" s="52"/>
      <c r="H24" s="325">
        <v>57559.8</v>
      </c>
      <c r="I24" s="52"/>
      <c r="J24" s="325">
        <v>0</v>
      </c>
      <c r="K24" s="52"/>
      <c r="L24" s="325">
        <f>3710.84+27918.46</f>
        <v>31629.3</v>
      </c>
      <c r="M24" s="52"/>
      <c r="N24" s="325">
        <v>-30.89</v>
      </c>
      <c r="O24" s="52"/>
      <c r="P24" s="325">
        <v>0</v>
      </c>
      <c r="Q24" s="52"/>
      <c r="R24" s="45">
        <f t="shared" si="0"/>
        <v>-21621678.009999998</v>
      </c>
      <c r="S24" s="33"/>
      <c r="T24" s="33"/>
      <c r="U24" s="33"/>
    </row>
    <row r="25" spans="1:21">
      <c r="A25" t="s">
        <v>63</v>
      </c>
      <c r="B25" s="45">
        <v>-38996.730000000003</v>
      </c>
      <c r="C25" s="52"/>
      <c r="D25" s="45">
        <v>0</v>
      </c>
      <c r="E25" s="52"/>
      <c r="F25" s="325">
        <v>0</v>
      </c>
      <c r="G25" s="52"/>
      <c r="H25" s="325">
        <v>-57559.8</v>
      </c>
      <c r="I25" s="52"/>
      <c r="J25" s="325">
        <v>0</v>
      </c>
      <c r="K25" s="52"/>
      <c r="L25" s="325">
        <v>0</v>
      </c>
      <c r="M25" s="52"/>
      <c r="N25" s="325">
        <v>0</v>
      </c>
      <c r="O25" s="52"/>
      <c r="P25" s="325">
        <v>0</v>
      </c>
      <c r="Q25" s="52"/>
      <c r="R25" s="45">
        <f>SUM(B25:P25)</f>
        <v>-96556.53</v>
      </c>
      <c r="S25" s="33"/>
      <c r="T25" s="33"/>
      <c r="U25" s="33"/>
    </row>
    <row r="26" spans="1:21">
      <c r="A26" t="s">
        <v>64</v>
      </c>
      <c r="B26" s="325">
        <v>-7290.4000000000678</v>
      </c>
      <c r="C26" s="326"/>
      <c r="D26" s="325">
        <f>-502.82-502.82-502.82</f>
        <v>-1508.46</v>
      </c>
      <c r="E26" s="326"/>
      <c r="F26" s="325">
        <v>0</v>
      </c>
      <c r="G26" s="326"/>
      <c r="H26" s="325">
        <v>0</v>
      </c>
      <c r="I26" s="326"/>
      <c r="J26" s="325">
        <v>0</v>
      </c>
      <c r="K26" s="326"/>
      <c r="L26" s="325">
        <v>0</v>
      </c>
      <c r="M26" s="326"/>
      <c r="N26" s="325">
        <v>0</v>
      </c>
      <c r="O26" s="326"/>
      <c r="P26" s="325">
        <v>0</v>
      </c>
      <c r="Q26" s="326"/>
      <c r="R26" s="325">
        <f>SUM(B26:P26)</f>
        <v>-8798.8600000000679</v>
      </c>
      <c r="S26" s="300"/>
      <c r="T26" s="300"/>
      <c r="U26" s="300"/>
    </row>
    <row r="27" spans="1:21">
      <c r="A27" s="331" t="s">
        <v>1448</v>
      </c>
      <c r="B27" s="327">
        <v>0</v>
      </c>
      <c r="C27" s="52"/>
      <c r="D27" s="327">
        <f>-223.55-223.55-447.11-447.11</f>
        <v>-1341.3200000000002</v>
      </c>
      <c r="E27" s="52"/>
      <c r="F27" s="327">
        <v>0</v>
      </c>
      <c r="G27" s="52"/>
      <c r="H27" s="327">
        <f>-447.11+223.55</f>
        <v>-223.56</v>
      </c>
      <c r="I27" s="52"/>
      <c r="J27" s="327">
        <v>0</v>
      </c>
      <c r="K27" s="52"/>
      <c r="L27" s="327">
        <v>0</v>
      </c>
      <c r="M27" s="52"/>
      <c r="N27" s="327">
        <v>0</v>
      </c>
      <c r="O27" s="52"/>
      <c r="P27" s="327">
        <v>0</v>
      </c>
      <c r="Q27" s="52"/>
      <c r="R27" s="327">
        <f>SUM(B27:P27)</f>
        <v>-1564.88</v>
      </c>
      <c r="S27" s="33"/>
      <c r="T27" s="33"/>
      <c r="U27" s="33"/>
    </row>
    <row r="28" spans="1:21">
      <c r="B28" s="52">
        <f>SUM(B10:B27)</f>
        <v>-418093018.81000006</v>
      </c>
      <c r="C28" s="52"/>
      <c r="D28" s="52">
        <f t="shared" ref="D28:R28" si="1">SUM(D10:D27)</f>
        <v>-5985260.1499999994</v>
      </c>
      <c r="E28" s="52"/>
      <c r="F28" s="52">
        <f t="shared" si="1"/>
        <v>1798292.8599999999</v>
      </c>
      <c r="G28" s="52"/>
      <c r="H28" s="52">
        <f t="shared" si="1"/>
        <v>-223.56</v>
      </c>
      <c r="I28" s="52"/>
      <c r="J28" s="52">
        <f t="shared" si="1"/>
        <v>0</v>
      </c>
      <c r="K28" s="52"/>
      <c r="L28" s="52">
        <f>SUM(L10:L27)</f>
        <v>2613761.9899999998</v>
      </c>
      <c r="M28" s="52"/>
      <c r="N28" s="52">
        <f t="shared" si="1"/>
        <v>-54967.23</v>
      </c>
      <c r="O28" s="52"/>
      <c r="P28" s="52">
        <f t="shared" si="1"/>
        <v>0</v>
      </c>
      <c r="Q28" s="52"/>
      <c r="R28" s="52">
        <f t="shared" si="1"/>
        <v>-419721414.89999998</v>
      </c>
      <c r="S28" s="33"/>
      <c r="T28" s="33"/>
      <c r="U28" s="33"/>
    </row>
    <row r="29" spans="1:21">
      <c r="B29" s="52"/>
      <c r="C29" s="52"/>
      <c r="D29" s="52"/>
      <c r="E29" s="52"/>
      <c r="F29" s="52"/>
      <c r="G29" s="52"/>
      <c r="H29" s="52"/>
      <c r="I29" s="52"/>
      <c r="J29" s="52"/>
      <c r="K29" s="52"/>
      <c r="L29" s="52"/>
      <c r="M29" s="52"/>
      <c r="N29" s="52"/>
      <c r="O29" s="52"/>
      <c r="P29" s="52"/>
      <c r="Q29" s="52"/>
      <c r="R29" s="52"/>
      <c r="S29" s="33"/>
      <c r="T29" s="33"/>
      <c r="U29" s="33"/>
    </row>
    <row r="30" spans="1:21">
      <c r="A30" s="3" t="s">
        <v>114</v>
      </c>
      <c r="B30" s="52"/>
      <c r="C30" s="52"/>
      <c r="D30" s="52"/>
      <c r="E30" s="52"/>
      <c r="F30" s="52"/>
      <c r="G30" s="52"/>
      <c r="H30" s="52"/>
      <c r="I30" s="52"/>
      <c r="J30" s="52"/>
      <c r="K30" s="52"/>
      <c r="L30" s="52"/>
      <c r="M30" s="52"/>
      <c r="N30" s="52"/>
      <c r="O30" s="52"/>
      <c r="P30" s="52"/>
      <c r="Q30" s="52"/>
      <c r="R30" s="52"/>
      <c r="S30" s="33"/>
      <c r="T30" s="33"/>
      <c r="U30" s="33"/>
    </row>
    <row r="31" spans="1:21">
      <c r="A31" t="s">
        <v>68</v>
      </c>
      <c r="B31" s="52">
        <v>-7149672.700000002</v>
      </c>
      <c r="C31" s="52"/>
      <c r="D31" s="52">
        <f>-21072.45-22061.75-23051.13</f>
        <v>-66185.33</v>
      </c>
      <c r="E31" s="52"/>
      <c r="F31" s="326">
        <v>39209.64</v>
      </c>
      <c r="G31" s="52"/>
      <c r="H31" s="326">
        <v>0</v>
      </c>
      <c r="I31" s="52"/>
      <c r="J31" s="326">
        <v>0</v>
      </c>
      <c r="K31" s="52"/>
      <c r="L31" s="326">
        <v>0</v>
      </c>
      <c r="M31" s="52"/>
      <c r="N31" s="326">
        <v>0</v>
      </c>
      <c r="O31" s="52"/>
      <c r="P31" s="326">
        <v>0</v>
      </c>
      <c r="Q31" s="52"/>
      <c r="R31" s="52">
        <f t="shared" ref="R31:R36" si="2">SUM(B31:P31)</f>
        <v>-7176648.3900000025</v>
      </c>
      <c r="S31" s="33"/>
      <c r="T31" s="33"/>
      <c r="U31" s="33"/>
    </row>
    <row r="32" spans="1:21">
      <c r="A32" t="s">
        <v>70</v>
      </c>
      <c r="B32" s="52">
        <v>-257487.99</v>
      </c>
      <c r="C32" s="52"/>
      <c r="D32" s="52">
        <f>-1832.36-1946.27-2060.19</f>
        <v>-5838.82</v>
      </c>
      <c r="E32" s="52"/>
      <c r="F32" s="326">
        <v>0</v>
      </c>
      <c r="G32" s="52"/>
      <c r="H32" s="326">
        <v>0</v>
      </c>
      <c r="I32" s="52"/>
      <c r="J32" s="326">
        <v>0</v>
      </c>
      <c r="K32" s="52"/>
      <c r="L32" s="326">
        <v>0</v>
      </c>
      <c r="M32" s="52"/>
      <c r="N32" s="326">
        <v>0</v>
      </c>
      <c r="O32" s="52"/>
      <c r="P32" s="326">
        <v>0</v>
      </c>
      <c r="Q32" s="52"/>
      <c r="R32" s="52">
        <f t="shared" si="2"/>
        <v>-263326.81</v>
      </c>
      <c r="S32" s="33"/>
      <c r="T32" s="33"/>
      <c r="U32" s="33"/>
    </row>
    <row r="33" spans="1:21">
      <c r="A33" t="s">
        <v>66</v>
      </c>
      <c r="B33" s="52">
        <v>-1508076.46</v>
      </c>
      <c r="C33" s="52"/>
      <c r="D33" s="52">
        <f>-16842.69-16932.01-17021.33</f>
        <v>-50796.03</v>
      </c>
      <c r="E33" s="52"/>
      <c r="F33" s="326">
        <v>0</v>
      </c>
      <c r="G33" s="52"/>
      <c r="H33" s="326">
        <v>0</v>
      </c>
      <c r="I33" s="52"/>
      <c r="J33" s="326">
        <v>0</v>
      </c>
      <c r="K33" s="52"/>
      <c r="L33" s="326">
        <v>0</v>
      </c>
      <c r="M33" s="52"/>
      <c r="N33" s="326">
        <v>0</v>
      </c>
      <c r="O33" s="52"/>
      <c r="P33" s="326">
        <v>0</v>
      </c>
      <c r="Q33" s="52"/>
      <c r="R33" s="52">
        <f t="shared" si="2"/>
        <v>-1558872.49</v>
      </c>
      <c r="S33" s="33"/>
      <c r="T33" s="33"/>
      <c r="U33" s="33"/>
    </row>
    <row r="34" spans="1:21">
      <c r="A34" t="s">
        <v>69</v>
      </c>
      <c r="B34" s="52">
        <v>1.3096723705530167E-10</v>
      </c>
      <c r="C34" s="52"/>
      <c r="D34" s="52">
        <v>0</v>
      </c>
      <c r="E34" s="52"/>
      <c r="F34" s="326">
        <v>0</v>
      </c>
      <c r="G34" s="52"/>
      <c r="H34" s="326">
        <v>0</v>
      </c>
      <c r="I34" s="52"/>
      <c r="J34" s="326">
        <v>0</v>
      </c>
      <c r="K34" s="52"/>
      <c r="L34" s="326">
        <v>0</v>
      </c>
      <c r="M34" s="52"/>
      <c r="N34" s="326">
        <v>0</v>
      </c>
      <c r="O34" s="52"/>
      <c r="P34" s="326">
        <v>0</v>
      </c>
      <c r="Q34" s="52"/>
      <c r="R34" s="52">
        <f t="shared" si="2"/>
        <v>1.3096723705530167E-10</v>
      </c>
      <c r="S34" s="33"/>
      <c r="T34" s="33"/>
      <c r="U34" s="33"/>
    </row>
    <row r="35" spans="1:21">
      <c r="A35" t="s">
        <v>67</v>
      </c>
      <c r="B35" s="52">
        <v>-2218550.8200000003</v>
      </c>
      <c r="C35" s="52"/>
      <c r="D35" s="52">
        <f>-4623.46-4623.5-4623.47</f>
        <v>-13870.43</v>
      </c>
      <c r="E35" s="52"/>
      <c r="F35" s="326">
        <v>0</v>
      </c>
      <c r="G35" s="52"/>
      <c r="H35" s="326">
        <v>0</v>
      </c>
      <c r="I35" s="52"/>
      <c r="J35" s="326">
        <v>0</v>
      </c>
      <c r="K35" s="52"/>
      <c r="L35" s="326">
        <v>0</v>
      </c>
      <c r="M35" s="52"/>
      <c r="N35" s="326">
        <v>0</v>
      </c>
      <c r="O35" s="52"/>
      <c r="P35" s="326">
        <v>0</v>
      </c>
      <c r="Q35" s="52"/>
      <c r="R35" s="52">
        <f t="shared" si="2"/>
        <v>-2232421.2500000005</v>
      </c>
      <c r="S35" s="33"/>
      <c r="T35" s="33"/>
      <c r="U35" s="33"/>
    </row>
    <row r="36" spans="1:21">
      <c r="A36" t="s">
        <v>65</v>
      </c>
      <c r="B36" s="48">
        <v>-26948.299999999996</v>
      </c>
      <c r="C36" s="52"/>
      <c r="D36" s="48">
        <f>-399.12-399.12-399.12</f>
        <v>-1197.3600000000001</v>
      </c>
      <c r="E36" s="52"/>
      <c r="F36" s="327">
        <v>0</v>
      </c>
      <c r="G36" s="52"/>
      <c r="H36" s="327">
        <v>0</v>
      </c>
      <c r="I36" s="52"/>
      <c r="J36" s="327">
        <v>0</v>
      </c>
      <c r="K36" s="52"/>
      <c r="L36" s="327">
        <v>0</v>
      </c>
      <c r="M36" s="52"/>
      <c r="N36" s="327">
        <v>0</v>
      </c>
      <c r="O36" s="52"/>
      <c r="P36" s="327">
        <v>0</v>
      </c>
      <c r="Q36" s="52"/>
      <c r="R36" s="48">
        <f t="shared" si="2"/>
        <v>-28145.659999999996</v>
      </c>
      <c r="S36" s="33"/>
      <c r="T36" s="33"/>
      <c r="U36" s="33"/>
    </row>
    <row r="37" spans="1:21">
      <c r="B37" s="52">
        <f>SUM(B31:B36)</f>
        <v>-11160736.270000003</v>
      </c>
      <c r="C37" s="52"/>
      <c r="D37" s="52">
        <f t="shared" ref="D37:R37" si="3">SUM(D31:D36)</f>
        <v>-137887.96999999997</v>
      </c>
      <c r="E37" s="52"/>
      <c r="F37" s="52">
        <f t="shared" si="3"/>
        <v>39209.64</v>
      </c>
      <c r="G37" s="52"/>
      <c r="H37" s="52">
        <f t="shared" si="3"/>
        <v>0</v>
      </c>
      <c r="I37" s="52"/>
      <c r="J37" s="52">
        <f t="shared" si="3"/>
        <v>0</v>
      </c>
      <c r="K37" s="52"/>
      <c r="L37" s="52">
        <f t="shared" si="3"/>
        <v>0</v>
      </c>
      <c r="M37" s="52"/>
      <c r="N37" s="52">
        <f t="shared" si="3"/>
        <v>0</v>
      </c>
      <c r="O37" s="52"/>
      <c r="P37" s="52">
        <f t="shared" si="3"/>
        <v>0</v>
      </c>
      <c r="Q37" s="52"/>
      <c r="R37" s="52">
        <f t="shared" si="3"/>
        <v>-11259414.600000001</v>
      </c>
      <c r="S37" s="33"/>
      <c r="T37" s="33"/>
      <c r="U37" s="33"/>
    </row>
    <row r="38" spans="1:21">
      <c r="B38" s="52"/>
      <c r="C38" s="52"/>
      <c r="D38" s="52"/>
      <c r="E38" s="52"/>
      <c r="F38" s="52"/>
      <c r="G38" s="52"/>
      <c r="H38" s="52"/>
      <c r="I38" s="52"/>
      <c r="J38" s="52"/>
      <c r="K38" s="52"/>
      <c r="L38" s="52"/>
      <c r="M38" s="52"/>
      <c r="N38" s="52"/>
      <c r="O38" s="52"/>
      <c r="P38" s="52"/>
      <c r="Q38" s="52"/>
      <c r="R38" s="52"/>
      <c r="S38" s="33"/>
      <c r="T38" s="33"/>
      <c r="U38" s="33"/>
    </row>
    <row r="39" spans="1:21">
      <c r="A39" s="3" t="s">
        <v>115</v>
      </c>
      <c r="B39" s="45"/>
      <c r="C39" s="52"/>
      <c r="D39" s="45"/>
      <c r="E39" s="52"/>
      <c r="F39" s="45"/>
      <c r="G39" s="52"/>
      <c r="H39" s="45"/>
      <c r="I39" s="52"/>
      <c r="J39" s="45"/>
      <c r="K39" s="52"/>
      <c r="L39" s="45"/>
      <c r="M39" s="52"/>
      <c r="N39" s="45"/>
      <c r="O39" s="52"/>
      <c r="P39" s="45"/>
      <c r="Q39" s="52"/>
      <c r="R39" s="45"/>
      <c r="S39" s="33"/>
      <c r="T39" s="33"/>
      <c r="U39" s="33"/>
    </row>
    <row r="40" spans="1:21">
      <c r="A40" t="s">
        <v>423</v>
      </c>
      <c r="B40" s="45">
        <v>0</v>
      </c>
      <c r="C40" s="52"/>
      <c r="D40" s="45">
        <v>0</v>
      </c>
      <c r="E40" s="52"/>
      <c r="F40" s="325">
        <v>0</v>
      </c>
      <c r="G40" s="52"/>
      <c r="H40" s="325">
        <v>0</v>
      </c>
      <c r="I40" s="52"/>
      <c r="J40" s="325">
        <v>0</v>
      </c>
      <c r="K40" s="52"/>
      <c r="L40" s="325">
        <v>0</v>
      </c>
      <c r="M40" s="52"/>
      <c r="N40" s="325">
        <v>0</v>
      </c>
      <c r="O40" s="52"/>
      <c r="P40" s="325">
        <v>0</v>
      </c>
      <c r="Q40" s="52"/>
      <c r="R40" s="45">
        <f t="shared" ref="R40:R51" si="4">SUM(B40:P40)</f>
        <v>0</v>
      </c>
      <c r="S40" s="33"/>
      <c r="T40" s="33"/>
      <c r="U40" s="33"/>
    </row>
    <row r="41" spans="1:21">
      <c r="A41" t="s">
        <v>426</v>
      </c>
      <c r="B41" s="45">
        <v>0</v>
      </c>
      <c r="C41" s="52"/>
      <c r="D41" s="45">
        <v>0</v>
      </c>
      <c r="E41" s="52"/>
      <c r="F41" s="325">
        <v>0</v>
      </c>
      <c r="G41" s="52"/>
      <c r="H41" s="325">
        <v>0</v>
      </c>
      <c r="I41" s="52"/>
      <c r="J41" s="325">
        <v>0</v>
      </c>
      <c r="K41" s="52"/>
      <c r="L41" s="325">
        <v>0</v>
      </c>
      <c r="M41" s="52"/>
      <c r="N41" s="325">
        <v>0</v>
      </c>
      <c r="O41" s="52"/>
      <c r="P41" s="325">
        <v>0</v>
      </c>
      <c r="Q41" s="52"/>
      <c r="R41" s="45">
        <f t="shared" si="4"/>
        <v>0</v>
      </c>
      <c r="S41" s="33"/>
      <c r="T41" s="33"/>
      <c r="U41" s="33"/>
    </row>
    <row r="42" spans="1:21">
      <c r="A42" t="s">
        <v>432</v>
      </c>
      <c r="B42" s="45">
        <v>-38867.43</v>
      </c>
      <c r="C42" s="52"/>
      <c r="D42" s="45">
        <f>-29.06-29.06-29.06</f>
        <v>-87.179999999999993</v>
      </c>
      <c r="E42" s="52"/>
      <c r="F42" s="325">
        <v>0</v>
      </c>
      <c r="G42" s="52"/>
      <c r="H42" s="325">
        <v>0</v>
      </c>
      <c r="I42" s="52"/>
      <c r="J42" s="325">
        <v>0</v>
      </c>
      <c r="K42" s="52"/>
      <c r="L42" s="325">
        <v>0</v>
      </c>
      <c r="M42" s="52"/>
      <c r="N42" s="325">
        <v>0</v>
      </c>
      <c r="O42" s="52"/>
      <c r="P42" s="325">
        <v>0</v>
      </c>
      <c r="Q42" s="52"/>
      <c r="R42" s="45">
        <f t="shared" si="4"/>
        <v>-38954.61</v>
      </c>
      <c r="S42" s="33"/>
      <c r="T42" s="33"/>
      <c r="U42" s="33"/>
    </row>
    <row r="43" spans="1:21">
      <c r="A43" t="s">
        <v>424</v>
      </c>
      <c r="B43" s="45">
        <v>-4267866.54</v>
      </c>
      <c r="C43" s="52"/>
      <c r="D43" s="45">
        <f>-326.5-326.49-326.47</f>
        <v>-979.46</v>
      </c>
      <c r="E43" s="52"/>
      <c r="F43" s="325">
        <v>507.91</v>
      </c>
      <c r="G43" s="52"/>
      <c r="H43" s="325">
        <v>0</v>
      </c>
      <c r="I43" s="52"/>
      <c r="J43" s="325">
        <v>0</v>
      </c>
      <c r="K43" s="52"/>
      <c r="L43" s="325">
        <v>1017.4</v>
      </c>
      <c r="M43" s="52"/>
      <c r="N43" s="325">
        <v>0</v>
      </c>
      <c r="O43" s="52"/>
      <c r="P43" s="325">
        <v>0</v>
      </c>
      <c r="Q43" s="52"/>
      <c r="R43" s="45">
        <f t="shared" si="4"/>
        <v>-4267320.6899999995</v>
      </c>
      <c r="S43" s="33"/>
      <c r="T43" s="33"/>
      <c r="U43" s="33"/>
    </row>
    <row r="44" spans="1:21">
      <c r="A44" t="s">
        <v>425</v>
      </c>
      <c r="B44" s="45">
        <v>-1705081.62</v>
      </c>
      <c r="C44" s="52"/>
      <c r="D44" s="45">
        <f>-32148.19-32148.19-32148.19</f>
        <v>-96444.569999999992</v>
      </c>
      <c r="E44" s="52"/>
      <c r="F44" s="325">
        <v>0</v>
      </c>
      <c r="G44" s="52"/>
      <c r="H44" s="325">
        <v>0</v>
      </c>
      <c r="I44" s="52"/>
      <c r="J44" s="325">
        <v>0</v>
      </c>
      <c r="K44" s="52"/>
      <c r="L44" s="325">
        <v>0</v>
      </c>
      <c r="M44" s="52"/>
      <c r="N44" s="325">
        <v>0</v>
      </c>
      <c r="O44" s="52"/>
      <c r="P44" s="325">
        <v>0</v>
      </c>
      <c r="Q44" s="52"/>
      <c r="R44" s="45">
        <f t="shared" si="4"/>
        <v>-1801526.1900000002</v>
      </c>
      <c r="S44" s="33"/>
      <c r="T44" s="33"/>
      <c r="U44" s="33"/>
    </row>
    <row r="45" spans="1:21">
      <c r="A45" t="s">
        <v>430</v>
      </c>
      <c r="B45" s="45">
        <v>-915731.03999999992</v>
      </c>
      <c r="C45" s="52"/>
      <c r="D45" s="45">
        <f>-4155.25-4155.25-4155.25</f>
        <v>-12465.75</v>
      </c>
      <c r="E45" s="52"/>
      <c r="F45" s="325">
        <v>0</v>
      </c>
      <c r="G45" s="52"/>
      <c r="H45" s="325">
        <v>0</v>
      </c>
      <c r="I45" s="52"/>
      <c r="J45" s="325">
        <v>0</v>
      </c>
      <c r="K45" s="52"/>
      <c r="L45" s="325">
        <v>0</v>
      </c>
      <c r="M45" s="52"/>
      <c r="N45" s="325">
        <v>0</v>
      </c>
      <c r="O45" s="52"/>
      <c r="P45" s="325">
        <v>0</v>
      </c>
      <c r="Q45" s="52"/>
      <c r="R45" s="45">
        <f t="shared" si="4"/>
        <v>-928196.78999999992</v>
      </c>
      <c r="S45" s="33"/>
      <c r="T45" s="33"/>
      <c r="U45" s="33"/>
    </row>
    <row r="46" spans="1:21">
      <c r="A46" t="s">
        <v>427</v>
      </c>
      <c r="B46" s="45">
        <v>-1941911.14</v>
      </c>
      <c r="C46" s="52"/>
      <c r="D46" s="45">
        <f>-13499.1-13499.1-13499.1</f>
        <v>-40497.300000000003</v>
      </c>
      <c r="E46" s="52"/>
      <c r="F46" s="325">
        <v>0</v>
      </c>
      <c r="G46" s="52"/>
      <c r="H46" s="325">
        <v>0</v>
      </c>
      <c r="I46" s="52"/>
      <c r="J46" s="325">
        <v>0</v>
      </c>
      <c r="K46" s="52"/>
      <c r="L46" s="325">
        <v>0</v>
      </c>
      <c r="M46" s="52"/>
      <c r="N46" s="325">
        <v>0</v>
      </c>
      <c r="O46" s="52"/>
      <c r="P46" s="325">
        <v>0</v>
      </c>
      <c r="Q46" s="52"/>
      <c r="R46" s="45">
        <f t="shared" si="4"/>
        <v>-1982408.44</v>
      </c>
      <c r="S46" s="33"/>
      <c r="T46" s="33"/>
      <c r="U46" s="33"/>
    </row>
    <row r="47" spans="1:21">
      <c r="A47" t="s">
        <v>429</v>
      </c>
      <c r="B47" s="45">
        <v>-3716.84</v>
      </c>
      <c r="C47" s="52"/>
      <c r="D47" s="45">
        <f>-34.16-34.16-34.16</f>
        <v>-102.47999999999999</v>
      </c>
      <c r="E47" s="52"/>
      <c r="F47" s="325">
        <v>0</v>
      </c>
      <c r="G47" s="52"/>
      <c r="H47" s="325">
        <v>0</v>
      </c>
      <c r="I47" s="52"/>
      <c r="J47" s="325">
        <v>0</v>
      </c>
      <c r="K47" s="52"/>
      <c r="L47" s="325">
        <v>0</v>
      </c>
      <c r="M47" s="52"/>
      <c r="N47" s="325">
        <v>0</v>
      </c>
      <c r="O47" s="52"/>
      <c r="P47" s="325">
        <v>0</v>
      </c>
      <c r="Q47" s="52"/>
      <c r="R47" s="45">
        <f t="shared" si="4"/>
        <v>-3819.32</v>
      </c>
      <c r="S47" s="33"/>
      <c r="T47" s="33"/>
      <c r="U47" s="33"/>
    </row>
    <row r="48" spans="1:21">
      <c r="A48" t="s">
        <v>431</v>
      </c>
      <c r="B48" s="45">
        <v>-51923.119999999988</v>
      </c>
      <c r="C48" s="52"/>
      <c r="D48" s="45">
        <f>-543.47-543.47-543.47</f>
        <v>-1630.41</v>
      </c>
      <c r="E48" s="52"/>
      <c r="F48" s="325">
        <v>0</v>
      </c>
      <c r="G48" s="52"/>
      <c r="H48" s="325">
        <v>0</v>
      </c>
      <c r="I48" s="52"/>
      <c r="J48" s="325">
        <v>0</v>
      </c>
      <c r="K48" s="52"/>
      <c r="L48" s="325">
        <v>0</v>
      </c>
      <c r="M48" s="52"/>
      <c r="N48" s="325">
        <v>0</v>
      </c>
      <c r="O48" s="52"/>
      <c r="P48" s="325">
        <v>0</v>
      </c>
      <c r="Q48" s="52"/>
      <c r="R48" s="45">
        <f t="shared" si="4"/>
        <v>-53553.529999999992</v>
      </c>
      <c r="S48" s="33"/>
      <c r="T48" s="33"/>
      <c r="U48" s="33"/>
    </row>
    <row r="49" spans="1:21">
      <c r="A49" t="s">
        <v>428</v>
      </c>
      <c r="B49" s="45">
        <v>-872.13</v>
      </c>
      <c r="C49" s="52"/>
      <c r="D49" s="325">
        <v>0</v>
      </c>
      <c r="E49" s="52"/>
      <c r="F49" s="325">
        <v>0</v>
      </c>
      <c r="G49" s="52"/>
      <c r="H49" s="325">
        <v>0</v>
      </c>
      <c r="I49" s="52"/>
      <c r="J49" s="325">
        <v>0</v>
      </c>
      <c r="K49" s="52"/>
      <c r="L49" s="325">
        <v>0</v>
      </c>
      <c r="M49" s="52"/>
      <c r="N49" s="325">
        <v>0</v>
      </c>
      <c r="O49" s="52"/>
      <c r="P49" s="325">
        <v>0</v>
      </c>
      <c r="Q49" s="52"/>
      <c r="R49" s="45">
        <f t="shared" si="4"/>
        <v>-872.13</v>
      </c>
      <c r="S49" s="33"/>
      <c r="T49" s="33"/>
      <c r="U49" s="33"/>
    </row>
    <row r="50" spans="1:21">
      <c r="A50" t="s">
        <v>433</v>
      </c>
      <c r="B50" s="45">
        <v>-16934.080000000002</v>
      </c>
      <c r="C50" s="52"/>
      <c r="D50" s="45">
        <v>0</v>
      </c>
      <c r="E50" s="52"/>
      <c r="F50" s="325">
        <v>0</v>
      </c>
      <c r="G50" s="52"/>
      <c r="H50" s="325">
        <v>0</v>
      </c>
      <c r="I50" s="52"/>
      <c r="J50" s="325">
        <v>0</v>
      </c>
      <c r="K50" s="52"/>
      <c r="L50" s="325">
        <v>0</v>
      </c>
      <c r="M50" s="52"/>
      <c r="N50" s="325">
        <v>0</v>
      </c>
      <c r="O50" s="52"/>
      <c r="P50" s="325">
        <v>0</v>
      </c>
      <c r="Q50" s="52"/>
      <c r="R50" s="45">
        <f t="shared" si="4"/>
        <v>-16934.080000000002</v>
      </c>
      <c r="S50" s="33"/>
      <c r="T50" s="33"/>
      <c r="U50" s="33"/>
    </row>
    <row r="51" spans="1:21">
      <c r="A51" t="s">
        <v>434</v>
      </c>
      <c r="B51" s="48">
        <v>-2112.6200000000099</v>
      </c>
      <c r="C51" s="52"/>
      <c r="D51" s="48">
        <f>-145.71-145.71-145.71</f>
        <v>-437.13</v>
      </c>
      <c r="E51" s="52"/>
      <c r="F51" s="327">
        <v>0</v>
      </c>
      <c r="G51" s="52"/>
      <c r="H51" s="327">
        <v>0</v>
      </c>
      <c r="I51" s="52"/>
      <c r="J51" s="327">
        <v>0</v>
      </c>
      <c r="K51" s="52"/>
      <c r="L51" s="327">
        <v>0</v>
      </c>
      <c r="M51" s="52"/>
      <c r="N51" s="327">
        <v>0</v>
      </c>
      <c r="O51" s="52"/>
      <c r="P51" s="327">
        <v>0</v>
      </c>
      <c r="Q51" s="52"/>
      <c r="R51" s="48">
        <f t="shared" si="4"/>
        <v>-2549.75000000001</v>
      </c>
      <c r="S51" s="37"/>
      <c r="T51" s="33"/>
      <c r="U51" s="33"/>
    </row>
    <row r="52" spans="1:21">
      <c r="B52" s="52">
        <f>SUM(B40:B51)</f>
        <v>-8945016.5599999987</v>
      </c>
      <c r="C52" s="52"/>
      <c r="D52" s="52">
        <f t="shared" ref="D52:R52" si="5">SUM(D40:D51)</f>
        <v>-152644.28000000003</v>
      </c>
      <c r="E52" s="52"/>
      <c r="F52" s="52">
        <f t="shared" si="5"/>
        <v>507.91</v>
      </c>
      <c r="G52" s="52"/>
      <c r="H52" s="52">
        <f t="shared" si="5"/>
        <v>0</v>
      </c>
      <c r="I52" s="52"/>
      <c r="J52" s="52">
        <f t="shared" si="5"/>
        <v>0</v>
      </c>
      <c r="K52" s="52"/>
      <c r="L52" s="52">
        <f t="shared" si="5"/>
        <v>1017.4</v>
      </c>
      <c r="M52" s="52"/>
      <c r="N52" s="52">
        <f t="shared" si="5"/>
        <v>0</v>
      </c>
      <c r="O52" s="52"/>
      <c r="P52" s="52">
        <f t="shared" si="5"/>
        <v>0</v>
      </c>
      <c r="Q52" s="52"/>
      <c r="R52" s="52">
        <f t="shared" si="5"/>
        <v>-9096135.5300000012</v>
      </c>
      <c r="S52" s="37"/>
      <c r="T52" s="33"/>
      <c r="U52" s="33"/>
    </row>
    <row r="53" spans="1:21">
      <c r="B53" s="45"/>
      <c r="C53" s="52"/>
      <c r="D53" s="45"/>
      <c r="E53" s="52"/>
      <c r="F53" s="45"/>
      <c r="G53" s="52"/>
      <c r="H53" s="45"/>
      <c r="I53" s="52"/>
      <c r="J53" s="45"/>
      <c r="K53" s="52"/>
      <c r="L53" s="45"/>
      <c r="M53" s="52"/>
      <c r="N53" s="45"/>
      <c r="O53" s="52"/>
      <c r="P53" s="45"/>
      <c r="Q53" s="52"/>
      <c r="R53" s="45"/>
      <c r="S53" s="33"/>
      <c r="T53" s="33"/>
      <c r="U53" s="33"/>
    </row>
    <row r="54" spans="1:21">
      <c r="A54" s="3" t="s">
        <v>117</v>
      </c>
      <c r="B54" s="45"/>
      <c r="C54" s="52"/>
      <c r="D54" s="45"/>
      <c r="E54" s="52"/>
      <c r="F54" s="45"/>
      <c r="G54" s="52"/>
      <c r="H54" s="45"/>
      <c r="I54" s="52"/>
      <c r="J54" s="45"/>
      <c r="K54" s="52"/>
      <c r="L54" s="45"/>
      <c r="M54" s="52"/>
      <c r="N54" s="45"/>
      <c r="O54" s="52"/>
      <c r="P54" s="45"/>
      <c r="Q54" s="52"/>
      <c r="R54" s="45"/>
      <c r="S54" s="33"/>
      <c r="T54" s="33"/>
      <c r="U54" s="33"/>
    </row>
    <row r="55" spans="1:21">
      <c r="A55" t="s">
        <v>417</v>
      </c>
      <c r="B55" s="45">
        <v>0</v>
      </c>
      <c r="C55" s="52"/>
      <c r="D55" s="45">
        <v>0</v>
      </c>
      <c r="E55" s="52"/>
      <c r="F55" s="325">
        <v>0</v>
      </c>
      <c r="G55" s="52"/>
      <c r="H55" s="325">
        <v>0</v>
      </c>
      <c r="I55" s="52"/>
      <c r="J55" s="325">
        <v>0</v>
      </c>
      <c r="K55" s="52"/>
      <c r="L55" s="325">
        <v>0</v>
      </c>
      <c r="M55" s="52"/>
      <c r="N55" s="325">
        <v>0</v>
      </c>
      <c r="O55" s="52"/>
      <c r="P55" s="325">
        <v>0</v>
      </c>
      <c r="Q55" s="52"/>
      <c r="R55" s="45">
        <f t="shared" ref="R55:R122" si="6">SUM(B55:P55)</f>
        <v>0</v>
      </c>
      <c r="S55" s="33"/>
      <c r="T55" s="33"/>
      <c r="U55" s="33"/>
    </row>
    <row r="56" spans="1:21">
      <c r="A56" t="s">
        <v>980</v>
      </c>
      <c r="B56" s="45">
        <v>0</v>
      </c>
      <c r="C56" s="52"/>
      <c r="D56" s="45">
        <v>0</v>
      </c>
      <c r="E56" s="52"/>
      <c r="F56" s="325">
        <v>0</v>
      </c>
      <c r="G56" s="52"/>
      <c r="H56" s="325">
        <v>0</v>
      </c>
      <c r="I56" s="52"/>
      <c r="J56" s="325">
        <v>0</v>
      </c>
      <c r="K56" s="52"/>
      <c r="L56" s="325">
        <v>0</v>
      </c>
      <c r="M56" s="52"/>
      <c r="N56" s="325">
        <v>0</v>
      </c>
      <c r="O56" s="52"/>
      <c r="P56" s="325">
        <v>0</v>
      </c>
      <c r="Q56" s="52"/>
      <c r="R56" s="45">
        <f t="shared" si="6"/>
        <v>0</v>
      </c>
      <c r="S56" s="33"/>
      <c r="T56" s="33"/>
      <c r="U56" s="33"/>
    </row>
    <row r="57" spans="1:21" s="60" customFormat="1" hidden="1" outlineLevel="1">
      <c r="A57" s="60" t="s">
        <v>668</v>
      </c>
      <c r="B57" s="61">
        <v>-25485.119999999999</v>
      </c>
      <c r="C57" s="62"/>
      <c r="D57" s="61">
        <f>-236.2-236.2-236.2</f>
        <v>-708.59999999999991</v>
      </c>
      <c r="E57" s="62"/>
      <c r="F57" s="328">
        <v>0</v>
      </c>
      <c r="G57" s="62"/>
      <c r="H57" s="328">
        <v>0</v>
      </c>
      <c r="I57" s="62"/>
      <c r="J57" s="328">
        <v>0</v>
      </c>
      <c r="K57" s="62"/>
      <c r="L57" s="328">
        <v>0</v>
      </c>
      <c r="M57" s="62"/>
      <c r="N57" s="328">
        <v>0</v>
      </c>
      <c r="O57" s="62"/>
      <c r="P57" s="328">
        <v>0</v>
      </c>
      <c r="Q57" s="62"/>
      <c r="R57" s="61">
        <f t="shared" si="6"/>
        <v>-26193.719999999998</v>
      </c>
      <c r="S57" s="63"/>
      <c r="T57" s="63"/>
      <c r="U57" s="63"/>
    </row>
    <row r="58" spans="1:21" s="60" customFormat="1" hidden="1" outlineLevel="1">
      <c r="A58" s="60" t="s">
        <v>982</v>
      </c>
      <c r="B58" s="61">
        <v>-300046.34999999998</v>
      </c>
      <c r="C58" s="62"/>
      <c r="D58" s="61">
        <f>-2182.12-2182.12-2182.12</f>
        <v>-6546.36</v>
      </c>
      <c r="E58" s="62"/>
      <c r="F58" s="328">
        <v>0</v>
      </c>
      <c r="G58" s="62"/>
      <c r="H58" s="328">
        <v>0</v>
      </c>
      <c r="I58" s="62"/>
      <c r="J58" s="328">
        <v>0</v>
      </c>
      <c r="K58" s="62"/>
      <c r="L58" s="328">
        <v>0</v>
      </c>
      <c r="M58" s="62"/>
      <c r="N58" s="328">
        <v>0</v>
      </c>
      <c r="O58" s="62"/>
      <c r="P58" s="328">
        <v>0</v>
      </c>
      <c r="Q58" s="62"/>
      <c r="R58" s="61">
        <f t="shared" si="6"/>
        <v>-306592.70999999996</v>
      </c>
      <c r="S58" s="63"/>
      <c r="T58" s="63"/>
      <c r="U58" s="63"/>
    </row>
    <row r="59" spans="1:21" s="60" customFormat="1" hidden="1" outlineLevel="1">
      <c r="A59" s="60" t="s">
        <v>1017</v>
      </c>
      <c r="B59" s="61">
        <v>-34593.769999999997</v>
      </c>
      <c r="C59" s="62"/>
      <c r="D59" s="61">
        <f>-279.96-279.96-279.96</f>
        <v>-839.87999999999988</v>
      </c>
      <c r="E59" s="62"/>
      <c r="F59" s="328">
        <v>0</v>
      </c>
      <c r="G59" s="62"/>
      <c r="H59" s="328">
        <v>0</v>
      </c>
      <c r="I59" s="62"/>
      <c r="J59" s="328">
        <v>0</v>
      </c>
      <c r="K59" s="62"/>
      <c r="L59" s="328">
        <v>0</v>
      </c>
      <c r="M59" s="62"/>
      <c r="N59" s="328">
        <v>0</v>
      </c>
      <c r="O59" s="62"/>
      <c r="P59" s="328">
        <v>0</v>
      </c>
      <c r="Q59" s="62"/>
      <c r="R59" s="61">
        <f t="shared" si="6"/>
        <v>-35433.649999999994</v>
      </c>
      <c r="S59" s="63"/>
      <c r="T59" s="63"/>
      <c r="U59" s="63"/>
    </row>
    <row r="60" spans="1:21" s="60" customFormat="1" hidden="1" outlineLevel="1">
      <c r="A60" s="60" t="s">
        <v>1048</v>
      </c>
      <c r="B60" s="61">
        <v>-47475.759999999995</v>
      </c>
      <c r="C60" s="62"/>
      <c r="D60" s="61">
        <f>-375.33-375.33-375.33</f>
        <v>-1125.99</v>
      </c>
      <c r="E60" s="62"/>
      <c r="F60" s="328">
        <v>0</v>
      </c>
      <c r="G60" s="62"/>
      <c r="H60" s="328">
        <v>0</v>
      </c>
      <c r="I60" s="62"/>
      <c r="J60" s="328">
        <v>0</v>
      </c>
      <c r="K60" s="62"/>
      <c r="L60" s="328">
        <v>0</v>
      </c>
      <c r="M60" s="62"/>
      <c r="N60" s="328">
        <v>0</v>
      </c>
      <c r="O60" s="62"/>
      <c r="P60" s="328">
        <v>0</v>
      </c>
      <c r="Q60" s="62"/>
      <c r="R60" s="61">
        <f t="shared" si="6"/>
        <v>-48601.749999999993</v>
      </c>
      <c r="S60" s="63"/>
      <c r="T60" s="63"/>
      <c r="U60" s="63"/>
    </row>
    <row r="61" spans="1:21" s="60" customFormat="1" hidden="1" outlineLevel="1">
      <c r="A61" s="60" t="s">
        <v>264</v>
      </c>
      <c r="B61" s="61">
        <v>-52585.64</v>
      </c>
      <c r="C61" s="62"/>
      <c r="D61" s="61">
        <f>-32.05-32.05-32.05</f>
        <v>-96.149999999999991</v>
      </c>
      <c r="E61" s="62"/>
      <c r="F61" s="328">
        <v>0</v>
      </c>
      <c r="G61" s="62"/>
      <c r="H61" s="328">
        <v>0</v>
      </c>
      <c r="I61" s="62"/>
      <c r="J61" s="328">
        <v>0</v>
      </c>
      <c r="K61" s="62"/>
      <c r="L61" s="328">
        <v>0</v>
      </c>
      <c r="M61" s="62"/>
      <c r="N61" s="328">
        <v>0</v>
      </c>
      <c r="O61" s="62"/>
      <c r="P61" s="328">
        <v>0</v>
      </c>
      <c r="Q61" s="62"/>
      <c r="R61" s="61">
        <f t="shared" si="6"/>
        <v>-52681.79</v>
      </c>
      <c r="S61" s="63"/>
      <c r="T61" s="63"/>
      <c r="U61" s="63"/>
    </row>
    <row r="62" spans="1:21" s="60" customFormat="1" hidden="1" outlineLevel="1">
      <c r="A62" s="60" t="s">
        <v>663</v>
      </c>
      <c r="B62" s="61">
        <v>-754201.84000000008</v>
      </c>
      <c r="C62" s="62"/>
      <c r="D62" s="61">
        <f>-5486.69-5486.69-5486.69</f>
        <v>-16460.07</v>
      </c>
      <c r="E62" s="62"/>
      <c r="F62" s="328">
        <v>0</v>
      </c>
      <c r="G62" s="62"/>
      <c r="H62" s="328">
        <v>0</v>
      </c>
      <c r="I62" s="62"/>
      <c r="J62" s="328">
        <v>0</v>
      </c>
      <c r="K62" s="62"/>
      <c r="L62" s="328">
        <v>0</v>
      </c>
      <c r="M62" s="62"/>
      <c r="N62" s="328">
        <v>0</v>
      </c>
      <c r="O62" s="62"/>
      <c r="P62" s="328">
        <v>0</v>
      </c>
      <c r="Q62" s="62"/>
      <c r="R62" s="61">
        <f t="shared" si="6"/>
        <v>-770661.91</v>
      </c>
      <c r="S62" s="63"/>
      <c r="T62" s="63"/>
      <c r="U62" s="63"/>
    </row>
    <row r="63" spans="1:21" s="60" customFormat="1" hidden="1" outlineLevel="1">
      <c r="A63" s="60" t="s">
        <v>1019</v>
      </c>
      <c r="B63" s="61">
        <v>-540013.44000000006</v>
      </c>
      <c r="C63" s="62"/>
      <c r="D63" s="61">
        <f>-5936.27-5936.27-5936.27</f>
        <v>-17808.810000000001</v>
      </c>
      <c r="E63" s="62"/>
      <c r="F63" s="328">
        <v>0</v>
      </c>
      <c r="G63" s="62"/>
      <c r="H63" s="328">
        <v>0</v>
      </c>
      <c r="I63" s="62"/>
      <c r="J63" s="328">
        <v>0</v>
      </c>
      <c r="K63" s="62"/>
      <c r="L63" s="328">
        <v>0</v>
      </c>
      <c r="M63" s="62"/>
      <c r="N63" s="328">
        <v>0</v>
      </c>
      <c r="O63" s="62"/>
      <c r="P63" s="328">
        <v>0</v>
      </c>
      <c r="Q63" s="62"/>
      <c r="R63" s="61">
        <f t="shared" si="6"/>
        <v>-557822.25000000012</v>
      </c>
      <c r="S63" s="63"/>
      <c r="T63" s="63"/>
      <c r="U63" s="63"/>
    </row>
    <row r="64" spans="1:21" s="60" customFormat="1" hidden="1" outlineLevel="1">
      <c r="A64" s="60" t="s">
        <v>265</v>
      </c>
      <c r="B64" s="61">
        <v>-486382.59999999992</v>
      </c>
      <c r="C64" s="62"/>
      <c r="D64" s="61">
        <f>-4096.56-4096.56-4096.56</f>
        <v>-12289.68</v>
      </c>
      <c r="E64" s="62"/>
      <c r="F64" s="328">
        <v>0</v>
      </c>
      <c r="G64" s="62"/>
      <c r="H64" s="328">
        <v>0</v>
      </c>
      <c r="I64" s="62"/>
      <c r="J64" s="328">
        <v>0</v>
      </c>
      <c r="K64" s="62"/>
      <c r="L64" s="328">
        <v>0</v>
      </c>
      <c r="M64" s="62"/>
      <c r="N64" s="328">
        <v>0</v>
      </c>
      <c r="O64" s="62"/>
      <c r="P64" s="328">
        <v>0</v>
      </c>
      <c r="Q64" s="62"/>
      <c r="R64" s="61">
        <f t="shared" si="6"/>
        <v>-498672.27999999991</v>
      </c>
      <c r="S64" s="63"/>
      <c r="T64" s="63"/>
      <c r="U64" s="63"/>
    </row>
    <row r="65" spans="1:21" s="60" customFormat="1" hidden="1" outlineLevel="1">
      <c r="A65" s="60" t="s">
        <v>261</v>
      </c>
      <c r="B65" s="61">
        <v>-463218.23000000004</v>
      </c>
      <c r="C65" s="62"/>
      <c r="D65" s="61">
        <f>-3841.07-3841.07-3841.07</f>
        <v>-11523.210000000001</v>
      </c>
      <c r="E65" s="62"/>
      <c r="F65" s="328">
        <v>0</v>
      </c>
      <c r="G65" s="62"/>
      <c r="H65" s="328">
        <v>0</v>
      </c>
      <c r="I65" s="62"/>
      <c r="J65" s="328">
        <v>0</v>
      </c>
      <c r="K65" s="62"/>
      <c r="L65" s="328">
        <v>0</v>
      </c>
      <c r="M65" s="62"/>
      <c r="N65" s="328">
        <v>0</v>
      </c>
      <c r="O65" s="62"/>
      <c r="P65" s="328">
        <v>0</v>
      </c>
      <c r="Q65" s="62"/>
      <c r="R65" s="61">
        <f t="shared" si="6"/>
        <v>-474741.44000000006</v>
      </c>
      <c r="S65" s="63"/>
      <c r="T65" s="63"/>
      <c r="U65" s="63"/>
    </row>
    <row r="66" spans="1:21" s="60" customFormat="1" hidden="1" outlineLevel="1">
      <c r="A66" s="60" t="s">
        <v>1038</v>
      </c>
      <c r="B66" s="61">
        <v>-533539.5</v>
      </c>
      <c r="C66" s="62"/>
      <c r="D66" s="61">
        <f>-5799.63-5799.63-5799.63</f>
        <v>-17398.89</v>
      </c>
      <c r="E66" s="62"/>
      <c r="F66" s="328">
        <v>0</v>
      </c>
      <c r="G66" s="62"/>
      <c r="H66" s="328">
        <v>0</v>
      </c>
      <c r="I66" s="62"/>
      <c r="J66" s="328">
        <v>0</v>
      </c>
      <c r="K66" s="62"/>
      <c r="L66" s="328">
        <v>0</v>
      </c>
      <c r="M66" s="62"/>
      <c r="N66" s="328">
        <v>0</v>
      </c>
      <c r="O66" s="62"/>
      <c r="P66" s="328">
        <v>0</v>
      </c>
      <c r="Q66" s="62"/>
      <c r="R66" s="61">
        <f t="shared" si="6"/>
        <v>-550938.39</v>
      </c>
      <c r="S66" s="63"/>
      <c r="T66" s="63"/>
      <c r="U66" s="63"/>
    </row>
    <row r="67" spans="1:21" s="60" customFormat="1" hidden="1" outlineLevel="1">
      <c r="A67" s="60" t="s">
        <v>256</v>
      </c>
      <c r="B67" s="61">
        <v>-531447.31999999995</v>
      </c>
      <c r="C67" s="62"/>
      <c r="D67" s="61">
        <f>-5776.88-5776.88-5776.88</f>
        <v>-17330.64</v>
      </c>
      <c r="E67" s="62"/>
      <c r="F67" s="328">
        <v>0</v>
      </c>
      <c r="G67" s="62"/>
      <c r="H67" s="328">
        <v>0</v>
      </c>
      <c r="I67" s="62"/>
      <c r="J67" s="328">
        <v>0</v>
      </c>
      <c r="K67" s="62"/>
      <c r="L67" s="328">
        <v>0</v>
      </c>
      <c r="M67" s="62"/>
      <c r="N67" s="328">
        <v>0</v>
      </c>
      <c r="O67" s="62"/>
      <c r="P67" s="328">
        <v>0</v>
      </c>
      <c r="Q67" s="62"/>
      <c r="R67" s="61">
        <f t="shared" si="6"/>
        <v>-548777.96</v>
      </c>
      <c r="S67" s="63"/>
      <c r="T67" s="63"/>
      <c r="U67" s="63"/>
    </row>
    <row r="68" spans="1:21" s="60" customFormat="1" hidden="1" outlineLevel="1">
      <c r="A68" s="60" t="s">
        <v>694</v>
      </c>
      <c r="B68" s="61">
        <v>-541181.34</v>
      </c>
      <c r="C68" s="62"/>
      <c r="D68" s="61">
        <f>-5949.1-5949.1-5949.1</f>
        <v>-17847.300000000003</v>
      </c>
      <c r="E68" s="62"/>
      <c r="F68" s="328">
        <v>0</v>
      </c>
      <c r="G68" s="62"/>
      <c r="H68" s="328">
        <v>0</v>
      </c>
      <c r="I68" s="62"/>
      <c r="J68" s="328">
        <v>0</v>
      </c>
      <c r="K68" s="62"/>
      <c r="L68" s="328">
        <v>0</v>
      </c>
      <c r="M68" s="62"/>
      <c r="N68" s="328">
        <v>0</v>
      </c>
      <c r="O68" s="62"/>
      <c r="P68" s="328">
        <v>0</v>
      </c>
      <c r="Q68" s="62"/>
      <c r="R68" s="61">
        <f t="shared" si="6"/>
        <v>-559028.64</v>
      </c>
      <c r="S68" s="63"/>
      <c r="T68" s="63"/>
      <c r="U68" s="63"/>
    </row>
    <row r="69" spans="1:21" s="60" customFormat="1" hidden="1" outlineLevel="1">
      <c r="A69" s="60" t="s">
        <v>695</v>
      </c>
      <c r="B69" s="61">
        <v>0</v>
      </c>
      <c r="C69" s="62"/>
      <c r="D69" s="61">
        <v>0</v>
      </c>
      <c r="E69" s="62"/>
      <c r="F69" s="328">
        <v>0</v>
      </c>
      <c r="G69" s="62"/>
      <c r="H69" s="328">
        <v>0</v>
      </c>
      <c r="I69" s="62"/>
      <c r="J69" s="328">
        <v>0</v>
      </c>
      <c r="K69" s="62"/>
      <c r="L69" s="328">
        <v>0</v>
      </c>
      <c r="M69" s="62"/>
      <c r="N69" s="328">
        <v>0</v>
      </c>
      <c r="O69" s="62"/>
      <c r="P69" s="328">
        <v>0</v>
      </c>
      <c r="Q69" s="62"/>
      <c r="R69" s="61">
        <f t="shared" si="6"/>
        <v>0</v>
      </c>
      <c r="S69" s="63"/>
      <c r="T69" s="63"/>
      <c r="U69" s="63"/>
    </row>
    <row r="70" spans="1:21" s="60" customFormat="1" hidden="1" outlineLevel="1">
      <c r="A70" s="60" t="s">
        <v>703</v>
      </c>
      <c r="B70" s="61">
        <v>-9978.02</v>
      </c>
      <c r="C70" s="62"/>
      <c r="D70" s="61">
        <f>-4.19-4.19-4.19</f>
        <v>-12.57</v>
      </c>
      <c r="E70" s="62"/>
      <c r="F70" s="328">
        <v>0</v>
      </c>
      <c r="G70" s="62"/>
      <c r="H70" s="328">
        <v>0</v>
      </c>
      <c r="I70" s="62"/>
      <c r="J70" s="328">
        <v>0</v>
      </c>
      <c r="K70" s="62"/>
      <c r="L70" s="328">
        <v>0</v>
      </c>
      <c r="M70" s="62"/>
      <c r="N70" s="328">
        <v>0</v>
      </c>
      <c r="O70" s="62"/>
      <c r="P70" s="328">
        <v>0</v>
      </c>
      <c r="Q70" s="62"/>
      <c r="R70" s="61">
        <f t="shared" si="6"/>
        <v>-9990.59</v>
      </c>
      <c r="S70" s="63"/>
      <c r="T70" s="63"/>
      <c r="U70" s="63"/>
    </row>
    <row r="71" spans="1:21" s="10" customFormat="1" collapsed="1">
      <c r="A71" s="10" t="s">
        <v>793</v>
      </c>
      <c r="B71" s="64">
        <f>SUM(B57:B70)</f>
        <v>-4320148.93</v>
      </c>
      <c r="C71" s="65"/>
      <c r="D71" s="64">
        <f>SUM(D57:D70)</f>
        <v>-119988.15000000001</v>
      </c>
      <c r="E71" s="65"/>
      <c r="F71" s="64">
        <f t="shared" ref="F71:R71" si="7">SUM(F57:F70)</f>
        <v>0</v>
      </c>
      <c r="G71" s="65"/>
      <c r="H71" s="64">
        <f t="shared" si="7"/>
        <v>0</v>
      </c>
      <c r="I71" s="65"/>
      <c r="J71" s="64">
        <f t="shared" si="7"/>
        <v>0</v>
      </c>
      <c r="K71" s="65"/>
      <c r="L71" s="64">
        <f t="shared" si="7"/>
        <v>0</v>
      </c>
      <c r="M71" s="65"/>
      <c r="N71" s="64">
        <f t="shared" si="7"/>
        <v>0</v>
      </c>
      <c r="O71" s="65"/>
      <c r="P71" s="64">
        <f t="shared" si="7"/>
        <v>0</v>
      </c>
      <c r="Q71" s="65"/>
      <c r="R71" s="64">
        <f t="shared" si="7"/>
        <v>-4440137.08</v>
      </c>
      <c r="S71" s="24"/>
      <c r="T71" s="24"/>
      <c r="U71" s="24"/>
    </row>
    <row r="72" spans="1:21" s="60" customFormat="1" hidden="1" outlineLevel="1">
      <c r="A72" s="60" t="s">
        <v>1042</v>
      </c>
      <c r="B72" s="61">
        <v>-26253.719999999994</v>
      </c>
      <c r="C72" s="62"/>
      <c r="D72" s="61">
        <f>-1023.6-1023.6-1023.6</f>
        <v>-3070.8</v>
      </c>
      <c r="E72" s="62"/>
      <c r="F72" s="328">
        <v>0</v>
      </c>
      <c r="G72" s="62"/>
      <c r="H72" s="328">
        <v>0</v>
      </c>
      <c r="I72" s="62"/>
      <c r="J72" s="328">
        <v>0</v>
      </c>
      <c r="K72" s="62"/>
      <c r="L72" s="328">
        <v>0</v>
      </c>
      <c r="M72" s="62"/>
      <c r="N72" s="328">
        <v>0</v>
      </c>
      <c r="O72" s="62"/>
      <c r="P72" s="328">
        <v>0</v>
      </c>
      <c r="Q72" s="62"/>
      <c r="R72" s="61">
        <f t="shared" si="6"/>
        <v>-29324.519999999993</v>
      </c>
      <c r="S72" s="63"/>
      <c r="T72" s="63"/>
      <c r="U72" s="63"/>
    </row>
    <row r="73" spans="1:21" s="60" customFormat="1" hidden="1" outlineLevel="1">
      <c r="A73" s="60" t="s">
        <v>700</v>
      </c>
      <c r="B73" s="61">
        <v>-228324.11</v>
      </c>
      <c r="C73" s="62"/>
      <c r="D73" s="61">
        <f>-2166.67-2166.67-2166.67</f>
        <v>-6500.01</v>
      </c>
      <c r="E73" s="62"/>
      <c r="F73" s="328">
        <v>0</v>
      </c>
      <c r="G73" s="62"/>
      <c r="H73" s="328">
        <v>0</v>
      </c>
      <c r="I73" s="62"/>
      <c r="J73" s="328">
        <v>0</v>
      </c>
      <c r="K73" s="62"/>
      <c r="L73" s="328">
        <v>0</v>
      </c>
      <c r="M73" s="62"/>
      <c r="N73" s="328">
        <v>0</v>
      </c>
      <c r="O73" s="62"/>
      <c r="P73" s="328">
        <v>0</v>
      </c>
      <c r="Q73" s="62"/>
      <c r="R73" s="61">
        <f t="shared" si="6"/>
        <v>-234824.12</v>
      </c>
      <c r="S73" s="63"/>
      <c r="T73" s="63"/>
      <c r="U73" s="63"/>
    </row>
    <row r="74" spans="1:21" s="60" customFormat="1" hidden="1" outlineLevel="1">
      <c r="A74" s="60" t="s">
        <v>259</v>
      </c>
      <c r="B74" s="61">
        <v>-49526.939999999995</v>
      </c>
      <c r="C74" s="62"/>
      <c r="D74" s="61">
        <f>-1004.29-1004.29-1004.29</f>
        <v>-3012.87</v>
      </c>
      <c r="E74" s="62"/>
      <c r="F74" s="328">
        <v>0</v>
      </c>
      <c r="G74" s="62"/>
      <c r="H74" s="328">
        <v>0</v>
      </c>
      <c r="I74" s="62"/>
      <c r="J74" s="328">
        <v>0</v>
      </c>
      <c r="K74" s="62"/>
      <c r="L74" s="328">
        <v>0</v>
      </c>
      <c r="M74" s="62"/>
      <c r="N74" s="328">
        <v>0</v>
      </c>
      <c r="O74" s="62"/>
      <c r="P74" s="328">
        <v>0</v>
      </c>
      <c r="Q74" s="62"/>
      <c r="R74" s="61">
        <f t="shared" si="6"/>
        <v>-52539.81</v>
      </c>
      <c r="S74" s="63"/>
      <c r="T74" s="63"/>
      <c r="U74" s="63"/>
    </row>
    <row r="75" spans="1:21" s="60" customFormat="1" hidden="1" outlineLevel="1">
      <c r="A75" s="60" t="s">
        <v>698</v>
      </c>
      <c r="B75" s="61">
        <v>48741.98</v>
      </c>
      <c r="C75" s="62"/>
      <c r="D75" s="61">
        <f>-352.23-352.23-352.23</f>
        <v>-1056.69</v>
      </c>
      <c r="E75" s="62"/>
      <c r="F75" s="328">
        <v>0</v>
      </c>
      <c r="G75" s="62"/>
      <c r="H75" s="328">
        <v>0</v>
      </c>
      <c r="I75" s="62"/>
      <c r="J75" s="328">
        <v>0</v>
      </c>
      <c r="K75" s="62"/>
      <c r="L75" s="328">
        <v>0</v>
      </c>
      <c r="M75" s="62"/>
      <c r="N75" s="328">
        <v>0</v>
      </c>
      <c r="O75" s="62"/>
      <c r="P75" s="328">
        <v>0</v>
      </c>
      <c r="Q75" s="62"/>
      <c r="R75" s="61">
        <f t="shared" si="6"/>
        <v>47685.29</v>
      </c>
      <c r="S75" s="63"/>
      <c r="T75" s="63"/>
      <c r="U75" s="63"/>
    </row>
    <row r="76" spans="1:21" s="60" customFormat="1" hidden="1" outlineLevel="1">
      <c r="A76" s="60" t="s">
        <v>706</v>
      </c>
      <c r="B76" s="61">
        <v>-11190.68</v>
      </c>
      <c r="C76" s="62"/>
      <c r="D76" s="61">
        <f>-4.46-4.46-4.46</f>
        <v>-13.379999999999999</v>
      </c>
      <c r="E76" s="62"/>
      <c r="F76" s="328">
        <v>0</v>
      </c>
      <c r="G76" s="62"/>
      <c r="H76" s="328">
        <v>0</v>
      </c>
      <c r="I76" s="62"/>
      <c r="J76" s="328">
        <v>0</v>
      </c>
      <c r="K76" s="62"/>
      <c r="L76" s="328">
        <v>0</v>
      </c>
      <c r="M76" s="62"/>
      <c r="N76" s="328">
        <v>0</v>
      </c>
      <c r="O76" s="62"/>
      <c r="P76" s="328">
        <v>0</v>
      </c>
      <c r="Q76" s="62"/>
      <c r="R76" s="61">
        <f t="shared" si="6"/>
        <v>-11204.06</v>
      </c>
      <c r="S76" s="63"/>
      <c r="T76" s="63"/>
      <c r="U76" s="63"/>
    </row>
    <row r="77" spans="1:21" s="60" customFormat="1" hidden="1" outlineLevel="1">
      <c r="A77" s="60" t="s">
        <v>707</v>
      </c>
      <c r="B77" s="61">
        <v>-13917.51</v>
      </c>
      <c r="C77" s="62"/>
      <c r="D77" s="61">
        <f>-15.35-15.35-15.35</f>
        <v>-46.05</v>
      </c>
      <c r="E77" s="62"/>
      <c r="F77" s="328">
        <v>0</v>
      </c>
      <c r="G77" s="62"/>
      <c r="H77" s="328">
        <v>0</v>
      </c>
      <c r="I77" s="62"/>
      <c r="J77" s="328">
        <v>0</v>
      </c>
      <c r="K77" s="62"/>
      <c r="L77" s="328">
        <v>0</v>
      </c>
      <c r="M77" s="62"/>
      <c r="N77" s="328">
        <v>0</v>
      </c>
      <c r="O77" s="62"/>
      <c r="P77" s="328">
        <v>0</v>
      </c>
      <c r="Q77" s="62"/>
      <c r="R77" s="61">
        <f t="shared" si="6"/>
        <v>-13963.56</v>
      </c>
      <c r="S77" s="63"/>
      <c r="T77" s="63"/>
      <c r="U77" s="63"/>
    </row>
    <row r="78" spans="1:21" s="60" customFormat="1" hidden="1" outlineLevel="1">
      <c r="A78" s="60" t="s">
        <v>696</v>
      </c>
      <c r="B78" s="61">
        <v>-785083.33000000007</v>
      </c>
      <c r="C78" s="62"/>
      <c r="D78" s="61">
        <f>-5788.7-5788.7-5788.7</f>
        <v>-17366.099999999999</v>
      </c>
      <c r="E78" s="62"/>
      <c r="F78" s="328">
        <v>0</v>
      </c>
      <c r="G78" s="62"/>
      <c r="H78" s="328">
        <v>0</v>
      </c>
      <c r="I78" s="62"/>
      <c r="J78" s="328">
        <v>0</v>
      </c>
      <c r="K78" s="62"/>
      <c r="L78" s="328">
        <v>0</v>
      </c>
      <c r="M78" s="62"/>
      <c r="N78" s="328">
        <v>0</v>
      </c>
      <c r="O78" s="62"/>
      <c r="P78" s="328">
        <v>0</v>
      </c>
      <c r="Q78" s="62"/>
      <c r="R78" s="61">
        <f t="shared" si="6"/>
        <v>-802449.43</v>
      </c>
      <c r="S78" s="63"/>
      <c r="T78" s="63"/>
      <c r="U78" s="63"/>
    </row>
    <row r="79" spans="1:21" s="60" customFormat="1" hidden="1" outlineLevel="1">
      <c r="A79" s="60" t="s">
        <v>708</v>
      </c>
      <c r="B79" s="61">
        <v>-90771.639999999985</v>
      </c>
      <c r="C79" s="62"/>
      <c r="D79" s="61">
        <f>-1013.2-1013.2-1013.2</f>
        <v>-3039.6000000000004</v>
      </c>
      <c r="E79" s="62"/>
      <c r="F79" s="328">
        <v>0</v>
      </c>
      <c r="G79" s="62"/>
      <c r="H79" s="328">
        <v>0</v>
      </c>
      <c r="I79" s="62"/>
      <c r="J79" s="328">
        <v>0</v>
      </c>
      <c r="K79" s="62"/>
      <c r="L79" s="328">
        <v>0</v>
      </c>
      <c r="M79" s="62"/>
      <c r="N79" s="328">
        <v>0</v>
      </c>
      <c r="O79" s="62"/>
      <c r="P79" s="328">
        <v>0</v>
      </c>
      <c r="Q79" s="62"/>
      <c r="R79" s="61">
        <f t="shared" si="6"/>
        <v>-93811.239999999991</v>
      </c>
      <c r="S79" s="63"/>
      <c r="T79" s="63"/>
      <c r="U79" s="63"/>
    </row>
    <row r="80" spans="1:21" s="60" customFormat="1" hidden="1" outlineLevel="1">
      <c r="A80" s="60" t="s">
        <v>1016</v>
      </c>
      <c r="B80" s="61">
        <v>-31005.15</v>
      </c>
      <c r="C80" s="62"/>
      <c r="D80" s="61">
        <f>-258.88-258.88-258.88</f>
        <v>-776.64</v>
      </c>
      <c r="E80" s="62"/>
      <c r="F80" s="328">
        <v>0</v>
      </c>
      <c r="G80" s="62"/>
      <c r="H80" s="328">
        <v>0</v>
      </c>
      <c r="I80" s="62"/>
      <c r="J80" s="328">
        <v>0</v>
      </c>
      <c r="K80" s="62"/>
      <c r="L80" s="328">
        <v>0</v>
      </c>
      <c r="M80" s="62"/>
      <c r="N80" s="328">
        <v>0</v>
      </c>
      <c r="O80" s="62"/>
      <c r="P80" s="328">
        <v>0</v>
      </c>
      <c r="Q80" s="62"/>
      <c r="R80" s="61">
        <f t="shared" si="6"/>
        <v>-31781.79</v>
      </c>
      <c r="S80" s="63"/>
      <c r="T80" s="63"/>
      <c r="U80" s="63"/>
    </row>
    <row r="81" spans="1:21" s="60" customFormat="1" hidden="1" outlineLevel="1">
      <c r="A81" s="60" t="s">
        <v>705</v>
      </c>
      <c r="B81" s="61">
        <v>-30966.86</v>
      </c>
      <c r="C81" s="62"/>
      <c r="D81" s="61">
        <f>-258.52-258.52-258.52</f>
        <v>-775.56</v>
      </c>
      <c r="E81" s="62"/>
      <c r="F81" s="328">
        <v>0</v>
      </c>
      <c r="G81" s="62"/>
      <c r="H81" s="328">
        <v>0</v>
      </c>
      <c r="I81" s="62"/>
      <c r="J81" s="328">
        <v>0</v>
      </c>
      <c r="K81" s="62"/>
      <c r="L81" s="328">
        <v>0</v>
      </c>
      <c r="M81" s="62"/>
      <c r="N81" s="328">
        <v>0</v>
      </c>
      <c r="O81" s="62"/>
      <c r="P81" s="328">
        <v>0</v>
      </c>
      <c r="Q81" s="62"/>
      <c r="R81" s="61">
        <f t="shared" si="6"/>
        <v>-31742.420000000002</v>
      </c>
      <c r="S81" s="63"/>
      <c r="T81" s="63"/>
      <c r="U81" s="63"/>
    </row>
    <row r="82" spans="1:21" s="60" customFormat="1" hidden="1" outlineLevel="1">
      <c r="A82" s="60" t="s">
        <v>263</v>
      </c>
      <c r="B82" s="61">
        <v>-86852.110000000015</v>
      </c>
      <c r="C82" s="62"/>
      <c r="D82" s="61">
        <f>-947.58-947.58-947.58</f>
        <v>-2842.7400000000002</v>
      </c>
      <c r="E82" s="62"/>
      <c r="F82" s="328">
        <v>0</v>
      </c>
      <c r="G82" s="62"/>
      <c r="H82" s="328">
        <v>0</v>
      </c>
      <c r="I82" s="62"/>
      <c r="J82" s="328">
        <v>0</v>
      </c>
      <c r="K82" s="62"/>
      <c r="L82" s="328">
        <v>0</v>
      </c>
      <c r="M82" s="62"/>
      <c r="N82" s="328">
        <v>0</v>
      </c>
      <c r="O82" s="62"/>
      <c r="P82" s="328">
        <v>0</v>
      </c>
      <c r="Q82" s="62"/>
      <c r="R82" s="61">
        <f t="shared" si="6"/>
        <v>-89694.85000000002</v>
      </c>
      <c r="S82" s="63"/>
      <c r="T82" s="63"/>
      <c r="U82" s="63"/>
    </row>
    <row r="83" spans="1:21" s="60" customFormat="1" hidden="1" outlineLevel="1">
      <c r="A83" s="60" t="s">
        <v>702</v>
      </c>
      <c r="B83" s="61">
        <v>-86511.37</v>
      </c>
      <c r="C83" s="62"/>
      <c r="D83" s="61">
        <f>-943.87-943.87-943.87</f>
        <v>-2831.61</v>
      </c>
      <c r="E83" s="62"/>
      <c r="F83" s="328">
        <v>0</v>
      </c>
      <c r="G83" s="62"/>
      <c r="H83" s="328">
        <v>0</v>
      </c>
      <c r="I83" s="62"/>
      <c r="J83" s="328">
        <v>0</v>
      </c>
      <c r="K83" s="62"/>
      <c r="L83" s="328">
        <v>0</v>
      </c>
      <c r="M83" s="62"/>
      <c r="N83" s="328">
        <v>0</v>
      </c>
      <c r="O83" s="62"/>
      <c r="P83" s="328">
        <v>0</v>
      </c>
      <c r="Q83" s="62"/>
      <c r="R83" s="61">
        <f t="shared" si="6"/>
        <v>-89342.98</v>
      </c>
      <c r="S83" s="63"/>
      <c r="T83" s="63"/>
      <c r="U83" s="63"/>
    </row>
    <row r="84" spans="1:21" s="60" customFormat="1" hidden="1" outlineLevel="1">
      <c r="A84" s="60" t="s">
        <v>257</v>
      </c>
      <c r="B84" s="61">
        <v>-88098.51999999999</v>
      </c>
      <c r="C84" s="62"/>
      <c r="D84" s="61">
        <f>-972.01-972.01-972.01</f>
        <v>-2916.0299999999997</v>
      </c>
      <c r="E84" s="62"/>
      <c r="F84" s="328">
        <v>0</v>
      </c>
      <c r="G84" s="62"/>
      <c r="H84" s="328">
        <v>0</v>
      </c>
      <c r="I84" s="62"/>
      <c r="J84" s="328">
        <v>0</v>
      </c>
      <c r="K84" s="62"/>
      <c r="L84" s="328">
        <v>0</v>
      </c>
      <c r="M84" s="62"/>
      <c r="N84" s="328">
        <v>0</v>
      </c>
      <c r="O84" s="62"/>
      <c r="P84" s="328">
        <v>0</v>
      </c>
      <c r="Q84" s="62"/>
      <c r="R84" s="61">
        <f t="shared" si="6"/>
        <v>-91014.549999999988</v>
      </c>
      <c r="S84" s="63"/>
      <c r="T84" s="63"/>
      <c r="U84" s="63"/>
    </row>
    <row r="85" spans="1:21" s="60" customFormat="1" hidden="1" outlineLevel="1">
      <c r="A85" s="60" t="s">
        <v>665</v>
      </c>
      <c r="B85" s="61">
        <v>-645678.81000000006</v>
      </c>
      <c r="C85" s="62"/>
      <c r="D85" s="61">
        <f>-5312.39-5312.39-5312.39</f>
        <v>-15937.170000000002</v>
      </c>
      <c r="E85" s="62"/>
      <c r="F85" s="328">
        <v>0</v>
      </c>
      <c r="G85" s="62"/>
      <c r="H85" s="328">
        <v>0</v>
      </c>
      <c r="I85" s="62"/>
      <c r="J85" s="328">
        <v>0</v>
      </c>
      <c r="K85" s="62"/>
      <c r="L85" s="328">
        <v>0</v>
      </c>
      <c r="M85" s="62"/>
      <c r="N85" s="328">
        <v>0</v>
      </c>
      <c r="O85" s="62"/>
      <c r="P85" s="328">
        <v>0</v>
      </c>
      <c r="Q85" s="62"/>
      <c r="R85" s="61">
        <f t="shared" si="6"/>
        <v>-661615.9800000001</v>
      </c>
      <c r="S85" s="63"/>
      <c r="T85" s="63"/>
      <c r="U85" s="63"/>
    </row>
    <row r="86" spans="1:21" s="60" customFormat="1" hidden="1" outlineLevel="1">
      <c r="A86" s="60" t="s">
        <v>664</v>
      </c>
      <c r="B86" s="61">
        <v>0</v>
      </c>
      <c r="C86" s="62"/>
      <c r="D86" s="61">
        <v>0</v>
      </c>
      <c r="E86" s="62"/>
      <c r="F86" s="328">
        <v>0</v>
      </c>
      <c r="G86" s="62"/>
      <c r="H86" s="328">
        <v>0</v>
      </c>
      <c r="I86" s="62"/>
      <c r="J86" s="328">
        <v>0</v>
      </c>
      <c r="K86" s="62"/>
      <c r="L86" s="328">
        <v>0</v>
      </c>
      <c r="M86" s="62"/>
      <c r="N86" s="328">
        <v>0</v>
      </c>
      <c r="O86" s="62"/>
      <c r="P86" s="328">
        <v>0</v>
      </c>
      <c r="Q86" s="62"/>
      <c r="R86" s="61">
        <f t="shared" si="6"/>
        <v>0</v>
      </c>
      <c r="S86" s="63"/>
      <c r="T86" s="63"/>
      <c r="U86" s="63"/>
    </row>
    <row r="87" spans="1:21" s="60" customFormat="1" hidden="1" outlineLevel="1">
      <c r="A87" s="60" t="s">
        <v>258</v>
      </c>
      <c r="B87" s="61">
        <v>-12819.88</v>
      </c>
      <c r="C87" s="62"/>
      <c r="D87" s="61">
        <f>-11.52-11.52-11.52</f>
        <v>-34.56</v>
      </c>
      <c r="E87" s="62"/>
      <c r="F87" s="328">
        <v>0</v>
      </c>
      <c r="G87" s="62"/>
      <c r="H87" s="328">
        <v>0</v>
      </c>
      <c r="I87" s="62"/>
      <c r="J87" s="328">
        <v>0</v>
      </c>
      <c r="K87" s="62"/>
      <c r="L87" s="328">
        <v>0</v>
      </c>
      <c r="M87" s="62"/>
      <c r="N87" s="328">
        <v>0</v>
      </c>
      <c r="O87" s="62"/>
      <c r="P87" s="328">
        <v>0</v>
      </c>
      <c r="Q87" s="62"/>
      <c r="R87" s="61">
        <f t="shared" si="6"/>
        <v>-12854.439999999999</v>
      </c>
      <c r="S87" s="63"/>
      <c r="T87" s="63"/>
      <c r="U87" s="63"/>
    </row>
    <row r="88" spans="1:21" s="10" customFormat="1" collapsed="1">
      <c r="A88" s="10" t="s">
        <v>794</v>
      </c>
      <c r="B88" s="64">
        <f>SUM(B72:B87)</f>
        <v>-2138258.65</v>
      </c>
      <c r="C88" s="65"/>
      <c r="D88" s="64">
        <f>SUM(D72:D87)</f>
        <v>-60219.81</v>
      </c>
      <c r="E88" s="65"/>
      <c r="F88" s="64">
        <f>SUM(F72:F87)</f>
        <v>0</v>
      </c>
      <c r="G88" s="65"/>
      <c r="H88" s="64">
        <f t="shared" ref="H88:R88" si="8">SUM(H72:H87)</f>
        <v>0</v>
      </c>
      <c r="I88" s="65"/>
      <c r="J88" s="64">
        <f t="shared" si="8"/>
        <v>0</v>
      </c>
      <c r="K88" s="65"/>
      <c r="L88" s="64">
        <f t="shared" si="8"/>
        <v>0</v>
      </c>
      <c r="M88" s="65"/>
      <c r="N88" s="64">
        <f t="shared" si="8"/>
        <v>0</v>
      </c>
      <c r="O88" s="65"/>
      <c r="P88" s="64">
        <f t="shared" si="8"/>
        <v>0</v>
      </c>
      <c r="Q88" s="65"/>
      <c r="R88" s="64">
        <f t="shared" si="8"/>
        <v>-2198478.46</v>
      </c>
      <c r="S88" s="24"/>
      <c r="T88" s="24"/>
      <c r="U88" s="24"/>
    </row>
    <row r="89" spans="1:21" s="60" customFormat="1" hidden="1" outlineLevel="1">
      <c r="A89" s="60" t="s">
        <v>662</v>
      </c>
      <c r="B89" s="61">
        <v>-4993220.4399999995</v>
      </c>
      <c r="C89" s="62"/>
      <c r="D89" s="61">
        <f>-50809.25-50809.25-50809.25</f>
        <v>-152427.75</v>
      </c>
      <c r="E89" s="62"/>
      <c r="F89" s="328">
        <v>0</v>
      </c>
      <c r="G89" s="62"/>
      <c r="H89" s="328">
        <v>0</v>
      </c>
      <c r="I89" s="62"/>
      <c r="J89" s="328">
        <v>0</v>
      </c>
      <c r="K89" s="62"/>
      <c r="L89" s="328">
        <v>0</v>
      </c>
      <c r="M89" s="62"/>
      <c r="N89" s="328">
        <v>0</v>
      </c>
      <c r="O89" s="62"/>
      <c r="P89" s="328">
        <v>0</v>
      </c>
      <c r="Q89" s="62"/>
      <c r="R89" s="61">
        <f t="shared" si="6"/>
        <v>-5145648.1899999995</v>
      </c>
      <c r="S89" s="63"/>
      <c r="T89" s="63"/>
      <c r="U89" s="63"/>
    </row>
    <row r="90" spans="1:21" s="60" customFormat="1" hidden="1" outlineLevel="1">
      <c r="A90" s="60" t="s">
        <v>1018</v>
      </c>
      <c r="B90" s="61">
        <v>-2379308.04</v>
      </c>
      <c r="C90" s="62"/>
      <c r="D90" s="61">
        <f>-64011.77-64011.77-64011.77</f>
        <v>-192035.31</v>
      </c>
      <c r="E90" s="62"/>
      <c r="F90" s="328">
        <v>0</v>
      </c>
      <c r="G90" s="62"/>
      <c r="H90" s="328">
        <v>0</v>
      </c>
      <c r="I90" s="62"/>
      <c r="J90" s="328">
        <v>0</v>
      </c>
      <c r="K90" s="62"/>
      <c r="L90" s="328">
        <v>0</v>
      </c>
      <c r="M90" s="62"/>
      <c r="N90" s="328">
        <v>0</v>
      </c>
      <c r="O90" s="62"/>
      <c r="P90" s="328">
        <v>0</v>
      </c>
      <c r="Q90" s="62"/>
      <c r="R90" s="61">
        <f t="shared" si="6"/>
        <v>-2571343.35</v>
      </c>
      <c r="S90" s="63"/>
      <c r="T90" s="63"/>
      <c r="U90" s="63"/>
    </row>
    <row r="91" spans="1:21" s="60" customFormat="1" hidden="1" outlineLevel="1">
      <c r="A91" s="60" t="s">
        <v>666</v>
      </c>
      <c r="B91" s="61">
        <v>-4842316.4399999995</v>
      </c>
      <c r="C91" s="62"/>
      <c r="D91" s="61">
        <f>-57910.88-57910.88-57910.88</f>
        <v>-173732.63999999998</v>
      </c>
      <c r="E91" s="62"/>
      <c r="F91" s="328">
        <v>0</v>
      </c>
      <c r="G91" s="62"/>
      <c r="H91" s="328">
        <v>0</v>
      </c>
      <c r="I91" s="62"/>
      <c r="J91" s="328">
        <v>0</v>
      </c>
      <c r="K91" s="62"/>
      <c r="L91" s="328">
        <v>0</v>
      </c>
      <c r="M91" s="62"/>
      <c r="N91" s="328">
        <v>0</v>
      </c>
      <c r="O91" s="62"/>
      <c r="P91" s="328">
        <v>0</v>
      </c>
      <c r="Q91" s="62"/>
      <c r="R91" s="61">
        <f t="shared" si="6"/>
        <v>-5016049.0799999991</v>
      </c>
      <c r="S91" s="63"/>
      <c r="T91" s="63"/>
      <c r="U91" s="63"/>
    </row>
    <row r="92" spans="1:21" s="60" customFormat="1" hidden="1" outlineLevel="1">
      <c r="A92" s="60" t="s">
        <v>709</v>
      </c>
      <c r="B92" s="61">
        <v>-5644307.3000000007</v>
      </c>
      <c r="C92" s="62"/>
      <c r="D92" s="61">
        <f>-64467.81-64467.81-65154.64</f>
        <v>-194090.26</v>
      </c>
      <c r="E92" s="62"/>
      <c r="F92" s="328">
        <v>0</v>
      </c>
      <c r="G92" s="62"/>
      <c r="H92" s="328">
        <v>0</v>
      </c>
      <c r="I92" s="62"/>
      <c r="J92" s="328">
        <v>0</v>
      </c>
      <c r="K92" s="62"/>
      <c r="L92" s="328">
        <v>0</v>
      </c>
      <c r="M92" s="62"/>
      <c r="N92" s="328">
        <v>0</v>
      </c>
      <c r="O92" s="62"/>
      <c r="P92" s="328">
        <v>0</v>
      </c>
      <c r="Q92" s="62"/>
      <c r="R92" s="61">
        <f t="shared" si="6"/>
        <v>-5838397.5600000005</v>
      </c>
      <c r="S92" s="63"/>
      <c r="T92" s="63"/>
      <c r="U92" s="63"/>
    </row>
    <row r="93" spans="1:21" s="60" customFormat="1" hidden="1" outlineLevel="1">
      <c r="A93" s="60" t="s">
        <v>262</v>
      </c>
      <c r="B93" s="61">
        <v>-3461811.6900000004</v>
      </c>
      <c r="C93" s="62"/>
      <c r="D93" s="61">
        <f>-44397.49-45110.87-45824.23</f>
        <v>-135332.59</v>
      </c>
      <c r="E93" s="62"/>
      <c r="F93" s="328">
        <v>0</v>
      </c>
      <c r="G93" s="62"/>
      <c r="H93" s="328">
        <v>0</v>
      </c>
      <c r="I93" s="62"/>
      <c r="J93" s="328">
        <v>0</v>
      </c>
      <c r="K93" s="62"/>
      <c r="L93" s="328">
        <v>0</v>
      </c>
      <c r="M93" s="62"/>
      <c r="N93" s="328">
        <v>0</v>
      </c>
      <c r="O93" s="62"/>
      <c r="P93" s="328">
        <v>0</v>
      </c>
      <c r="Q93" s="62"/>
      <c r="R93" s="61">
        <f t="shared" si="6"/>
        <v>-3597144.2800000003</v>
      </c>
      <c r="S93" s="63"/>
      <c r="T93" s="63"/>
      <c r="U93" s="63"/>
    </row>
    <row r="94" spans="1:21" s="60" customFormat="1" hidden="1" outlineLevel="1">
      <c r="A94" s="60" t="s">
        <v>260</v>
      </c>
      <c r="B94" s="61">
        <v>-4216784.7200000007</v>
      </c>
      <c r="C94" s="62"/>
      <c r="D94" s="61">
        <f>-52600.5-48187.71-43774.9</f>
        <v>-144563.10999999999</v>
      </c>
      <c r="E94" s="62"/>
      <c r="F94" s="328">
        <v>676874.51</v>
      </c>
      <c r="G94" s="62"/>
      <c r="H94" s="328">
        <v>0</v>
      </c>
      <c r="I94" s="62"/>
      <c r="J94" s="328">
        <v>0</v>
      </c>
      <c r="K94" s="62"/>
      <c r="L94" s="328">
        <v>170979.16</v>
      </c>
      <c r="M94" s="62"/>
      <c r="N94" s="328">
        <v>0</v>
      </c>
      <c r="O94" s="62"/>
      <c r="P94" s="328">
        <v>0</v>
      </c>
      <c r="Q94" s="62"/>
      <c r="R94" s="61">
        <f t="shared" si="6"/>
        <v>-3513494.1600000011</v>
      </c>
      <c r="S94" s="63"/>
      <c r="T94" s="63"/>
      <c r="U94" s="63"/>
    </row>
    <row r="95" spans="1:21" s="60" customFormat="1" hidden="1" outlineLevel="1">
      <c r="A95" s="60" t="s">
        <v>669</v>
      </c>
      <c r="B95" s="61">
        <v>-3291737.2299999995</v>
      </c>
      <c r="C95" s="62"/>
      <c r="D95" s="61">
        <f>-42422.9-42966.61-43510.32</f>
        <v>-128899.83000000002</v>
      </c>
      <c r="E95" s="62"/>
      <c r="F95" s="328">
        <v>0</v>
      </c>
      <c r="G95" s="62"/>
      <c r="H95" s="328">
        <v>0</v>
      </c>
      <c r="I95" s="62"/>
      <c r="J95" s="328">
        <v>0</v>
      </c>
      <c r="K95" s="62"/>
      <c r="L95" s="328">
        <v>0</v>
      </c>
      <c r="M95" s="62"/>
      <c r="N95" s="328">
        <v>0</v>
      </c>
      <c r="O95" s="62"/>
      <c r="P95" s="328">
        <v>0</v>
      </c>
      <c r="Q95" s="62"/>
      <c r="R95" s="61">
        <f t="shared" si="6"/>
        <v>-3420637.0599999996</v>
      </c>
      <c r="S95" s="63"/>
      <c r="T95" s="63"/>
      <c r="U95" s="63"/>
    </row>
    <row r="96" spans="1:21" s="60" customFormat="1" hidden="1" outlineLevel="1">
      <c r="A96" s="60" t="s">
        <v>965</v>
      </c>
      <c r="B96" s="61">
        <v>-3670974.4500000007</v>
      </c>
      <c r="C96" s="62"/>
      <c r="D96" s="61">
        <f>-45258.87-45972.25-46685.61</f>
        <v>-137916.72999999998</v>
      </c>
      <c r="E96" s="62"/>
      <c r="F96" s="328">
        <v>0</v>
      </c>
      <c r="G96" s="62"/>
      <c r="H96" s="328">
        <v>0</v>
      </c>
      <c r="I96" s="62"/>
      <c r="J96" s="328">
        <v>0</v>
      </c>
      <c r="K96" s="62"/>
      <c r="L96" s="328">
        <v>0</v>
      </c>
      <c r="M96" s="62"/>
      <c r="N96" s="328">
        <v>0</v>
      </c>
      <c r="O96" s="62"/>
      <c r="P96" s="328">
        <v>0</v>
      </c>
      <c r="Q96" s="62"/>
      <c r="R96" s="61">
        <f t="shared" si="6"/>
        <v>-3808891.1800000006</v>
      </c>
      <c r="S96" s="63"/>
      <c r="T96" s="63"/>
      <c r="U96" s="63"/>
    </row>
    <row r="97" spans="1:21" s="60" customFormat="1" hidden="1" outlineLevel="1">
      <c r="A97" s="60" t="s">
        <v>661</v>
      </c>
      <c r="B97" s="61">
        <v>-3637316.5500000003</v>
      </c>
      <c r="C97" s="62"/>
      <c r="D97" s="61">
        <f>-44876.36-45589.72-46303.09</f>
        <v>-136769.16999999998</v>
      </c>
      <c r="E97" s="62"/>
      <c r="F97" s="328">
        <v>0</v>
      </c>
      <c r="G97" s="62"/>
      <c r="H97" s="328">
        <v>0</v>
      </c>
      <c r="I97" s="62"/>
      <c r="J97" s="328">
        <v>0</v>
      </c>
      <c r="K97" s="62"/>
      <c r="L97" s="328">
        <v>0</v>
      </c>
      <c r="M97" s="62"/>
      <c r="N97" s="328">
        <v>0</v>
      </c>
      <c r="O97" s="62"/>
      <c r="P97" s="328">
        <v>0</v>
      </c>
      <c r="Q97" s="62"/>
      <c r="R97" s="61">
        <f t="shared" si="6"/>
        <v>-3774085.72</v>
      </c>
      <c r="S97" s="63"/>
      <c r="T97" s="63"/>
      <c r="U97" s="63"/>
    </row>
    <row r="98" spans="1:21" s="60" customFormat="1" hidden="1" outlineLevel="1">
      <c r="A98" s="60" t="s">
        <v>966</v>
      </c>
      <c r="B98" s="61">
        <v>-3476962.54</v>
      </c>
      <c r="C98" s="62"/>
      <c r="D98" s="61">
        <f>-44579.07-45292.43-46005.81</f>
        <v>-135877.31</v>
      </c>
      <c r="E98" s="62"/>
      <c r="F98" s="328">
        <v>0</v>
      </c>
      <c r="G98" s="62"/>
      <c r="H98" s="328">
        <v>0</v>
      </c>
      <c r="I98" s="62"/>
      <c r="J98" s="328">
        <v>0</v>
      </c>
      <c r="K98" s="62"/>
      <c r="L98" s="328">
        <v>0</v>
      </c>
      <c r="M98" s="62"/>
      <c r="N98" s="328">
        <v>0</v>
      </c>
      <c r="O98" s="62"/>
      <c r="P98" s="328">
        <v>0</v>
      </c>
      <c r="Q98" s="62"/>
      <c r="R98" s="61">
        <f t="shared" si="6"/>
        <v>-3612839.85</v>
      </c>
      <c r="S98" s="63"/>
      <c r="T98" s="63"/>
      <c r="U98" s="63"/>
    </row>
    <row r="99" spans="1:21" s="60" customFormat="1" hidden="1" outlineLevel="1">
      <c r="A99" s="60" t="s">
        <v>967</v>
      </c>
      <c r="B99" s="61">
        <v>0</v>
      </c>
      <c r="C99" s="62"/>
      <c r="D99" s="61">
        <v>0</v>
      </c>
      <c r="E99" s="62"/>
      <c r="F99" s="328">
        <v>0</v>
      </c>
      <c r="G99" s="62"/>
      <c r="H99" s="328">
        <v>0</v>
      </c>
      <c r="I99" s="62"/>
      <c r="J99" s="328">
        <v>0</v>
      </c>
      <c r="K99" s="62"/>
      <c r="L99" s="328">
        <v>0</v>
      </c>
      <c r="M99" s="62"/>
      <c r="N99" s="328">
        <v>0</v>
      </c>
      <c r="O99" s="62"/>
      <c r="P99" s="328">
        <v>0</v>
      </c>
      <c r="Q99" s="62"/>
      <c r="R99" s="61">
        <f t="shared" si="6"/>
        <v>0</v>
      </c>
      <c r="S99" s="63"/>
      <c r="T99" s="63"/>
      <c r="U99" s="63"/>
    </row>
    <row r="100" spans="1:21" s="10" customFormat="1" collapsed="1">
      <c r="A100" s="10" t="s">
        <v>795</v>
      </c>
      <c r="B100" s="64">
        <f>SUM(B89:B99)</f>
        <v>-39614739.399999999</v>
      </c>
      <c r="C100" s="65"/>
      <c r="D100" s="64">
        <f>SUM(D89:D99)</f>
        <v>-1531644.7</v>
      </c>
      <c r="E100" s="65"/>
      <c r="F100" s="64">
        <f>SUM(F89:F99)</f>
        <v>676874.51</v>
      </c>
      <c r="G100" s="65"/>
      <c r="H100" s="64">
        <f t="shared" ref="H100:R100" si="9">SUM(H89:H99)</f>
        <v>0</v>
      </c>
      <c r="I100" s="65"/>
      <c r="J100" s="64">
        <f t="shared" si="9"/>
        <v>0</v>
      </c>
      <c r="K100" s="65"/>
      <c r="L100" s="64">
        <f>SUM(L89:L99)</f>
        <v>170979.16</v>
      </c>
      <c r="M100" s="65"/>
      <c r="N100" s="64">
        <f t="shared" si="9"/>
        <v>0</v>
      </c>
      <c r="O100" s="65"/>
      <c r="P100" s="64">
        <f t="shared" si="9"/>
        <v>0</v>
      </c>
      <c r="Q100" s="65"/>
      <c r="R100" s="64">
        <f t="shared" si="9"/>
        <v>-40298530.43</v>
      </c>
      <c r="S100" s="24"/>
      <c r="T100" s="24"/>
      <c r="U100" s="24"/>
    </row>
    <row r="101" spans="1:21" s="60" customFormat="1" hidden="1" outlineLevel="1">
      <c r="A101" s="60" t="s">
        <v>699</v>
      </c>
      <c r="B101" s="61">
        <v>-2033694.6600000001</v>
      </c>
      <c r="C101" s="62"/>
      <c r="D101" s="61">
        <f>-13895.84-13895.84-13895.84</f>
        <v>-41687.520000000004</v>
      </c>
      <c r="E101" s="62"/>
      <c r="F101" s="328">
        <v>0</v>
      </c>
      <c r="G101" s="62"/>
      <c r="H101" s="328">
        <v>0</v>
      </c>
      <c r="I101" s="62"/>
      <c r="J101" s="328">
        <v>0</v>
      </c>
      <c r="K101" s="62"/>
      <c r="L101" s="328">
        <v>0</v>
      </c>
      <c r="M101" s="62"/>
      <c r="N101" s="328">
        <v>0</v>
      </c>
      <c r="O101" s="62"/>
      <c r="P101" s="328">
        <v>0</v>
      </c>
      <c r="Q101" s="62"/>
      <c r="R101" s="61">
        <f t="shared" si="6"/>
        <v>-2075382.1800000002</v>
      </c>
      <c r="S101" s="63"/>
      <c r="T101" s="63"/>
      <c r="U101" s="63"/>
    </row>
    <row r="102" spans="1:21" s="60" customFormat="1" hidden="1" outlineLevel="1">
      <c r="A102" s="60" t="s">
        <v>969</v>
      </c>
      <c r="B102" s="61">
        <v>-1069622.0999999999</v>
      </c>
      <c r="C102" s="62"/>
      <c r="D102" s="61">
        <f>-8123.4-8123.4-8123.4</f>
        <v>-24370.199999999997</v>
      </c>
      <c r="E102" s="62"/>
      <c r="F102" s="328">
        <v>0</v>
      </c>
      <c r="G102" s="62"/>
      <c r="H102" s="328">
        <v>0</v>
      </c>
      <c r="I102" s="62"/>
      <c r="J102" s="328">
        <v>0</v>
      </c>
      <c r="K102" s="62"/>
      <c r="L102" s="328">
        <v>0</v>
      </c>
      <c r="M102" s="62"/>
      <c r="N102" s="328">
        <v>0</v>
      </c>
      <c r="O102" s="62"/>
      <c r="P102" s="328">
        <v>0</v>
      </c>
      <c r="Q102" s="62"/>
      <c r="R102" s="61">
        <f t="shared" si="6"/>
        <v>-1093992.2999999998</v>
      </c>
      <c r="S102" s="63"/>
      <c r="T102" s="63"/>
      <c r="U102" s="63"/>
    </row>
    <row r="103" spans="1:21" s="60" customFormat="1" hidden="1" outlineLevel="1">
      <c r="A103" s="60" t="s">
        <v>697</v>
      </c>
      <c r="B103" s="61">
        <v>-893368.07000000007</v>
      </c>
      <c r="C103" s="62"/>
      <c r="D103" s="61">
        <f>-5863.64-5863.64-5863.64</f>
        <v>-17590.920000000002</v>
      </c>
      <c r="E103" s="62"/>
      <c r="F103" s="328">
        <v>0</v>
      </c>
      <c r="G103" s="62"/>
      <c r="H103" s="328">
        <v>0</v>
      </c>
      <c r="I103" s="62"/>
      <c r="J103" s="328">
        <v>0</v>
      </c>
      <c r="K103" s="62"/>
      <c r="L103" s="328">
        <v>0</v>
      </c>
      <c r="M103" s="62"/>
      <c r="N103" s="328">
        <v>0</v>
      </c>
      <c r="O103" s="62"/>
      <c r="P103" s="328">
        <v>0</v>
      </c>
      <c r="Q103" s="62"/>
      <c r="R103" s="61">
        <f t="shared" si="6"/>
        <v>-910958.99000000011</v>
      </c>
      <c r="S103" s="63"/>
      <c r="T103" s="63"/>
      <c r="U103" s="63"/>
    </row>
    <row r="104" spans="1:21" s="60" customFormat="1" hidden="1" outlineLevel="1">
      <c r="A104" s="60" t="s">
        <v>970</v>
      </c>
      <c r="B104" s="61">
        <v>-871507.47000000009</v>
      </c>
      <c r="C104" s="62"/>
      <c r="D104" s="61">
        <f>-5871.12-5871.12-5871.12</f>
        <v>-17613.36</v>
      </c>
      <c r="E104" s="62"/>
      <c r="F104" s="328">
        <v>0</v>
      </c>
      <c r="G104" s="62"/>
      <c r="H104" s="328">
        <v>0</v>
      </c>
      <c r="I104" s="62"/>
      <c r="J104" s="328">
        <v>0</v>
      </c>
      <c r="K104" s="62"/>
      <c r="L104" s="328">
        <v>0</v>
      </c>
      <c r="M104" s="62"/>
      <c r="N104" s="328">
        <v>0</v>
      </c>
      <c r="O104" s="62"/>
      <c r="P104" s="328">
        <v>0</v>
      </c>
      <c r="Q104" s="62"/>
      <c r="R104" s="61">
        <f t="shared" si="6"/>
        <v>-889120.83000000007</v>
      </c>
      <c r="S104" s="63"/>
      <c r="T104" s="63"/>
      <c r="U104" s="63"/>
    </row>
    <row r="105" spans="1:21" s="60" customFormat="1" hidden="1" outlineLevel="1">
      <c r="A105" s="60" t="s">
        <v>704</v>
      </c>
      <c r="B105" s="61">
        <v>-1652689.6600000001</v>
      </c>
      <c r="C105" s="62"/>
      <c r="D105" s="61">
        <f>-3477.78-3477.78-3477.78</f>
        <v>-10433.34</v>
      </c>
      <c r="E105" s="62"/>
      <c r="F105" s="328">
        <v>0</v>
      </c>
      <c r="G105" s="62"/>
      <c r="H105" s="328">
        <v>0</v>
      </c>
      <c r="I105" s="62"/>
      <c r="J105" s="328">
        <v>0</v>
      </c>
      <c r="K105" s="62"/>
      <c r="L105" s="328">
        <v>0</v>
      </c>
      <c r="M105" s="62"/>
      <c r="N105" s="328">
        <v>0</v>
      </c>
      <c r="O105" s="62"/>
      <c r="P105" s="328">
        <v>0</v>
      </c>
      <c r="Q105" s="62"/>
      <c r="R105" s="61">
        <f t="shared" si="6"/>
        <v>-1663123.0000000002</v>
      </c>
      <c r="S105" s="63"/>
      <c r="T105" s="63"/>
      <c r="U105" s="63"/>
    </row>
    <row r="106" spans="1:21" s="60" customFormat="1" hidden="1" outlineLevel="1">
      <c r="A106" s="60" t="s">
        <v>1021</v>
      </c>
      <c r="B106" s="61">
        <v>-3376582.1399999997</v>
      </c>
      <c r="C106" s="62"/>
      <c r="D106" s="61">
        <f>-6556.57-6556.57-6556.57</f>
        <v>-19669.71</v>
      </c>
      <c r="E106" s="62"/>
      <c r="F106" s="328">
        <v>0</v>
      </c>
      <c r="G106" s="62"/>
      <c r="H106" s="328">
        <v>0</v>
      </c>
      <c r="I106" s="62"/>
      <c r="J106" s="328">
        <v>0</v>
      </c>
      <c r="K106" s="62"/>
      <c r="L106" s="328">
        <v>0</v>
      </c>
      <c r="M106" s="62"/>
      <c r="N106" s="328">
        <v>0</v>
      </c>
      <c r="O106" s="62"/>
      <c r="P106" s="328">
        <v>0</v>
      </c>
      <c r="Q106" s="62"/>
      <c r="R106" s="61">
        <f t="shared" si="6"/>
        <v>-3396251.8499999996</v>
      </c>
      <c r="S106" s="63"/>
      <c r="T106" s="63"/>
      <c r="U106" s="63"/>
    </row>
    <row r="107" spans="1:21" s="60" customFormat="1" hidden="1" outlineLevel="1">
      <c r="A107" s="60" t="s">
        <v>701</v>
      </c>
      <c r="B107" s="61">
        <v>-2038741.4100000001</v>
      </c>
      <c r="C107" s="62"/>
      <c r="D107" s="61">
        <f>-14649.64-14649.64-14649.64</f>
        <v>-43948.92</v>
      </c>
      <c r="E107" s="62"/>
      <c r="F107" s="328">
        <v>0</v>
      </c>
      <c r="G107" s="62"/>
      <c r="H107" s="328">
        <v>0</v>
      </c>
      <c r="I107" s="62"/>
      <c r="J107" s="328">
        <v>0</v>
      </c>
      <c r="K107" s="62"/>
      <c r="L107" s="328">
        <v>0</v>
      </c>
      <c r="M107" s="62"/>
      <c r="N107" s="328">
        <v>0</v>
      </c>
      <c r="O107" s="62"/>
      <c r="P107" s="328">
        <v>0</v>
      </c>
      <c r="Q107" s="62"/>
      <c r="R107" s="61">
        <f t="shared" si="6"/>
        <v>-2082690.33</v>
      </c>
      <c r="S107" s="63"/>
      <c r="T107" s="63"/>
      <c r="U107" s="63"/>
    </row>
    <row r="108" spans="1:21" s="60" customFormat="1" hidden="1" outlineLevel="1">
      <c r="A108" s="60" t="s">
        <v>977</v>
      </c>
      <c r="B108" s="61">
        <v>-433159.31</v>
      </c>
      <c r="C108" s="62"/>
      <c r="D108" s="61">
        <f>-4708.64-4708.64-4708.64</f>
        <v>-14125.920000000002</v>
      </c>
      <c r="E108" s="62"/>
      <c r="F108" s="328">
        <v>0</v>
      </c>
      <c r="G108" s="62"/>
      <c r="H108" s="328">
        <v>0</v>
      </c>
      <c r="I108" s="62"/>
      <c r="J108" s="328">
        <v>0</v>
      </c>
      <c r="K108" s="62"/>
      <c r="L108" s="328">
        <v>0</v>
      </c>
      <c r="M108" s="62"/>
      <c r="N108" s="328">
        <v>0</v>
      </c>
      <c r="O108" s="62"/>
      <c r="P108" s="328">
        <v>0</v>
      </c>
      <c r="Q108" s="62"/>
      <c r="R108" s="61">
        <f t="shared" si="6"/>
        <v>-447285.23</v>
      </c>
      <c r="S108" s="63"/>
      <c r="T108" s="63"/>
      <c r="U108" s="63"/>
    </row>
    <row r="109" spans="1:21" s="60" customFormat="1" hidden="1" outlineLevel="1">
      <c r="A109" s="60" t="s">
        <v>1045</v>
      </c>
      <c r="B109" s="61">
        <v>-483418.89999999997</v>
      </c>
      <c r="C109" s="62"/>
      <c r="D109" s="61">
        <f>-3963.68-3963.68-3963.68</f>
        <v>-11891.039999999999</v>
      </c>
      <c r="E109" s="62"/>
      <c r="F109" s="328">
        <v>0</v>
      </c>
      <c r="G109" s="62"/>
      <c r="H109" s="328">
        <v>0</v>
      </c>
      <c r="I109" s="62"/>
      <c r="J109" s="328">
        <v>0</v>
      </c>
      <c r="K109" s="62"/>
      <c r="L109" s="328">
        <v>0</v>
      </c>
      <c r="M109" s="62"/>
      <c r="N109" s="328">
        <v>0</v>
      </c>
      <c r="O109" s="62"/>
      <c r="P109" s="328">
        <v>0</v>
      </c>
      <c r="Q109" s="62"/>
      <c r="R109" s="61">
        <f t="shared" si="6"/>
        <v>-495309.93999999994</v>
      </c>
      <c r="S109" s="63"/>
      <c r="T109" s="63"/>
      <c r="U109" s="63"/>
    </row>
    <row r="110" spans="1:21" s="60" customFormat="1" hidden="1" outlineLevel="1">
      <c r="A110" s="60" t="s">
        <v>693</v>
      </c>
      <c r="B110" s="61">
        <v>-482827.25000000006</v>
      </c>
      <c r="C110" s="62"/>
      <c r="D110" s="61">
        <f>-3958.21-3958.21-3958.21</f>
        <v>-11874.630000000001</v>
      </c>
      <c r="E110" s="62"/>
      <c r="F110" s="328">
        <v>0</v>
      </c>
      <c r="G110" s="62"/>
      <c r="H110" s="328">
        <v>0</v>
      </c>
      <c r="I110" s="62"/>
      <c r="J110" s="328">
        <v>0</v>
      </c>
      <c r="K110" s="62"/>
      <c r="L110" s="328">
        <v>0</v>
      </c>
      <c r="M110" s="62"/>
      <c r="N110" s="328">
        <v>0</v>
      </c>
      <c r="O110" s="62"/>
      <c r="P110" s="328">
        <v>0</v>
      </c>
      <c r="Q110" s="62"/>
      <c r="R110" s="61">
        <f t="shared" si="6"/>
        <v>-494701.88000000006</v>
      </c>
      <c r="S110" s="63"/>
      <c r="T110" s="63"/>
      <c r="U110" s="63"/>
    </row>
    <row r="111" spans="1:21" s="60" customFormat="1" hidden="1" outlineLevel="1">
      <c r="A111" s="60" t="s">
        <v>1022</v>
      </c>
      <c r="B111" s="61">
        <v>-439138.42000000004</v>
      </c>
      <c r="C111" s="62"/>
      <c r="D111" s="61">
        <f>-4719.98-4719.98-4719.98</f>
        <v>-14159.939999999999</v>
      </c>
      <c r="E111" s="62"/>
      <c r="F111" s="328">
        <v>0</v>
      </c>
      <c r="G111" s="62"/>
      <c r="H111" s="328">
        <v>0</v>
      </c>
      <c r="I111" s="62"/>
      <c r="J111" s="328">
        <v>0</v>
      </c>
      <c r="K111" s="62"/>
      <c r="L111" s="328">
        <v>0</v>
      </c>
      <c r="M111" s="62"/>
      <c r="N111" s="328">
        <v>0</v>
      </c>
      <c r="O111" s="62"/>
      <c r="P111" s="328">
        <v>0</v>
      </c>
      <c r="Q111" s="62"/>
      <c r="R111" s="61">
        <f t="shared" si="6"/>
        <v>-453298.36000000004</v>
      </c>
      <c r="S111" s="63"/>
      <c r="T111" s="63"/>
      <c r="U111" s="63"/>
    </row>
    <row r="112" spans="1:21" s="60" customFormat="1" hidden="1" outlineLevel="1">
      <c r="A112" s="60" t="s">
        <v>968</v>
      </c>
      <c r="B112" s="61">
        <v>-436710.67</v>
      </c>
      <c r="C112" s="62"/>
      <c r="D112" s="61">
        <f>-4693.89-4693.89-4693.89</f>
        <v>-14081.670000000002</v>
      </c>
      <c r="E112" s="62"/>
      <c r="F112" s="328">
        <v>0</v>
      </c>
      <c r="G112" s="62"/>
      <c r="H112" s="328">
        <v>0</v>
      </c>
      <c r="I112" s="62"/>
      <c r="J112" s="328">
        <v>0</v>
      </c>
      <c r="K112" s="62"/>
      <c r="L112" s="328">
        <v>0</v>
      </c>
      <c r="M112" s="62"/>
      <c r="N112" s="328">
        <v>0</v>
      </c>
      <c r="O112" s="62"/>
      <c r="P112" s="328">
        <v>0</v>
      </c>
      <c r="Q112" s="62"/>
      <c r="R112" s="61">
        <f t="shared" si="6"/>
        <v>-450792.33999999997</v>
      </c>
      <c r="S112" s="63"/>
      <c r="T112" s="63"/>
      <c r="U112" s="63"/>
    </row>
    <row r="113" spans="1:21" s="60" customFormat="1" hidden="1" outlineLevel="1">
      <c r="A113" s="60" t="s">
        <v>1046</v>
      </c>
      <c r="B113" s="61">
        <v>-434500.19</v>
      </c>
      <c r="C113" s="62"/>
      <c r="D113" s="61">
        <f>-4723.22-4723.22-4723.22</f>
        <v>-14169.66</v>
      </c>
      <c r="E113" s="62"/>
      <c r="F113" s="328">
        <v>0</v>
      </c>
      <c r="G113" s="62"/>
      <c r="H113" s="328">
        <v>0</v>
      </c>
      <c r="I113" s="62"/>
      <c r="J113" s="328">
        <v>0</v>
      </c>
      <c r="K113" s="62"/>
      <c r="L113" s="328">
        <v>0</v>
      </c>
      <c r="M113" s="62"/>
      <c r="N113" s="328">
        <v>0</v>
      </c>
      <c r="O113" s="62"/>
      <c r="P113" s="328">
        <v>0</v>
      </c>
      <c r="Q113" s="62"/>
      <c r="R113" s="61">
        <f t="shared" si="6"/>
        <v>-448669.85</v>
      </c>
      <c r="S113" s="63"/>
      <c r="T113" s="63"/>
      <c r="U113" s="63"/>
    </row>
    <row r="114" spans="1:21" s="60" customFormat="1" hidden="1" outlineLevel="1">
      <c r="A114" s="60" t="s">
        <v>972</v>
      </c>
      <c r="B114" s="61">
        <v>0</v>
      </c>
      <c r="C114" s="62"/>
      <c r="D114" s="61">
        <v>0</v>
      </c>
      <c r="E114" s="62"/>
      <c r="F114" s="328">
        <v>0</v>
      </c>
      <c r="G114" s="62"/>
      <c r="H114" s="328">
        <v>0</v>
      </c>
      <c r="I114" s="62"/>
      <c r="J114" s="328">
        <v>0</v>
      </c>
      <c r="K114" s="62"/>
      <c r="L114" s="328">
        <v>0</v>
      </c>
      <c r="M114" s="62"/>
      <c r="N114" s="328">
        <v>0</v>
      </c>
      <c r="O114" s="62"/>
      <c r="P114" s="328">
        <v>0</v>
      </c>
      <c r="Q114" s="62"/>
      <c r="R114" s="61">
        <f t="shared" si="6"/>
        <v>0</v>
      </c>
      <c r="S114" s="63"/>
      <c r="T114" s="63"/>
      <c r="U114" s="63"/>
    </row>
    <row r="115" spans="1:21" s="60" customFormat="1" hidden="1" outlineLevel="1">
      <c r="A115" s="60" t="s">
        <v>1047</v>
      </c>
      <c r="B115" s="61">
        <v>-1962333.63</v>
      </c>
      <c r="C115" s="62"/>
      <c r="D115" s="61">
        <f>-4112.06-4112.06-4112.06</f>
        <v>-12336.18</v>
      </c>
      <c r="E115" s="62"/>
      <c r="F115" s="328">
        <v>0</v>
      </c>
      <c r="G115" s="62"/>
      <c r="H115" s="328">
        <v>0</v>
      </c>
      <c r="I115" s="62"/>
      <c r="J115" s="328">
        <v>0</v>
      </c>
      <c r="K115" s="62"/>
      <c r="L115" s="328">
        <v>0</v>
      </c>
      <c r="M115" s="62"/>
      <c r="N115" s="328">
        <v>0</v>
      </c>
      <c r="O115" s="62"/>
      <c r="P115" s="328">
        <v>0</v>
      </c>
      <c r="Q115" s="62"/>
      <c r="R115" s="61">
        <f t="shared" si="6"/>
        <v>-1974669.8099999998</v>
      </c>
      <c r="S115" s="63"/>
      <c r="T115" s="63"/>
      <c r="U115" s="63"/>
    </row>
    <row r="116" spans="1:21" s="10" customFormat="1" collapsed="1">
      <c r="A116" s="10" t="s">
        <v>796</v>
      </c>
      <c r="B116" s="64">
        <f>SUM(B101:B115)</f>
        <v>-16608293.879999999</v>
      </c>
      <c r="C116" s="65"/>
      <c r="D116" s="64">
        <f>SUM(D101:D115)</f>
        <v>-267953.01</v>
      </c>
      <c r="E116" s="65"/>
      <c r="F116" s="64">
        <f>SUM(F101:F115)</f>
        <v>0</v>
      </c>
      <c r="G116" s="65"/>
      <c r="H116" s="64">
        <f>SUM(H101:H115)</f>
        <v>0</v>
      </c>
      <c r="I116" s="65"/>
      <c r="J116" s="64">
        <f>SUM(J101:J115)</f>
        <v>0</v>
      </c>
      <c r="K116" s="65"/>
      <c r="L116" s="64">
        <f>SUM(L101:L115)</f>
        <v>0</v>
      </c>
      <c r="M116" s="65"/>
      <c r="N116" s="64">
        <f>SUM(N101:N115)</f>
        <v>0</v>
      </c>
      <c r="O116" s="64"/>
      <c r="P116" s="64">
        <f>SUM(P101:P115)</f>
        <v>0</v>
      </c>
      <c r="Q116" s="65"/>
      <c r="R116" s="64">
        <f>SUM(R101:R115)</f>
        <v>-16876246.890000001</v>
      </c>
      <c r="S116" s="24"/>
      <c r="T116" s="24"/>
      <c r="U116" s="24"/>
    </row>
    <row r="117" spans="1:21" s="60" customFormat="1" hidden="1" outlineLevel="1">
      <c r="A117" s="60" t="s">
        <v>1039</v>
      </c>
      <c r="B117" s="61">
        <v>-131340.32</v>
      </c>
      <c r="C117" s="62"/>
      <c r="D117" s="61">
        <f>-233.25-233.25-233.25</f>
        <v>-699.75</v>
      </c>
      <c r="E117" s="62"/>
      <c r="F117" s="328">
        <v>0</v>
      </c>
      <c r="G117" s="62"/>
      <c r="H117" s="328">
        <v>0</v>
      </c>
      <c r="I117" s="62"/>
      <c r="J117" s="328">
        <v>0</v>
      </c>
      <c r="K117" s="62"/>
      <c r="L117" s="328">
        <v>0</v>
      </c>
      <c r="M117" s="62"/>
      <c r="N117" s="328">
        <v>0</v>
      </c>
      <c r="O117" s="62"/>
      <c r="P117" s="328">
        <v>0</v>
      </c>
      <c r="Q117" s="62"/>
      <c r="R117" s="61">
        <f t="shared" si="6"/>
        <v>-132040.07</v>
      </c>
      <c r="S117" s="63"/>
      <c r="T117" s="63"/>
      <c r="U117" s="63"/>
    </row>
    <row r="118" spans="1:21" s="60" customFormat="1" hidden="1" outlineLevel="1">
      <c r="A118" s="60" t="s">
        <v>981</v>
      </c>
      <c r="B118" s="61">
        <v>-920955.62</v>
      </c>
      <c r="C118" s="62"/>
      <c r="D118" s="61">
        <f>-7374.3-7587.53-7587.76</f>
        <v>-22549.59</v>
      </c>
      <c r="E118" s="62"/>
      <c r="F118" s="328">
        <v>0</v>
      </c>
      <c r="G118" s="62"/>
      <c r="H118" s="328">
        <v>0</v>
      </c>
      <c r="I118" s="62"/>
      <c r="J118" s="328">
        <v>0</v>
      </c>
      <c r="K118" s="62"/>
      <c r="L118" s="328">
        <v>0</v>
      </c>
      <c r="M118" s="62"/>
      <c r="N118" s="328">
        <v>0</v>
      </c>
      <c r="O118" s="62"/>
      <c r="P118" s="328">
        <v>0</v>
      </c>
      <c r="Q118" s="62"/>
      <c r="R118" s="61">
        <f t="shared" si="6"/>
        <v>-943505.21</v>
      </c>
      <c r="S118" s="63"/>
      <c r="T118" s="63"/>
      <c r="U118" s="63"/>
    </row>
    <row r="119" spans="1:21" s="60" customFormat="1" hidden="1" outlineLevel="1">
      <c r="A119" s="60" t="s">
        <v>989</v>
      </c>
      <c r="B119" s="61">
        <v>-359269.81999999995</v>
      </c>
      <c r="C119" s="62"/>
      <c r="D119" s="61">
        <f>-2635.68-2635.68-2635.68</f>
        <v>-7907.0399999999991</v>
      </c>
      <c r="E119" s="62"/>
      <c r="F119" s="328">
        <v>0</v>
      </c>
      <c r="G119" s="62"/>
      <c r="H119" s="328">
        <v>0</v>
      </c>
      <c r="I119" s="62"/>
      <c r="J119" s="328">
        <v>0</v>
      </c>
      <c r="K119" s="62"/>
      <c r="L119" s="328">
        <v>0</v>
      </c>
      <c r="M119" s="62"/>
      <c r="N119" s="328">
        <v>0</v>
      </c>
      <c r="O119" s="62"/>
      <c r="P119" s="328">
        <v>0</v>
      </c>
      <c r="Q119" s="62"/>
      <c r="R119" s="61">
        <f t="shared" si="6"/>
        <v>-367176.85999999993</v>
      </c>
      <c r="S119" s="63"/>
      <c r="T119" s="63"/>
      <c r="U119" s="63"/>
    </row>
    <row r="120" spans="1:21" s="60" customFormat="1" hidden="1" outlineLevel="1">
      <c r="A120" s="60" t="s">
        <v>983</v>
      </c>
      <c r="B120" s="61">
        <v>-349815.30999999994</v>
      </c>
      <c r="C120" s="62"/>
      <c r="D120" s="61">
        <f>-2589.53-2589.53-2589.53</f>
        <v>-7768.59</v>
      </c>
      <c r="E120" s="62"/>
      <c r="F120" s="328">
        <v>0</v>
      </c>
      <c r="G120" s="62"/>
      <c r="H120" s="328">
        <v>0</v>
      </c>
      <c r="I120" s="62"/>
      <c r="J120" s="328">
        <v>0</v>
      </c>
      <c r="K120" s="62"/>
      <c r="L120" s="328">
        <v>0</v>
      </c>
      <c r="M120" s="62"/>
      <c r="N120" s="328">
        <v>0</v>
      </c>
      <c r="O120" s="62"/>
      <c r="P120" s="328">
        <v>0</v>
      </c>
      <c r="Q120" s="62"/>
      <c r="R120" s="61">
        <f t="shared" si="6"/>
        <v>-357583.89999999997</v>
      </c>
      <c r="S120" s="63"/>
      <c r="T120" s="63"/>
      <c r="U120" s="63"/>
    </row>
    <row r="121" spans="1:21" s="60" customFormat="1" hidden="1" outlineLevel="1">
      <c r="A121" s="60" t="s">
        <v>1043</v>
      </c>
      <c r="B121" s="61">
        <v>-70884.430000000008</v>
      </c>
      <c r="C121" s="62"/>
      <c r="D121" s="61">
        <f>-242.36-242.36-242.36</f>
        <v>-727.08</v>
      </c>
      <c r="E121" s="62"/>
      <c r="F121" s="328">
        <v>0</v>
      </c>
      <c r="G121" s="62"/>
      <c r="H121" s="328">
        <v>0</v>
      </c>
      <c r="I121" s="62"/>
      <c r="J121" s="328">
        <v>0</v>
      </c>
      <c r="K121" s="62"/>
      <c r="L121" s="328">
        <v>0</v>
      </c>
      <c r="M121" s="62"/>
      <c r="N121" s="328">
        <v>0</v>
      </c>
      <c r="O121" s="62"/>
      <c r="P121" s="328">
        <v>0</v>
      </c>
      <c r="Q121" s="62"/>
      <c r="R121" s="61">
        <f t="shared" si="6"/>
        <v>-71611.510000000009</v>
      </c>
      <c r="S121" s="63"/>
      <c r="T121" s="63"/>
      <c r="U121" s="63"/>
    </row>
    <row r="122" spans="1:21" s="60" customFormat="1" hidden="1" outlineLevel="1">
      <c r="A122" s="60" t="s">
        <v>986</v>
      </c>
      <c r="B122" s="61">
        <v>-131727.5</v>
      </c>
      <c r="C122" s="62"/>
      <c r="D122" s="61">
        <f>-2905.24-2905.24-2905.24</f>
        <v>-8715.7199999999993</v>
      </c>
      <c r="E122" s="62"/>
      <c r="F122" s="328">
        <v>0</v>
      </c>
      <c r="G122" s="62"/>
      <c r="H122" s="328">
        <v>32971.370000000003</v>
      </c>
      <c r="I122" s="62"/>
      <c r="J122" s="328">
        <v>0</v>
      </c>
      <c r="K122" s="62"/>
      <c r="L122" s="328">
        <v>0</v>
      </c>
      <c r="M122" s="62"/>
      <c r="N122" s="328">
        <v>0</v>
      </c>
      <c r="O122" s="62"/>
      <c r="P122" s="328">
        <v>0</v>
      </c>
      <c r="Q122" s="62"/>
      <c r="R122" s="61">
        <f t="shared" si="6"/>
        <v>-107471.85</v>
      </c>
      <c r="S122" s="63"/>
      <c r="T122" s="63"/>
      <c r="U122" s="63"/>
    </row>
    <row r="123" spans="1:21" s="60" customFormat="1" hidden="1" outlineLevel="1">
      <c r="A123" s="60" t="s">
        <v>984</v>
      </c>
      <c r="B123" s="61">
        <v>-992746.42999999993</v>
      </c>
      <c r="C123" s="62"/>
      <c r="D123" s="61">
        <f>-7688.55-7688.55-7688.55</f>
        <v>-23065.65</v>
      </c>
      <c r="E123" s="62"/>
      <c r="F123" s="328">
        <v>0</v>
      </c>
      <c r="G123" s="62"/>
      <c r="H123" s="328">
        <v>0</v>
      </c>
      <c r="I123" s="62"/>
      <c r="J123" s="328">
        <v>0</v>
      </c>
      <c r="K123" s="62"/>
      <c r="L123" s="328">
        <v>0</v>
      </c>
      <c r="M123" s="62"/>
      <c r="N123" s="328">
        <v>0</v>
      </c>
      <c r="O123" s="62"/>
      <c r="P123" s="328">
        <v>0</v>
      </c>
      <c r="Q123" s="62"/>
      <c r="R123" s="61">
        <f t="shared" ref="R123:R148" si="10">SUM(B123:P123)</f>
        <v>-1015812.08</v>
      </c>
      <c r="S123" s="63"/>
      <c r="T123" s="63"/>
      <c r="U123" s="63"/>
    </row>
    <row r="124" spans="1:21" s="60" customFormat="1" hidden="1" outlineLevel="1">
      <c r="A124" s="60" t="s">
        <v>987</v>
      </c>
      <c r="B124" s="61">
        <v>-977529.79999999993</v>
      </c>
      <c r="C124" s="62"/>
      <c r="D124" s="61">
        <f>-12870.99-12870.99-12870.99</f>
        <v>-38612.97</v>
      </c>
      <c r="E124" s="62"/>
      <c r="F124" s="328">
        <v>0</v>
      </c>
      <c r="G124" s="62"/>
      <c r="H124" s="328">
        <v>0</v>
      </c>
      <c r="I124" s="62"/>
      <c r="J124" s="328">
        <v>0</v>
      </c>
      <c r="K124" s="62"/>
      <c r="L124" s="328">
        <v>0</v>
      </c>
      <c r="M124" s="62"/>
      <c r="N124" s="328">
        <v>0</v>
      </c>
      <c r="O124" s="62"/>
      <c r="P124" s="328">
        <v>0</v>
      </c>
      <c r="Q124" s="62"/>
      <c r="R124" s="61">
        <f t="shared" si="10"/>
        <v>-1016142.7699999999</v>
      </c>
      <c r="S124" s="63"/>
      <c r="T124" s="63"/>
      <c r="U124" s="63"/>
    </row>
    <row r="125" spans="1:21" s="60" customFormat="1" hidden="1" outlineLevel="1">
      <c r="A125" s="60" t="s">
        <v>988</v>
      </c>
      <c r="B125" s="61">
        <v>-213483.98999999996</v>
      </c>
      <c r="C125" s="62"/>
      <c r="D125" s="61">
        <f>-1991.28-1991.28-1991.28</f>
        <v>-5973.84</v>
      </c>
      <c r="E125" s="62"/>
      <c r="F125" s="328">
        <v>0</v>
      </c>
      <c r="G125" s="62"/>
      <c r="H125" s="328">
        <v>0</v>
      </c>
      <c r="I125" s="62"/>
      <c r="J125" s="328">
        <v>0</v>
      </c>
      <c r="K125" s="62"/>
      <c r="L125" s="328">
        <v>0</v>
      </c>
      <c r="M125" s="62"/>
      <c r="N125" s="328">
        <v>0</v>
      </c>
      <c r="O125" s="62"/>
      <c r="P125" s="328">
        <v>0</v>
      </c>
      <c r="Q125" s="62"/>
      <c r="R125" s="61">
        <f t="shared" si="10"/>
        <v>-219457.82999999996</v>
      </c>
      <c r="S125" s="63"/>
      <c r="T125" s="63"/>
      <c r="U125" s="63"/>
    </row>
    <row r="126" spans="1:21" s="60" customFormat="1" hidden="1" outlineLevel="1">
      <c r="A126" s="60" t="s">
        <v>410</v>
      </c>
      <c r="B126" s="61">
        <v>-447269.31999999995</v>
      </c>
      <c r="C126" s="62"/>
      <c r="D126" s="61">
        <f>-4492.28-4492.28-4492.28</f>
        <v>-13476.84</v>
      </c>
      <c r="E126" s="62"/>
      <c r="F126" s="328">
        <v>0</v>
      </c>
      <c r="G126" s="62"/>
      <c r="H126" s="328">
        <v>0</v>
      </c>
      <c r="I126" s="62"/>
      <c r="J126" s="328">
        <v>0</v>
      </c>
      <c r="K126" s="62"/>
      <c r="L126" s="328">
        <v>0</v>
      </c>
      <c r="M126" s="62"/>
      <c r="N126" s="328">
        <v>0</v>
      </c>
      <c r="O126" s="62"/>
      <c r="P126" s="328">
        <v>0</v>
      </c>
      <c r="Q126" s="62"/>
      <c r="R126" s="61">
        <f t="shared" si="10"/>
        <v>-460746.16</v>
      </c>
      <c r="S126" s="63"/>
      <c r="T126" s="63"/>
      <c r="U126" s="63"/>
    </row>
    <row r="127" spans="1:21" s="60" customFormat="1" hidden="1" outlineLevel="1">
      <c r="A127" s="60" t="s">
        <v>415</v>
      </c>
      <c r="B127" s="61">
        <v>-481481.25999999995</v>
      </c>
      <c r="C127" s="62"/>
      <c r="D127" s="61">
        <f>-5407.2-5407.2-5407.2</f>
        <v>-16221.599999999999</v>
      </c>
      <c r="E127" s="62"/>
      <c r="F127" s="328">
        <v>0</v>
      </c>
      <c r="G127" s="62"/>
      <c r="H127" s="328">
        <v>0</v>
      </c>
      <c r="I127" s="62"/>
      <c r="J127" s="328">
        <v>0</v>
      </c>
      <c r="K127" s="62"/>
      <c r="L127" s="328">
        <v>0</v>
      </c>
      <c r="M127" s="62"/>
      <c r="N127" s="328">
        <v>0</v>
      </c>
      <c r="O127" s="62"/>
      <c r="P127" s="328">
        <v>0</v>
      </c>
      <c r="Q127" s="62"/>
      <c r="R127" s="61">
        <f t="shared" si="10"/>
        <v>-497702.85999999993</v>
      </c>
      <c r="S127" s="63"/>
      <c r="T127" s="63"/>
      <c r="U127" s="63"/>
    </row>
    <row r="128" spans="1:21" s="60" customFormat="1" hidden="1" outlineLevel="1">
      <c r="A128" s="60" t="s">
        <v>1041</v>
      </c>
      <c r="B128" s="61">
        <v>-479593.77</v>
      </c>
      <c r="C128" s="62"/>
      <c r="D128" s="61">
        <f>-5386.01-5386.01-5386.01</f>
        <v>-16158.03</v>
      </c>
      <c r="E128" s="62"/>
      <c r="F128" s="328">
        <v>0</v>
      </c>
      <c r="G128" s="62"/>
      <c r="H128" s="328">
        <v>0</v>
      </c>
      <c r="I128" s="62"/>
      <c r="J128" s="328">
        <v>0</v>
      </c>
      <c r="K128" s="62"/>
      <c r="L128" s="328">
        <v>0</v>
      </c>
      <c r="M128" s="62"/>
      <c r="N128" s="328">
        <v>0</v>
      </c>
      <c r="O128" s="62"/>
      <c r="P128" s="328">
        <v>0</v>
      </c>
      <c r="Q128" s="62"/>
      <c r="R128" s="61">
        <f t="shared" si="10"/>
        <v>-495751.80000000005</v>
      </c>
      <c r="S128" s="63"/>
      <c r="T128" s="63"/>
      <c r="U128" s="63"/>
    </row>
    <row r="129" spans="1:21" s="60" customFormat="1" hidden="1" outlineLevel="1">
      <c r="A129" s="60" t="s">
        <v>413</v>
      </c>
      <c r="B129" s="61">
        <v>-488486.11000000004</v>
      </c>
      <c r="C129" s="62"/>
      <c r="D129" s="61">
        <f>-5546.46-5546.46-5546.46</f>
        <v>-16639.38</v>
      </c>
      <c r="E129" s="62"/>
      <c r="F129" s="328">
        <v>0</v>
      </c>
      <c r="G129" s="62"/>
      <c r="H129" s="328">
        <v>0</v>
      </c>
      <c r="I129" s="62"/>
      <c r="J129" s="328">
        <v>0</v>
      </c>
      <c r="K129" s="62"/>
      <c r="L129" s="328">
        <v>0</v>
      </c>
      <c r="M129" s="62"/>
      <c r="N129" s="328">
        <v>0</v>
      </c>
      <c r="O129" s="62"/>
      <c r="P129" s="328">
        <v>0</v>
      </c>
      <c r="Q129" s="62"/>
      <c r="R129" s="61">
        <f t="shared" si="10"/>
        <v>-505125.49000000005</v>
      </c>
      <c r="S129" s="63"/>
      <c r="T129" s="63"/>
      <c r="U129" s="63"/>
    </row>
    <row r="130" spans="1:21" s="60" customFormat="1" hidden="1" outlineLevel="1">
      <c r="A130" s="60" t="s">
        <v>412</v>
      </c>
      <c r="B130" s="61">
        <v>0</v>
      </c>
      <c r="C130" s="62"/>
      <c r="D130" s="61">
        <v>0</v>
      </c>
      <c r="E130" s="62"/>
      <c r="F130" s="328">
        <v>0</v>
      </c>
      <c r="G130" s="62"/>
      <c r="H130" s="328">
        <v>0</v>
      </c>
      <c r="I130" s="62"/>
      <c r="J130" s="328">
        <v>0</v>
      </c>
      <c r="K130" s="62"/>
      <c r="L130" s="328">
        <v>0</v>
      </c>
      <c r="M130" s="62"/>
      <c r="N130" s="328">
        <v>0</v>
      </c>
      <c r="O130" s="62"/>
      <c r="P130" s="328">
        <v>0</v>
      </c>
      <c r="Q130" s="62"/>
      <c r="R130" s="61">
        <f t="shared" si="10"/>
        <v>0</v>
      </c>
      <c r="S130" s="63"/>
      <c r="T130" s="63"/>
      <c r="U130" s="63"/>
    </row>
    <row r="131" spans="1:21" s="60" customFormat="1" hidden="1" outlineLevel="1">
      <c r="A131" s="60" t="s">
        <v>416</v>
      </c>
      <c r="B131" s="61">
        <v>-51094.95</v>
      </c>
      <c r="C131" s="62"/>
      <c r="D131" s="61">
        <f>-85.24-85.24-85.24</f>
        <v>-255.71999999999997</v>
      </c>
      <c r="E131" s="62"/>
      <c r="F131" s="328">
        <v>0</v>
      </c>
      <c r="G131" s="62"/>
      <c r="H131" s="328">
        <v>0</v>
      </c>
      <c r="I131" s="62"/>
      <c r="J131" s="328">
        <v>0</v>
      </c>
      <c r="K131" s="62"/>
      <c r="L131" s="328">
        <v>0</v>
      </c>
      <c r="M131" s="62"/>
      <c r="N131" s="328">
        <v>0</v>
      </c>
      <c r="O131" s="62"/>
      <c r="P131" s="328">
        <v>0</v>
      </c>
      <c r="Q131" s="62"/>
      <c r="R131" s="61">
        <f t="shared" si="10"/>
        <v>-51350.67</v>
      </c>
      <c r="S131" s="63"/>
      <c r="T131" s="63"/>
      <c r="U131" s="63"/>
    </row>
    <row r="132" spans="1:21" s="10" customFormat="1" collapsed="1">
      <c r="A132" s="10" t="s">
        <v>797</v>
      </c>
      <c r="B132" s="64">
        <f>SUM(B117:B131)</f>
        <v>-6095678.629999999</v>
      </c>
      <c r="C132" s="65"/>
      <c r="D132" s="64">
        <f>SUM(D117:D131)</f>
        <v>-178771.80000000002</v>
      </c>
      <c r="E132" s="65"/>
      <c r="F132" s="64">
        <f>SUM(F117:F131)</f>
        <v>0</v>
      </c>
      <c r="G132" s="65"/>
      <c r="H132" s="64">
        <f>SUM(H117:H131)</f>
        <v>32971.370000000003</v>
      </c>
      <c r="I132" s="65"/>
      <c r="J132" s="64">
        <f>SUM(J117:J131)</f>
        <v>0</v>
      </c>
      <c r="K132" s="64"/>
      <c r="L132" s="64">
        <f>SUM(L117:L131)</f>
        <v>0</v>
      </c>
      <c r="M132" s="65"/>
      <c r="N132" s="64">
        <f>SUM(N117:N131)</f>
        <v>0</v>
      </c>
      <c r="O132" s="65"/>
      <c r="P132" s="64">
        <f>SUM(P117:P131)</f>
        <v>0</v>
      </c>
      <c r="Q132" s="65"/>
      <c r="R132" s="64">
        <f>SUM(R117:R131)</f>
        <v>-6241479.0600000005</v>
      </c>
      <c r="S132" s="24"/>
      <c r="T132" s="24"/>
      <c r="U132" s="24"/>
    </row>
    <row r="133" spans="1:21" s="60" customFormat="1" hidden="1" outlineLevel="1">
      <c r="A133" s="60" t="s">
        <v>411</v>
      </c>
      <c r="B133" s="61">
        <v>-815731.45</v>
      </c>
      <c r="C133" s="62"/>
      <c r="D133" s="61">
        <f>-5608.82-5608.82-5608.82</f>
        <v>-16826.46</v>
      </c>
      <c r="E133" s="62"/>
      <c r="F133" s="328">
        <v>0</v>
      </c>
      <c r="G133" s="62"/>
      <c r="H133" s="328">
        <v>0</v>
      </c>
      <c r="I133" s="62"/>
      <c r="J133" s="328">
        <v>0</v>
      </c>
      <c r="K133" s="62"/>
      <c r="L133" s="328">
        <v>0</v>
      </c>
      <c r="M133" s="62"/>
      <c r="N133" s="328">
        <v>0</v>
      </c>
      <c r="O133" s="62"/>
      <c r="P133" s="328">
        <v>0</v>
      </c>
      <c r="Q133" s="62"/>
      <c r="R133" s="61">
        <f t="shared" si="10"/>
        <v>-832557.90999999992</v>
      </c>
      <c r="S133" s="63"/>
      <c r="T133" s="63"/>
      <c r="U133" s="63"/>
    </row>
    <row r="134" spans="1:21" s="60" customFormat="1" hidden="1" outlineLevel="1">
      <c r="A134" s="60" t="s">
        <v>1040</v>
      </c>
      <c r="B134" s="61">
        <v>-8149.2599999999993</v>
      </c>
      <c r="C134" s="62"/>
      <c r="D134" s="61">
        <f>-53.52-53.52-53.52</f>
        <v>-160.56</v>
      </c>
      <c r="E134" s="62"/>
      <c r="F134" s="328">
        <v>0</v>
      </c>
      <c r="G134" s="62"/>
      <c r="H134" s="328">
        <v>0</v>
      </c>
      <c r="I134" s="62"/>
      <c r="J134" s="328">
        <v>0</v>
      </c>
      <c r="K134" s="62"/>
      <c r="L134" s="328">
        <v>0</v>
      </c>
      <c r="M134" s="62"/>
      <c r="N134" s="328">
        <v>0</v>
      </c>
      <c r="O134" s="62"/>
      <c r="P134" s="328">
        <v>0</v>
      </c>
      <c r="Q134" s="62"/>
      <c r="R134" s="61">
        <f t="shared" si="10"/>
        <v>-8309.82</v>
      </c>
      <c r="S134" s="63"/>
      <c r="T134" s="63"/>
      <c r="U134" s="63"/>
    </row>
    <row r="135" spans="1:21" s="60" customFormat="1" hidden="1" outlineLevel="1">
      <c r="A135" s="60" t="s">
        <v>414</v>
      </c>
      <c r="B135" s="61">
        <v>-8142.04</v>
      </c>
      <c r="C135" s="62"/>
      <c r="D135" s="61">
        <f>-54.93-54.93-54.93</f>
        <v>-164.79</v>
      </c>
      <c r="E135" s="62"/>
      <c r="F135" s="328">
        <v>0</v>
      </c>
      <c r="G135" s="62"/>
      <c r="H135" s="328">
        <v>0</v>
      </c>
      <c r="I135" s="62"/>
      <c r="J135" s="328">
        <v>0</v>
      </c>
      <c r="K135" s="62"/>
      <c r="L135" s="328">
        <v>0</v>
      </c>
      <c r="M135" s="62"/>
      <c r="N135" s="328">
        <v>0</v>
      </c>
      <c r="O135" s="62"/>
      <c r="P135" s="328">
        <v>0</v>
      </c>
      <c r="Q135" s="62"/>
      <c r="R135" s="61">
        <f t="shared" si="10"/>
        <v>-8306.83</v>
      </c>
      <c r="S135" s="63"/>
      <c r="T135" s="63"/>
      <c r="U135" s="63"/>
    </row>
    <row r="136" spans="1:21" s="60" customFormat="1" hidden="1" outlineLevel="1">
      <c r="A136" s="60" t="s">
        <v>985</v>
      </c>
      <c r="B136" s="61">
        <v>-373.87</v>
      </c>
      <c r="C136" s="62"/>
      <c r="D136" s="61">
        <v>0</v>
      </c>
      <c r="E136" s="62"/>
      <c r="F136" s="328">
        <v>0</v>
      </c>
      <c r="G136" s="62"/>
      <c r="H136" s="328">
        <v>0</v>
      </c>
      <c r="I136" s="62"/>
      <c r="J136" s="328">
        <v>0</v>
      </c>
      <c r="K136" s="62"/>
      <c r="L136" s="328">
        <v>0</v>
      </c>
      <c r="M136" s="62"/>
      <c r="N136" s="328">
        <v>0</v>
      </c>
      <c r="O136" s="62"/>
      <c r="P136" s="328">
        <v>0</v>
      </c>
      <c r="Q136" s="62"/>
      <c r="R136" s="61">
        <f t="shared" si="10"/>
        <v>-373.87</v>
      </c>
      <c r="S136" s="63"/>
      <c r="T136" s="63"/>
      <c r="U136" s="63"/>
    </row>
    <row r="137" spans="1:21" s="60" customFormat="1" hidden="1" outlineLevel="1">
      <c r="A137" s="60" t="s">
        <v>1049</v>
      </c>
      <c r="B137" s="61">
        <v>32971.370000000003</v>
      </c>
      <c r="C137" s="62"/>
      <c r="D137" s="61">
        <v>0</v>
      </c>
      <c r="E137" s="62"/>
      <c r="F137" s="328">
        <v>0</v>
      </c>
      <c r="G137" s="62"/>
      <c r="H137" s="328">
        <v>-32971.370000000003</v>
      </c>
      <c r="I137" s="62"/>
      <c r="J137" s="328">
        <v>0</v>
      </c>
      <c r="K137" s="62"/>
      <c r="L137" s="328">
        <v>0</v>
      </c>
      <c r="M137" s="62"/>
      <c r="N137" s="328">
        <v>0</v>
      </c>
      <c r="O137" s="62"/>
      <c r="P137" s="328">
        <v>0</v>
      </c>
      <c r="Q137" s="62"/>
      <c r="R137" s="61">
        <f t="shared" si="10"/>
        <v>0</v>
      </c>
      <c r="S137" s="63"/>
      <c r="T137" s="63"/>
      <c r="U137" s="63"/>
    </row>
    <row r="138" spans="1:21" s="60" customFormat="1" hidden="1" outlineLevel="1">
      <c r="A138" s="60" t="s">
        <v>1044</v>
      </c>
      <c r="B138" s="61">
        <v>-434536.41000000003</v>
      </c>
      <c r="C138" s="62"/>
      <c r="D138" s="61">
        <f>-2999.76-2999.76-2999.76</f>
        <v>-8999.2800000000007</v>
      </c>
      <c r="E138" s="62"/>
      <c r="F138" s="328">
        <v>0</v>
      </c>
      <c r="G138" s="62"/>
      <c r="H138" s="328">
        <v>0</v>
      </c>
      <c r="I138" s="62"/>
      <c r="J138" s="328">
        <v>0</v>
      </c>
      <c r="K138" s="62"/>
      <c r="L138" s="328">
        <v>0</v>
      </c>
      <c r="M138" s="62"/>
      <c r="N138" s="328">
        <v>0</v>
      </c>
      <c r="O138" s="62"/>
      <c r="P138" s="328">
        <v>0</v>
      </c>
      <c r="Q138" s="62"/>
      <c r="R138" s="61">
        <f t="shared" si="10"/>
        <v>-443535.69000000006</v>
      </c>
      <c r="S138" s="63"/>
      <c r="T138" s="63"/>
      <c r="U138" s="63"/>
    </row>
    <row r="139" spans="1:21" s="60" customFormat="1" hidden="1" outlineLevel="1">
      <c r="A139" s="60" t="s">
        <v>979</v>
      </c>
      <c r="B139" s="61">
        <v>-2409.8000000000002</v>
      </c>
      <c r="C139" s="62"/>
      <c r="D139" s="61">
        <f>-65.44-65.44-65.44</f>
        <v>-196.32</v>
      </c>
      <c r="E139" s="62"/>
      <c r="F139" s="328">
        <v>0</v>
      </c>
      <c r="G139" s="62"/>
      <c r="H139" s="328">
        <v>0</v>
      </c>
      <c r="I139" s="62"/>
      <c r="J139" s="328">
        <v>0</v>
      </c>
      <c r="K139" s="62"/>
      <c r="L139" s="328">
        <v>0</v>
      </c>
      <c r="M139" s="62"/>
      <c r="N139" s="328">
        <v>0</v>
      </c>
      <c r="O139" s="62"/>
      <c r="P139" s="328">
        <v>0</v>
      </c>
      <c r="Q139" s="62"/>
      <c r="R139" s="61">
        <f t="shared" si="10"/>
        <v>-2606.1200000000003</v>
      </c>
      <c r="S139" s="63"/>
      <c r="T139" s="63"/>
      <c r="U139" s="63"/>
    </row>
    <row r="140" spans="1:21" s="60" customFormat="1" hidden="1" outlineLevel="1">
      <c r="A140" s="60" t="s">
        <v>978</v>
      </c>
      <c r="B140" s="61">
        <v>-3934.8100000000004</v>
      </c>
      <c r="C140" s="62"/>
      <c r="D140" s="61">
        <f>-38.99-38.99-38.99</f>
        <v>-116.97</v>
      </c>
      <c r="E140" s="62"/>
      <c r="F140" s="328">
        <v>0</v>
      </c>
      <c r="G140" s="62"/>
      <c r="H140" s="328">
        <v>0</v>
      </c>
      <c r="I140" s="62"/>
      <c r="J140" s="328">
        <v>0</v>
      </c>
      <c r="K140" s="62"/>
      <c r="L140" s="328">
        <v>0</v>
      </c>
      <c r="M140" s="62"/>
      <c r="N140" s="328">
        <v>0</v>
      </c>
      <c r="O140" s="62"/>
      <c r="P140" s="328">
        <v>0</v>
      </c>
      <c r="Q140" s="62"/>
      <c r="R140" s="61">
        <f t="shared" si="10"/>
        <v>-4051.78</v>
      </c>
      <c r="S140" s="63"/>
      <c r="T140" s="63"/>
      <c r="U140" s="63"/>
    </row>
    <row r="141" spans="1:21" s="60" customFormat="1" hidden="1" outlineLevel="1">
      <c r="A141" s="60" t="s">
        <v>976</v>
      </c>
      <c r="B141" s="61">
        <v>-1297.9900000000002</v>
      </c>
      <c r="C141" s="62"/>
      <c r="D141" s="61">
        <f>-13.49-13.49-13.49</f>
        <v>-40.47</v>
      </c>
      <c r="E141" s="62"/>
      <c r="F141" s="328">
        <v>0</v>
      </c>
      <c r="G141" s="62"/>
      <c r="H141" s="328">
        <v>0</v>
      </c>
      <c r="I141" s="62"/>
      <c r="J141" s="328">
        <v>0</v>
      </c>
      <c r="K141" s="62"/>
      <c r="L141" s="328">
        <v>0</v>
      </c>
      <c r="M141" s="62"/>
      <c r="N141" s="328">
        <v>0</v>
      </c>
      <c r="O141" s="62"/>
      <c r="P141" s="328">
        <v>0</v>
      </c>
      <c r="Q141" s="62"/>
      <c r="R141" s="61">
        <f t="shared" si="10"/>
        <v>-1338.4600000000003</v>
      </c>
      <c r="S141" s="63"/>
      <c r="T141" s="63"/>
      <c r="U141" s="63"/>
    </row>
    <row r="142" spans="1:21" s="60" customFormat="1" hidden="1" outlineLevel="1">
      <c r="A142" s="60" t="s">
        <v>1020</v>
      </c>
      <c r="B142" s="61">
        <v>-1292.0100000000002</v>
      </c>
      <c r="C142" s="62"/>
      <c r="D142" s="61">
        <f>-13.43-13.43-13.43</f>
        <v>-40.29</v>
      </c>
      <c r="E142" s="62"/>
      <c r="F142" s="328">
        <v>0</v>
      </c>
      <c r="G142" s="62"/>
      <c r="H142" s="328">
        <v>0</v>
      </c>
      <c r="I142" s="62"/>
      <c r="J142" s="328">
        <v>0</v>
      </c>
      <c r="K142" s="62"/>
      <c r="L142" s="328">
        <v>0</v>
      </c>
      <c r="M142" s="62"/>
      <c r="N142" s="328">
        <v>0</v>
      </c>
      <c r="O142" s="62"/>
      <c r="P142" s="328">
        <v>0</v>
      </c>
      <c r="Q142" s="62"/>
      <c r="R142" s="61">
        <f t="shared" si="10"/>
        <v>-1332.3000000000002</v>
      </c>
      <c r="S142" s="63"/>
      <c r="T142" s="63"/>
      <c r="U142" s="63"/>
    </row>
    <row r="143" spans="1:21" s="60" customFormat="1" hidden="1" outlineLevel="1">
      <c r="A143" s="60" t="s">
        <v>670</v>
      </c>
      <c r="B143" s="61">
        <v>-1314.79</v>
      </c>
      <c r="C143" s="62"/>
      <c r="D143" s="61">
        <f>-13.85-13.85-13.85</f>
        <v>-41.55</v>
      </c>
      <c r="E143" s="62"/>
      <c r="F143" s="328">
        <v>0</v>
      </c>
      <c r="G143" s="62"/>
      <c r="H143" s="328">
        <v>0</v>
      </c>
      <c r="I143" s="62"/>
      <c r="J143" s="328">
        <v>0</v>
      </c>
      <c r="K143" s="62"/>
      <c r="L143" s="328">
        <v>0</v>
      </c>
      <c r="M143" s="62"/>
      <c r="N143" s="328">
        <v>0</v>
      </c>
      <c r="O143" s="62"/>
      <c r="P143" s="328">
        <v>0</v>
      </c>
      <c r="Q143" s="62"/>
      <c r="R143" s="61">
        <f t="shared" si="10"/>
        <v>-1356.34</v>
      </c>
      <c r="S143" s="63"/>
      <c r="T143" s="63"/>
      <c r="U143" s="63"/>
    </row>
    <row r="144" spans="1:21" s="60" customFormat="1" hidden="1" outlineLevel="1">
      <c r="A144" s="60" t="s">
        <v>971</v>
      </c>
      <c r="B144" s="61">
        <v>0</v>
      </c>
      <c r="C144" s="62"/>
      <c r="D144" s="61">
        <v>0</v>
      </c>
      <c r="E144" s="62"/>
      <c r="F144" s="328">
        <v>0</v>
      </c>
      <c r="G144" s="62"/>
      <c r="H144" s="328">
        <v>0</v>
      </c>
      <c r="I144" s="62"/>
      <c r="J144" s="328">
        <v>0</v>
      </c>
      <c r="K144" s="62"/>
      <c r="L144" s="328">
        <v>0</v>
      </c>
      <c r="M144" s="62"/>
      <c r="N144" s="328">
        <v>0</v>
      </c>
      <c r="O144" s="62"/>
      <c r="P144" s="328">
        <v>0</v>
      </c>
      <c r="Q144" s="62"/>
      <c r="R144" s="61">
        <f t="shared" si="10"/>
        <v>0</v>
      </c>
      <c r="S144" s="63"/>
      <c r="T144" s="63"/>
      <c r="U144" s="63"/>
    </row>
    <row r="145" spans="1:21" s="60" customFormat="1" hidden="1" outlineLevel="1">
      <c r="A145" s="60" t="s">
        <v>667</v>
      </c>
      <c r="B145" s="61">
        <v>-367.5</v>
      </c>
      <c r="C145" s="62"/>
      <c r="D145" s="61">
        <v>0</v>
      </c>
      <c r="E145" s="62"/>
      <c r="F145" s="328">
        <v>0</v>
      </c>
      <c r="G145" s="62"/>
      <c r="H145" s="328">
        <v>0</v>
      </c>
      <c r="I145" s="62"/>
      <c r="J145" s="328">
        <v>0</v>
      </c>
      <c r="K145" s="62"/>
      <c r="L145" s="328">
        <v>0</v>
      </c>
      <c r="M145" s="62"/>
      <c r="N145" s="328">
        <v>0</v>
      </c>
      <c r="O145" s="62"/>
      <c r="P145" s="328">
        <v>0</v>
      </c>
      <c r="Q145" s="62"/>
      <c r="R145" s="61">
        <f t="shared" si="10"/>
        <v>-367.5</v>
      </c>
      <c r="S145" s="63"/>
      <c r="T145" s="63"/>
      <c r="U145" s="63"/>
    </row>
    <row r="146" spans="1:21" s="10" customFormat="1" collapsed="1">
      <c r="A146" s="10" t="s">
        <v>798</v>
      </c>
      <c r="B146" s="64">
        <f>SUM(B133:B145)</f>
        <v>-1244578.5600000003</v>
      </c>
      <c r="C146" s="65"/>
      <c r="D146" s="64">
        <f>SUM(D133:D145)</f>
        <v>-26586.690000000006</v>
      </c>
      <c r="E146" s="65"/>
      <c r="F146" s="64">
        <f>SUM(F133:F145)</f>
        <v>0</v>
      </c>
      <c r="G146" s="65"/>
      <c r="H146" s="64">
        <f>SUM(H133:H145)</f>
        <v>-32971.370000000003</v>
      </c>
      <c r="I146" s="65"/>
      <c r="J146" s="64">
        <f>SUM(J133:J145)</f>
        <v>0</v>
      </c>
      <c r="K146" s="65"/>
      <c r="L146" s="64">
        <f>SUM(L133:L145)</f>
        <v>0</v>
      </c>
      <c r="M146" s="65"/>
      <c r="N146" s="64">
        <f>SUM(N133:N145)</f>
        <v>0</v>
      </c>
      <c r="O146" s="65"/>
      <c r="P146" s="64">
        <f>SUM(P133:P145)</f>
        <v>0</v>
      </c>
      <c r="Q146" s="65"/>
      <c r="R146" s="64">
        <f t="shared" ref="R146" si="11">SUM(R133:R145)</f>
        <v>-1304136.6200000001</v>
      </c>
      <c r="S146" s="24"/>
      <c r="T146" s="24"/>
      <c r="U146" s="24"/>
    </row>
    <row r="147" spans="1:21">
      <c r="A147" t="s">
        <v>1050</v>
      </c>
      <c r="B147" s="45">
        <v>-1302.8199999999974</v>
      </c>
      <c r="C147" s="52"/>
      <c r="D147" s="45">
        <f>-96.56-96.56-96.56</f>
        <v>-289.68</v>
      </c>
      <c r="E147" s="52"/>
      <c r="F147" s="182">
        <v>0</v>
      </c>
      <c r="G147" s="52"/>
      <c r="H147" s="182">
        <v>0</v>
      </c>
      <c r="I147" s="52"/>
      <c r="J147" s="182">
        <v>0</v>
      </c>
      <c r="K147" s="52"/>
      <c r="L147" s="182">
        <v>0</v>
      </c>
      <c r="M147" s="52"/>
      <c r="N147" s="182">
        <v>0</v>
      </c>
      <c r="O147" s="52"/>
      <c r="P147" s="182">
        <v>0</v>
      </c>
      <c r="Q147" s="52"/>
      <c r="R147" s="45">
        <f t="shared" si="10"/>
        <v>-1592.4999999999975</v>
      </c>
      <c r="S147" s="33"/>
      <c r="T147" s="33"/>
      <c r="U147" s="33"/>
    </row>
    <row r="148" spans="1:21">
      <c r="A148" t="s">
        <v>1051</v>
      </c>
      <c r="B148" s="48">
        <v>-2.3283064365386963E-10</v>
      </c>
      <c r="C148" s="52"/>
      <c r="D148" s="48">
        <v>0</v>
      </c>
      <c r="E148" s="52"/>
      <c r="F148" s="48">
        <v>0</v>
      </c>
      <c r="G148" s="52"/>
      <c r="H148" s="48">
        <v>0</v>
      </c>
      <c r="I148" s="52"/>
      <c r="J148" s="48">
        <v>0</v>
      </c>
      <c r="K148" s="52"/>
      <c r="L148" s="48">
        <v>0</v>
      </c>
      <c r="M148" s="52"/>
      <c r="N148" s="48">
        <v>0</v>
      </c>
      <c r="O148" s="52"/>
      <c r="P148" s="48">
        <v>0</v>
      </c>
      <c r="Q148" s="52"/>
      <c r="R148" s="48">
        <f t="shared" si="10"/>
        <v>-2.3283064365386963E-10</v>
      </c>
      <c r="S148" s="37"/>
      <c r="T148" s="33"/>
      <c r="U148" s="33"/>
    </row>
    <row r="149" spans="1:21">
      <c r="B149" s="52">
        <f>B148+B147+B146+B132+B116+B100+B88+B71+B56+B55</f>
        <v>-70023000.870000005</v>
      </c>
      <c r="C149" s="52"/>
      <c r="D149" s="52">
        <f>D148+D147+D146+D132+D116+D100+D88+D71+D56+D55</f>
        <v>-2185453.84</v>
      </c>
      <c r="E149" s="52"/>
      <c r="F149" s="52">
        <f>F148+F147+F146+F132+F116+F100+F88+F71+F56+F55</f>
        <v>676874.51</v>
      </c>
      <c r="G149" s="52"/>
      <c r="H149" s="52">
        <f t="shared" ref="H149:P149" si="12">H148+H147+H146+H132+H116+H100+H88+H71+H56+H55</f>
        <v>0</v>
      </c>
      <c r="I149" s="52"/>
      <c r="J149" s="52">
        <f t="shared" si="12"/>
        <v>0</v>
      </c>
      <c r="K149" s="52"/>
      <c r="L149" s="52">
        <f t="shared" si="12"/>
        <v>170979.16</v>
      </c>
      <c r="M149" s="52"/>
      <c r="N149" s="52">
        <f t="shared" si="12"/>
        <v>0</v>
      </c>
      <c r="O149" s="52"/>
      <c r="P149" s="52">
        <f t="shared" si="12"/>
        <v>0</v>
      </c>
      <c r="Q149" s="52"/>
      <c r="R149" s="52">
        <f>R148+R147+R146+R132+R116+R100+R88+R71+R56+R55</f>
        <v>-71360601.040000007</v>
      </c>
      <c r="S149" s="37"/>
      <c r="T149" s="33"/>
      <c r="U149" s="33"/>
    </row>
    <row r="150" spans="1:21" ht="6" customHeight="1">
      <c r="B150" s="52"/>
      <c r="C150" s="52"/>
      <c r="D150" s="52"/>
      <c r="E150" s="52"/>
      <c r="F150" s="52"/>
      <c r="G150" s="52"/>
      <c r="H150" s="52"/>
      <c r="I150" s="52"/>
      <c r="J150" s="52"/>
      <c r="K150" s="52"/>
      <c r="L150" s="52"/>
      <c r="M150" s="52"/>
      <c r="N150" s="52"/>
      <c r="O150" s="52"/>
      <c r="P150" s="52"/>
      <c r="Q150" s="52"/>
      <c r="R150" s="52"/>
      <c r="S150" s="37"/>
      <c r="T150" s="33"/>
      <c r="U150" s="33"/>
    </row>
    <row r="151" spans="1:21">
      <c r="A151" s="3" t="s">
        <v>118</v>
      </c>
      <c r="B151" s="52"/>
      <c r="C151" s="52"/>
      <c r="D151" s="52"/>
      <c r="E151" s="52"/>
      <c r="F151" s="52"/>
      <c r="G151" s="52"/>
      <c r="H151" s="52"/>
      <c r="I151" s="52"/>
      <c r="J151" s="52"/>
      <c r="K151" s="52"/>
      <c r="L151" s="52"/>
      <c r="M151" s="52"/>
      <c r="N151" s="52"/>
      <c r="O151" s="52"/>
      <c r="P151" s="52"/>
      <c r="Q151" s="52"/>
      <c r="R151" s="52"/>
      <c r="S151" s="37"/>
      <c r="T151" s="33"/>
      <c r="U151" s="33"/>
    </row>
    <row r="152" spans="1:21" s="60" customFormat="1" hidden="1" outlineLevel="1">
      <c r="A152" s="60" t="s">
        <v>1427</v>
      </c>
      <c r="B152" s="62">
        <v>0</v>
      </c>
      <c r="C152" s="62"/>
      <c r="D152" s="62">
        <v>0</v>
      </c>
      <c r="E152" s="62"/>
      <c r="F152" s="62">
        <v>0</v>
      </c>
      <c r="G152" s="62"/>
      <c r="H152" s="62">
        <v>0</v>
      </c>
      <c r="I152" s="62"/>
      <c r="J152" s="62">
        <v>0</v>
      </c>
      <c r="K152" s="62"/>
      <c r="L152" s="62">
        <v>0</v>
      </c>
      <c r="M152" s="62"/>
      <c r="N152" s="62">
        <v>0</v>
      </c>
      <c r="O152" s="62"/>
      <c r="P152" s="62">
        <v>0</v>
      </c>
      <c r="Q152" s="62"/>
      <c r="R152" s="62">
        <f t="shared" ref="R152:R153" si="13">SUM(B152:P152)</f>
        <v>0</v>
      </c>
      <c r="S152" s="66"/>
      <c r="T152" s="63"/>
      <c r="U152" s="63"/>
    </row>
    <row r="153" spans="1:21" s="60" customFormat="1" hidden="1" outlineLevel="1">
      <c r="A153" s="60" t="s">
        <v>1434</v>
      </c>
      <c r="B153" s="62">
        <v>0</v>
      </c>
      <c r="C153" s="62"/>
      <c r="D153" s="62">
        <v>0</v>
      </c>
      <c r="E153" s="62"/>
      <c r="F153" s="62">
        <v>0</v>
      </c>
      <c r="G153" s="62"/>
      <c r="H153" s="62">
        <v>0</v>
      </c>
      <c r="I153" s="62"/>
      <c r="J153" s="62">
        <v>0</v>
      </c>
      <c r="K153" s="62"/>
      <c r="L153" s="62">
        <v>0</v>
      </c>
      <c r="M153" s="62"/>
      <c r="N153" s="62">
        <v>0</v>
      </c>
      <c r="O153" s="62"/>
      <c r="P153" s="62">
        <v>0</v>
      </c>
      <c r="Q153" s="62"/>
      <c r="R153" s="62">
        <f t="shared" si="13"/>
        <v>0</v>
      </c>
      <c r="S153" s="66"/>
      <c r="T153" s="63"/>
      <c r="U153" s="63"/>
    </row>
    <row r="154" spans="1:21" s="10" customFormat="1" collapsed="1">
      <c r="A154" s="10" t="s">
        <v>876</v>
      </c>
      <c r="B154" s="65">
        <f>SUM(B152:B153)</f>
        <v>0</v>
      </c>
      <c r="C154" s="65"/>
      <c r="D154" s="65">
        <f>SUM(D152:D153)</f>
        <v>0</v>
      </c>
      <c r="E154" s="65"/>
      <c r="F154" s="65">
        <f>SUM(F152:F153)</f>
        <v>0</v>
      </c>
      <c r="G154" s="65"/>
      <c r="H154" s="65">
        <f>SUM(H152:H153)</f>
        <v>0</v>
      </c>
      <c r="I154" s="65"/>
      <c r="J154" s="65">
        <f>SUM(J152:J153)</f>
        <v>0</v>
      </c>
      <c r="K154" s="65"/>
      <c r="L154" s="65">
        <f>SUM(L152:L153)</f>
        <v>0</v>
      </c>
      <c r="M154" s="65"/>
      <c r="N154" s="65">
        <f>SUM(N152:N153)</f>
        <v>0</v>
      </c>
      <c r="O154" s="65"/>
      <c r="P154" s="65">
        <f>SUM(P152:P153)</f>
        <v>0</v>
      </c>
      <c r="Q154" s="65"/>
      <c r="R154" s="65">
        <f>SUM(R152:R153)</f>
        <v>0</v>
      </c>
      <c r="S154" s="27"/>
      <c r="T154" s="24"/>
      <c r="U154" s="24"/>
    </row>
    <row r="155" spans="1:21" s="60" customFormat="1" hidden="1" outlineLevel="1">
      <c r="A155" s="60" t="s">
        <v>869</v>
      </c>
      <c r="B155" s="62">
        <v>-5048304.93</v>
      </c>
      <c r="C155" s="62"/>
      <c r="D155" s="62">
        <v>0</v>
      </c>
      <c r="E155" s="62"/>
      <c r="F155" s="62">
        <v>0</v>
      </c>
      <c r="G155" s="62"/>
      <c r="H155" s="62">
        <v>0</v>
      </c>
      <c r="I155" s="62"/>
      <c r="J155" s="62">
        <v>0</v>
      </c>
      <c r="K155" s="62"/>
      <c r="L155" s="62">
        <v>0</v>
      </c>
      <c r="M155" s="62"/>
      <c r="N155" s="62">
        <v>0</v>
      </c>
      <c r="O155" s="62"/>
      <c r="P155" s="62">
        <v>0</v>
      </c>
      <c r="Q155" s="62"/>
      <c r="R155" s="62">
        <f>SUM(B155:P155)</f>
        <v>-5048304.93</v>
      </c>
      <c r="S155" s="66"/>
      <c r="T155" s="63"/>
      <c r="U155" s="63"/>
    </row>
    <row r="156" spans="1:21" s="60" customFormat="1" hidden="1" outlineLevel="1">
      <c r="A156" s="60" t="s">
        <v>1053</v>
      </c>
      <c r="B156" s="62">
        <v>-2106202.77</v>
      </c>
      <c r="C156" s="62"/>
      <c r="D156" s="62">
        <v>0</v>
      </c>
      <c r="E156" s="62"/>
      <c r="F156" s="62">
        <v>0</v>
      </c>
      <c r="G156" s="62"/>
      <c r="H156" s="62">
        <v>0</v>
      </c>
      <c r="I156" s="62"/>
      <c r="J156" s="62">
        <v>0</v>
      </c>
      <c r="K156" s="62"/>
      <c r="L156" s="62">
        <v>0</v>
      </c>
      <c r="M156" s="62"/>
      <c r="N156" s="62">
        <v>0</v>
      </c>
      <c r="O156" s="62"/>
      <c r="P156" s="62">
        <v>0</v>
      </c>
      <c r="Q156" s="62"/>
      <c r="R156" s="62">
        <f>SUM(B156:P156)</f>
        <v>-2106202.77</v>
      </c>
      <c r="S156" s="66"/>
      <c r="T156" s="63"/>
      <c r="U156" s="63"/>
    </row>
    <row r="157" spans="1:21" s="60" customFormat="1" hidden="1" outlineLevel="1">
      <c r="A157" s="60" t="s">
        <v>1054</v>
      </c>
      <c r="B157" s="62">
        <v>-5917984.8300000001</v>
      </c>
      <c r="C157" s="62"/>
      <c r="D157" s="62">
        <v>0</v>
      </c>
      <c r="E157" s="62"/>
      <c r="F157" s="62">
        <v>0</v>
      </c>
      <c r="G157" s="62"/>
      <c r="H157" s="62">
        <v>0</v>
      </c>
      <c r="I157" s="62"/>
      <c r="J157" s="62">
        <v>0</v>
      </c>
      <c r="K157" s="62"/>
      <c r="L157" s="62">
        <v>0</v>
      </c>
      <c r="M157" s="62"/>
      <c r="N157" s="62">
        <v>0</v>
      </c>
      <c r="O157" s="62"/>
      <c r="P157" s="62">
        <v>0</v>
      </c>
      <c r="Q157" s="62"/>
      <c r="R157" s="62">
        <f>SUM(B157:P157)</f>
        <v>-5917984.8300000001</v>
      </c>
      <c r="S157" s="66"/>
      <c r="T157" s="63"/>
      <c r="U157" s="63"/>
    </row>
    <row r="158" spans="1:21" s="60" customFormat="1" hidden="1" outlineLevel="1">
      <c r="A158" s="60" t="s">
        <v>865</v>
      </c>
      <c r="B158" s="62">
        <v>-1728852.4</v>
      </c>
      <c r="C158" s="62"/>
      <c r="D158" s="62">
        <f>-601.95-601.95-626.12</f>
        <v>-1830.02</v>
      </c>
      <c r="E158" s="62"/>
      <c r="F158" s="62">
        <v>0</v>
      </c>
      <c r="G158" s="62"/>
      <c r="H158" s="62">
        <v>0</v>
      </c>
      <c r="I158" s="62"/>
      <c r="J158" s="62">
        <v>0</v>
      </c>
      <c r="K158" s="62"/>
      <c r="L158" s="62">
        <v>0</v>
      </c>
      <c r="M158" s="62"/>
      <c r="N158" s="62">
        <v>0</v>
      </c>
      <c r="O158" s="62"/>
      <c r="P158" s="62">
        <v>0</v>
      </c>
      <c r="Q158" s="62"/>
      <c r="R158" s="62">
        <f t="shared" ref="R158:R246" si="14">SUM(B158:P158)</f>
        <v>-1730682.42</v>
      </c>
      <c r="S158" s="66"/>
      <c r="T158" s="63"/>
      <c r="U158" s="63"/>
    </row>
    <row r="159" spans="1:21" s="60" customFormat="1" hidden="1" outlineLevel="1">
      <c r="A159" s="60" t="s">
        <v>711</v>
      </c>
      <c r="B159" s="62">
        <v>-4655241.7800000012</v>
      </c>
      <c r="C159" s="62"/>
      <c r="D159" s="62">
        <f>-3880.37-3880.37-3882.78</f>
        <v>-11643.52</v>
      </c>
      <c r="E159" s="62"/>
      <c r="F159" s="62">
        <v>0</v>
      </c>
      <c r="G159" s="141"/>
      <c r="H159" s="62">
        <v>0</v>
      </c>
      <c r="I159" s="141"/>
      <c r="J159" s="62">
        <v>0</v>
      </c>
      <c r="K159" s="141"/>
      <c r="L159" s="62">
        <v>0</v>
      </c>
      <c r="M159" s="62"/>
      <c r="N159" s="62">
        <v>0</v>
      </c>
      <c r="O159" s="62"/>
      <c r="P159" s="62">
        <v>0</v>
      </c>
      <c r="Q159" s="62"/>
      <c r="R159" s="62">
        <f t="shared" si="14"/>
        <v>-4666885.3000000007</v>
      </c>
      <c r="S159" s="66"/>
      <c r="T159" s="63"/>
      <c r="U159" s="63"/>
    </row>
    <row r="160" spans="1:21" s="60" customFormat="1" hidden="1" outlineLevel="1">
      <c r="A160" s="60" t="s">
        <v>712</v>
      </c>
      <c r="B160" s="62">
        <v>-2353527.0699999998</v>
      </c>
      <c r="C160" s="62"/>
      <c r="D160" s="62">
        <f>-2205.37-2205.37-2205.37</f>
        <v>-6616.11</v>
      </c>
      <c r="E160" s="62"/>
      <c r="F160" s="62">
        <v>0</v>
      </c>
      <c r="G160" s="141"/>
      <c r="H160" s="62">
        <v>0</v>
      </c>
      <c r="I160" s="141"/>
      <c r="J160" s="62">
        <v>0</v>
      </c>
      <c r="K160" s="141"/>
      <c r="L160" s="62">
        <v>0</v>
      </c>
      <c r="M160" s="62"/>
      <c r="N160" s="62">
        <v>0</v>
      </c>
      <c r="O160" s="62"/>
      <c r="P160" s="62">
        <v>0</v>
      </c>
      <c r="Q160" s="62"/>
      <c r="R160" s="62">
        <f t="shared" si="14"/>
        <v>-2360143.1799999997</v>
      </c>
      <c r="S160" s="66"/>
      <c r="T160" s="63"/>
      <c r="U160" s="63"/>
    </row>
    <row r="161" spans="1:21" s="60" customFormat="1" hidden="1" outlineLevel="1">
      <c r="A161" s="60" t="s">
        <v>861</v>
      </c>
      <c r="B161" s="62">
        <v>-6270959.330000001</v>
      </c>
      <c r="C161" s="62"/>
      <c r="D161" s="62">
        <f>-10026.12-10026.12-10043.52</f>
        <v>-30095.760000000002</v>
      </c>
      <c r="E161" s="62"/>
      <c r="F161" s="62">
        <v>0</v>
      </c>
      <c r="G161" s="141"/>
      <c r="H161" s="62">
        <v>0</v>
      </c>
      <c r="I161" s="141"/>
      <c r="J161" s="62">
        <v>0</v>
      </c>
      <c r="K161" s="141"/>
      <c r="L161" s="62">
        <v>0</v>
      </c>
      <c r="M161" s="62"/>
      <c r="N161" s="62">
        <v>0</v>
      </c>
      <c r="O161" s="62"/>
      <c r="P161" s="62">
        <v>0</v>
      </c>
      <c r="Q161" s="62"/>
      <c r="R161" s="62">
        <f>SUM(B161:P161)</f>
        <v>-6301055.0900000008</v>
      </c>
      <c r="S161" s="66"/>
      <c r="T161" s="63"/>
      <c r="U161" s="63"/>
    </row>
    <row r="162" spans="1:21" s="60" customFormat="1" hidden="1" outlineLevel="1">
      <c r="A162" s="60" t="s">
        <v>714</v>
      </c>
      <c r="B162" s="62">
        <v>-2205787.0299999998</v>
      </c>
      <c r="C162" s="62"/>
      <c r="D162" s="62">
        <f>-3407.32-3407.32-3407.32</f>
        <v>-10221.960000000001</v>
      </c>
      <c r="E162" s="62"/>
      <c r="F162" s="62">
        <v>0</v>
      </c>
      <c r="G162" s="141"/>
      <c r="H162" s="62">
        <v>0</v>
      </c>
      <c r="I162" s="141"/>
      <c r="J162" s="62">
        <v>0</v>
      </c>
      <c r="K162" s="141"/>
      <c r="L162" s="62">
        <v>0</v>
      </c>
      <c r="M162" s="62"/>
      <c r="N162" s="62">
        <v>0</v>
      </c>
      <c r="O162" s="62"/>
      <c r="P162" s="62">
        <v>0</v>
      </c>
      <c r="Q162" s="62"/>
      <c r="R162" s="62">
        <f t="shared" si="14"/>
        <v>-2216008.9899999998</v>
      </c>
      <c r="S162" s="66"/>
      <c r="T162" s="63"/>
      <c r="U162" s="63"/>
    </row>
    <row r="163" spans="1:21" s="60" customFormat="1" hidden="1" outlineLevel="1">
      <c r="A163" s="60" t="s">
        <v>1386</v>
      </c>
      <c r="B163" s="62">
        <v>-13688935.77</v>
      </c>
      <c r="C163" s="62"/>
      <c r="D163" s="62">
        <f>-35958.55-35958.55-35969.57</f>
        <v>-107886.67000000001</v>
      </c>
      <c r="E163" s="62"/>
      <c r="F163" s="62">
        <v>3229.97</v>
      </c>
      <c r="G163" s="141"/>
      <c r="H163" s="62">
        <v>-2361.9299999999998</v>
      </c>
      <c r="I163" s="141"/>
      <c r="J163" s="62">
        <v>0</v>
      </c>
      <c r="K163" s="141"/>
      <c r="L163" s="62">
        <v>9291.26</v>
      </c>
      <c r="M163" s="62"/>
      <c r="N163" s="62">
        <v>0</v>
      </c>
      <c r="O163" s="62"/>
      <c r="P163" s="62">
        <v>0</v>
      </c>
      <c r="Q163" s="62"/>
      <c r="R163" s="62">
        <f>SUM(B163:P163)</f>
        <v>-13786663.139999999</v>
      </c>
      <c r="S163" s="66"/>
      <c r="T163" s="63"/>
      <c r="U163" s="63"/>
    </row>
    <row r="164" spans="1:21" s="60" customFormat="1" hidden="1" outlineLevel="1">
      <c r="A164" s="60" t="s">
        <v>1387</v>
      </c>
      <c r="B164" s="62">
        <v>-298164.35000000003</v>
      </c>
      <c r="C164" s="62"/>
      <c r="D164" s="62">
        <f>-8396.76-8396.76-9035.8</f>
        <v>-25829.32</v>
      </c>
      <c r="E164" s="62"/>
      <c r="F164" s="62">
        <v>0</v>
      </c>
      <c r="G164" s="141"/>
      <c r="H164" s="62">
        <v>0</v>
      </c>
      <c r="I164" s="141"/>
      <c r="J164" s="62">
        <v>0</v>
      </c>
      <c r="K164" s="141"/>
      <c r="L164" s="62">
        <v>0</v>
      </c>
      <c r="M164" s="62"/>
      <c r="N164" s="62">
        <v>0</v>
      </c>
      <c r="O164" s="62"/>
      <c r="P164" s="62">
        <v>0</v>
      </c>
      <c r="Q164" s="62"/>
      <c r="R164" s="62">
        <f>SUM(B164:P164)</f>
        <v>-323993.67000000004</v>
      </c>
      <c r="S164" s="66"/>
      <c r="T164" s="63"/>
      <c r="U164" s="63"/>
    </row>
    <row r="165" spans="1:21" s="60" customFormat="1" hidden="1" outlineLevel="1">
      <c r="A165" s="307" t="s">
        <v>1390</v>
      </c>
      <c r="B165" s="62">
        <v>-35286107.659999996</v>
      </c>
      <c r="C165" s="62"/>
      <c r="D165" s="62">
        <f>-85471.73-85471.84-85492.24</f>
        <v>-256435.81</v>
      </c>
      <c r="E165" s="62"/>
      <c r="F165" s="62">
        <v>0</v>
      </c>
      <c r="G165" s="141"/>
      <c r="H165" s="62">
        <v>0</v>
      </c>
      <c r="I165" s="141"/>
      <c r="J165" s="62">
        <v>0</v>
      </c>
      <c r="K165" s="141"/>
      <c r="L165" s="62">
        <v>0</v>
      </c>
      <c r="M165" s="62"/>
      <c r="N165" s="62">
        <v>0</v>
      </c>
      <c r="O165" s="62"/>
      <c r="P165" s="62">
        <v>0</v>
      </c>
      <c r="Q165" s="62"/>
      <c r="R165" s="62">
        <f>SUM(B165:P165)</f>
        <v>-35542543.469999999</v>
      </c>
      <c r="S165" s="66"/>
      <c r="T165" s="63"/>
      <c r="U165" s="63"/>
    </row>
    <row r="166" spans="1:21" s="60" customFormat="1" hidden="1" outlineLevel="1">
      <c r="A166" s="307" t="s">
        <v>1389</v>
      </c>
      <c r="B166" s="62">
        <v>-45117.29</v>
      </c>
      <c r="C166" s="62"/>
      <c r="D166" s="62">
        <f>-772.25-772.25-772.25</f>
        <v>-2316.75</v>
      </c>
      <c r="E166" s="62"/>
      <c r="F166" s="62">
        <v>0</v>
      </c>
      <c r="G166" s="141"/>
      <c r="H166" s="62">
        <v>0</v>
      </c>
      <c r="I166" s="141"/>
      <c r="J166" s="62">
        <v>0</v>
      </c>
      <c r="K166" s="141"/>
      <c r="L166" s="62">
        <v>0</v>
      </c>
      <c r="M166" s="62"/>
      <c r="N166" s="62">
        <v>0</v>
      </c>
      <c r="O166" s="62"/>
      <c r="P166" s="62">
        <v>0</v>
      </c>
      <c r="Q166" s="62"/>
      <c r="R166" s="62">
        <f t="shared" ref="R166" si="15">SUM(B166:P166)</f>
        <v>-47434.04</v>
      </c>
      <c r="S166" s="66"/>
      <c r="T166" s="63"/>
      <c r="U166" s="63"/>
    </row>
    <row r="167" spans="1:21" s="60" customFormat="1" hidden="1" outlineLevel="1">
      <c r="A167" s="60" t="s">
        <v>715</v>
      </c>
      <c r="B167" s="62">
        <v>-1974480.5599999998</v>
      </c>
      <c r="C167" s="62"/>
      <c r="D167" s="62">
        <f>-2350.85-2350.85-2350.85</f>
        <v>-7052.5499999999993</v>
      </c>
      <c r="E167" s="62"/>
      <c r="F167" s="62">
        <v>0</v>
      </c>
      <c r="G167" s="141"/>
      <c r="H167" s="62">
        <v>0</v>
      </c>
      <c r="I167" s="141"/>
      <c r="J167" s="62">
        <v>0</v>
      </c>
      <c r="K167" s="141"/>
      <c r="L167" s="62">
        <v>0</v>
      </c>
      <c r="M167" s="62"/>
      <c r="N167" s="62">
        <v>0</v>
      </c>
      <c r="O167" s="62"/>
      <c r="P167" s="62">
        <v>0</v>
      </c>
      <c r="Q167" s="62"/>
      <c r="R167" s="62">
        <f t="shared" si="14"/>
        <v>-1981533.1099999999</v>
      </c>
      <c r="S167" s="66"/>
      <c r="T167" s="63"/>
      <c r="U167" s="63"/>
    </row>
    <row r="168" spans="1:21" s="60" customFormat="1" hidden="1" outlineLevel="1">
      <c r="A168" s="60" t="s">
        <v>716</v>
      </c>
      <c r="B168" s="62">
        <v>-17422418.219999999</v>
      </c>
      <c r="C168" s="62"/>
      <c r="D168" s="62">
        <f>-26996.69-26992.13-26988.44</f>
        <v>-80977.259999999995</v>
      </c>
      <c r="E168" s="62"/>
      <c r="F168" s="62">
        <v>5402.64</v>
      </c>
      <c r="G168" s="141"/>
      <c r="H168" s="62">
        <v>0</v>
      </c>
      <c r="I168" s="141"/>
      <c r="J168" s="62">
        <v>0</v>
      </c>
      <c r="K168" s="141"/>
      <c r="L168" s="62">
        <v>30001.5</v>
      </c>
      <c r="M168" s="62"/>
      <c r="N168" s="62">
        <v>0</v>
      </c>
      <c r="O168" s="62"/>
      <c r="P168" s="62">
        <v>0</v>
      </c>
      <c r="Q168" s="62"/>
      <c r="R168" s="62">
        <f t="shared" si="14"/>
        <v>-17467991.34</v>
      </c>
      <c r="S168" s="66"/>
      <c r="T168" s="63"/>
      <c r="U168" s="63"/>
    </row>
    <row r="169" spans="1:21" s="60" customFormat="1" hidden="1" outlineLevel="1">
      <c r="A169" s="60" t="s">
        <v>717</v>
      </c>
      <c r="B169" s="62">
        <v>-1629722.5199999998</v>
      </c>
      <c r="C169" s="62"/>
      <c r="D169" s="62">
        <f>-2101.72-2101.72-2101.72</f>
        <v>-6305.16</v>
      </c>
      <c r="E169" s="62"/>
      <c r="F169" s="62">
        <v>0</v>
      </c>
      <c r="G169" s="141"/>
      <c r="H169" s="62">
        <v>0</v>
      </c>
      <c r="I169" s="141"/>
      <c r="J169" s="62">
        <v>0</v>
      </c>
      <c r="K169" s="141"/>
      <c r="L169" s="62">
        <v>0</v>
      </c>
      <c r="M169" s="62"/>
      <c r="N169" s="62">
        <v>0</v>
      </c>
      <c r="O169" s="62"/>
      <c r="P169" s="62">
        <v>0</v>
      </c>
      <c r="Q169" s="62"/>
      <c r="R169" s="62">
        <f t="shared" si="14"/>
        <v>-1636027.6799999997</v>
      </c>
      <c r="S169" s="66"/>
      <c r="T169" s="63"/>
      <c r="U169" s="63"/>
    </row>
    <row r="170" spans="1:21" s="60" customFormat="1" hidden="1" outlineLevel="1">
      <c r="A170" s="60" t="s">
        <v>718</v>
      </c>
      <c r="B170" s="62">
        <v>-9936458.6699999999</v>
      </c>
      <c r="C170" s="62"/>
      <c r="D170" s="62">
        <f>-13646.82-13619.4-13592.27</f>
        <v>-40858.490000000005</v>
      </c>
      <c r="E170" s="62"/>
      <c r="F170" s="62">
        <v>45845.25</v>
      </c>
      <c r="G170" s="141"/>
      <c r="H170" s="62">
        <v>0</v>
      </c>
      <c r="I170" s="141"/>
      <c r="J170" s="62">
        <v>0</v>
      </c>
      <c r="K170" s="141"/>
      <c r="L170" s="62">
        <v>110346.1</v>
      </c>
      <c r="M170" s="62"/>
      <c r="N170" s="62">
        <v>0</v>
      </c>
      <c r="O170" s="62"/>
      <c r="P170" s="62">
        <v>0</v>
      </c>
      <c r="Q170" s="62"/>
      <c r="R170" s="62">
        <f t="shared" si="14"/>
        <v>-9821125.8100000005</v>
      </c>
      <c r="S170" s="66"/>
      <c r="T170" s="63"/>
      <c r="U170" s="63"/>
    </row>
    <row r="171" spans="1:21" s="60" customFormat="1" hidden="1" outlineLevel="1">
      <c r="A171" s="60" t="s">
        <v>307</v>
      </c>
      <c r="B171" s="62">
        <v>-485747.12</v>
      </c>
      <c r="C171" s="62"/>
      <c r="D171" s="62">
        <f>-444.51-444.51-444.51</f>
        <v>-1333.53</v>
      </c>
      <c r="E171" s="62"/>
      <c r="F171" s="62">
        <v>0</v>
      </c>
      <c r="G171" s="141"/>
      <c r="H171" s="62">
        <v>0</v>
      </c>
      <c r="I171" s="141"/>
      <c r="J171" s="62">
        <v>0</v>
      </c>
      <c r="K171" s="141"/>
      <c r="L171" s="62">
        <v>0</v>
      </c>
      <c r="M171" s="62"/>
      <c r="N171" s="62">
        <v>0</v>
      </c>
      <c r="O171" s="62"/>
      <c r="P171" s="62">
        <v>0</v>
      </c>
      <c r="Q171" s="62"/>
      <c r="R171" s="62">
        <f t="shared" si="14"/>
        <v>-487080.65</v>
      </c>
      <c r="S171" s="66"/>
      <c r="T171" s="63"/>
      <c r="U171" s="63"/>
    </row>
    <row r="172" spans="1:21" s="60" customFormat="1" hidden="1" outlineLevel="1">
      <c r="A172" s="60" t="s">
        <v>720</v>
      </c>
      <c r="B172" s="62">
        <v>-21189269.389999997</v>
      </c>
      <c r="C172" s="62"/>
      <c r="D172" s="62">
        <f>-30829.45-30829.45-30829.45</f>
        <v>-92488.35</v>
      </c>
      <c r="E172" s="62"/>
      <c r="F172" s="62">
        <v>0</v>
      </c>
      <c r="G172" s="141"/>
      <c r="H172" s="62">
        <v>731499.23</v>
      </c>
      <c r="I172" s="141"/>
      <c r="J172" s="62">
        <v>0</v>
      </c>
      <c r="K172" s="141"/>
      <c r="L172" s="62">
        <v>0</v>
      </c>
      <c r="M172" s="62"/>
      <c r="N172" s="62">
        <v>0</v>
      </c>
      <c r="O172" s="62"/>
      <c r="P172" s="62">
        <v>0</v>
      </c>
      <c r="Q172" s="62"/>
      <c r="R172" s="62">
        <f t="shared" si="14"/>
        <v>-20550258.509999998</v>
      </c>
      <c r="S172" s="66"/>
      <c r="T172" s="63"/>
      <c r="U172" s="63"/>
    </row>
    <row r="173" spans="1:21" s="60" customFormat="1" hidden="1" outlineLevel="1">
      <c r="A173" s="60" t="s">
        <v>721</v>
      </c>
      <c r="B173" s="62">
        <v>-4985213.2299999995</v>
      </c>
      <c r="C173" s="62"/>
      <c r="D173" s="62">
        <f>-7818.14-7818.14-7818.14</f>
        <v>-23454.420000000002</v>
      </c>
      <c r="E173" s="62"/>
      <c r="F173" s="62">
        <v>0</v>
      </c>
      <c r="G173" s="141"/>
      <c r="H173" s="62">
        <v>0</v>
      </c>
      <c r="I173" s="141"/>
      <c r="J173" s="62">
        <v>0</v>
      </c>
      <c r="K173" s="141"/>
      <c r="L173" s="62">
        <v>0</v>
      </c>
      <c r="M173" s="62"/>
      <c r="N173" s="62">
        <v>0</v>
      </c>
      <c r="O173" s="62"/>
      <c r="P173" s="62">
        <v>0</v>
      </c>
      <c r="Q173" s="62"/>
      <c r="R173" s="62">
        <f t="shared" si="14"/>
        <v>-5008667.6499999994</v>
      </c>
      <c r="S173" s="66"/>
      <c r="T173" s="63"/>
      <c r="U173" s="63"/>
    </row>
    <row r="174" spans="1:21" s="60" customFormat="1" hidden="1" outlineLevel="1">
      <c r="A174" s="60" t="s">
        <v>447</v>
      </c>
      <c r="B174" s="62">
        <v>0</v>
      </c>
      <c r="C174" s="62"/>
      <c r="D174" s="62">
        <v>0</v>
      </c>
      <c r="E174" s="62"/>
      <c r="F174" s="62">
        <v>0</v>
      </c>
      <c r="G174" s="141"/>
      <c r="H174" s="62">
        <v>0</v>
      </c>
      <c r="I174" s="141"/>
      <c r="J174" s="62">
        <v>0</v>
      </c>
      <c r="K174" s="141"/>
      <c r="L174" s="62">
        <v>0</v>
      </c>
      <c r="M174" s="62"/>
      <c r="N174" s="62">
        <v>0</v>
      </c>
      <c r="O174" s="62"/>
      <c r="P174" s="62">
        <v>0</v>
      </c>
      <c r="Q174" s="62"/>
      <c r="R174" s="62">
        <f t="shared" si="14"/>
        <v>0</v>
      </c>
      <c r="S174" s="66"/>
      <c r="T174" s="63"/>
      <c r="U174" s="63"/>
    </row>
    <row r="175" spans="1:21" s="60" customFormat="1" hidden="1" outlineLevel="1">
      <c r="A175" s="60" t="s">
        <v>1401</v>
      </c>
      <c r="B175" s="62">
        <v>-58810166.95000001</v>
      </c>
      <c r="C175" s="62"/>
      <c r="D175" s="62">
        <f>-190348.61-190348.61-190348.61</f>
        <v>-571045.82999999996</v>
      </c>
      <c r="E175" s="62"/>
      <c r="F175" s="62">
        <v>0</v>
      </c>
      <c r="G175" s="141"/>
      <c r="H175" s="62">
        <v>0</v>
      </c>
      <c r="I175" s="141"/>
      <c r="J175" s="62">
        <v>0</v>
      </c>
      <c r="K175" s="141"/>
      <c r="L175" s="62">
        <v>0</v>
      </c>
      <c r="M175" s="62"/>
      <c r="N175" s="62">
        <v>0</v>
      </c>
      <c r="O175" s="62"/>
      <c r="P175" s="62">
        <v>0</v>
      </c>
      <c r="Q175" s="62"/>
      <c r="R175" s="62">
        <f t="shared" ref="R175:R180" si="16">SUM(B175:P175)</f>
        <v>-59381212.780000009</v>
      </c>
      <c r="S175" s="66"/>
      <c r="T175" s="63"/>
      <c r="U175" s="63"/>
    </row>
    <row r="176" spans="1:21" s="60" customFormat="1" hidden="1" outlineLevel="1">
      <c r="A176" s="60" t="s">
        <v>1402</v>
      </c>
      <c r="B176" s="62">
        <v>-21221.73</v>
      </c>
      <c r="C176" s="62"/>
      <c r="D176" s="62">
        <f>-811.69-811.69-811.69</f>
        <v>-2435.0700000000002</v>
      </c>
      <c r="E176" s="62"/>
      <c r="F176" s="62">
        <v>0</v>
      </c>
      <c r="G176" s="141"/>
      <c r="H176" s="62">
        <v>0</v>
      </c>
      <c r="I176" s="141"/>
      <c r="J176" s="62">
        <v>0</v>
      </c>
      <c r="K176" s="141"/>
      <c r="L176" s="62">
        <v>0</v>
      </c>
      <c r="M176" s="62"/>
      <c r="N176" s="62">
        <v>0</v>
      </c>
      <c r="O176" s="62"/>
      <c r="P176" s="62">
        <v>0</v>
      </c>
      <c r="Q176" s="62"/>
      <c r="R176" s="62">
        <f t="shared" si="16"/>
        <v>-23656.799999999999</v>
      </c>
      <c r="S176" s="66"/>
      <c r="T176" s="63"/>
      <c r="U176" s="63"/>
    </row>
    <row r="177" spans="1:21" s="60" customFormat="1" hidden="1" outlineLevel="1">
      <c r="A177" s="60" t="s">
        <v>1403</v>
      </c>
      <c r="B177" s="62">
        <v>-297712.37</v>
      </c>
      <c r="C177" s="62"/>
      <c r="D177" s="62">
        <f>-24957.44-25007.3-25101.51</f>
        <v>-75066.25</v>
      </c>
      <c r="E177" s="62"/>
      <c r="F177" s="62">
        <v>0</v>
      </c>
      <c r="G177" s="141"/>
      <c r="H177" s="62">
        <v>0</v>
      </c>
      <c r="I177" s="141"/>
      <c r="J177" s="62">
        <v>0</v>
      </c>
      <c r="K177" s="141"/>
      <c r="L177" s="62">
        <v>0</v>
      </c>
      <c r="M177" s="62"/>
      <c r="N177" s="62">
        <v>0</v>
      </c>
      <c r="O177" s="62"/>
      <c r="P177" s="62">
        <v>0</v>
      </c>
      <c r="Q177" s="62"/>
      <c r="R177" s="62">
        <f t="shared" si="16"/>
        <v>-372778.62</v>
      </c>
      <c r="S177" s="66"/>
      <c r="T177" s="63"/>
      <c r="U177" s="63"/>
    </row>
    <row r="178" spans="1:21" s="60" customFormat="1" hidden="1" outlineLevel="1">
      <c r="A178" s="60" t="s">
        <v>1404</v>
      </c>
      <c r="B178" s="62">
        <v>-2223.8100000000004</v>
      </c>
      <c r="C178" s="62"/>
      <c r="D178" s="62">
        <f>-282.66-282.66-282.66</f>
        <v>-847.98</v>
      </c>
      <c r="E178" s="62"/>
      <c r="F178" s="62">
        <v>0</v>
      </c>
      <c r="G178" s="141"/>
      <c r="H178" s="62">
        <v>0</v>
      </c>
      <c r="I178" s="141"/>
      <c r="J178" s="62">
        <v>0</v>
      </c>
      <c r="K178" s="141"/>
      <c r="L178" s="62">
        <v>0</v>
      </c>
      <c r="M178" s="62"/>
      <c r="N178" s="62">
        <v>0</v>
      </c>
      <c r="O178" s="62"/>
      <c r="P178" s="62">
        <v>0</v>
      </c>
      <c r="Q178" s="62"/>
      <c r="R178" s="62">
        <f t="shared" si="16"/>
        <v>-3071.7900000000004</v>
      </c>
      <c r="S178" s="66"/>
      <c r="T178" s="63"/>
      <c r="U178" s="63"/>
    </row>
    <row r="179" spans="1:21" s="60" customFormat="1" hidden="1" outlineLevel="1">
      <c r="A179" s="332" t="s">
        <v>1451</v>
      </c>
      <c r="B179" s="62">
        <v>-293.27999999999997</v>
      </c>
      <c r="C179" s="62"/>
      <c r="D179" s="62">
        <f>-586.56-586.56-586.56</f>
        <v>-1759.6799999999998</v>
      </c>
      <c r="E179" s="62"/>
      <c r="F179" s="62">
        <v>0</v>
      </c>
      <c r="G179" s="141"/>
      <c r="H179" s="62">
        <v>0</v>
      </c>
      <c r="I179" s="141"/>
      <c r="J179" s="62">
        <v>0</v>
      </c>
      <c r="K179" s="141"/>
      <c r="L179" s="62">
        <v>0</v>
      </c>
      <c r="M179" s="62"/>
      <c r="N179" s="62">
        <v>0</v>
      </c>
      <c r="O179" s="62"/>
      <c r="P179" s="62">
        <v>0</v>
      </c>
      <c r="Q179" s="62"/>
      <c r="R179" s="62">
        <f t="shared" si="16"/>
        <v>-2052.96</v>
      </c>
      <c r="S179" s="66"/>
      <c r="T179" s="63"/>
      <c r="U179" s="63"/>
    </row>
    <row r="180" spans="1:21" s="60" customFormat="1" hidden="1" outlineLevel="1">
      <c r="A180" s="60" t="s">
        <v>723</v>
      </c>
      <c r="B180" s="62">
        <v>-366847.62999999995</v>
      </c>
      <c r="C180" s="62"/>
      <c r="D180" s="62">
        <f>-938.43-938.43-938.43</f>
        <v>-2815.29</v>
      </c>
      <c r="E180" s="62"/>
      <c r="F180" s="62">
        <v>0</v>
      </c>
      <c r="G180" s="141"/>
      <c r="H180" s="62">
        <v>0</v>
      </c>
      <c r="I180" s="141"/>
      <c r="J180" s="62">
        <v>0</v>
      </c>
      <c r="K180" s="141"/>
      <c r="L180" s="62">
        <v>0</v>
      </c>
      <c r="M180" s="62"/>
      <c r="N180" s="62">
        <v>0</v>
      </c>
      <c r="O180" s="62"/>
      <c r="P180" s="62">
        <v>0</v>
      </c>
      <c r="Q180" s="62"/>
      <c r="R180" s="62">
        <f t="shared" si="16"/>
        <v>-369662.91999999993</v>
      </c>
      <c r="S180" s="66"/>
      <c r="T180" s="63"/>
      <c r="U180" s="63"/>
    </row>
    <row r="181" spans="1:21" s="10" customFormat="1" collapsed="1">
      <c r="A181" s="10" t="s">
        <v>799</v>
      </c>
      <c r="B181" s="65">
        <f>SUM(B154:B180)</f>
        <v>-196726960.69000003</v>
      </c>
      <c r="C181" s="65"/>
      <c r="D181" s="65">
        <f>SUM(D154:D180)</f>
        <v>-1359315.78</v>
      </c>
      <c r="E181" s="65"/>
      <c r="F181" s="65">
        <f>SUM(F154:F180)</f>
        <v>54477.86</v>
      </c>
      <c r="G181" s="142"/>
      <c r="H181" s="65">
        <f>SUM(H154:H180)</f>
        <v>729137.29999999993</v>
      </c>
      <c r="I181" s="142"/>
      <c r="J181" s="65">
        <f>SUM(J154:J180)</f>
        <v>0</v>
      </c>
      <c r="K181" s="142"/>
      <c r="L181" s="65">
        <f>SUM(L154:L180)</f>
        <v>149638.86000000002</v>
      </c>
      <c r="M181" s="65"/>
      <c r="N181" s="65">
        <f>SUM(N154:N180)</f>
        <v>0</v>
      </c>
      <c r="O181" s="65"/>
      <c r="P181" s="65">
        <f>SUM(P154:P180)</f>
        <v>0</v>
      </c>
      <c r="Q181" s="65"/>
      <c r="R181" s="65">
        <f>SUM(R154:R180)</f>
        <v>-197153022.45000002</v>
      </c>
      <c r="S181" s="27"/>
      <c r="T181" s="24"/>
      <c r="U181" s="24"/>
    </row>
    <row r="182" spans="1:21" s="60" customFormat="1" hidden="1" outlineLevel="1">
      <c r="A182" s="60" t="s">
        <v>300</v>
      </c>
      <c r="B182" s="62">
        <v>-5430.86</v>
      </c>
      <c r="C182" s="62"/>
      <c r="D182" s="62">
        <v>0</v>
      </c>
      <c r="E182" s="62"/>
      <c r="F182" s="62">
        <v>0</v>
      </c>
      <c r="G182" s="141"/>
      <c r="H182" s="62">
        <v>0</v>
      </c>
      <c r="I182" s="141"/>
      <c r="J182" s="62">
        <v>0</v>
      </c>
      <c r="K182" s="141"/>
      <c r="L182" s="62">
        <v>0</v>
      </c>
      <c r="M182" s="62"/>
      <c r="N182" s="62">
        <v>0</v>
      </c>
      <c r="O182" s="62"/>
      <c r="P182" s="62">
        <v>0</v>
      </c>
      <c r="Q182" s="62"/>
      <c r="R182" s="62">
        <f t="shared" si="14"/>
        <v>-5430.86</v>
      </c>
      <c r="S182" s="66"/>
      <c r="T182" s="63"/>
      <c r="U182" s="63"/>
    </row>
    <row r="183" spans="1:21" s="60" customFormat="1" hidden="1" outlineLevel="1">
      <c r="A183" s="60" t="s">
        <v>725</v>
      </c>
      <c r="B183" s="62">
        <v>-2214439.33</v>
      </c>
      <c r="C183" s="62"/>
      <c r="D183" s="62">
        <f>-4415.36+476.78-4415.36+476.78-4415.36+476.78</f>
        <v>-11815.739999999998</v>
      </c>
      <c r="E183" s="62"/>
      <c r="F183" s="62">
        <v>0</v>
      </c>
      <c r="G183" s="141"/>
      <c r="H183" s="62">
        <v>0</v>
      </c>
      <c r="I183" s="141"/>
      <c r="J183" s="62">
        <v>0</v>
      </c>
      <c r="K183" s="141"/>
      <c r="L183" s="62">
        <v>0</v>
      </c>
      <c r="M183" s="62"/>
      <c r="N183" s="62">
        <v>0</v>
      </c>
      <c r="O183" s="62"/>
      <c r="P183" s="62">
        <v>0</v>
      </c>
      <c r="Q183" s="62"/>
      <c r="R183" s="62">
        <f t="shared" si="14"/>
        <v>-2226255.0700000003</v>
      </c>
      <c r="S183" s="66"/>
      <c r="T183" s="63"/>
      <c r="U183" s="63"/>
    </row>
    <row r="184" spans="1:21" s="60" customFormat="1" hidden="1" outlineLevel="1">
      <c r="A184" s="60" t="s">
        <v>726</v>
      </c>
      <c r="B184" s="62">
        <v>-144819.31999999998</v>
      </c>
      <c r="C184" s="62"/>
      <c r="D184" s="62">
        <f>-187.23+22.83-187.23+22.83-187.23+22.83</f>
        <v>-493.2</v>
      </c>
      <c r="E184" s="62"/>
      <c r="F184" s="62">
        <v>0</v>
      </c>
      <c r="G184" s="141"/>
      <c r="H184" s="62">
        <v>0</v>
      </c>
      <c r="I184" s="141"/>
      <c r="J184" s="62">
        <v>0</v>
      </c>
      <c r="K184" s="141"/>
      <c r="L184" s="62">
        <v>0</v>
      </c>
      <c r="M184" s="62"/>
      <c r="N184" s="62">
        <v>0</v>
      </c>
      <c r="O184" s="62"/>
      <c r="P184" s="62">
        <v>0</v>
      </c>
      <c r="Q184" s="62"/>
      <c r="R184" s="62">
        <f t="shared" si="14"/>
        <v>-145312.51999999999</v>
      </c>
      <c r="S184" s="66"/>
      <c r="T184" s="63"/>
      <c r="U184" s="63"/>
    </row>
    <row r="185" spans="1:21" s="60" customFormat="1" hidden="1" outlineLevel="1">
      <c r="A185" s="60" t="s">
        <v>727</v>
      </c>
      <c r="B185" s="62">
        <v>199817.44999999995</v>
      </c>
      <c r="C185" s="62"/>
      <c r="D185" s="62">
        <v>0</v>
      </c>
      <c r="E185" s="62"/>
      <c r="F185" s="62">
        <v>0</v>
      </c>
      <c r="G185" s="62"/>
      <c r="H185" s="62">
        <v>-731499.23</v>
      </c>
      <c r="I185" s="62"/>
      <c r="J185" s="62">
        <v>0</v>
      </c>
      <c r="K185" s="62"/>
      <c r="L185" s="62">
        <v>0</v>
      </c>
      <c r="M185" s="62"/>
      <c r="N185" s="62">
        <v>0</v>
      </c>
      <c r="O185" s="62"/>
      <c r="P185" s="62">
        <v>0</v>
      </c>
      <c r="Q185" s="62"/>
      <c r="R185" s="62">
        <f>SUM(B185:P185)</f>
        <v>-531681.78</v>
      </c>
      <c r="S185" s="66"/>
      <c r="T185" s="63"/>
      <c r="U185" s="63"/>
    </row>
    <row r="186" spans="1:21" s="60" customFormat="1" hidden="1" outlineLevel="1">
      <c r="A186" s="60" t="s">
        <v>728</v>
      </c>
      <c r="B186" s="62">
        <v>-3215173.88</v>
      </c>
      <c r="C186" s="62"/>
      <c r="D186" s="62">
        <f>-12828.06+1040.11-12828.06+1040.11-12828.06+1040.11</f>
        <v>-35363.85</v>
      </c>
      <c r="E186" s="62"/>
      <c r="F186" s="62">
        <v>0</v>
      </c>
      <c r="G186" s="62"/>
      <c r="H186" s="62">
        <v>0</v>
      </c>
      <c r="I186" s="62"/>
      <c r="J186" s="62">
        <v>0</v>
      </c>
      <c r="K186" s="62"/>
      <c r="L186" s="62">
        <v>0</v>
      </c>
      <c r="M186" s="62"/>
      <c r="N186" s="62">
        <v>0</v>
      </c>
      <c r="O186" s="62"/>
      <c r="P186" s="62">
        <v>0</v>
      </c>
      <c r="Q186" s="62"/>
      <c r="R186" s="62">
        <f t="shared" si="14"/>
        <v>-3250537.73</v>
      </c>
      <c r="S186" s="66"/>
      <c r="T186" s="63"/>
      <c r="U186" s="63"/>
    </row>
    <row r="187" spans="1:21" s="60" customFormat="1" hidden="1" outlineLevel="1">
      <c r="A187" s="60" t="s">
        <v>729</v>
      </c>
      <c r="B187" s="62">
        <v>-2573289.17</v>
      </c>
      <c r="C187" s="62"/>
      <c r="D187" s="62">
        <f>-8354.7+1365.67-8354.7+1365.67-8354.7+1365.67</f>
        <v>-20967.090000000004</v>
      </c>
      <c r="E187" s="62"/>
      <c r="F187" s="62">
        <v>0</v>
      </c>
      <c r="G187" s="62"/>
      <c r="H187" s="62">
        <v>0</v>
      </c>
      <c r="I187" s="62"/>
      <c r="J187" s="62">
        <v>0</v>
      </c>
      <c r="K187" s="62"/>
      <c r="L187" s="62">
        <v>0</v>
      </c>
      <c r="M187" s="62"/>
      <c r="N187" s="62">
        <v>0</v>
      </c>
      <c r="O187" s="62"/>
      <c r="P187" s="62">
        <v>0</v>
      </c>
      <c r="Q187" s="62"/>
      <c r="R187" s="62">
        <f t="shared" si="14"/>
        <v>-2594256.2599999998</v>
      </c>
      <c r="S187" s="66"/>
      <c r="T187" s="63"/>
      <c r="U187" s="63"/>
    </row>
    <row r="188" spans="1:21" s="60" customFormat="1" hidden="1" outlineLevel="1">
      <c r="A188" s="332" t="s">
        <v>1452</v>
      </c>
      <c r="B188" s="62">
        <v>-8909.7899999999991</v>
      </c>
      <c r="C188" s="62"/>
      <c r="D188" s="62">
        <f>-19695.31+1875.74-19695.31+1875.74-19695.31+1875.74</f>
        <v>-53458.710000000014</v>
      </c>
      <c r="E188" s="62"/>
      <c r="F188" s="62">
        <v>0</v>
      </c>
      <c r="G188" s="62"/>
      <c r="H188" s="62">
        <v>0</v>
      </c>
      <c r="I188" s="62"/>
      <c r="J188" s="62">
        <v>0</v>
      </c>
      <c r="K188" s="62"/>
      <c r="L188" s="62">
        <v>0</v>
      </c>
      <c r="M188" s="62"/>
      <c r="N188" s="62">
        <v>0</v>
      </c>
      <c r="O188" s="62"/>
      <c r="P188" s="62">
        <v>0</v>
      </c>
      <c r="Q188" s="62"/>
      <c r="R188" s="62">
        <f t="shared" ref="R188" si="17">SUM(B188:P188)</f>
        <v>-62368.500000000015</v>
      </c>
      <c r="S188" s="66"/>
      <c r="T188" s="63"/>
      <c r="U188" s="63"/>
    </row>
    <row r="189" spans="1:21" s="10" customFormat="1" collapsed="1">
      <c r="A189" s="10" t="s">
        <v>800</v>
      </c>
      <c r="B189" s="65">
        <f>SUM(B182:B188)</f>
        <v>-7962244.8999999994</v>
      </c>
      <c r="C189" s="65"/>
      <c r="D189" s="324">
        <f>SUM(D182:D188)</f>
        <v>-122098.59000000003</v>
      </c>
      <c r="E189" s="65"/>
      <c r="F189" s="324">
        <f>SUM(F182:F188)</f>
        <v>0</v>
      </c>
      <c r="G189" s="65"/>
      <c r="H189" s="324">
        <f>SUM(H182:H188)</f>
        <v>-731499.23</v>
      </c>
      <c r="I189" s="65"/>
      <c r="J189" s="324">
        <f>SUM(J182:J188)</f>
        <v>0</v>
      </c>
      <c r="K189" s="65"/>
      <c r="L189" s="324">
        <f>SUM(L182:L188)</f>
        <v>0</v>
      </c>
      <c r="M189" s="65"/>
      <c r="N189" s="324">
        <f>SUM(N182:N188)</f>
        <v>0</v>
      </c>
      <c r="O189" s="65"/>
      <c r="P189" s="324">
        <f>SUM(P182:P188)</f>
        <v>0</v>
      </c>
      <c r="Q189" s="65"/>
      <c r="R189" s="324">
        <f>SUM(R182:R188)</f>
        <v>-8815842.7200000007</v>
      </c>
      <c r="S189" s="27"/>
      <c r="T189" s="24"/>
      <c r="U189" s="24"/>
    </row>
    <row r="190" spans="1:21" s="60" customFormat="1" hidden="1" outlineLevel="1">
      <c r="A190" s="60" t="s">
        <v>730</v>
      </c>
      <c r="B190" s="62">
        <v>-1097.3999999999651</v>
      </c>
      <c r="C190" s="62"/>
      <c r="D190" s="62">
        <v>0</v>
      </c>
      <c r="E190" s="62"/>
      <c r="F190" s="62">
        <v>0</v>
      </c>
      <c r="G190" s="62"/>
      <c r="H190" s="62">
        <v>1097.4000000000001</v>
      </c>
      <c r="I190" s="62"/>
      <c r="J190" s="62">
        <v>0</v>
      </c>
      <c r="K190" s="62"/>
      <c r="L190" s="62">
        <v>0</v>
      </c>
      <c r="M190" s="62"/>
      <c r="N190" s="62">
        <v>0</v>
      </c>
      <c r="O190" s="62"/>
      <c r="P190" s="62">
        <v>0</v>
      </c>
      <c r="Q190" s="62"/>
      <c r="R190" s="62">
        <f t="shared" si="14"/>
        <v>3.5015546018257737E-11</v>
      </c>
      <c r="S190" s="66"/>
      <c r="T190" s="63"/>
      <c r="U190" s="63"/>
    </row>
    <row r="191" spans="1:21" s="60" customFormat="1" hidden="1" outlineLevel="1">
      <c r="A191" s="60" t="s">
        <v>366</v>
      </c>
      <c r="B191" s="62">
        <v>-1264.5300000000279</v>
      </c>
      <c r="C191" s="62"/>
      <c r="D191" s="62">
        <v>0</v>
      </c>
      <c r="E191" s="62"/>
      <c r="F191" s="62">
        <v>0</v>
      </c>
      <c r="G191" s="62"/>
      <c r="H191" s="62">
        <v>1264.53</v>
      </c>
      <c r="I191" s="62"/>
      <c r="J191" s="62">
        <v>0</v>
      </c>
      <c r="K191" s="62"/>
      <c r="L191" s="62">
        <v>0</v>
      </c>
      <c r="M191" s="62"/>
      <c r="N191" s="62">
        <v>0</v>
      </c>
      <c r="O191" s="62"/>
      <c r="P191" s="62">
        <v>0</v>
      </c>
      <c r="Q191" s="62"/>
      <c r="R191" s="62">
        <f t="shared" si="14"/>
        <v>-2.7966962079517543E-11</v>
      </c>
      <c r="S191" s="66"/>
      <c r="T191" s="63"/>
      <c r="U191" s="63"/>
    </row>
    <row r="192" spans="1:21" s="10" customFormat="1" collapsed="1">
      <c r="A192" s="10" t="s">
        <v>502</v>
      </c>
      <c r="B192" s="65">
        <f>SUM(B190:B191)</f>
        <v>-2361.929999999993</v>
      </c>
      <c r="C192" s="65"/>
      <c r="D192" s="65">
        <f>SUM(D190:D191)</f>
        <v>0</v>
      </c>
      <c r="E192" s="65"/>
      <c r="F192" s="65">
        <f>SUM(F190:F191)</f>
        <v>0</v>
      </c>
      <c r="G192" s="65"/>
      <c r="H192" s="65">
        <f>SUM(H190:H191)</f>
        <v>2361.9300000000003</v>
      </c>
      <c r="I192" s="65"/>
      <c r="J192" s="65">
        <f>SUM(J190:J191)</f>
        <v>0</v>
      </c>
      <c r="K192" s="65"/>
      <c r="L192" s="65">
        <f>SUM(L190:L191)</f>
        <v>0</v>
      </c>
      <c r="M192" s="65"/>
      <c r="N192" s="65">
        <f>SUM(N190:N191)</f>
        <v>0</v>
      </c>
      <c r="O192" s="65"/>
      <c r="P192" s="65">
        <f>SUM(P190:P191)</f>
        <v>0</v>
      </c>
      <c r="Q192" s="65"/>
      <c r="R192" s="65">
        <f>SUM(R190:R191)</f>
        <v>7.0485839387401938E-12</v>
      </c>
      <c r="S192" s="27"/>
      <c r="T192" s="24"/>
      <c r="U192" s="24"/>
    </row>
    <row r="193" spans="1:21" s="60" customFormat="1" hidden="1" outlineLevel="1">
      <c r="A193" s="60" t="s">
        <v>1056</v>
      </c>
      <c r="B193" s="62">
        <v>-55563.920000000006</v>
      </c>
      <c r="C193" s="62"/>
      <c r="D193" s="62">
        <f>-114.7-114.7-114.7</f>
        <v>-344.1</v>
      </c>
      <c r="E193" s="62"/>
      <c r="F193" s="62">
        <v>0</v>
      </c>
      <c r="G193" s="62"/>
      <c r="H193" s="62">
        <v>0</v>
      </c>
      <c r="I193" s="62"/>
      <c r="J193" s="62">
        <v>0</v>
      </c>
      <c r="K193" s="62"/>
      <c r="L193" s="62">
        <v>0</v>
      </c>
      <c r="M193" s="62"/>
      <c r="N193" s="62">
        <v>0</v>
      </c>
      <c r="O193" s="62"/>
      <c r="P193" s="62">
        <v>0</v>
      </c>
      <c r="Q193" s="62"/>
      <c r="R193" s="62">
        <f t="shared" si="14"/>
        <v>-55908.020000000004</v>
      </c>
      <c r="S193" s="66"/>
      <c r="T193" s="63"/>
      <c r="U193" s="63"/>
    </row>
    <row r="194" spans="1:21" s="60" customFormat="1" hidden="1" outlineLevel="1">
      <c r="A194" s="60" t="s">
        <v>1057</v>
      </c>
      <c r="B194" s="62">
        <v>-1161405.0499999998</v>
      </c>
      <c r="C194" s="62"/>
      <c r="D194" s="62">
        <f>-3929.64-3929.64-3929.64</f>
        <v>-11788.92</v>
      </c>
      <c r="E194" s="62"/>
      <c r="F194" s="62">
        <v>0</v>
      </c>
      <c r="G194" s="62"/>
      <c r="H194" s="62">
        <v>0</v>
      </c>
      <c r="I194" s="62"/>
      <c r="J194" s="62">
        <v>0</v>
      </c>
      <c r="K194" s="62"/>
      <c r="L194" s="62">
        <v>0</v>
      </c>
      <c r="M194" s="62"/>
      <c r="N194" s="62">
        <v>0</v>
      </c>
      <c r="O194" s="62"/>
      <c r="P194" s="62">
        <v>0</v>
      </c>
      <c r="Q194" s="62"/>
      <c r="R194" s="62">
        <f t="shared" si="14"/>
        <v>-1173193.9699999997</v>
      </c>
      <c r="S194" s="66"/>
      <c r="T194" s="63"/>
      <c r="U194" s="63"/>
    </row>
    <row r="195" spans="1:21" s="60" customFormat="1" hidden="1" outlineLevel="1">
      <c r="A195" s="60" t="s">
        <v>362</v>
      </c>
      <c r="B195" s="62">
        <v>-1222172.95</v>
      </c>
      <c r="C195" s="62"/>
      <c r="D195" s="62">
        <v>0</v>
      </c>
      <c r="E195" s="62"/>
      <c r="F195" s="62">
        <v>0</v>
      </c>
      <c r="G195" s="62"/>
      <c r="H195" s="62">
        <v>0</v>
      </c>
      <c r="I195" s="62"/>
      <c r="J195" s="62">
        <v>0</v>
      </c>
      <c r="K195" s="62"/>
      <c r="L195" s="62">
        <v>0</v>
      </c>
      <c r="M195" s="62"/>
      <c r="N195" s="62">
        <v>0</v>
      </c>
      <c r="O195" s="62"/>
      <c r="P195" s="62">
        <v>0</v>
      </c>
      <c r="Q195" s="62"/>
      <c r="R195" s="62">
        <f t="shared" si="14"/>
        <v>-1222172.95</v>
      </c>
      <c r="S195" s="66"/>
      <c r="T195" s="63"/>
      <c r="U195" s="63"/>
    </row>
    <row r="196" spans="1:21" s="60" customFormat="1" hidden="1" outlineLevel="1">
      <c r="A196" s="60" t="s">
        <v>350</v>
      </c>
      <c r="B196" s="62">
        <v>-150327.02000000002</v>
      </c>
      <c r="C196" s="62"/>
      <c r="D196" s="62">
        <v>0</v>
      </c>
      <c r="E196" s="62"/>
      <c r="F196" s="62">
        <v>0</v>
      </c>
      <c r="G196" s="141"/>
      <c r="H196" s="62">
        <v>0</v>
      </c>
      <c r="I196" s="141"/>
      <c r="J196" s="62">
        <v>0</v>
      </c>
      <c r="K196" s="141"/>
      <c r="L196" s="62">
        <v>0</v>
      </c>
      <c r="M196" s="62"/>
      <c r="N196" s="62">
        <v>0</v>
      </c>
      <c r="O196" s="62"/>
      <c r="P196" s="62">
        <v>0</v>
      </c>
      <c r="Q196" s="62"/>
      <c r="R196" s="62">
        <f t="shared" si="14"/>
        <v>-150327.02000000002</v>
      </c>
      <c r="S196" s="66"/>
      <c r="T196" s="63"/>
      <c r="U196" s="63"/>
    </row>
    <row r="197" spans="1:21" s="60" customFormat="1" hidden="1" outlineLevel="1">
      <c r="A197" s="60" t="s">
        <v>351</v>
      </c>
      <c r="B197" s="62">
        <v>-1156214.6100000001</v>
      </c>
      <c r="C197" s="62"/>
      <c r="D197" s="62">
        <v>0</v>
      </c>
      <c r="E197" s="62"/>
      <c r="F197" s="62">
        <v>0</v>
      </c>
      <c r="G197" s="141"/>
      <c r="H197" s="62">
        <v>0</v>
      </c>
      <c r="I197" s="141"/>
      <c r="J197" s="62">
        <v>0</v>
      </c>
      <c r="K197" s="141"/>
      <c r="L197" s="62">
        <v>0</v>
      </c>
      <c r="M197" s="62"/>
      <c r="N197" s="62">
        <v>0</v>
      </c>
      <c r="O197" s="62"/>
      <c r="P197" s="62">
        <v>0</v>
      </c>
      <c r="Q197" s="62"/>
      <c r="R197" s="62">
        <f t="shared" si="14"/>
        <v>-1156214.6100000001</v>
      </c>
      <c r="S197" s="66"/>
      <c r="T197" s="63"/>
      <c r="U197" s="63"/>
    </row>
    <row r="198" spans="1:21" s="60" customFormat="1" hidden="1" outlineLevel="1">
      <c r="A198" s="60" t="s">
        <v>353</v>
      </c>
      <c r="B198" s="62">
        <v>-19549630.099999998</v>
      </c>
      <c r="C198" s="62"/>
      <c r="D198" s="62">
        <f>-70048.59-70048.59-70048.59</f>
        <v>-210145.77</v>
      </c>
      <c r="E198" s="62"/>
      <c r="F198" s="62">
        <v>0</v>
      </c>
      <c r="G198" s="141"/>
      <c r="H198" s="62">
        <v>0</v>
      </c>
      <c r="I198" s="141"/>
      <c r="J198" s="62">
        <v>0</v>
      </c>
      <c r="K198" s="141"/>
      <c r="L198" s="62">
        <v>0</v>
      </c>
      <c r="M198" s="62"/>
      <c r="N198" s="62">
        <v>0</v>
      </c>
      <c r="O198" s="62"/>
      <c r="P198" s="62">
        <v>0</v>
      </c>
      <c r="Q198" s="62"/>
      <c r="R198" s="62">
        <f>SUM(B198:P198)</f>
        <v>-19759775.869999997</v>
      </c>
      <c r="S198" s="66"/>
      <c r="T198" s="63"/>
      <c r="U198" s="63"/>
    </row>
    <row r="199" spans="1:21" s="60" customFormat="1" hidden="1" outlineLevel="1">
      <c r="A199" s="60" t="s">
        <v>354</v>
      </c>
      <c r="B199" s="62">
        <v>-30251322.509999998</v>
      </c>
      <c r="C199" s="62"/>
      <c r="D199" s="62">
        <f>-95347.42-95347.42-95347.42</f>
        <v>-286042.26</v>
      </c>
      <c r="E199" s="62"/>
      <c r="F199" s="62">
        <v>0</v>
      </c>
      <c r="G199" s="141"/>
      <c r="H199" s="62">
        <v>0</v>
      </c>
      <c r="I199" s="141"/>
      <c r="J199" s="62">
        <v>0</v>
      </c>
      <c r="K199" s="141"/>
      <c r="L199" s="62">
        <v>0</v>
      </c>
      <c r="M199" s="62"/>
      <c r="N199" s="62">
        <v>0</v>
      </c>
      <c r="O199" s="62"/>
      <c r="P199" s="62">
        <v>0</v>
      </c>
      <c r="Q199" s="62"/>
      <c r="R199" s="62">
        <f>SUM(B199:P199)</f>
        <v>-30537364.77</v>
      </c>
      <c r="S199" s="66"/>
      <c r="T199" s="63"/>
      <c r="U199" s="63"/>
    </row>
    <row r="200" spans="1:21" s="60" customFormat="1" hidden="1" outlineLevel="1">
      <c r="A200" s="60" t="s">
        <v>1405</v>
      </c>
      <c r="B200" s="62">
        <v>-21726540.500000004</v>
      </c>
      <c r="C200" s="62"/>
      <c r="D200" s="62">
        <f>-152731.14-152731.14-152834.98</f>
        <v>-458297.26</v>
      </c>
      <c r="E200" s="62"/>
      <c r="F200" s="62">
        <v>0</v>
      </c>
      <c r="G200" s="141"/>
      <c r="H200" s="62">
        <v>0</v>
      </c>
      <c r="I200" s="141"/>
      <c r="J200" s="62">
        <v>0</v>
      </c>
      <c r="K200" s="141"/>
      <c r="L200" s="62">
        <v>0</v>
      </c>
      <c r="M200" s="62"/>
      <c r="N200" s="62">
        <v>0</v>
      </c>
      <c r="O200" s="62"/>
      <c r="P200" s="62">
        <v>0</v>
      </c>
      <c r="Q200" s="62"/>
      <c r="R200" s="62">
        <f t="shared" si="14"/>
        <v>-22184837.760000005</v>
      </c>
      <c r="S200" s="66"/>
      <c r="T200" s="63"/>
      <c r="U200" s="63"/>
    </row>
    <row r="201" spans="1:21" s="60" customFormat="1" hidden="1" outlineLevel="1">
      <c r="A201" s="60" t="s">
        <v>1406</v>
      </c>
      <c r="B201" s="62">
        <v>-12525.869999999999</v>
      </c>
      <c r="C201" s="62"/>
      <c r="D201" s="62">
        <f>-845.18-845.18-845.18</f>
        <v>-2535.54</v>
      </c>
      <c r="E201" s="62"/>
      <c r="F201" s="62">
        <v>0</v>
      </c>
      <c r="G201" s="141"/>
      <c r="H201" s="62">
        <v>0</v>
      </c>
      <c r="I201" s="141"/>
      <c r="J201" s="62">
        <v>0</v>
      </c>
      <c r="K201" s="141"/>
      <c r="L201" s="62">
        <v>0</v>
      </c>
      <c r="M201" s="62"/>
      <c r="N201" s="62">
        <v>0</v>
      </c>
      <c r="O201" s="62"/>
      <c r="P201" s="62">
        <v>0</v>
      </c>
      <c r="Q201" s="62"/>
      <c r="R201" s="62">
        <f t="shared" si="14"/>
        <v>-15061.41</v>
      </c>
      <c r="S201" s="66"/>
      <c r="T201" s="63"/>
      <c r="U201" s="63"/>
    </row>
    <row r="202" spans="1:21" s="60" customFormat="1" hidden="1" outlineLevel="1">
      <c r="A202" s="60" t="s">
        <v>1407</v>
      </c>
      <c r="B202" s="62">
        <v>-18664666.479999997</v>
      </c>
      <c r="C202" s="62"/>
      <c r="D202" s="62">
        <f>-206900.13-206900.13-206775.17</f>
        <v>-620575.43000000005</v>
      </c>
      <c r="E202" s="62"/>
      <c r="F202" s="62">
        <v>86700.84</v>
      </c>
      <c r="G202" s="141"/>
      <c r="H202" s="62">
        <v>0</v>
      </c>
      <c r="I202" s="141"/>
      <c r="J202" s="62">
        <v>0</v>
      </c>
      <c r="K202" s="141"/>
      <c r="L202" s="62">
        <v>34151.4</v>
      </c>
      <c r="M202" s="62"/>
      <c r="N202" s="62">
        <v>0</v>
      </c>
      <c r="O202" s="62"/>
      <c r="P202" s="62">
        <v>0</v>
      </c>
      <c r="Q202" s="62"/>
      <c r="R202" s="62">
        <f t="shared" si="14"/>
        <v>-19164389.669999998</v>
      </c>
      <c r="S202" s="66"/>
      <c r="T202" s="63"/>
      <c r="U202" s="63"/>
    </row>
    <row r="203" spans="1:21" s="60" customFormat="1" hidden="1" outlineLevel="1">
      <c r="A203" s="60" t="s">
        <v>1408</v>
      </c>
      <c r="B203" s="62">
        <v>-12642.13</v>
      </c>
      <c r="C203" s="62"/>
      <c r="D203" s="62">
        <f>-878.23-878.23-878.23</f>
        <v>-2634.69</v>
      </c>
      <c r="E203" s="62"/>
      <c r="F203" s="62">
        <v>0</v>
      </c>
      <c r="G203" s="141"/>
      <c r="H203" s="62">
        <v>0</v>
      </c>
      <c r="I203" s="141"/>
      <c r="J203" s="62">
        <v>0</v>
      </c>
      <c r="K203" s="141"/>
      <c r="L203" s="62">
        <v>0</v>
      </c>
      <c r="M203" s="62"/>
      <c r="N203" s="62">
        <v>0</v>
      </c>
      <c r="O203" s="62"/>
      <c r="P203" s="62">
        <v>0</v>
      </c>
      <c r="Q203" s="62"/>
      <c r="R203" s="62">
        <f t="shared" si="14"/>
        <v>-15276.82</v>
      </c>
      <c r="S203" s="66"/>
      <c r="T203" s="63"/>
      <c r="U203" s="63"/>
    </row>
    <row r="204" spans="1:21" s="60" customFormat="1" hidden="1" outlineLevel="1">
      <c r="A204" s="60" t="s">
        <v>1411</v>
      </c>
      <c r="B204" s="62">
        <v>-27178774.949999996</v>
      </c>
      <c r="C204" s="62"/>
      <c r="D204" s="62">
        <f>-237960.95-237960.95-238765.47</f>
        <v>-714687.37</v>
      </c>
      <c r="E204" s="62"/>
      <c r="F204" s="62">
        <v>166318.17000000001</v>
      </c>
      <c r="G204" s="141"/>
      <c r="H204" s="62">
        <v>0</v>
      </c>
      <c r="I204" s="141"/>
      <c r="J204" s="62">
        <v>0</v>
      </c>
      <c r="K204" s="141"/>
      <c r="L204" s="62">
        <v>11022.78</v>
      </c>
      <c r="M204" s="62"/>
      <c r="N204" s="62">
        <v>0</v>
      </c>
      <c r="O204" s="62"/>
      <c r="P204" s="62">
        <v>0</v>
      </c>
      <c r="Q204" s="62"/>
      <c r="R204" s="62">
        <f t="shared" si="14"/>
        <v>-27716121.369999994</v>
      </c>
      <c r="S204" s="66"/>
      <c r="T204" s="63"/>
      <c r="U204" s="63"/>
    </row>
    <row r="205" spans="1:21" s="60" customFormat="1" hidden="1" outlineLevel="1">
      <c r="A205" s="60" t="s">
        <v>1410</v>
      </c>
      <c r="B205" s="62">
        <v>-16009.779999999999</v>
      </c>
      <c r="C205" s="62"/>
      <c r="D205" s="62">
        <f>-865.3-865.3-1177.69</f>
        <v>-2908.29</v>
      </c>
      <c r="E205" s="62"/>
      <c r="F205" s="62">
        <v>0</v>
      </c>
      <c r="G205" s="141"/>
      <c r="H205" s="62">
        <v>0</v>
      </c>
      <c r="I205" s="141"/>
      <c r="J205" s="62">
        <v>0</v>
      </c>
      <c r="K205" s="141"/>
      <c r="L205" s="62">
        <v>0</v>
      </c>
      <c r="M205" s="62"/>
      <c r="N205" s="62">
        <v>0</v>
      </c>
      <c r="O205" s="62"/>
      <c r="P205" s="62">
        <v>0</v>
      </c>
      <c r="Q205" s="62"/>
      <c r="R205" s="62">
        <f t="shared" si="14"/>
        <v>-18918.07</v>
      </c>
      <c r="S205" s="66"/>
      <c r="T205" s="63"/>
      <c r="U205" s="63"/>
    </row>
    <row r="206" spans="1:21" s="60" customFormat="1" hidden="1" outlineLevel="1">
      <c r="A206" s="307" t="s">
        <v>1393</v>
      </c>
      <c r="B206" s="62">
        <v>-28331818.780000001</v>
      </c>
      <c r="C206" s="62"/>
      <c r="D206" s="62">
        <f>-119654.64-119654.64-119654.64</f>
        <v>-358963.92</v>
      </c>
      <c r="E206" s="62"/>
      <c r="F206" s="62">
        <v>0</v>
      </c>
      <c r="G206" s="141"/>
      <c r="H206" s="62">
        <v>0</v>
      </c>
      <c r="I206" s="141"/>
      <c r="J206" s="62">
        <v>0</v>
      </c>
      <c r="K206" s="141"/>
      <c r="L206" s="62">
        <v>0</v>
      </c>
      <c r="M206" s="62"/>
      <c r="N206" s="62">
        <v>0</v>
      </c>
      <c r="O206" s="62"/>
      <c r="P206" s="62">
        <v>0</v>
      </c>
      <c r="Q206" s="62"/>
      <c r="R206" s="62">
        <f t="shared" si="14"/>
        <v>-28690782.700000003</v>
      </c>
      <c r="S206" s="66"/>
      <c r="T206" s="63"/>
      <c r="U206" s="63"/>
    </row>
    <row r="207" spans="1:21" s="60" customFormat="1" hidden="1" outlineLevel="1">
      <c r="A207" s="307" t="s">
        <v>1391</v>
      </c>
      <c r="B207" s="62">
        <v>-49897.200000000004</v>
      </c>
      <c r="C207" s="62"/>
      <c r="D207" s="62">
        <f>-983.4-983.4-983.4</f>
        <v>-2950.2</v>
      </c>
      <c r="E207" s="62"/>
      <c r="F207" s="62">
        <v>0</v>
      </c>
      <c r="G207" s="141"/>
      <c r="H207" s="62">
        <v>0</v>
      </c>
      <c r="I207" s="141">
        <v>0</v>
      </c>
      <c r="J207" s="62">
        <v>0</v>
      </c>
      <c r="K207" s="141"/>
      <c r="L207" s="62">
        <v>0</v>
      </c>
      <c r="M207" s="62"/>
      <c r="N207" s="62">
        <v>0</v>
      </c>
      <c r="O207" s="62"/>
      <c r="P207" s="62">
        <v>0</v>
      </c>
      <c r="Q207" s="62"/>
      <c r="R207" s="62">
        <f t="shared" si="14"/>
        <v>-52847.4</v>
      </c>
      <c r="S207" s="66"/>
      <c r="T207" s="63"/>
      <c r="U207" s="63"/>
    </row>
    <row r="208" spans="1:21" s="60" customFormat="1" hidden="1" outlineLevel="1">
      <c r="A208" s="60" t="s">
        <v>138</v>
      </c>
      <c r="B208" s="62">
        <v>0</v>
      </c>
      <c r="C208" s="62"/>
      <c r="D208" s="62">
        <v>0</v>
      </c>
      <c r="E208" s="62"/>
      <c r="F208" s="62">
        <v>0</v>
      </c>
      <c r="G208" s="141"/>
      <c r="H208" s="62">
        <v>0</v>
      </c>
      <c r="I208" s="141"/>
      <c r="J208" s="62">
        <v>0</v>
      </c>
      <c r="K208" s="141"/>
      <c r="L208" s="62">
        <v>0</v>
      </c>
      <c r="M208" s="62"/>
      <c r="N208" s="62">
        <v>0</v>
      </c>
      <c r="O208" s="62"/>
      <c r="P208" s="62">
        <v>0</v>
      </c>
      <c r="Q208" s="62"/>
      <c r="R208" s="62">
        <f t="shared" ref="R208:R234" si="18">SUM(B208:P208)</f>
        <v>0</v>
      </c>
      <c r="S208" s="66"/>
      <c r="T208" s="63"/>
      <c r="U208" s="63"/>
    </row>
    <row r="209" spans="1:21" s="60" customFormat="1" hidden="1" outlineLevel="1">
      <c r="A209" s="60" t="s">
        <v>1412</v>
      </c>
      <c r="B209" s="62">
        <v>-34068403.869999997</v>
      </c>
      <c r="C209" s="62"/>
      <c r="D209" s="62">
        <f>-197457.76-197457.76-197424.35</f>
        <v>-592339.87</v>
      </c>
      <c r="E209" s="62"/>
      <c r="F209" s="62">
        <v>18905.900000000001</v>
      </c>
      <c r="G209" s="141"/>
      <c r="H209" s="62">
        <v>0</v>
      </c>
      <c r="I209" s="141"/>
      <c r="J209" s="62">
        <v>0</v>
      </c>
      <c r="K209" s="141"/>
      <c r="L209" s="62">
        <v>460.58</v>
      </c>
      <c r="M209" s="62"/>
      <c r="N209" s="62">
        <v>0</v>
      </c>
      <c r="O209" s="62"/>
      <c r="P209" s="62">
        <v>0</v>
      </c>
      <c r="Q209" s="62"/>
      <c r="R209" s="62">
        <f t="shared" si="18"/>
        <v>-34641377.259999998</v>
      </c>
      <c r="S209" s="66"/>
      <c r="T209" s="63"/>
      <c r="U209" s="63"/>
    </row>
    <row r="210" spans="1:21" s="60" customFormat="1" hidden="1" outlineLevel="1">
      <c r="A210" s="60" t="s">
        <v>1413</v>
      </c>
      <c r="B210" s="62">
        <v>-30514.35</v>
      </c>
      <c r="C210" s="62"/>
      <c r="D210" s="62">
        <f>-1314.88-1314.88-1314.88</f>
        <v>-3944.6400000000003</v>
      </c>
      <c r="E210" s="62"/>
      <c r="F210" s="62">
        <v>0</v>
      </c>
      <c r="G210" s="141"/>
      <c r="H210" s="62">
        <v>0</v>
      </c>
      <c r="I210" s="141"/>
      <c r="J210" s="62">
        <v>0</v>
      </c>
      <c r="K210" s="141"/>
      <c r="L210" s="62">
        <v>0</v>
      </c>
      <c r="M210" s="62"/>
      <c r="N210" s="62">
        <v>0</v>
      </c>
      <c r="O210" s="62"/>
      <c r="P210" s="62">
        <v>0</v>
      </c>
      <c r="Q210" s="62"/>
      <c r="R210" s="62">
        <f t="shared" si="18"/>
        <v>-34458.99</v>
      </c>
      <c r="S210" s="66"/>
      <c r="T210" s="63"/>
      <c r="U210" s="63"/>
    </row>
    <row r="211" spans="1:21" s="60" customFormat="1" hidden="1" outlineLevel="1">
      <c r="A211" s="60" t="s">
        <v>1414</v>
      </c>
      <c r="B211" s="62">
        <v>-26955076.510000002</v>
      </c>
      <c r="C211" s="62"/>
      <c r="D211" s="62">
        <f>-207242.47-207242.47-207741.85</f>
        <v>-622226.79</v>
      </c>
      <c r="E211" s="62"/>
      <c r="F211" s="62">
        <v>0</v>
      </c>
      <c r="G211" s="141"/>
      <c r="H211" s="62">
        <v>0</v>
      </c>
      <c r="I211" s="141"/>
      <c r="J211" s="62">
        <v>0</v>
      </c>
      <c r="K211" s="141"/>
      <c r="L211" s="62">
        <v>2310.42</v>
      </c>
      <c r="M211" s="62"/>
      <c r="N211" s="62">
        <v>0</v>
      </c>
      <c r="O211" s="62"/>
      <c r="P211" s="62">
        <v>0</v>
      </c>
      <c r="Q211" s="62"/>
      <c r="R211" s="62">
        <f t="shared" si="18"/>
        <v>-27574992.879999999</v>
      </c>
      <c r="S211" s="66"/>
      <c r="T211" s="63"/>
      <c r="U211" s="63"/>
    </row>
    <row r="212" spans="1:21" s="60" customFormat="1" hidden="1" outlineLevel="1">
      <c r="A212" s="60" t="s">
        <v>1415</v>
      </c>
      <c r="B212" s="62">
        <v>-31309.599999999999</v>
      </c>
      <c r="C212" s="62"/>
      <c r="D212" s="62">
        <f>-1511.35-1511.35-1511.35</f>
        <v>-4534.0499999999993</v>
      </c>
      <c r="E212" s="62"/>
      <c r="F212" s="62">
        <v>0</v>
      </c>
      <c r="G212" s="141"/>
      <c r="H212" s="62">
        <v>0</v>
      </c>
      <c r="I212" s="141"/>
      <c r="J212" s="62">
        <v>0</v>
      </c>
      <c r="K212" s="141"/>
      <c r="L212" s="62">
        <v>0</v>
      </c>
      <c r="M212" s="62"/>
      <c r="N212" s="62">
        <v>0</v>
      </c>
      <c r="O212" s="62"/>
      <c r="P212" s="62">
        <v>0</v>
      </c>
      <c r="Q212" s="62"/>
      <c r="R212" s="62">
        <f t="shared" si="18"/>
        <v>-35843.649999999994</v>
      </c>
      <c r="S212" s="66"/>
      <c r="T212" s="63"/>
      <c r="U212" s="63"/>
    </row>
    <row r="213" spans="1:21" s="60" customFormat="1" hidden="1" outlineLevel="1">
      <c r="A213" s="60" t="s">
        <v>1416</v>
      </c>
      <c r="B213" s="62">
        <v>-65727573.420000009</v>
      </c>
      <c r="C213" s="62"/>
      <c r="D213" s="62">
        <f>-463256.12-467335.79-468767.84</f>
        <v>-1399359.75</v>
      </c>
      <c r="E213" s="62"/>
      <c r="F213" s="62">
        <f>12071.45-900184.71</f>
        <v>-888113.26</v>
      </c>
      <c r="G213" s="141"/>
      <c r="H213" s="62">
        <v>0</v>
      </c>
      <c r="I213" s="141"/>
      <c r="J213" s="62">
        <v>0</v>
      </c>
      <c r="K213" s="141"/>
      <c r="L213" s="62">
        <f>3416.61+58942.51</f>
        <v>62359.12</v>
      </c>
      <c r="M213" s="62"/>
      <c r="N213" s="62">
        <v>-73581.56</v>
      </c>
      <c r="O213" s="62"/>
      <c r="P213" s="62">
        <v>0</v>
      </c>
      <c r="Q213" s="62"/>
      <c r="R213" s="62">
        <f t="shared" si="18"/>
        <v>-68026268.87000002</v>
      </c>
      <c r="S213" s="66"/>
      <c r="T213" s="63"/>
      <c r="U213" s="63"/>
    </row>
    <row r="214" spans="1:21" s="60" customFormat="1" hidden="1" outlineLevel="1">
      <c r="A214" s="60" t="s">
        <v>1417</v>
      </c>
      <c r="B214" s="62">
        <v>-30556.260000000002</v>
      </c>
      <c r="C214" s="62"/>
      <c r="D214" s="62">
        <f>-1247.71-1247.71-1247.71</f>
        <v>-3743.13</v>
      </c>
      <c r="E214" s="62"/>
      <c r="F214" s="62">
        <v>0</v>
      </c>
      <c r="G214" s="141"/>
      <c r="H214" s="62">
        <v>0</v>
      </c>
      <c r="I214" s="141"/>
      <c r="J214" s="62">
        <v>0</v>
      </c>
      <c r="K214" s="141"/>
      <c r="L214" s="62">
        <v>0</v>
      </c>
      <c r="M214" s="62"/>
      <c r="N214" s="62">
        <v>0</v>
      </c>
      <c r="O214" s="62"/>
      <c r="P214" s="62">
        <v>0</v>
      </c>
      <c r="Q214" s="62"/>
      <c r="R214" s="62">
        <f t="shared" si="18"/>
        <v>-34299.39</v>
      </c>
      <c r="S214" s="66"/>
      <c r="T214" s="63"/>
      <c r="U214" s="63"/>
    </row>
    <row r="215" spans="1:21" s="60" customFormat="1" hidden="1" outlineLevel="1">
      <c r="A215" s="307" t="s">
        <v>1394</v>
      </c>
      <c r="B215" s="62">
        <v>-104178062.88</v>
      </c>
      <c r="C215" s="62"/>
      <c r="D215" s="62">
        <f>-789720.92-789195.61-786699.5</f>
        <v>-2365616.0300000003</v>
      </c>
      <c r="E215" s="62"/>
      <c r="F215" s="62">
        <f>366013.19+1190006.03</f>
        <v>1556019.22</v>
      </c>
      <c r="G215" s="141"/>
      <c r="H215" s="62">
        <v>0</v>
      </c>
      <c r="I215" s="141"/>
      <c r="J215" s="62">
        <v>0</v>
      </c>
      <c r="K215" s="141"/>
      <c r="L215" s="62">
        <f>102526.1+4107.02</f>
        <v>106633.12000000001</v>
      </c>
      <c r="M215" s="62"/>
      <c r="N215" s="62">
        <v>-3000</v>
      </c>
      <c r="O215" s="62"/>
      <c r="P215" s="62">
        <v>0</v>
      </c>
      <c r="Q215" s="62"/>
      <c r="R215" s="62">
        <f t="shared" si="18"/>
        <v>-104884026.56999999</v>
      </c>
      <c r="S215" s="66"/>
      <c r="T215" s="63"/>
      <c r="U215" s="63"/>
    </row>
    <row r="216" spans="1:21" s="60" customFormat="1" hidden="1" outlineLevel="1">
      <c r="A216" s="307" t="s">
        <v>1395</v>
      </c>
      <c r="B216" s="62">
        <v>-247778.18</v>
      </c>
      <c r="C216" s="62"/>
      <c r="D216" s="62">
        <f>-5092.05-5092.05-5092.05</f>
        <v>-15276.150000000001</v>
      </c>
      <c r="E216" s="62"/>
      <c r="F216" s="62">
        <v>0</v>
      </c>
      <c r="G216" s="141"/>
      <c r="H216" s="62">
        <v>0</v>
      </c>
      <c r="I216" s="141"/>
      <c r="J216" s="62">
        <v>0</v>
      </c>
      <c r="K216" s="141"/>
      <c r="L216" s="62">
        <v>0</v>
      </c>
      <c r="M216" s="62"/>
      <c r="N216" s="62">
        <v>0</v>
      </c>
      <c r="O216" s="62"/>
      <c r="P216" s="62">
        <v>0</v>
      </c>
      <c r="Q216" s="62"/>
      <c r="R216" s="62">
        <f t="shared" si="18"/>
        <v>-263054.33</v>
      </c>
      <c r="S216" s="66"/>
      <c r="T216" s="63"/>
      <c r="U216" s="63"/>
    </row>
    <row r="217" spans="1:21" s="60" customFormat="1" hidden="1" outlineLevel="1">
      <c r="A217" s="307" t="s">
        <v>1418</v>
      </c>
      <c r="B217" s="62">
        <v>-45998.04</v>
      </c>
      <c r="C217" s="62"/>
      <c r="D217" s="62">
        <f>-1563.63-1563.63-1563.63</f>
        <v>-4690.8900000000003</v>
      </c>
      <c r="E217" s="62"/>
      <c r="F217" s="62">
        <v>0</v>
      </c>
      <c r="G217" s="141"/>
      <c r="H217" s="62">
        <v>0</v>
      </c>
      <c r="I217" s="141"/>
      <c r="J217" s="62">
        <v>0</v>
      </c>
      <c r="K217" s="141"/>
      <c r="L217" s="62">
        <v>0</v>
      </c>
      <c r="M217" s="62"/>
      <c r="N217" s="62">
        <v>0</v>
      </c>
      <c r="O217" s="62"/>
      <c r="P217" s="62">
        <v>0</v>
      </c>
      <c r="Q217" s="62"/>
      <c r="R217" s="62">
        <f t="shared" si="18"/>
        <v>-50688.93</v>
      </c>
      <c r="S217" s="66"/>
      <c r="T217" s="63"/>
      <c r="U217" s="63"/>
    </row>
    <row r="218" spans="1:21" s="60" customFormat="1" hidden="1" outlineLevel="1">
      <c r="A218" s="307" t="s">
        <v>1397</v>
      </c>
      <c r="B218" s="62">
        <v>-76199275.299999997</v>
      </c>
      <c r="C218" s="62"/>
      <c r="D218" s="62">
        <f>-351906.71-351910.15-351465.94</f>
        <v>-1055282.8</v>
      </c>
      <c r="E218" s="62"/>
      <c r="F218" s="62">
        <v>0</v>
      </c>
      <c r="G218" s="141"/>
      <c r="H218" s="62">
        <v>0</v>
      </c>
      <c r="I218" s="141"/>
      <c r="J218" s="62">
        <v>0</v>
      </c>
      <c r="K218" s="141"/>
      <c r="L218" s="62">
        <v>0</v>
      </c>
      <c r="M218" s="62"/>
      <c r="N218" s="62">
        <v>0</v>
      </c>
      <c r="O218" s="62"/>
      <c r="P218" s="62">
        <v>0</v>
      </c>
      <c r="Q218" s="62"/>
      <c r="R218" s="62">
        <f t="shared" si="18"/>
        <v>-77254558.099999994</v>
      </c>
      <c r="S218" s="66"/>
      <c r="T218" s="63"/>
      <c r="U218" s="63"/>
    </row>
    <row r="219" spans="1:21" s="60" customFormat="1" hidden="1" outlineLevel="1">
      <c r="A219" s="307" t="s">
        <v>1398</v>
      </c>
      <c r="B219" s="62">
        <v>-18830.2</v>
      </c>
      <c r="C219" s="62"/>
      <c r="D219" s="62">
        <f>-293.5-293.5-293.5</f>
        <v>-880.5</v>
      </c>
      <c r="E219" s="62"/>
      <c r="F219" s="62">
        <v>0</v>
      </c>
      <c r="G219" s="141"/>
      <c r="H219" s="62">
        <v>0</v>
      </c>
      <c r="I219" s="141"/>
      <c r="J219" s="62">
        <v>0</v>
      </c>
      <c r="K219" s="141"/>
      <c r="L219" s="62">
        <v>0</v>
      </c>
      <c r="M219" s="62"/>
      <c r="N219" s="62">
        <v>0</v>
      </c>
      <c r="O219" s="62"/>
      <c r="P219" s="62">
        <v>0</v>
      </c>
      <c r="Q219" s="62"/>
      <c r="R219" s="62">
        <f t="shared" si="18"/>
        <v>-19710.7</v>
      </c>
      <c r="S219" s="66"/>
      <c r="T219" s="63"/>
      <c r="U219" s="63"/>
    </row>
    <row r="220" spans="1:21" s="60" customFormat="1" hidden="1" outlineLevel="1">
      <c r="A220" s="60" t="s">
        <v>355</v>
      </c>
      <c r="B220" s="62">
        <v>-490191.43000000005</v>
      </c>
      <c r="C220" s="62"/>
      <c r="D220" s="62">
        <f>-1482.44-1482.44-1482.44</f>
        <v>-4447.32</v>
      </c>
      <c r="E220" s="62"/>
      <c r="F220" s="62">
        <v>0</v>
      </c>
      <c r="G220" s="141"/>
      <c r="H220" s="62">
        <v>0</v>
      </c>
      <c r="I220" s="141"/>
      <c r="J220" s="62">
        <v>0</v>
      </c>
      <c r="K220" s="141"/>
      <c r="L220" s="62">
        <v>0</v>
      </c>
      <c r="M220" s="62"/>
      <c r="N220" s="62">
        <v>0</v>
      </c>
      <c r="O220" s="62"/>
      <c r="P220" s="62">
        <v>0</v>
      </c>
      <c r="Q220" s="62"/>
      <c r="R220" s="62">
        <f t="shared" si="18"/>
        <v>-494638.75000000006</v>
      </c>
      <c r="S220" s="66"/>
      <c r="T220" s="63"/>
      <c r="U220" s="63"/>
    </row>
    <row r="221" spans="1:21" s="60" customFormat="1" hidden="1" outlineLevel="1">
      <c r="A221" s="60" t="s">
        <v>356</v>
      </c>
      <c r="B221" s="62">
        <v>-2214106.9</v>
      </c>
      <c r="C221" s="62"/>
      <c r="D221" s="62">
        <f>-7733.74-7733.74-7733.74</f>
        <v>-23201.22</v>
      </c>
      <c r="E221" s="62"/>
      <c r="F221" s="62">
        <v>0</v>
      </c>
      <c r="G221" s="141"/>
      <c r="H221" s="62">
        <v>0</v>
      </c>
      <c r="I221" s="141"/>
      <c r="J221" s="62">
        <v>0</v>
      </c>
      <c r="K221" s="141"/>
      <c r="L221" s="62">
        <v>0</v>
      </c>
      <c r="M221" s="62"/>
      <c r="N221" s="62">
        <v>0</v>
      </c>
      <c r="O221" s="62"/>
      <c r="P221" s="62">
        <v>0</v>
      </c>
      <c r="Q221" s="62"/>
      <c r="R221" s="62">
        <f t="shared" si="18"/>
        <v>-2237308.12</v>
      </c>
      <c r="S221" s="66"/>
      <c r="T221" s="63"/>
      <c r="U221" s="63"/>
    </row>
    <row r="222" spans="1:21" s="60" customFormat="1" hidden="1" outlineLevel="1">
      <c r="A222" s="60" t="s">
        <v>357</v>
      </c>
      <c r="B222" s="62">
        <v>-32558338.460000001</v>
      </c>
      <c r="C222" s="62"/>
      <c r="D222" s="62">
        <f>-163385.61-163385.61-163385.61</f>
        <v>-490156.82999999996</v>
      </c>
      <c r="E222" s="62"/>
      <c r="F222" s="62">
        <v>0</v>
      </c>
      <c r="G222" s="141"/>
      <c r="H222" s="62">
        <v>0</v>
      </c>
      <c r="I222" s="141"/>
      <c r="J222" s="62">
        <v>0</v>
      </c>
      <c r="K222" s="141"/>
      <c r="L222" s="62">
        <v>0</v>
      </c>
      <c r="M222" s="62"/>
      <c r="N222" s="62">
        <v>0</v>
      </c>
      <c r="O222" s="62"/>
      <c r="P222" s="62">
        <v>0</v>
      </c>
      <c r="Q222" s="62"/>
      <c r="R222" s="62">
        <f t="shared" si="18"/>
        <v>-33048495.289999999</v>
      </c>
      <c r="S222" s="66"/>
      <c r="T222" s="63"/>
      <c r="U222" s="63"/>
    </row>
    <row r="223" spans="1:21" s="60" customFormat="1" hidden="1" outlineLevel="1">
      <c r="A223" s="60" t="s">
        <v>358</v>
      </c>
      <c r="B223" s="62">
        <v>-28309627.959999997</v>
      </c>
      <c r="C223" s="62"/>
      <c r="D223" s="62">
        <f>-127401.15-127401.15-127401.15</f>
        <v>-382203.44999999995</v>
      </c>
      <c r="E223" s="62"/>
      <c r="F223" s="62">
        <v>0</v>
      </c>
      <c r="G223" s="141"/>
      <c r="H223" s="62">
        <v>0</v>
      </c>
      <c r="I223" s="141"/>
      <c r="J223" s="62">
        <v>0</v>
      </c>
      <c r="K223" s="141"/>
      <c r="L223" s="62">
        <v>0</v>
      </c>
      <c r="M223" s="62"/>
      <c r="N223" s="62">
        <v>0</v>
      </c>
      <c r="O223" s="62"/>
      <c r="P223" s="62">
        <v>0</v>
      </c>
      <c r="Q223" s="62"/>
      <c r="R223" s="62">
        <f t="shared" si="18"/>
        <v>-28691831.409999996</v>
      </c>
      <c r="S223" s="66"/>
      <c r="T223" s="63"/>
      <c r="U223" s="63"/>
    </row>
    <row r="224" spans="1:21" s="60" customFormat="1" hidden="1" outlineLevel="1">
      <c r="A224" s="60" t="s">
        <v>359</v>
      </c>
      <c r="B224" s="62">
        <v>-36126929.75</v>
      </c>
      <c r="C224" s="62"/>
      <c r="D224" s="62">
        <f>-202948.63-202948.63-202948.63</f>
        <v>-608845.89</v>
      </c>
      <c r="E224" s="62"/>
      <c r="F224" s="62">
        <v>0</v>
      </c>
      <c r="G224" s="141"/>
      <c r="H224" s="62">
        <v>0</v>
      </c>
      <c r="I224" s="141"/>
      <c r="J224" s="62">
        <v>0</v>
      </c>
      <c r="K224" s="141"/>
      <c r="L224" s="62">
        <v>0</v>
      </c>
      <c r="M224" s="62"/>
      <c r="N224" s="62">
        <v>0</v>
      </c>
      <c r="O224" s="62"/>
      <c r="P224" s="62">
        <v>0</v>
      </c>
      <c r="Q224" s="62"/>
      <c r="R224" s="62">
        <f t="shared" si="18"/>
        <v>-36735775.640000001</v>
      </c>
      <c r="S224" s="66"/>
      <c r="T224" s="63"/>
      <c r="U224" s="63"/>
    </row>
    <row r="225" spans="1:21" s="60" customFormat="1" hidden="1" outlineLevel="1">
      <c r="A225" s="60" t="s">
        <v>948</v>
      </c>
      <c r="B225" s="62">
        <v>0.12000000000000455</v>
      </c>
      <c r="C225" s="62"/>
      <c r="D225" s="62">
        <v>0</v>
      </c>
      <c r="E225" s="62"/>
      <c r="F225" s="62">
        <v>0</v>
      </c>
      <c r="G225" s="141"/>
      <c r="H225" s="62">
        <v>9.89</v>
      </c>
      <c r="I225" s="141"/>
      <c r="J225" s="62">
        <v>0</v>
      </c>
      <c r="K225" s="141"/>
      <c r="L225" s="62">
        <v>0</v>
      </c>
      <c r="M225" s="62"/>
      <c r="N225" s="62">
        <v>0</v>
      </c>
      <c r="O225" s="62"/>
      <c r="P225" s="62">
        <v>0</v>
      </c>
      <c r="Q225" s="62"/>
      <c r="R225" s="62">
        <f t="shared" si="18"/>
        <v>10.010000000000005</v>
      </c>
      <c r="S225" s="66"/>
      <c r="T225" s="63"/>
      <c r="U225" s="63"/>
    </row>
    <row r="226" spans="1:21" s="60" customFormat="1" hidden="1" outlineLevel="1">
      <c r="A226" s="60" t="s">
        <v>1419</v>
      </c>
      <c r="B226" s="62">
        <v>-19731.169999999955</v>
      </c>
      <c r="C226" s="62"/>
      <c r="D226" s="62">
        <f>-1885.55-1885.55-2023.75</f>
        <v>-5794.85</v>
      </c>
      <c r="E226" s="62"/>
      <c r="F226" s="62">
        <v>0</v>
      </c>
      <c r="G226" s="141"/>
      <c r="H226" s="62">
        <v>0</v>
      </c>
      <c r="I226" s="141"/>
      <c r="J226" s="62">
        <v>0</v>
      </c>
      <c r="K226" s="141"/>
      <c r="L226" s="62">
        <v>0</v>
      </c>
      <c r="M226" s="62"/>
      <c r="N226" s="62">
        <v>0</v>
      </c>
      <c r="O226" s="62"/>
      <c r="P226" s="62">
        <v>0</v>
      </c>
      <c r="Q226" s="62"/>
      <c r="R226" s="62">
        <f t="shared" si="18"/>
        <v>-25526.019999999953</v>
      </c>
      <c r="S226" s="66"/>
      <c r="T226" s="63"/>
      <c r="U226" s="63"/>
    </row>
    <row r="227" spans="1:21" s="60" customFormat="1" hidden="1" outlineLevel="1">
      <c r="A227" s="60" t="s">
        <v>1420</v>
      </c>
      <c r="B227" s="62">
        <v>-555654.61</v>
      </c>
      <c r="C227" s="62"/>
      <c r="D227" s="62">
        <f>-49007.23-49007.23-49473.43</f>
        <v>-147487.89000000001</v>
      </c>
      <c r="E227" s="62"/>
      <c r="F227" s="62">
        <v>0</v>
      </c>
      <c r="G227" s="141"/>
      <c r="H227" s="62">
        <v>0</v>
      </c>
      <c r="I227" s="141"/>
      <c r="J227" s="62">
        <v>0</v>
      </c>
      <c r="K227" s="141"/>
      <c r="L227" s="62">
        <v>0</v>
      </c>
      <c r="M227" s="62"/>
      <c r="N227" s="62">
        <v>0</v>
      </c>
      <c r="O227" s="62"/>
      <c r="P227" s="62">
        <v>0</v>
      </c>
      <c r="Q227" s="62"/>
      <c r="R227" s="62">
        <f t="shared" si="18"/>
        <v>-703142.5</v>
      </c>
      <c r="S227" s="66"/>
      <c r="T227" s="63"/>
      <c r="U227" s="63"/>
    </row>
    <row r="228" spans="1:21" s="60" customFormat="1" hidden="1" outlineLevel="1">
      <c r="A228" s="60" t="s">
        <v>1421</v>
      </c>
      <c r="B228" s="62">
        <v>-74022005.489999995</v>
      </c>
      <c r="C228" s="62"/>
      <c r="D228" s="62">
        <f>-645728.4-645652.14-645820.29</f>
        <v>-1937200.83</v>
      </c>
      <c r="E228" s="62"/>
      <c r="F228" s="62">
        <f>50561.28-162043.69</f>
        <v>-111482.41</v>
      </c>
      <c r="G228" s="141"/>
      <c r="H228" s="62">
        <v>-9.89</v>
      </c>
      <c r="I228" s="141"/>
      <c r="J228" s="62">
        <v>0</v>
      </c>
      <c r="K228" s="141"/>
      <c r="L228" s="62">
        <f>533.88+266989.99</f>
        <v>267523.87</v>
      </c>
      <c r="M228" s="62"/>
      <c r="N228" s="62">
        <v>-37769.599999999999</v>
      </c>
      <c r="O228" s="62"/>
      <c r="P228" s="62">
        <v>0</v>
      </c>
      <c r="Q228" s="62"/>
      <c r="R228" s="62">
        <f t="shared" si="18"/>
        <v>-75840944.349999979</v>
      </c>
      <c r="S228" s="66"/>
      <c r="T228" s="63"/>
      <c r="U228" s="63"/>
    </row>
    <row r="229" spans="1:21" s="60" customFormat="1" hidden="1" outlineLevel="1">
      <c r="A229" s="60" t="s">
        <v>1422</v>
      </c>
      <c r="B229" s="62">
        <v>-237056.82</v>
      </c>
      <c r="C229" s="62"/>
      <c r="D229" s="62">
        <f>-9545.79-9545.79-9545.79</f>
        <v>-28637.370000000003</v>
      </c>
      <c r="E229" s="62"/>
      <c r="F229" s="62">
        <v>0</v>
      </c>
      <c r="G229" s="141"/>
      <c r="H229" s="62">
        <v>0</v>
      </c>
      <c r="I229" s="141"/>
      <c r="J229" s="62">
        <v>0</v>
      </c>
      <c r="K229" s="141"/>
      <c r="L229" s="62">
        <v>0</v>
      </c>
      <c r="M229" s="62"/>
      <c r="N229" s="62">
        <v>0</v>
      </c>
      <c r="O229" s="62"/>
      <c r="P229" s="62">
        <v>0</v>
      </c>
      <c r="Q229" s="62"/>
      <c r="R229" s="62">
        <f t="shared" si="18"/>
        <v>-265694.19</v>
      </c>
      <c r="S229" s="66"/>
      <c r="T229" s="63"/>
      <c r="U229" s="63"/>
    </row>
    <row r="230" spans="1:21" s="60" customFormat="1" hidden="1" outlineLevel="1">
      <c r="A230" s="60" t="s">
        <v>1423</v>
      </c>
      <c r="B230" s="62">
        <v>-3689290.16</v>
      </c>
      <c r="C230" s="62"/>
      <c r="D230" s="62">
        <f>-321978.96-322080.58-322272.61</f>
        <v>-966332.15</v>
      </c>
      <c r="E230" s="62"/>
      <c r="F230" s="62">
        <v>0</v>
      </c>
      <c r="G230" s="141"/>
      <c r="H230" s="62">
        <v>0</v>
      </c>
      <c r="I230" s="141"/>
      <c r="J230" s="62">
        <v>0</v>
      </c>
      <c r="K230" s="141"/>
      <c r="L230" s="62">
        <v>0</v>
      </c>
      <c r="M230" s="62"/>
      <c r="N230" s="62">
        <v>0</v>
      </c>
      <c r="O230" s="62"/>
      <c r="P230" s="62">
        <v>0</v>
      </c>
      <c r="Q230" s="62"/>
      <c r="R230" s="62">
        <f t="shared" si="18"/>
        <v>-4655622.3100000005</v>
      </c>
      <c r="S230" s="66"/>
      <c r="T230" s="63"/>
      <c r="U230" s="63"/>
    </row>
    <row r="231" spans="1:21" s="60" customFormat="1" hidden="1" outlineLevel="1">
      <c r="A231" s="60" t="s">
        <v>1424</v>
      </c>
      <c r="B231" s="62">
        <v>-1151837.24</v>
      </c>
      <c r="C231" s="62"/>
      <c r="D231" s="62">
        <f>-100803.85-100803.85-101223.27</f>
        <v>-302830.97000000003</v>
      </c>
      <c r="E231" s="62"/>
      <c r="F231" s="62">
        <v>0</v>
      </c>
      <c r="G231" s="141"/>
      <c r="H231" s="62">
        <v>0</v>
      </c>
      <c r="I231" s="141"/>
      <c r="J231" s="62">
        <v>0</v>
      </c>
      <c r="K231" s="141"/>
      <c r="L231" s="62">
        <v>0</v>
      </c>
      <c r="M231" s="62"/>
      <c r="N231" s="62">
        <v>0</v>
      </c>
      <c r="O231" s="62"/>
      <c r="P231" s="62">
        <v>0</v>
      </c>
      <c r="Q231" s="62"/>
      <c r="R231" s="62">
        <f t="shared" si="18"/>
        <v>-1454668.21</v>
      </c>
      <c r="S231" s="66"/>
      <c r="T231" s="63"/>
      <c r="U231" s="63"/>
    </row>
    <row r="232" spans="1:21" s="60" customFormat="1" hidden="1" outlineLevel="1">
      <c r="A232" s="332" t="s">
        <v>1453</v>
      </c>
      <c r="B232" s="62">
        <v>-5470.92</v>
      </c>
      <c r="C232" s="62"/>
      <c r="D232" s="62">
        <f>-10941.83-10941.83-10941.83</f>
        <v>-32825.49</v>
      </c>
      <c r="E232" s="62"/>
      <c r="F232" s="62">
        <v>0</v>
      </c>
      <c r="G232" s="141"/>
      <c r="H232" s="62">
        <v>0</v>
      </c>
      <c r="I232" s="141"/>
      <c r="J232" s="62">
        <v>0</v>
      </c>
      <c r="K232" s="141"/>
      <c r="L232" s="62">
        <v>0</v>
      </c>
      <c r="M232" s="62"/>
      <c r="N232" s="62">
        <v>0</v>
      </c>
      <c r="O232" s="62"/>
      <c r="P232" s="62">
        <v>0</v>
      </c>
      <c r="Q232" s="62"/>
      <c r="R232" s="62">
        <f t="shared" si="18"/>
        <v>-38296.409999999996</v>
      </c>
      <c r="S232" s="66"/>
      <c r="T232" s="63"/>
      <c r="U232" s="63"/>
    </row>
    <row r="233" spans="1:21" s="60" customFormat="1" hidden="1" outlineLevel="1">
      <c r="A233" s="307" t="s">
        <v>1399</v>
      </c>
      <c r="B233" s="62">
        <v>-45235293.059999987</v>
      </c>
      <c r="C233" s="62"/>
      <c r="D233" s="62">
        <f>-167189.73-167189.73-167189.73</f>
        <v>-501569.19000000006</v>
      </c>
      <c r="E233" s="62"/>
      <c r="F233" s="62">
        <v>0</v>
      </c>
      <c r="G233" s="141"/>
      <c r="H233" s="62">
        <v>0</v>
      </c>
      <c r="I233" s="141"/>
      <c r="J233" s="62">
        <v>0</v>
      </c>
      <c r="K233" s="141"/>
      <c r="L233" s="62">
        <v>0</v>
      </c>
      <c r="M233" s="62"/>
      <c r="N233" s="62">
        <v>0</v>
      </c>
      <c r="O233" s="62"/>
      <c r="P233" s="62">
        <v>0</v>
      </c>
      <c r="Q233" s="62"/>
      <c r="R233" s="62">
        <f t="shared" si="18"/>
        <v>-45736862.249999985</v>
      </c>
      <c r="S233" s="66"/>
      <c r="T233" s="63"/>
      <c r="U233" s="63"/>
    </row>
    <row r="234" spans="1:21" s="60" customFormat="1" hidden="1" outlineLevel="1">
      <c r="A234" s="307" t="s">
        <v>1400</v>
      </c>
      <c r="B234" s="62">
        <v>-1341497.8700000001</v>
      </c>
      <c r="C234" s="62"/>
      <c r="D234" s="62">
        <f>-24770.39-24770.39-24770.39</f>
        <v>-74311.17</v>
      </c>
      <c r="E234" s="62"/>
      <c r="F234" s="62">
        <v>0</v>
      </c>
      <c r="G234" s="141"/>
      <c r="H234" s="62">
        <v>0</v>
      </c>
      <c r="I234" s="141"/>
      <c r="J234" s="62">
        <v>0</v>
      </c>
      <c r="K234" s="141"/>
      <c r="L234" s="62">
        <v>0</v>
      </c>
      <c r="M234" s="62"/>
      <c r="N234" s="62">
        <v>0</v>
      </c>
      <c r="O234" s="62"/>
      <c r="P234" s="62">
        <v>0</v>
      </c>
      <c r="Q234" s="62"/>
      <c r="R234" s="62">
        <f t="shared" si="18"/>
        <v>-1415809.04</v>
      </c>
      <c r="S234" s="66"/>
      <c r="T234" s="63"/>
      <c r="U234" s="63"/>
    </row>
    <row r="235" spans="1:21" s="10" customFormat="1" collapsed="1">
      <c r="A235" s="10" t="s">
        <v>801</v>
      </c>
      <c r="B235" s="65">
        <f>SUM(B193:B234)</f>
        <v>-683029922.17999983</v>
      </c>
      <c r="C235" s="65"/>
      <c r="D235" s="65">
        <f>SUM(D193:D234)</f>
        <v>-14245612.970000003</v>
      </c>
      <c r="E235" s="65"/>
      <c r="F235" s="142">
        <f>SUM(F193:F234)</f>
        <v>828348.46</v>
      </c>
      <c r="G235" s="142"/>
      <c r="H235" s="142">
        <f>SUM(H193:H234)</f>
        <v>0</v>
      </c>
      <c r="I235" s="142"/>
      <c r="J235" s="142">
        <f>SUM(J193:J234)</f>
        <v>0</v>
      </c>
      <c r="K235" s="142"/>
      <c r="L235" s="142">
        <f>SUM(L193:L234)</f>
        <v>484461.29000000004</v>
      </c>
      <c r="M235" s="65"/>
      <c r="N235" s="65">
        <f>SUM(N193:N234)</f>
        <v>-114351.16</v>
      </c>
      <c r="O235" s="65"/>
      <c r="P235" s="65">
        <f>SUM(P193:P234)</f>
        <v>0</v>
      </c>
      <c r="Q235" s="65"/>
      <c r="R235" s="65">
        <f>SUM(R193:R234)</f>
        <v>-696077076.55999994</v>
      </c>
      <c r="S235" s="27"/>
      <c r="T235" s="24"/>
      <c r="U235" s="24"/>
    </row>
    <row r="236" spans="1:21" s="60" customFormat="1" hidden="1" outlineLevel="1">
      <c r="A236" s="60" t="s">
        <v>352</v>
      </c>
      <c r="B236" s="62">
        <v>-242992.11000000002</v>
      </c>
      <c r="C236" s="62"/>
      <c r="D236" s="62">
        <f>-965.91+264.56-27.45-965.91+264.56-27.45-965.91+264.56-27.45</f>
        <v>-2186.4</v>
      </c>
      <c r="E236" s="62"/>
      <c r="F236" s="62">
        <v>0</v>
      </c>
      <c r="G236" s="141"/>
      <c r="H236" s="62">
        <v>0</v>
      </c>
      <c r="I236" s="141"/>
      <c r="J236" s="62">
        <v>0</v>
      </c>
      <c r="K236" s="141"/>
      <c r="L236" s="62">
        <v>0</v>
      </c>
      <c r="M236" s="62"/>
      <c r="N236" s="62">
        <v>0</v>
      </c>
      <c r="O236" s="62"/>
      <c r="P236" s="62">
        <v>0</v>
      </c>
      <c r="Q236" s="62"/>
      <c r="R236" s="62">
        <f t="shared" si="14"/>
        <v>-245178.51</v>
      </c>
      <c r="S236" s="66"/>
      <c r="T236" s="63"/>
      <c r="U236" s="63"/>
    </row>
    <row r="237" spans="1:21" s="60" customFormat="1" hidden="1" outlineLevel="1">
      <c r="A237" s="60" t="s">
        <v>360</v>
      </c>
      <c r="B237" s="62">
        <v>-347364.6</v>
      </c>
      <c r="C237" s="62"/>
      <c r="D237" s="62">
        <f>-1049.4+257.4-28.29-1049.4+257.4-28.29-1049.4+257.4-28.29</f>
        <v>-2460.87</v>
      </c>
      <c r="E237" s="62"/>
      <c r="F237" s="62">
        <v>0</v>
      </c>
      <c r="G237" s="141"/>
      <c r="H237" s="62">
        <v>0</v>
      </c>
      <c r="I237" s="141"/>
      <c r="J237" s="62">
        <v>0</v>
      </c>
      <c r="K237" s="141"/>
      <c r="L237" s="62">
        <v>0</v>
      </c>
      <c r="M237" s="62"/>
      <c r="N237" s="62">
        <v>0</v>
      </c>
      <c r="O237" s="62"/>
      <c r="P237" s="62">
        <v>0</v>
      </c>
      <c r="Q237" s="62"/>
      <c r="R237" s="62">
        <f t="shared" si="14"/>
        <v>-349825.47</v>
      </c>
      <c r="S237" s="66"/>
      <c r="T237" s="63"/>
      <c r="U237" s="63"/>
    </row>
    <row r="238" spans="1:21" s="10" customFormat="1" collapsed="1">
      <c r="A238" s="10" t="s">
        <v>802</v>
      </c>
      <c r="B238" s="65">
        <f>SUM(B236:B237)</f>
        <v>-590356.71</v>
      </c>
      <c r="C238" s="65"/>
      <c r="D238" s="65">
        <f>SUM(D236:D237)</f>
        <v>-4647.2700000000004</v>
      </c>
      <c r="E238" s="65"/>
      <c r="F238" s="142">
        <f>SUM(F236:F237)</f>
        <v>0</v>
      </c>
      <c r="G238" s="142"/>
      <c r="H238" s="142">
        <f>SUM(H236:H237)</f>
        <v>0</v>
      </c>
      <c r="I238" s="142"/>
      <c r="J238" s="142">
        <f>SUM(J236:J237)</f>
        <v>0</v>
      </c>
      <c r="K238" s="142"/>
      <c r="L238" s="142">
        <f>SUM(L236:L237)</f>
        <v>0</v>
      </c>
      <c r="M238" s="65"/>
      <c r="N238" s="65">
        <f>SUM(N236:N237)</f>
        <v>0</v>
      </c>
      <c r="O238" s="65"/>
      <c r="P238" s="65">
        <f>SUM(P236:P237)</f>
        <v>0</v>
      </c>
      <c r="Q238" s="65"/>
      <c r="R238" s="65">
        <f>SUM(R236:R237)</f>
        <v>-595003.98</v>
      </c>
      <c r="S238" s="27"/>
      <c r="T238" s="24"/>
      <c r="U238" s="24"/>
    </row>
    <row r="239" spans="1:21" s="60" customFormat="1" hidden="1" outlineLevel="1">
      <c r="A239" s="60" t="s">
        <v>361</v>
      </c>
      <c r="B239" s="62">
        <v>-158076.85999999999</v>
      </c>
      <c r="C239" s="62"/>
      <c r="D239" s="62">
        <v>0</v>
      </c>
      <c r="E239" s="62"/>
      <c r="F239" s="62">
        <v>0</v>
      </c>
      <c r="G239" s="141"/>
      <c r="H239" s="62">
        <v>0</v>
      </c>
      <c r="I239" s="141"/>
      <c r="J239" s="62">
        <v>0</v>
      </c>
      <c r="K239" s="141"/>
      <c r="L239" s="62">
        <v>0</v>
      </c>
      <c r="M239" s="62"/>
      <c r="N239" s="62">
        <v>0</v>
      </c>
      <c r="O239" s="62"/>
      <c r="P239" s="62">
        <v>0</v>
      </c>
      <c r="Q239" s="62"/>
      <c r="R239" s="62">
        <f t="shared" si="14"/>
        <v>-158076.85999999999</v>
      </c>
      <c r="S239" s="66"/>
      <c r="T239" s="63"/>
      <c r="U239" s="63"/>
    </row>
    <row r="240" spans="1:21" s="60" customFormat="1" hidden="1" outlineLevel="1">
      <c r="A240" s="60" t="s">
        <v>363</v>
      </c>
      <c r="B240" s="62">
        <v>-20928.57</v>
      </c>
      <c r="C240" s="62"/>
      <c r="D240" s="62">
        <v>0</v>
      </c>
      <c r="E240" s="62"/>
      <c r="F240" s="62">
        <v>0</v>
      </c>
      <c r="G240" s="62"/>
      <c r="H240" s="62">
        <v>0</v>
      </c>
      <c r="I240" s="62"/>
      <c r="J240" s="62">
        <v>0</v>
      </c>
      <c r="K240" s="62"/>
      <c r="L240" s="62">
        <v>0</v>
      </c>
      <c r="M240" s="62"/>
      <c r="N240" s="62">
        <v>0</v>
      </c>
      <c r="O240" s="62"/>
      <c r="P240" s="62">
        <v>0</v>
      </c>
      <c r="Q240" s="62"/>
      <c r="R240" s="62">
        <f t="shared" si="14"/>
        <v>-20928.57</v>
      </c>
      <c r="S240" s="66"/>
      <c r="T240" s="63"/>
      <c r="U240" s="63"/>
    </row>
    <row r="241" spans="1:21" s="60" customFormat="1" hidden="1" outlineLevel="1">
      <c r="A241" s="60" t="s">
        <v>1058</v>
      </c>
      <c r="B241" s="62">
        <v>-1004854.68</v>
      </c>
      <c r="C241" s="62"/>
      <c r="D241" s="62">
        <v>0</v>
      </c>
      <c r="E241" s="62"/>
      <c r="F241" s="62">
        <v>0</v>
      </c>
      <c r="G241" s="62"/>
      <c r="H241" s="62">
        <v>0</v>
      </c>
      <c r="I241" s="62"/>
      <c r="J241" s="62">
        <v>0</v>
      </c>
      <c r="K241" s="62"/>
      <c r="L241" s="62">
        <v>0</v>
      </c>
      <c r="M241" s="62"/>
      <c r="N241" s="62">
        <v>0</v>
      </c>
      <c r="O241" s="62"/>
      <c r="P241" s="62">
        <v>0</v>
      </c>
      <c r="Q241" s="62"/>
      <c r="R241" s="62">
        <f t="shared" si="14"/>
        <v>-1004854.68</v>
      </c>
      <c r="S241" s="66"/>
      <c r="T241" s="63"/>
      <c r="U241" s="63"/>
    </row>
    <row r="242" spans="1:21" s="60" customFormat="1" hidden="1" outlineLevel="1">
      <c r="A242" s="60" t="s">
        <v>364</v>
      </c>
      <c r="B242" s="62">
        <v>-8958800.8300000001</v>
      </c>
      <c r="C242" s="62"/>
      <c r="D242" s="62">
        <f>-23995.14-23995.14-24105.76</f>
        <v>-72096.039999999994</v>
      </c>
      <c r="E242" s="62"/>
      <c r="F242" s="62">
        <v>0</v>
      </c>
      <c r="G242" s="62"/>
      <c r="H242" s="62">
        <v>0</v>
      </c>
      <c r="I242" s="62"/>
      <c r="J242" s="62">
        <v>0</v>
      </c>
      <c r="K242" s="62"/>
      <c r="L242" s="62">
        <v>0</v>
      </c>
      <c r="M242" s="62"/>
      <c r="N242" s="62">
        <v>0</v>
      </c>
      <c r="O242" s="62"/>
      <c r="P242" s="62">
        <v>0</v>
      </c>
      <c r="Q242" s="62"/>
      <c r="R242" s="62">
        <f t="shared" si="14"/>
        <v>-9030896.8699999992</v>
      </c>
      <c r="S242" s="66"/>
      <c r="T242" s="63"/>
      <c r="U242" s="63"/>
    </row>
    <row r="243" spans="1:21" s="60" customFormat="1" hidden="1" outlineLevel="1">
      <c r="A243" s="60" t="s">
        <v>365</v>
      </c>
      <c r="B243" s="62">
        <v>-7826617.2799999993</v>
      </c>
      <c r="C243" s="62"/>
      <c r="D243" s="62">
        <f>-14673.77-14673.77-14673.77</f>
        <v>-44021.31</v>
      </c>
      <c r="E243" s="62"/>
      <c r="F243" s="62">
        <v>0</v>
      </c>
      <c r="G243" s="62"/>
      <c r="H243" s="62">
        <v>0</v>
      </c>
      <c r="I243" s="62"/>
      <c r="J243" s="62">
        <v>0</v>
      </c>
      <c r="K243" s="62"/>
      <c r="L243" s="62">
        <v>0</v>
      </c>
      <c r="M243" s="62"/>
      <c r="N243" s="62">
        <v>0</v>
      </c>
      <c r="O243" s="62"/>
      <c r="P243" s="62">
        <v>0</v>
      </c>
      <c r="Q243" s="62"/>
      <c r="R243" s="62">
        <f t="shared" si="14"/>
        <v>-7870638.5899999989</v>
      </c>
      <c r="S243" s="66"/>
      <c r="T243" s="63"/>
      <c r="U243" s="63"/>
    </row>
    <row r="244" spans="1:21" s="60" customFormat="1" hidden="1" outlineLevel="1">
      <c r="A244" s="60" t="s">
        <v>367</v>
      </c>
      <c r="B244" s="62">
        <v>-11106733.52</v>
      </c>
      <c r="C244" s="62"/>
      <c r="D244" s="62">
        <f>-45863.38-45863.38-45863.32</f>
        <v>-137590.07999999999</v>
      </c>
      <c r="E244" s="62"/>
      <c r="F244" s="62">
        <v>0</v>
      </c>
      <c r="G244" s="62"/>
      <c r="H244" s="62">
        <v>0</v>
      </c>
      <c r="I244" s="62"/>
      <c r="J244" s="62">
        <v>0</v>
      </c>
      <c r="K244" s="62"/>
      <c r="L244" s="62">
        <v>0</v>
      </c>
      <c r="M244" s="62"/>
      <c r="N244" s="62">
        <v>0</v>
      </c>
      <c r="O244" s="62"/>
      <c r="P244" s="62">
        <v>0</v>
      </c>
      <c r="Q244" s="62"/>
      <c r="R244" s="62">
        <f t="shared" si="14"/>
        <v>-11244323.6</v>
      </c>
      <c r="S244" s="66"/>
      <c r="T244" s="63"/>
      <c r="U244" s="63"/>
    </row>
    <row r="245" spans="1:21" s="60" customFormat="1" hidden="1" outlineLevel="1">
      <c r="A245" s="60" t="s">
        <v>1055</v>
      </c>
      <c r="B245" s="62">
        <v>-13065010.409999998</v>
      </c>
      <c r="C245" s="62"/>
      <c r="D245" s="62">
        <f>-26313.26-26313.26-26313.26</f>
        <v>-78939.78</v>
      </c>
      <c r="E245" s="62"/>
      <c r="F245" s="62">
        <v>0</v>
      </c>
      <c r="G245" s="62"/>
      <c r="H245" s="62">
        <v>0</v>
      </c>
      <c r="I245" s="62"/>
      <c r="J245" s="62">
        <v>0</v>
      </c>
      <c r="K245" s="62"/>
      <c r="L245" s="62">
        <v>0</v>
      </c>
      <c r="M245" s="62"/>
      <c r="N245" s="62">
        <v>0</v>
      </c>
      <c r="O245" s="62"/>
      <c r="P245" s="62">
        <v>0</v>
      </c>
      <c r="Q245" s="62"/>
      <c r="R245" s="62">
        <f t="shared" si="14"/>
        <v>-13143950.189999998</v>
      </c>
      <c r="S245" s="66"/>
      <c r="T245" s="63"/>
      <c r="U245" s="63"/>
    </row>
    <row r="246" spans="1:21" s="60" customFormat="1" hidden="1" outlineLevel="1">
      <c r="A246" s="60" t="s">
        <v>368</v>
      </c>
      <c r="B246" s="62">
        <v>-13298104.98</v>
      </c>
      <c r="C246" s="62"/>
      <c r="D246" s="62">
        <f>-35036.61-35036.61-35056.49</f>
        <v>-105129.70999999999</v>
      </c>
      <c r="E246" s="62"/>
      <c r="F246" s="62">
        <v>0</v>
      </c>
      <c r="G246" s="62"/>
      <c r="H246" s="62">
        <v>0</v>
      </c>
      <c r="I246" s="62"/>
      <c r="J246" s="62">
        <v>0</v>
      </c>
      <c r="K246" s="62"/>
      <c r="L246" s="62">
        <v>0</v>
      </c>
      <c r="M246" s="62"/>
      <c r="N246" s="62">
        <v>0</v>
      </c>
      <c r="O246" s="62"/>
      <c r="P246" s="62">
        <v>0</v>
      </c>
      <c r="Q246" s="62"/>
      <c r="R246" s="62">
        <f t="shared" si="14"/>
        <v>-13403234.690000001</v>
      </c>
      <c r="S246" s="66"/>
      <c r="T246" s="63"/>
      <c r="U246" s="63"/>
    </row>
    <row r="247" spans="1:21" s="60" customFormat="1" hidden="1" outlineLevel="1">
      <c r="A247" s="60" t="s">
        <v>369</v>
      </c>
      <c r="B247" s="62">
        <v>-19495160.540000007</v>
      </c>
      <c r="C247" s="62"/>
      <c r="D247" s="62">
        <f>-56751.52-56714.68-56615.23</f>
        <v>-170081.43</v>
      </c>
      <c r="E247" s="62"/>
      <c r="F247" s="62">
        <f>41203.41+148404.77</f>
        <v>189608.18</v>
      </c>
      <c r="G247" s="62"/>
      <c r="H247" s="62">
        <v>0</v>
      </c>
      <c r="I247" s="62"/>
      <c r="J247" s="62">
        <v>0</v>
      </c>
      <c r="K247" s="62"/>
      <c r="L247" s="62">
        <f>13130.67+494043.57</f>
        <v>507174.24</v>
      </c>
      <c r="M247" s="62"/>
      <c r="N247" s="62">
        <v>0</v>
      </c>
      <c r="O247" s="62"/>
      <c r="P247" s="62">
        <v>0</v>
      </c>
      <c r="Q247" s="62"/>
      <c r="R247" s="62">
        <f>SUM(B247:P247)</f>
        <v>-18968459.550000008</v>
      </c>
      <c r="S247" s="66"/>
      <c r="T247" s="63"/>
      <c r="U247" s="63"/>
    </row>
    <row r="248" spans="1:21" s="60" customFormat="1" hidden="1" outlineLevel="1">
      <c r="A248" s="60" t="s">
        <v>55</v>
      </c>
      <c r="B248" s="62">
        <v>-28812799.34</v>
      </c>
      <c r="C248" s="62"/>
      <c r="D248" s="62">
        <f>-81243.77-81243.86-81241.11</f>
        <v>-243728.74</v>
      </c>
      <c r="E248" s="62"/>
      <c r="F248" s="62">
        <v>0</v>
      </c>
      <c r="G248" s="62"/>
      <c r="H248" s="62">
        <v>0</v>
      </c>
      <c r="I248" s="62"/>
      <c r="J248" s="62">
        <v>0</v>
      </c>
      <c r="K248" s="62"/>
      <c r="L248" s="62">
        <v>0</v>
      </c>
      <c r="M248" s="62"/>
      <c r="N248" s="62">
        <v>0</v>
      </c>
      <c r="O248" s="62"/>
      <c r="P248" s="62">
        <v>0</v>
      </c>
      <c r="Q248" s="62"/>
      <c r="R248" s="62">
        <f>SUM(B248:P248)</f>
        <v>-29056528.079999998</v>
      </c>
      <c r="S248" s="66"/>
      <c r="T248" s="63"/>
      <c r="U248" s="63"/>
    </row>
    <row r="249" spans="1:21" s="60" customFormat="1" hidden="1" outlineLevel="1">
      <c r="A249" s="60" t="s">
        <v>675</v>
      </c>
      <c r="B249" s="62">
        <v>293.62000000011176</v>
      </c>
      <c r="C249" s="62"/>
      <c r="D249" s="62">
        <v>0</v>
      </c>
      <c r="E249" s="62"/>
      <c r="F249" s="62">
        <v>0</v>
      </c>
      <c r="G249" s="141"/>
      <c r="H249" s="62">
        <v>15682.75</v>
      </c>
      <c r="I249" s="141"/>
      <c r="J249" s="62">
        <v>0</v>
      </c>
      <c r="K249" s="141"/>
      <c r="L249" s="62">
        <v>0</v>
      </c>
      <c r="M249" s="62"/>
      <c r="N249" s="62">
        <v>0</v>
      </c>
      <c r="O249" s="62"/>
      <c r="P249" s="62">
        <v>0</v>
      </c>
      <c r="Q249" s="62"/>
      <c r="R249" s="62">
        <f>SUM(B249:P249)</f>
        <v>15976.370000000112</v>
      </c>
      <c r="S249" s="66"/>
      <c r="T249" s="63"/>
      <c r="U249" s="63"/>
    </row>
    <row r="250" spans="1:21" s="60" customFormat="1" hidden="1" outlineLevel="1">
      <c r="A250" s="60" t="s">
        <v>297</v>
      </c>
      <c r="B250" s="62">
        <v>-22348510.510000002</v>
      </c>
      <c r="C250" s="62"/>
      <c r="D250" s="62">
        <f>-117802.01-117802.09-117799.85</f>
        <v>-353403.94999999995</v>
      </c>
      <c r="E250" s="62"/>
      <c r="F250" s="62">
        <v>0</v>
      </c>
      <c r="G250" s="62"/>
      <c r="H250" s="62">
        <v>-15682.75</v>
      </c>
      <c r="I250" s="62"/>
      <c r="J250" s="62">
        <v>0</v>
      </c>
      <c r="K250" s="62"/>
      <c r="L250" s="62">
        <v>0</v>
      </c>
      <c r="M250" s="62"/>
      <c r="N250" s="62">
        <v>0</v>
      </c>
      <c r="O250" s="62"/>
      <c r="P250" s="62">
        <v>0</v>
      </c>
      <c r="Q250" s="62"/>
      <c r="R250" s="62">
        <f>SUM(B250:P250)</f>
        <v>-22717597.210000001</v>
      </c>
      <c r="S250" s="66"/>
      <c r="T250" s="63"/>
      <c r="U250" s="63"/>
    </row>
    <row r="251" spans="1:21" s="60" customFormat="1" hidden="1" outlineLevel="1">
      <c r="A251" s="60" t="s">
        <v>1265</v>
      </c>
      <c r="B251" s="62">
        <v>-2602945.25</v>
      </c>
      <c r="C251" s="62"/>
      <c r="D251" s="62">
        <f>-47414.5-47480.51-47515</f>
        <v>-142410.01</v>
      </c>
      <c r="E251" s="62"/>
      <c r="F251" s="62">
        <v>0</v>
      </c>
      <c r="G251" s="62"/>
      <c r="H251" s="62">
        <v>0</v>
      </c>
      <c r="I251" s="62"/>
      <c r="J251" s="62">
        <v>0</v>
      </c>
      <c r="K251" s="62"/>
      <c r="L251" s="62">
        <v>0</v>
      </c>
      <c r="M251" s="62"/>
      <c r="N251" s="62">
        <v>0</v>
      </c>
      <c r="O251" s="62"/>
      <c r="P251" s="62">
        <v>0</v>
      </c>
      <c r="Q251" s="62"/>
      <c r="R251" s="62">
        <f>SUM(B251:P251)</f>
        <v>-2745355.26</v>
      </c>
      <c r="S251" s="66"/>
      <c r="T251" s="63"/>
      <c r="U251" s="63"/>
    </row>
    <row r="252" spans="1:21" s="10" customFormat="1" collapsed="1">
      <c r="A252" s="10" t="s">
        <v>803</v>
      </c>
      <c r="B252" s="65">
        <f>SUM(B239:B251)</f>
        <v>-128698249.15000001</v>
      </c>
      <c r="C252" s="65"/>
      <c r="D252" s="65">
        <f>SUM(D239:D251)</f>
        <v>-1347401.0499999998</v>
      </c>
      <c r="E252" s="65"/>
      <c r="F252" s="142">
        <f>SUM(F239:F251)</f>
        <v>189608.18</v>
      </c>
      <c r="G252" s="142"/>
      <c r="H252" s="142">
        <f>SUM(H239:H251)</f>
        <v>0</v>
      </c>
      <c r="I252" s="142"/>
      <c r="J252" s="142">
        <f>SUM(J239:J251)</f>
        <v>0</v>
      </c>
      <c r="K252" s="142"/>
      <c r="L252" s="142">
        <f>SUM(L239:L251)</f>
        <v>507174.24</v>
      </c>
      <c r="M252" s="142"/>
      <c r="N252" s="65">
        <f>SUM(N239:N251)</f>
        <v>0</v>
      </c>
      <c r="O252" s="65"/>
      <c r="P252" s="65">
        <f>SUM(P239:P251)</f>
        <v>0</v>
      </c>
      <c r="Q252" s="65"/>
      <c r="R252" s="65">
        <f>SUM(R239:R251)</f>
        <v>-129348867.78000002</v>
      </c>
      <c r="S252" s="27"/>
      <c r="T252" s="24"/>
      <c r="U252" s="24"/>
    </row>
    <row r="253" spans="1:21" s="60" customFormat="1" ht="12" hidden="1" customHeight="1" outlineLevel="1">
      <c r="A253" s="60" t="s">
        <v>298</v>
      </c>
      <c r="B253" s="62">
        <v>-2336183.31</v>
      </c>
      <c r="C253" s="62"/>
      <c r="D253" s="62">
        <v>0</v>
      </c>
      <c r="E253" s="62"/>
      <c r="F253" s="62">
        <v>0</v>
      </c>
      <c r="G253" s="141"/>
      <c r="H253" s="62">
        <v>0</v>
      </c>
      <c r="I253" s="141"/>
      <c r="J253" s="62">
        <v>0</v>
      </c>
      <c r="K253" s="141"/>
      <c r="L253" s="62">
        <v>0</v>
      </c>
      <c r="M253" s="141"/>
      <c r="N253" s="62">
        <v>0</v>
      </c>
      <c r="O253" s="62"/>
      <c r="P253" s="62">
        <v>0</v>
      </c>
      <c r="Q253" s="62"/>
      <c r="R253" s="62">
        <f t="shared" ref="R253:R299" si="19">SUM(B253:P253)</f>
        <v>-2336183.31</v>
      </c>
      <c r="S253" s="66"/>
      <c r="T253" s="63"/>
      <c r="U253" s="63"/>
    </row>
    <row r="254" spans="1:21" s="60" customFormat="1" ht="12" hidden="1" customHeight="1" outlineLevel="1">
      <c r="A254" s="60" t="s">
        <v>299</v>
      </c>
      <c r="B254" s="62">
        <v>-1625642.34</v>
      </c>
      <c r="C254" s="62"/>
      <c r="D254" s="62">
        <v>0</v>
      </c>
      <c r="E254" s="62"/>
      <c r="F254" s="62">
        <v>0</v>
      </c>
      <c r="G254" s="141"/>
      <c r="H254" s="62">
        <v>0</v>
      </c>
      <c r="I254" s="141"/>
      <c r="J254" s="62">
        <v>0</v>
      </c>
      <c r="K254" s="141"/>
      <c r="L254" s="62">
        <v>0</v>
      </c>
      <c r="M254" s="141"/>
      <c r="N254" s="62">
        <v>0</v>
      </c>
      <c r="O254" s="62"/>
      <c r="P254" s="62">
        <v>0</v>
      </c>
      <c r="Q254" s="62"/>
      <c r="R254" s="62">
        <f t="shared" si="19"/>
        <v>-1625642.34</v>
      </c>
      <c r="S254" s="66"/>
      <c r="T254" s="63"/>
      <c r="U254" s="63"/>
    </row>
    <row r="255" spans="1:21" s="60" customFormat="1" ht="12" hidden="1" customHeight="1" outlineLevel="1">
      <c r="A255" s="60" t="s">
        <v>301</v>
      </c>
      <c r="B255" s="62">
        <v>-1319656.5900000001</v>
      </c>
      <c r="C255" s="62"/>
      <c r="D255" s="62">
        <v>0</v>
      </c>
      <c r="E255" s="62"/>
      <c r="F255" s="62">
        <v>0</v>
      </c>
      <c r="G255" s="141"/>
      <c r="H255" s="62">
        <v>0</v>
      </c>
      <c r="I255" s="141"/>
      <c r="J255" s="62">
        <v>0</v>
      </c>
      <c r="K255" s="141"/>
      <c r="L255" s="62">
        <v>0</v>
      </c>
      <c r="M255" s="141"/>
      <c r="N255" s="62">
        <v>0</v>
      </c>
      <c r="O255" s="62"/>
      <c r="P255" s="62">
        <v>0</v>
      </c>
      <c r="Q255" s="62"/>
      <c r="R255" s="62">
        <f t="shared" si="19"/>
        <v>-1319656.5900000001</v>
      </c>
      <c r="S255" s="66"/>
      <c r="T255" s="63"/>
      <c r="U255" s="63"/>
    </row>
    <row r="256" spans="1:21" s="60" customFormat="1" ht="12" hidden="1" customHeight="1" outlineLevel="1">
      <c r="A256" s="60" t="s">
        <v>724</v>
      </c>
      <c r="B256" s="62">
        <v>-4108386.62</v>
      </c>
      <c r="C256" s="62"/>
      <c r="D256" s="62">
        <f>-15690.42-15690.42-15690.42</f>
        <v>-47071.26</v>
      </c>
      <c r="E256" s="62"/>
      <c r="F256" s="62">
        <v>0</v>
      </c>
      <c r="G256" s="141"/>
      <c r="H256" s="62">
        <v>0</v>
      </c>
      <c r="I256" s="141"/>
      <c r="J256" s="62">
        <v>0</v>
      </c>
      <c r="K256" s="141"/>
      <c r="L256" s="62">
        <v>0</v>
      </c>
      <c r="M256" s="141"/>
      <c r="N256" s="62">
        <v>0</v>
      </c>
      <c r="O256" s="62"/>
      <c r="P256" s="62">
        <v>0</v>
      </c>
      <c r="Q256" s="62"/>
      <c r="R256" s="62">
        <f t="shared" si="19"/>
        <v>-4155457.88</v>
      </c>
      <c r="S256" s="66"/>
      <c r="T256" s="63"/>
      <c r="U256" s="63"/>
    </row>
    <row r="257" spans="1:22" s="60" customFormat="1" ht="12" hidden="1" customHeight="1" outlineLevel="1">
      <c r="A257" s="60" t="s">
        <v>302</v>
      </c>
      <c r="B257" s="62">
        <v>-2242582.6500000004</v>
      </c>
      <c r="C257" s="62"/>
      <c r="D257" s="62">
        <f>-675.1-675.1-675.1</f>
        <v>-2025.3000000000002</v>
      </c>
      <c r="E257" s="62"/>
      <c r="F257" s="62">
        <v>0</v>
      </c>
      <c r="G257" s="141"/>
      <c r="H257" s="62">
        <v>0</v>
      </c>
      <c r="I257" s="141"/>
      <c r="J257" s="62">
        <v>0</v>
      </c>
      <c r="K257" s="141"/>
      <c r="L257" s="62">
        <v>0</v>
      </c>
      <c r="M257" s="141"/>
      <c r="N257" s="62">
        <v>0</v>
      </c>
      <c r="O257" s="62"/>
      <c r="P257" s="62">
        <v>0</v>
      </c>
      <c r="Q257" s="62"/>
      <c r="R257" s="62">
        <f t="shared" si="19"/>
        <v>-2244607.9500000002</v>
      </c>
      <c r="S257" s="66"/>
      <c r="T257" s="63"/>
      <c r="U257" s="63"/>
    </row>
    <row r="258" spans="1:22" s="60" customFormat="1" ht="12" hidden="1" customHeight="1" outlineLevel="1">
      <c r="A258" s="60" t="s">
        <v>303</v>
      </c>
      <c r="B258" s="62">
        <v>-4222622.1100000013</v>
      </c>
      <c r="C258" s="62"/>
      <c r="D258" s="62">
        <f>-23351.19-23351.19-23351.19</f>
        <v>-70053.569999999992</v>
      </c>
      <c r="E258" s="62"/>
      <c r="F258" s="62">
        <v>0</v>
      </c>
      <c r="G258" s="141"/>
      <c r="H258" s="62">
        <v>0</v>
      </c>
      <c r="I258" s="141"/>
      <c r="J258" s="62">
        <v>0</v>
      </c>
      <c r="K258" s="141"/>
      <c r="L258" s="62">
        <v>206000</v>
      </c>
      <c r="M258" s="141"/>
      <c r="N258" s="62">
        <v>-11875</v>
      </c>
      <c r="O258" s="62"/>
      <c r="P258" s="62">
        <v>0</v>
      </c>
      <c r="Q258" s="62"/>
      <c r="R258" s="62">
        <f t="shared" si="19"/>
        <v>-4098550.6800000016</v>
      </c>
      <c r="S258" s="66"/>
      <c r="T258" s="63"/>
      <c r="U258" s="63"/>
    </row>
    <row r="259" spans="1:22" s="60" customFormat="1" ht="12" hidden="1" customHeight="1" outlineLevel="1">
      <c r="A259" s="60" t="s">
        <v>304</v>
      </c>
      <c r="B259" s="62">
        <v>-3101669.6599999997</v>
      </c>
      <c r="C259" s="62"/>
      <c r="D259" s="62">
        <f>-2752.15-2752.15-2752.15</f>
        <v>-8256.4500000000007</v>
      </c>
      <c r="E259" s="62"/>
      <c r="F259" s="62">
        <v>0</v>
      </c>
      <c r="G259" s="141"/>
      <c r="H259" s="62">
        <v>0</v>
      </c>
      <c r="I259" s="141"/>
      <c r="J259" s="62">
        <v>0</v>
      </c>
      <c r="K259" s="141"/>
      <c r="L259" s="62">
        <v>0</v>
      </c>
      <c r="M259" s="141"/>
      <c r="N259" s="62">
        <v>0</v>
      </c>
      <c r="O259" s="62"/>
      <c r="P259" s="62">
        <v>0</v>
      </c>
      <c r="Q259" s="62"/>
      <c r="R259" s="62">
        <f t="shared" si="19"/>
        <v>-3109926.11</v>
      </c>
      <c r="S259" s="66"/>
      <c r="T259" s="63"/>
      <c r="U259" s="63"/>
    </row>
    <row r="260" spans="1:22" s="60" customFormat="1" ht="12" hidden="1" customHeight="1" outlineLevel="1">
      <c r="A260" s="60" t="s">
        <v>722</v>
      </c>
      <c r="B260" s="62">
        <v>-6530052.7799999993</v>
      </c>
      <c r="C260" s="62"/>
      <c r="D260" s="62">
        <f>-29405.34-29407.28-29449.48</f>
        <v>-88262.099999999991</v>
      </c>
      <c r="E260" s="62"/>
      <c r="F260" s="62">
        <f>-1985.68+16250.57</f>
        <v>14264.89</v>
      </c>
      <c r="G260" s="141"/>
      <c r="H260" s="62">
        <v>-0.01</v>
      </c>
      <c r="I260" s="141"/>
      <c r="J260" s="62">
        <v>0</v>
      </c>
      <c r="K260" s="141"/>
      <c r="L260" s="62">
        <f>33876.99+6708.08</f>
        <v>40585.07</v>
      </c>
      <c r="M260" s="141"/>
      <c r="N260" s="62">
        <v>0</v>
      </c>
      <c r="O260" s="62"/>
      <c r="P260" s="62">
        <v>0</v>
      </c>
      <c r="Q260" s="62"/>
      <c r="R260" s="62">
        <f t="shared" si="19"/>
        <v>-6563464.9299999988</v>
      </c>
      <c r="S260" s="66"/>
      <c r="T260" s="63"/>
      <c r="U260" s="63"/>
    </row>
    <row r="261" spans="1:22" s="60" customFormat="1" ht="12" hidden="1" customHeight="1" outlineLevel="1">
      <c r="A261" s="60" t="s">
        <v>305</v>
      </c>
      <c r="B261" s="62">
        <v>-2881460.8000000003</v>
      </c>
      <c r="C261" s="62"/>
      <c r="D261" s="62">
        <f>-2639.89-2639.89-2639.89</f>
        <v>-7919.67</v>
      </c>
      <c r="E261" s="62"/>
      <c r="F261" s="62">
        <v>0</v>
      </c>
      <c r="G261" s="141"/>
      <c r="H261" s="62">
        <v>0</v>
      </c>
      <c r="I261" s="141"/>
      <c r="J261" s="62">
        <v>0</v>
      </c>
      <c r="K261" s="141"/>
      <c r="L261" s="62">
        <v>0</v>
      </c>
      <c r="M261" s="141"/>
      <c r="N261" s="62">
        <v>0</v>
      </c>
      <c r="O261" s="62"/>
      <c r="P261" s="62">
        <v>0</v>
      </c>
      <c r="Q261" s="62"/>
      <c r="R261" s="62">
        <f t="shared" si="19"/>
        <v>-2889380.47</v>
      </c>
      <c r="S261" s="66"/>
      <c r="T261" s="63"/>
      <c r="U261" s="63"/>
    </row>
    <row r="262" spans="1:22" s="60" customFormat="1" ht="12" hidden="1" customHeight="1" outlineLevel="1">
      <c r="A262" s="60" t="s">
        <v>306</v>
      </c>
      <c r="B262" s="62">
        <v>-8785315.8600000013</v>
      </c>
      <c r="C262" s="62"/>
      <c r="D262" s="62">
        <f>-35949.05-35944.96-35944.96</f>
        <v>-107838.97</v>
      </c>
      <c r="E262" s="62"/>
      <c r="F262" s="62">
        <v>0</v>
      </c>
      <c r="G262" s="141"/>
      <c r="H262" s="62">
        <v>0</v>
      </c>
      <c r="I262" s="141"/>
      <c r="J262" s="62">
        <v>0</v>
      </c>
      <c r="K262" s="141"/>
      <c r="L262" s="62">
        <v>0</v>
      </c>
      <c r="M262" s="141"/>
      <c r="N262" s="62">
        <v>0</v>
      </c>
      <c r="O262" s="62"/>
      <c r="P262" s="62">
        <v>0</v>
      </c>
      <c r="Q262" s="62"/>
      <c r="R262" s="62">
        <f t="shared" si="19"/>
        <v>-8893154.8300000019</v>
      </c>
      <c r="S262" s="66"/>
      <c r="T262" s="63"/>
      <c r="U262" s="63"/>
      <c r="V262" s="63"/>
    </row>
    <row r="263" spans="1:22" s="60" customFormat="1" ht="12" hidden="1" customHeight="1" outlineLevel="1">
      <c r="A263" s="60" t="s">
        <v>854</v>
      </c>
      <c r="B263" s="62">
        <v>-6339780</v>
      </c>
      <c r="C263" s="62"/>
      <c r="D263" s="62">
        <f>-7712.19-7712.19-7712.19</f>
        <v>-23136.57</v>
      </c>
      <c r="E263" s="62"/>
      <c r="F263" s="62">
        <v>0</v>
      </c>
      <c r="G263" s="141"/>
      <c r="H263" s="62">
        <v>0</v>
      </c>
      <c r="I263" s="141"/>
      <c r="J263" s="62">
        <v>0</v>
      </c>
      <c r="K263" s="141"/>
      <c r="L263" s="62">
        <v>0</v>
      </c>
      <c r="M263" s="141"/>
      <c r="N263" s="62">
        <v>0</v>
      </c>
      <c r="O263" s="62"/>
      <c r="P263" s="62">
        <v>0</v>
      </c>
      <c r="Q263" s="62"/>
      <c r="R263" s="62">
        <f t="shared" si="19"/>
        <v>-6362916.5700000003</v>
      </c>
      <c r="S263" s="66"/>
      <c r="T263" s="63"/>
      <c r="U263" s="63"/>
    </row>
    <row r="264" spans="1:22" s="60" customFormat="1" ht="12" hidden="1" customHeight="1" outlineLevel="1">
      <c r="A264" s="60" t="s">
        <v>719</v>
      </c>
      <c r="B264" s="62">
        <v>-5406410.1199999992</v>
      </c>
      <c r="C264" s="62"/>
      <c r="D264" s="62">
        <f>-12544.16-12544.16-12544.16</f>
        <v>-37632.479999999996</v>
      </c>
      <c r="E264" s="62"/>
      <c r="F264" s="62">
        <v>0</v>
      </c>
      <c r="G264" s="141"/>
      <c r="H264" s="62">
        <v>0</v>
      </c>
      <c r="I264" s="141"/>
      <c r="J264" s="62">
        <v>0</v>
      </c>
      <c r="K264" s="141"/>
      <c r="L264" s="62">
        <v>0</v>
      </c>
      <c r="M264" s="141"/>
      <c r="N264" s="62">
        <v>0</v>
      </c>
      <c r="O264" s="62"/>
      <c r="P264" s="62">
        <v>0</v>
      </c>
      <c r="Q264" s="62"/>
      <c r="R264" s="62">
        <f t="shared" si="19"/>
        <v>-5444042.5999999996</v>
      </c>
      <c r="S264" s="66"/>
      <c r="T264" s="63"/>
      <c r="U264" s="63"/>
    </row>
    <row r="265" spans="1:22" s="60" customFormat="1" ht="12" hidden="1" customHeight="1" outlineLevel="1">
      <c r="A265" s="60" t="s">
        <v>855</v>
      </c>
      <c r="B265" s="62">
        <v>-5204518.5500000007</v>
      </c>
      <c r="C265" s="62"/>
      <c r="D265" s="62">
        <f>-6344.62-6344.62-6344.62</f>
        <v>-19033.86</v>
      </c>
      <c r="E265" s="62"/>
      <c r="F265" s="62">
        <v>0</v>
      </c>
      <c r="G265" s="141"/>
      <c r="H265" s="62">
        <v>0</v>
      </c>
      <c r="I265" s="141"/>
      <c r="J265" s="62">
        <v>0</v>
      </c>
      <c r="K265" s="141"/>
      <c r="L265" s="62">
        <v>0</v>
      </c>
      <c r="M265" s="141"/>
      <c r="N265" s="62">
        <v>0</v>
      </c>
      <c r="O265" s="62"/>
      <c r="P265" s="62">
        <v>0</v>
      </c>
      <c r="Q265" s="62"/>
      <c r="R265" s="62">
        <f t="shared" si="19"/>
        <v>-5223552.4100000011</v>
      </c>
      <c r="S265" s="66"/>
      <c r="T265" s="63"/>
      <c r="U265" s="63"/>
    </row>
    <row r="266" spans="1:22" s="60" customFormat="1" ht="12" hidden="1" customHeight="1" outlineLevel="1">
      <c r="A266" s="60" t="s">
        <v>856</v>
      </c>
      <c r="B266" s="62">
        <v>-12924882.010000002</v>
      </c>
      <c r="C266" s="62"/>
      <c r="D266" s="62">
        <f>-19815.68-19815.68-19815.68</f>
        <v>-59447.040000000001</v>
      </c>
      <c r="E266" s="62"/>
      <c r="F266" s="62">
        <v>0</v>
      </c>
      <c r="G266" s="141"/>
      <c r="H266" s="62">
        <v>0</v>
      </c>
      <c r="I266" s="141"/>
      <c r="J266" s="62">
        <v>0</v>
      </c>
      <c r="K266" s="141"/>
      <c r="L266" s="62">
        <v>0</v>
      </c>
      <c r="M266" s="141"/>
      <c r="N266" s="62">
        <v>0</v>
      </c>
      <c r="O266" s="62"/>
      <c r="P266" s="62">
        <v>0</v>
      </c>
      <c r="Q266" s="62"/>
      <c r="R266" s="62">
        <f t="shared" si="19"/>
        <v>-12984329.050000001</v>
      </c>
      <c r="S266" s="66"/>
      <c r="T266" s="63"/>
      <c r="U266" s="63"/>
    </row>
    <row r="267" spans="1:22" s="60" customFormat="1" ht="12" hidden="1" customHeight="1" outlineLevel="1">
      <c r="A267" s="60" t="s">
        <v>857</v>
      </c>
      <c r="B267" s="62">
        <v>-3353363.5300000003</v>
      </c>
      <c r="C267" s="62"/>
      <c r="D267" s="62">
        <f>-3291.3-3291.3-3291.3</f>
        <v>-9873.9000000000015</v>
      </c>
      <c r="E267" s="62"/>
      <c r="F267" s="62">
        <v>0</v>
      </c>
      <c r="G267" s="141"/>
      <c r="H267" s="62">
        <v>0</v>
      </c>
      <c r="I267" s="141"/>
      <c r="J267" s="62">
        <v>0</v>
      </c>
      <c r="K267" s="141"/>
      <c r="L267" s="62">
        <v>0</v>
      </c>
      <c r="M267" s="141"/>
      <c r="N267" s="62">
        <v>0</v>
      </c>
      <c r="O267" s="62"/>
      <c r="P267" s="62">
        <v>0</v>
      </c>
      <c r="Q267" s="62"/>
      <c r="R267" s="62">
        <f t="shared" si="19"/>
        <v>-3363237.43</v>
      </c>
      <c r="S267" s="66"/>
      <c r="T267" s="63"/>
      <c r="U267" s="63"/>
    </row>
    <row r="268" spans="1:22" s="60" customFormat="1" ht="12" hidden="1" customHeight="1" outlineLevel="1">
      <c r="A268" s="60" t="s">
        <v>858</v>
      </c>
      <c r="B268" s="62">
        <v>-17602916.299999993</v>
      </c>
      <c r="C268" s="62"/>
      <c r="D268" s="62">
        <f>-35047.46-35047.46-35047.46</f>
        <v>-105142.38</v>
      </c>
      <c r="E268" s="62"/>
      <c r="F268" s="62">
        <v>0</v>
      </c>
      <c r="G268" s="141"/>
      <c r="H268" s="62">
        <v>-0.01</v>
      </c>
      <c r="I268" s="141"/>
      <c r="J268" s="62">
        <v>0</v>
      </c>
      <c r="K268" s="141"/>
      <c r="L268" s="62">
        <v>0</v>
      </c>
      <c r="M268" s="141"/>
      <c r="N268" s="62">
        <v>0</v>
      </c>
      <c r="O268" s="62"/>
      <c r="P268" s="62">
        <v>0</v>
      </c>
      <c r="Q268" s="62"/>
      <c r="R268" s="62">
        <f t="shared" si="19"/>
        <v>-17708058.689999994</v>
      </c>
      <c r="S268" s="66"/>
      <c r="T268" s="63"/>
      <c r="U268" s="63"/>
    </row>
    <row r="269" spans="1:22" s="60" customFormat="1" ht="12" hidden="1" customHeight="1" outlineLevel="1">
      <c r="A269" s="60" t="s">
        <v>859</v>
      </c>
      <c r="B269" s="62">
        <v>-5812659.8200000003</v>
      </c>
      <c r="C269" s="62"/>
      <c r="D269" s="62">
        <f>-8357.59-8357.59-8357.59</f>
        <v>-25072.77</v>
      </c>
      <c r="E269" s="62"/>
      <c r="F269" s="62">
        <v>0</v>
      </c>
      <c r="G269" s="141"/>
      <c r="H269" s="62">
        <v>0</v>
      </c>
      <c r="I269" s="141"/>
      <c r="J269" s="62">
        <v>0</v>
      </c>
      <c r="K269" s="141"/>
      <c r="L269" s="62">
        <v>0</v>
      </c>
      <c r="M269" s="141"/>
      <c r="N269" s="62">
        <v>0</v>
      </c>
      <c r="O269" s="62"/>
      <c r="P269" s="62">
        <v>0</v>
      </c>
      <c r="Q269" s="62"/>
      <c r="R269" s="62">
        <f t="shared" si="19"/>
        <v>-5837732.5899999999</v>
      </c>
      <c r="S269" s="66"/>
      <c r="T269" s="63"/>
      <c r="U269" s="63"/>
    </row>
    <row r="270" spans="1:22" s="60" customFormat="1" hidden="1" outlineLevel="1">
      <c r="A270" s="60" t="s">
        <v>676</v>
      </c>
      <c r="B270" s="62">
        <v>-9.0949470177292824E-13</v>
      </c>
      <c r="C270" s="62"/>
      <c r="D270" s="62">
        <v>0</v>
      </c>
      <c r="E270" s="62"/>
      <c r="F270" s="62">
        <v>0</v>
      </c>
      <c r="G270" s="141"/>
      <c r="H270" s="62">
        <v>0</v>
      </c>
      <c r="I270" s="141"/>
      <c r="J270" s="62">
        <v>0</v>
      </c>
      <c r="K270" s="141"/>
      <c r="L270" s="62">
        <v>0</v>
      </c>
      <c r="M270" s="62"/>
      <c r="N270" s="62">
        <v>0</v>
      </c>
      <c r="O270" s="62"/>
      <c r="P270" s="62">
        <v>0</v>
      </c>
      <c r="Q270" s="62"/>
      <c r="R270" s="62">
        <f>SUM(B270:P270)</f>
        <v>-9.0949470177292824E-13</v>
      </c>
      <c r="S270" s="66"/>
      <c r="T270" s="63"/>
      <c r="U270" s="63"/>
    </row>
    <row r="271" spans="1:22" s="60" customFormat="1" ht="12" hidden="1" customHeight="1" outlineLevel="1">
      <c r="A271" s="60" t="s">
        <v>1425</v>
      </c>
      <c r="B271" s="62">
        <v>-162691.32</v>
      </c>
      <c r="C271" s="62"/>
      <c r="D271" s="62">
        <f>-14135.51-14205.83-14317.53</f>
        <v>-42658.87</v>
      </c>
      <c r="E271" s="62"/>
      <c r="F271" s="62">
        <v>0</v>
      </c>
      <c r="G271" s="141"/>
      <c r="H271" s="62">
        <v>0</v>
      </c>
      <c r="I271" s="141"/>
      <c r="J271" s="62">
        <v>0</v>
      </c>
      <c r="K271" s="141"/>
      <c r="L271" s="62">
        <v>0</v>
      </c>
      <c r="M271" s="141"/>
      <c r="N271" s="62">
        <v>0</v>
      </c>
      <c r="O271" s="62"/>
      <c r="P271" s="62">
        <v>0</v>
      </c>
      <c r="Q271" s="62"/>
      <c r="R271" s="62">
        <f>SUM(B271:P271)</f>
        <v>-205350.19</v>
      </c>
      <c r="S271" s="66"/>
      <c r="T271" s="63"/>
      <c r="U271" s="63"/>
    </row>
    <row r="272" spans="1:22" s="60" customFormat="1" ht="12" hidden="1" customHeight="1" outlineLevel="1">
      <c r="A272" s="60" t="s">
        <v>1426</v>
      </c>
      <c r="B272" s="62">
        <v>-29225.72</v>
      </c>
      <c r="C272" s="62"/>
      <c r="D272" s="62">
        <f>-3143.29-3143.29-3143.29</f>
        <v>-9429.869999999999</v>
      </c>
      <c r="E272" s="62"/>
      <c r="F272" s="62">
        <v>0</v>
      </c>
      <c r="G272" s="141"/>
      <c r="H272" s="62">
        <v>0</v>
      </c>
      <c r="I272" s="141"/>
      <c r="J272" s="62">
        <v>0</v>
      </c>
      <c r="K272" s="141"/>
      <c r="L272" s="62">
        <v>0</v>
      </c>
      <c r="M272" s="141"/>
      <c r="N272" s="62">
        <v>0</v>
      </c>
      <c r="O272" s="62"/>
      <c r="P272" s="62">
        <v>0</v>
      </c>
      <c r="Q272" s="62"/>
      <c r="R272" s="62">
        <f>SUM(B272:P272)</f>
        <v>-38655.589999999997</v>
      </c>
      <c r="S272" s="66"/>
      <c r="T272" s="63"/>
      <c r="U272" s="63"/>
    </row>
    <row r="273" spans="1:21" s="60" customFormat="1" ht="12" hidden="1" customHeight="1" outlineLevel="1">
      <c r="A273" s="60" t="s">
        <v>860</v>
      </c>
      <c r="B273" s="62">
        <v>-25131907.300000001</v>
      </c>
      <c r="C273" s="62"/>
      <c r="D273" s="62">
        <f>-87256.55-87256.27-87256.27</f>
        <v>-261769.09000000003</v>
      </c>
      <c r="E273" s="62"/>
      <c r="F273" s="62">
        <v>0</v>
      </c>
      <c r="G273" s="141"/>
      <c r="H273" s="62">
        <v>0.01</v>
      </c>
      <c r="I273" s="141"/>
      <c r="J273" s="62">
        <v>0</v>
      </c>
      <c r="K273" s="141"/>
      <c r="L273" s="62">
        <v>0</v>
      </c>
      <c r="M273" s="141"/>
      <c r="N273" s="62">
        <v>0</v>
      </c>
      <c r="O273" s="62"/>
      <c r="P273" s="62">
        <v>0</v>
      </c>
      <c r="Q273" s="62"/>
      <c r="R273" s="62">
        <f>SUM(B273:P273)</f>
        <v>-25393676.379999999</v>
      </c>
      <c r="S273" s="66"/>
      <c r="T273" s="63"/>
      <c r="U273" s="63"/>
    </row>
    <row r="274" spans="1:21" s="60" customFormat="1" ht="12" hidden="1" customHeight="1" outlineLevel="1">
      <c r="A274" s="60" t="s">
        <v>862</v>
      </c>
      <c r="B274" s="62">
        <v>-2325798.2800000003</v>
      </c>
      <c r="C274" s="62"/>
      <c r="D274" s="62">
        <f>-4835.22-4835.22-4835.22</f>
        <v>-14505.66</v>
      </c>
      <c r="E274" s="62"/>
      <c r="F274" s="62">
        <v>0</v>
      </c>
      <c r="G274" s="141"/>
      <c r="H274" s="62">
        <v>0</v>
      </c>
      <c r="I274" s="141"/>
      <c r="J274" s="62">
        <v>0</v>
      </c>
      <c r="K274" s="141"/>
      <c r="L274" s="62">
        <v>0</v>
      </c>
      <c r="M274" s="141"/>
      <c r="N274" s="62">
        <v>0</v>
      </c>
      <c r="O274" s="62"/>
      <c r="P274" s="62">
        <v>0</v>
      </c>
      <c r="Q274" s="62"/>
      <c r="R274" s="62">
        <f>SUM(B274:P274)</f>
        <v>-2340303.9400000004</v>
      </c>
      <c r="S274" s="66"/>
      <c r="T274" s="63"/>
      <c r="U274" s="63"/>
    </row>
    <row r="275" spans="1:21" s="10" customFormat="1" ht="12" customHeight="1" collapsed="1">
      <c r="A275" s="10" t="s">
        <v>804</v>
      </c>
      <c r="B275" s="65">
        <f>SUM(B253:B274)</f>
        <v>-121447725.67</v>
      </c>
      <c r="C275" s="65"/>
      <c r="D275" s="65">
        <f>SUM(D253:D274)</f>
        <v>-939129.81000000017</v>
      </c>
      <c r="E275" s="65"/>
      <c r="F275" s="142">
        <f>SUM(F253:F274)</f>
        <v>14264.89</v>
      </c>
      <c r="G275" s="142"/>
      <c r="H275" s="142">
        <f>SUM(H253:H274)</f>
        <v>-0.01</v>
      </c>
      <c r="I275" s="142"/>
      <c r="J275" s="142">
        <f>SUM(J253:J274)</f>
        <v>0</v>
      </c>
      <c r="K275" s="142"/>
      <c r="L275" s="142">
        <f>SUM(L253:L274)</f>
        <v>246585.07</v>
      </c>
      <c r="M275" s="142"/>
      <c r="N275" s="65">
        <f>SUM(N253:N274)</f>
        <v>-11875</v>
      </c>
      <c r="O275" s="65"/>
      <c r="P275" s="65">
        <f>SUM(P253:P274)</f>
        <v>0</v>
      </c>
      <c r="Q275" s="65"/>
      <c r="R275" s="65">
        <f>SUM(R253:R274)</f>
        <v>-122137880.53000002</v>
      </c>
      <c r="S275" s="27"/>
      <c r="T275" s="24"/>
      <c r="U275" s="24"/>
    </row>
    <row r="276" spans="1:21" s="60" customFormat="1" ht="12" hidden="1" customHeight="1" outlineLevel="1">
      <c r="A276" s="60" t="s">
        <v>1026</v>
      </c>
      <c r="B276" s="62">
        <v>0</v>
      </c>
      <c r="C276" s="62"/>
      <c r="D276" s="62">
        <v>0</v>
      </c>
      <c r="E276" s="62"/>
      <c r="F276" s="62">
        <v>0</v>
      </c>
      <c r="G276" s="62"/>
      <c r="H276" s="62">
        <v>0</v>
      </c>
      <c r="I276" s="62"/>
      <c r="J276" s="62">
        <v>0</v>
      </c>
      <c r="K276" s="62"/>
      <c r="L276" s="62">
        <v>0</v>
      </c>
      <c r="M276" s="62"/>
      <c r="N276" s="62">
        <v>0</v>
      </c>
      <c r="O276" s="62"/>
      <c r="P276" s="62">
        <v>0</v>
      </c>
      <c r="Q276" s="62"/>
      <c r="R276" s="62">
        <f t="shared" si="19"/>
        <v>0</v>
      </c>
      <c r="S276" s="66"/>
      <c r="T276" s="63"/>
      <c r="U276" s="63"/>
    </row>
    <row r="277" spans="1:21" s="60" customFormat="1" ht="12" hidden="1" customHeight="1" outlineLevel="1">
      <c r="A277" s="60" t="s">
        <v>1027</v>
      </c>
      <c r="B277" s="62">
        <v>0</v>
      </c>
      <c r="C277" s="62"/>
      <c r="D277" s="62">
        <v>0</v>
      </c>
      <c r="E277" s="62"/>
      <c r="F277" s="62">
        <v>0</v>
      </c>
      <c r="G277" s="62"/>
      <c r="H277" s="62">
        <v>0</v>
      </c>
      <c r="I277" s="62"/>
      <c r="J277" s="62">
        <v>0</v>
      </c>
      <c r="K277" s="62"/>
      <c r="L277" s="62">
        <v>0</v>
      </c>
      <c r="M277" s="62"/>
      <c r="N277" s="62">
        <v>0</v>
      </c>
      <c r="O277" s="62"/>
      <c r="P277" s="62">
        <v>0</v>
      </c>
      <c r="Q277" s="62"/>
      <c r="R277" s="62">
        <f t="shared" ref="R277:R283" si="20">SUM(B277:P277)</f>
        <v>0</v>
      </c>
      <c r="S277" s="66"/>
      <c r="T277" s="63"/>
      <c r="U277" s="63"/>
    </row>
    <row r="278" spans="1:21" s="60" customFormat="1" ht="12" hidden="1" customHeight="1" outlineLevel="1">
      <c r="A278" s="60" t="s">
        <v>1028</v>
      </c>
      <c r="B278" s="62">
        <v>-1.0000000009313226E-2</v>
      </c>
      <c r="C278" s="62"/>
      <c r="D278" s="62">
        <v>0</v>
      </c>
      <c r="E278" s="62"/>
      <c r="F278" s="62">
        <v>0</v>
      </c>
      <c r="G278" s="62"/>
      <c r="H278" s="62">
        <v>0.01</v>
      </c>
      <c r="I278" s="62"/>
      <c r="J278" s="62">
        <v>0</v>
      </c>
      <c r="K278" s="62"/>
      <c r="L278" s="62">
        <v>0</v>
      </c>
      <c r="M278" s="62"/>
      <c r="N278" s="62">
        <v>0</v>
      </c>
      <c r="O278" s="62"/>
      <c r="P278" s="62">
        <v>0</v>
      </c>
      <c r="Q278" s="62"/>
      <c r="R278" s="62">
        <f t="shared" si="20"/>
        <v>-9.313225537987968E-12</v>
      </c>
      <c r="S278" s="66"/>
      <c r="T278" s="63"/>
      <c r="U278" s="63"/>
    </row>
    <row r="279" spans="1:21" s="60" customFormat="1" ht="12" hidden="1" customHeight="1" outlineLevel="1">
      <c r="A279" s="60" t="s">
        <v>1029</v>
      </c>
      <c r="B279" s="62">
        <v>1.1641532182693481E-10</v>
      </c>
      <c r="C279" s="62"/>
      <c r="D279" s="62">
        <v>0</v>
      </c>
      <c r="E279" s="62"/>
      <c r="F279" s="62">
        <v>0</v>
      </c>
      <c r="G279" s="62"/>
      <c r="H279" s="62">
        <v>0</v>
      </c>
      <c r="I279" s="62"/>
      <c r="J279" s="62">
        <v>0</v>
      </c>
      <c r="K279" s="62"/>
      <c r="L279" s="62">
        <v>0</v>
      </c>
      <c r="M279" s="62"/>
      <c r="N279" s="62">
        <v>0</v>
      </c>
      <c r="O279" s="62"/>
      <c r="P279" s="62">
        <v>0</v>
      </c>
      <c r="Q279" s="62"/>
      <c r="R279" s="62">
        <f t="shared" si="20"/>
        <v>1.1641532182693481E-10</v>
      </c>
      <c r="S279" s="66"/>
      <c r="T279" s="63"/>
      <c r="U279" s="63"/>
    </row>
    <row r="280" spans="1:21" s="60" customFormat="1" ht="12" hidden="1" customHeight="1" outlineLevel="1">
      <c r="A280" s="60" t="s">
        <v>1030</v>
      </c>
      <c r="B280" s="62">
        <v>1.1641532182693481E-10</v>
      </c>
      <c r="C280" s="62"/>
      <c r="D280" s="62">
        <v>0</v>
      </c>
      <c r="E280" s="62"/>
      <c r="F280" s="62">
        <v>0</v>
      </c>
      <c r="G280" s="62"/>
      <c r="H280" s="62">
        <v>0</v>
      </c>
      <c r="I280" s="62"/>
      <c r="J280" s="62">
        <v>0</v>
      </c>
      <c r="K280" s="62"/>
      <c r="L280" s="62">
        <v>0</v>
      </c>
      <c r="M280" s="62"/>
      <c r="N280" s="62">
        <v>0</v>
      </c>
      <c r="O280" s="62"/>
      <c r="P280" s="62">
        <v>0</v>
      </c>
      <c r="Q280" s="62"/>
      <c r="R280" s="62">
        <f t="shared" si="20"/>
        <v>1.1641532182693481E-10</v>
      </c>
      <c r="S280" s="66"/>
      <c r="T280" s="63"/>
      <c r="U280" s="63"/>
    </row>
    <row r="281" spans="1:21" s="60" customFormat="1" ht="12" hidden="1" customHeight="1" outlineLevel="1">
      <c r="A281" s="60" t="s">
        <v>1031</v>
      </c>
      <c r="B281" s="62">
        <v>2.3283064365386963E-10</v>
      </c>
      <c r="C281" s="62"/>
      <c r="D281" s="62">
        <v>0</v>
      </c>
      <c r="E281" s="62"/>
      <c r="F281" s="62">
        <v>0</v>
      </c>
      <c r="G281" s="62"/>
      <c r="H281" s="62">
        <v>0</v>
      </c>
      <c r="I281" s="62"/>
      <c r="J281" s="62">
        <v>0</v>
      </c>
      <c r="K281" s="62"/>
      <c r="L281" s="62">
        <v>0</v>
      </c>
      <c r="M281" s="62"/>
      <c r="N281" s="62">
        <v>0</v>
      </c>
      <c r="O281" s="62"/>
      <c r="P281" s="62">
        <v>0</v>
      </c>
      <c r="Q281" s="62"/>
      <c r="R281" s="62">
        <f t="shared" si="20"/>
        <v>2.3283064365386963E-10</v>
      </c>
      <c r="S281" s="66"/>
      <c r="T281" s="63"/>
      <c r="U281" s="63"/>
    </row>
    <row r="282" spans="1:21" s="60" customFormat="1" ht="12" hidden="1" customHeight="1" outlineLevel="1">
      <c r="A282" s="60" t="s">
        <v>143</v>
      </c>
      <c r="B282" s="62">
        <v>-1.0000000242143869E-2</v>
      </c>
      <c r="C282" s="62"/>
      <c r="D282" s="62">
        <v>0</v>
      </c>
      <c r="E282" s="62"/>
      <c r="F282" s="62">
        <v>0</v>
      </c>
      <c r="G282" s="62"/>
      <c r="H282" s="62">
        <v>0.01</v>
      </c>
      <c r="I282" s="62"/>
      <c r="J282" s="62">
        <v>0</v>
      </c>
      <c r="K282" s="62"/>
      <c r="L282" s="62">
        <v>0</v>
      </c>
      <c r="M282" s="62"/>
      <c r="N282" s="62">
        <v>0</v>
      </c>
      <c r="O282" s="62"/>
      <c r="P282" s="62">
        <v>0</v>
      </c>
      <c r="Q282" s="62"/>
      <c r="R282" s="62">
        <f t="shared" si="20"/>
        <v>-2.421438691918576E-10</v>
      </c>
      <c r="S282" s="66"/>
      <c r="T282" s="63"/>
      <c r="U282" s="63"/>
    </row>
    <row r="283" spans="1:21" s="60" customFormat="1" ht="12" hidden="1" customHeight="1" outlineLevel="1">
      <c r="A283" s="60" t="s">
        <v>144</v>
      </c>
      <c r="B283" s="62">
        <v>1.0000000009313226E-2</v>
      </c>
      <c r="C283" s="62"/>
      <c r="D283" s="62">
        <v>0</v>
      </c>
      <c r="E283" s="62"/>
      <c r="F283" s="62">
        <v>0</v>
      </c>
      <c r="G283" s="62"/>
      <c r="H283" s="62">
        <v>-0.01</v>
      </c>
      <c r="I283" s="62"/>
      <c r="J283" s="62">
        <v>0</v>
      </c>
      <c r="K283" s="62"/>
      <c r="L283" s="62">
        <v>0</v>
      </c>
      <c r="M283" s="62"/>
      <c r="N283" s="62">
        <v>0</v>
      </c>
      <c r="O283" s="62"/>
      <c r="P283" s="62">
        <v>0</v>
      </c>
      <c r="Q283" s="62"/>
      <c r="R283" s="62">
        <f t="shared" si="20"/>
        <v>9.313225537987968E-12</v>
      </c>
      <c r="S283" s="66"/>
      <c r="T283" s="63"/>
      <c r="U283" s="63"/>
    </row>
    <row r="284" spans="1:21" s="10" customFormat="1" ht="12" customHeight="1" collapsed="1">
      <c r="A284" s="10" t="s">
        <v>145</v>
      </c>
      <c r="B284" s="65">
        <f>SUM(B276:B283)</f>
        <v>-9.9999997764825821E-3</v>
      </c>
      <c r="C284" s="65"/>
      <c r="D284" s="65">
        <f>SUM(D276:D283)</f>
        <v>0</v>
      </c>
      <c r="E284" s="65"/>
      <c r="F284" s="65">
        <f>SUM(F276:F283)</f>
        <v>0</v>
      </c>
      <c r="G284" s="65"/>
      <c r="H284" s="65">
        <f>SUM(H276:H283)</f>
        <v>0.01</v>
      </c>
      <c r="I284" s="65"/>
      <c r="J284" s="65">
        <f>SUM(J276:J283)</f>
        <v>0</v>
      </c>
      <c r="K284" s="65"/>
      <c r="L284" s="65">
        <f>SUM(L276:L283)</f>
        <v>0</v>
      </c>
      <c r="M284" s="65"/>
      <c r="N284" s="65">
        <f>SUM(N276:N283)</f>
        <v>0</v>
      </c>
      <c r="O284" s="65"/>
      <c r="P284" s="65">
        <f>SUM(P276:P283)</f>
        <v>0</v>
      </c>
      <c r="Q284" s="65"/>
      <c r="R284" s="65">
        <f>SUM(R276:R283)</f>
        <v>2.2351741811588166E-10</v>
      </c>
      <c r="S284" s="27"/>
      <c r="T284" s="24"/>
      <c r="U284" s="24"/>
    </row>
    <row r="285" spans="1:21" s="60" customFormat="1" hidden="1" outlineLevel="1">
      <c r="A285" s="60" t="s">
        <v>713</v>
      </c>
      <c r="B285" s="62">
        <v>-23531.62</v>
      </c>
      <c r="C285" s="62"/>
      <c r="D285" s="62">
        <v>0</v>
      </c>
      <c r="E285" s="62"/>
      <c r="F285" s="62">
        <v>0</v>
      </c>
      <c r="G285" s="62"/>
      <c r="H285" s="62">
        <v>0</v>
      </c>
      <c r="I285" s="62"/>
      <c r="J285" s="62">
        <v>0</v>
      </c>
      <c r="K285" s="62"/>
      <c r="L285" s="62">
        <v>0</v>
      </c>
      <c r="M285" s="62"/>
      <c r="N285" s="62">
        <v>0</v>
      </c>
      <c r="O285" s="62"/>
      <c r="P285" s="62">
        <v>0</v>
      </c>
      <c r="Q285" s="62"/>
      <c r="R285" s="62">
        <f t="shared" si="19"/>
        <v>-23531.62</v>
      </c>
      <c r="S285" s="66"/>
      <c r="T285" s="63"/>
      <c r="U285" s="63"/>
    </row>
    <row r="286" spans="1:21" s="60" customFormat="1" hidden="1" outlineLevel="1">
      <c r="A286" s="60" t="s">
        <v>863</v>
      </c>
      <c r="B286" s="62">
        <v>-12867.86</v>
      </c>
      <c r="C286" s="62"/>
      <c r="D286" s="62">
        <v>0</v>
      </c>
      <c r="E286" s="62"/>
      <c r="F286" s="62">
        <v>0</v>
      </c>
      <c r="G286" s="62"/>
      <c r="H286" s="62">
        <v>0</v>
      </c>
      <c r="I286" s="62"/>
      <c r="J286" s="62">
        <v>0</v>
      </c>
      <c r="K286" s="62"/>
      <c r="L286" s="62">
        <v>0</v>
      </c>
      <c r="M286" s="62"/>
      <c r="N286" s="62">
        <v>0</v>
      </c>
      <c r="O286" s="62"/>
      <c r="P286" s="62">
        <v>0</v>
      </c>
      <c r="Q286" s="62"/>
      <c r="R286" s="62">
        <f t="shared" si="19"/>
        <v>-12867.86</v>
      </c>
      <c r="S286" s="66"/>
      <c r="T286" s="63"/>
      <c r="U286" s="63"/>
    </row>
    <row r="287" spans="1:21" s="60" customFormat="1" hidden="1" outlineLevel="1">
      <c r="A287" s="60" t="s">
        <v>864</v>
      </c>
      <c r="B287" s="62">
        <v>-21007.810000000005</v>
      </c>
      <c r="C287" s="62"/>
      <c r="D287" s="62">
        <f>-458.06-458.06-458.06</f>
        <v>-1374.18</v>
      </c>
      <c r="E287" s="62"/>
      <c r="F287" s="62">
        <v>0</v>
      </c>
      <c r="G287" s="62"/>
      <c r="H287" s="62">
        <v>0</v>
      </c>
      <c r="I287" s="62"/>
      <c r="J287" s="62">
        <v>0</v>
      </c>
      <c r="K287" s="62"/>
      <c r="L287" s="62">
        <v>0</v>
      </c>
      <c r="M287" s="62"/>
      <c r="N287" s="62">
        <v>0</v>
      </c>
      <c r="O287" s="62"/>
      <c r="P287" s="62">
        <v>0</v>
      </c>
      <c r="Q287" s="62"/>
      <c r="R287" s="62">
        <f t="shared" si="19"/>
        <v>-22381.990000000005</v>
      </c>
      <c r="S287" s="66"/>
      <c r="T287" s="63"/>
      <c r="U287" s="63"/>
    </row>
    <row r="288" spans="1:21" s="60" customFormat="1" hidden="1" outlineLevel="1">
      <c r="A288" s="60" t="s">
        <v>866</v>
      </c>
      <c r="B288" s="62">
        <v>-16877.23</v>
      </c>
      <c r="C288" s="62"/>
      <c r="D288" s="62">
        <f>-15.25-15.25-15.25</f>
        <v>-45.75</v>
      </c>
      <c r="E288" s="62"/>
      <c r="F288" s="62">
        <v>0</v>
      </c>
      <c r="G288" s="62"/>
      <c r="H288" s="62">
        <v>0</v>
      </c>
      <c r="I288" s="62"/>
      <c r="J288" s="62">
        <v>0</v>
      </c>
      <c r="K288" s="62"/>
      <c r="L288" s="62">
        <v>0</v>
      </c>
      <c r="M288" s="62"/>
      <c r="N288" s="62">
        <v>0</v>
      </c>
      <c r="O288" s="62"/>
      <c r="P288" s="62">
        <v>0</v>
      </c>
      <c r="Q288" s="62"/>
      <c r="R288" s="62">
        <f t="shared" si="19"/>
        <v>-16922.98</v>
      </c>
      <c r="S288" s="66"/>
      <c r="T288" s="63"/>
      <c r="U288" s="63"/>
    </row>
    <row r="289" spans="1:21" s="60" customFormat="1" hidden="1" outlineLevel="1">
      <c r="A289" s="60" t="s">
        <v>710</v>
      </c>
      <c r="B289" s="62">
        <v>-36803.31</v>
      </c>
      <c r="C289" s="62"/>
      <c r="D289" s="62">
        <f>-436.38-436.38-436.38</f>
        <v>-1309.1399999999999</v>
      </c>
      <c r="E289" s="62"/>
      <c r="F289" s="62">
        <v>0</v>
      </c>
      <c r="G289" s="62"/>
      <c r="H289" s="62">
        <v>0</v>
      </c>
      <c r="I289" s="62"/>
      <c r="J289" s="62">
        <v>0</v>
      </c>
      <c r="K289" s="62"/>
      <c r="L289" s="62">
        <v>0</v>
      </c>
      <c r="M289" s="62"/>
      <c r="N289" s="62">
        <v>0</v>
      </c>
      <c r="O289" s="62"/>
      <c r="P289" s="62">
        <v>0</v>
      </c>
      <c r="Q289" s="62"/>
      <c r="R289" s="62">
        <f t="shared" si="19"/>
        <v>-38112.449999999997</v>
      </c>
      <c r="S289" s="66"/>
      <c r="T289" s="63"/>
      <c r="U289" s="63"/>
    </row>
    <row r="290" spans="1:21" s="60" customFormat="1" hidden="1" outlineLevel="1">
      <c r="A290" s="60" t="s">
        <v>867</v>
      </c>
      <c r="B290" s="62">
        <v>-73865.150000000009</v>
      </c>
      <c r="C290" s="62"/>
      <c r="D290" s="62">
        <f>-112.34-112.34-112.34</f>
        <v>-337.02</v>
      </c>
      <c r="E290" s="62"/>
      <c r="F290" s="62">
        <v>0</v>
      </c>
      <c r="G290" s="62"/>
      <c r="H290" s="62">
        <v>0</v>
      </c>
      <c r="I290" s="62"/>
      <c r="J290" s="62">
        <v>0</v>
      </c>
      <c r="K290" s="62"/>
      <c r="L290" s="62">
        <v>0</v>
      </c>
      <c r="M290" s="62"/>
      <c r="N290" s="62">
        <v>0</v>
      </c>
      <c r="O290" s="62"/>
      <c r="P290" s="62">
        <v>0</v>
      </c>
      <c r="Q290" s="62"/>
      <c r="R290" s="62">
        <f t="shared" si="19"/>
        <v>-74202.170000000013</v>
      </c>
      <c r="S290" s="66"/>
      <c r="T290" s="63"/>
      <c r="U290" s="63"/>
    </row>
    <row r="291" spans="1:21" s="60" customFormat="1" hidden="1" outlineLevel="1">
      <c r="A291" s="60" t="s">
        <v>868</v>
      </c>
      <c r="B291" s="62">
        <v>-1382989.86</v>
      </c>
      <c r="C291" s="62"/>
      <c r="D291" s="62">
        <f>-10551.11-10551.11-10652.5</f>
        <v>-31754.720000000001</v>
      </c>
      <c r="E291" s="62"/>
      <c r="F291" s="62">
        <v>0</v>
      </c>
      <c r="G291" s="62"/>
      <c r="H291" s="62">
        <v>0</v>
      </c>
      <c r="I291" s="62"/>
      <c r="J291" s="62">
        <v>0</v>
      </c>
      <c r="K291" s="62"/>
      <c r="L291" s="62">
        <v>0</v>
      </c>
      <c r="M291" s="62"/>
      <c r="N291" s="62">
        <v>0</v>
      </c>
      <c r="O291" s="62"/>
      <c r="P291" s="62">
        <v>0</v>
      </c>
      <c r="Q291" s="62"/>
      <c r="R291" s="62">
        <f t="shared" si="19"/>
        <v>-1414744.58</v>
      </c>
      <c r="S291" s="66"/>
      <c r="T291" s="63"/>
      <c r="U291" s="63"/>
    </row>
    <row r="292" spans="1:21" s="60" customFormat="1" hidden="1" outlineLevel="1">
      <c r="A292" s="60" t="s">
        <v>870</v>
      </c>
      <c r="B292" s="62">
        <v>-51145.719999999994</v>
      </c>
      <c r="C292" s="62"/>
      <c r="D292" s="62">
        <f>-72.35-72.35-72.35</f>
        <v>-217.04999999999998</v>
      </c>
      <c r="E292" s="62"/>
      <c r="F292" s="62">
        <v>0</v>
      </c>
      <c r="G292" s="62"/>
      <c r="H292" s="62">
        <v>0</v>
      </c>
      <c r="I292" s="62"/>
      <c r="J292" s="62">
        <v>0</v>
      </c>
      <c r="K292" s="62"/>
      <c r="L292" s="62">
        <v>0</v>
      </c>
      <c r="M292" s="62"/>
      <c r="N292" s="62">
        <v>0</v>
      </c>
      <c r="O292" s="62"/>
      <c r="P292" s="62">
        <v>0</v>
      </c>
      <c r="Q292" s="62"/>
      <c r="R292" s="62">
        <f t="shared" si="19"/>
        <v>-51362.77</v>
      </c>
      <c r="S292" s="66"/>
      <c r="T292" s="63"/>
      <c r="U292" s="63"/>
    </row>
    <row r="293" spans="1:21" s="60" customFormat="1" hidden="1" outlineLevel="1">
      <c r="A293" s="60" t="s">
        <v>1052</v>
      </c>
      <c r="B293" s="62">
        <v>-490286.44</v>
      </c>
      <c r="C293" s="62"/>
      <c r="D293" s="62">
        <f>-1987.14-1987.14-2010.75</f>
        <v>-5985.0300000000007</v>
      </c>
      <c r="E293" s="62"/>
      <c r="F293" s="62">
        <v>0</v>
      </c>
      <c r="G293" s="62"/>
      <c r="H293" s="62">
        <v>0</v>
      </c>
      <c r="I293" s="62"/>
      <c r="J293" s="62">
        <v>0</v>
      </c>
      <c r="K293" s="62"/>
      <c r="L293" s="62">
        <v>0</v>
      </c>
      <c r="M293" s="62"/>
      <c r="N293" s="62">
        <v>0</v>
      </c>
      <c r="O293" s="62"/>
      <c r="P293" s="62">
        <v>0</v>
      </c>
      <c r="Q293" s="62"/>
      <c r="R293" s="62">
        <f t="shared" si="19"/>
        <v>-496271.47000000003</v>
      </c>
      <c r="S293" s="66"/>
      <c r="T293" s="63"/>
      <c r="U293" s="63"/>
    </row>
    <row r="294" spans="1:21" s="60" customFormat="1" hidden="1" outlineLevel="1">
      <c r="A294" s="60" t="s">
        <v>871</v>
      </c>
      <c r="B294" s="62">
        <v>-94780.28</v>
      </c>
      <c r="C294" s="62"/>
      <c r="D294" s="62">
        <f>-304.07-304.07-304.07</f>
        <v>-912.21</v>
      </c>
      <c r="E294" s="62"/>
      <c r="F294" s="62">
        <v>0</v>
      </c>
      <c r="G294" s="62"/>
      <c r="H294" s="62">
        <v>0</v>
      </c>
      <c r="I294" s="62"/>
      <c r="J294" s="62">
        <v>0</v>
      </c>
      <c r="K294" s="62"/>
      <c r="L294" s="62">
        <v>0</v>
      </c>
      <c r="M294" s="62"/>
      <c r="N294" s="62">
        <v>0</v>
      </c>
      <c r="O294" s="62"/>
      <c r="P294" s="62">
        <v>0</v>
      </c>
      <c r="Q294" s="62"/>
      <c r="R294" s="62">
        <f t="shared" si="19"/>
        <v>-95692.49</v>
      </c>
      <c r="S294" s="66"/>
      <c r="T294" s="63"/>
      <c r="U294" s="63"/>
    </row>
    <row r="295" spans="1:21" s="60" customFormat="1" hidden="1" outlineLevel="1">
      <c r="A295" s="60" t="s">
        <v>872</v>
      </c>
      <c r="B295" s="62">
        <v>-323847.87</v>
      </c>
      <c r="C295" s="62"/>
      <c r="D295" s="62">
        <f>-885.05-885.05-797.11</f>
        <v>-2567.21</v>
      </c>
      <c r="E295" s="62"/>
      <c r="F295" s="62">
        <v>0</v>
      </c>
      <c r="G295" s="62"/>
      <c r="H295" s="62">
        <v>0</v>
      </c>
      <c r="I295" s="62"/>
      <c r="J295" s="62">
        <v>0</v>
      </c>
      <c r="K295" s="62"/>
      <c r="L295" s="62">
        <v>0</v>
      </c>
      <c r="M295" s="62"/>
      <c r="N295" s="62">
        <v>0</v>
      </c>
      <c r="O295" s="62"/>
      <c r="P295" s="62">
        <v>0</v>
      </c>
      <c r="Q295" s="62"/>
      <c r="R295" s="62">
        <f t="shared" si="19"/>
        <v>-326415.08</v>
      </c>
      <c r="S295" s="66"/>
      <c r="T295" s="63"/>
      <c r="U295" s="63"/>
    </row>
    <row r="296" spans="1:21" s="60" customFormat="1" hidden="1" outlineLevel="1">
      <c r="A296" s="60" t="s">
        <v>873</v>
      </c>
      <c r="B296" s="62">
        <v>-2613794.7200000002</v>
      </c>
      <c r="C296" s="62"/>
      <c r="D296" s="62">
        <f>-18485.64-18515.21-18543.87</f>
        <v>-55544.72</v>
      </c>
      <c r="E296" s="62"/>
      <c r="F296" s="62">
        <v>0</v>
      </c>
      <c r="G296" s="62"/>
      <c r="H296" s="62">
        <v>0</v>
      </c>
      <c r="I296" s="62"/>
      <c r="J296" s="62">
        <v>0</v>
      </c>
      <c r="K296" s="62"/>
      <c r="L296" s="62">
        <v>0</v>
      </c>
      <c r="M296" s="62"/>
      <c r="N296" s="62">
        <v>0</v>
      </c>
      <c r="O296" s="62"/>
      <c r="P296" s="62">
        <v>0</v>
      </c>
      <c r="Q296" s="62"/>
      <c r="R296" s="62">
        <f t="shared" si="19"/>
        <v>-2669339.4400000004</v>
      </c>
      <c r="S296" s="66"/>
      <c r="T296" s="63"/>
      <c r="U296" s="63"/>
    </row>
    <row r="297" spans="1:21" s="60" customFormat="1" hidden="1" outlineLevel="1">
      <c r="A297" s="60" t="s">
        <v>874</v>
      </c>
      <c r="B297" s="62">
        <v>-38269.519999999997</v>
      </c>
      <c r="C297" s="62"/>
      <c r="D297" s="62">
        <f>-176.52-176.52-176.52</f>
        <v>-529.56000000000006</v>
      </c>
      <c r="E297" s="62"/>
      <c r="F297" s="62">
        <v>0</v>
      </c>
      <c r="G297" s="62"/>
      <c r="H297" s="62">
        <v>0</v>
      </c>
      <c r="I297" s="62"/>
      <c r="J297" s="62">
        <v>0</v>
      </c>
      <c r="K297" s="62"/>
      <c r="L297" s="62">
        <v>0</v>
      </c>
      <c r="M297" s="62"/>
      <c r="N297" s="62">
        <v>0</v>
      </c>
      <c r="O297" s="62"/>
      <c r="P297" s="62">
        <v>0</v>
      </c>
      <c r="Q297" s="62"/>
      <c r="R297" s="62">
        <f t="shared" si="19"/>
        <v>-38799.079999999994</v>
      </c>
      <c r="S297" s="66"/>
      <c r="T297" s="63"/>
      <c r="U297" s="63"/>
    </row>
    <row r="298" spans="1:21" s="60" customFormat="1" hidden="1" outlineLevel="1">
      <c r="A298" s="60" t="s">
        <v>875</v>
      </c>
      <c r="B298" s="62">
        <v>-1204753.03</v>
      </c>
      <c r="C298" s="62"/>
      <c r="D298" s="62">
        <f>-7026.46-7026.46-7026.46</f>
        <v>-21079.38</v>
      </c>
      <c r="E298" s="62"/>
      <c r="F298" s="62">
        <v>0</v>
      </c>
      <c r="G298" s="62"/>
      <c r="H298" s="62">
        <v>0</v>
      </c>
      <c r="I298" s="62"/>
      <c r="J298" s="62">
        <v>0</v>
      </c>
      <c r="K298" s="62"/>
      <c r="L298" s="62">
        <v>0</v>
      </c>
      <c r="M298" s="62"/>
      <c r="N298" s="62">
        <v>0</v>
      </c>
      <c r="O298" s="62"/>
      <c r="P298" s="62">
        <v>0</v>
      </c>
      <c r="Q298" s="62"/>
      <c r="R298" s="62">
        <f t="shared" si="19"/>
        <v>-1225832.4099999999</v>
      </c>
      <c r="S298" s="66"/>
      <c r="T298" s="63"/>
      <c r="U298" s="63"/>
    </row>
    <row r="299" spans="1:21" s="60" customFormat="1" hidden="1" outlineLevel="1">
      <c r="A299" s="60" t="s">
        <v>1266</v>
      </c>
      <c r="B299" s="62">
        <v>-42234.049999999996</v>
      </c>
      <c r="C299" s="62"/>
      <c r="D299" s="62">
        <f>-3898.69-3969.93-4007.65</f>
        <v>-11876.27</v>
      </c>
      <c r="E299" s="62"/>
      <c r="F299" s="62">
        <v>0</v>
      </c>
      <c r="G299" s="62"/>
      <c r="H299" s="62">
        <v>0</v>
      </c>
      <c r="I299" s="62"/>
      <c r="J299" s="62">
        <v>0</v>
      </c>
      <c r="K299" s="62"/>
      <c r="L299" s="62">
        <v>0</v>
      </c>
      <c r="M299" s="62"/>
      <c r="N299" s="62">
        <v>0</v>
      </c>
      <c r="O299" s="62"/>
      <c r="P299" s="62">
        <v>0</v>
      </c>
      <c r="Q299" s="62"/>
      <c r="R299" s="62">
        <f t="shared" si="19"/>
        <v>-54110.319999999992</v>
      </c>
      <c r="S299" s="66"/>
      <c r="T299" s="63"/>
      <c r="U299" s="63"/>
    </row>
    <row r="300" spans="1:21" s="10" customFormat="1" collapsed="1">
      <c r="A300" s="10" t="s">
        <v>805</v>
      </c>
      <c r="B300" s="65">
        <f>SUM(B285:B299)</f>
        <v>-6427054.4699999997</v>
      </c>
      <c r="C300" s="65"/>
      <c r="D300" s="65">
        <f>SUM(D285:D299)</f>
        <v>-133532.24</v>
      </c>
      <c r="E300" s="65"/>
      <c r="F300" s="65">
        <f>SUM(F285:F299)</f>
        <v>0</v>
      </c>
      <c r="G300" s="65"/>
      <c r="H300" s="65">
        <f>SUM(H285:H299)</f>
        <v>0</v>
      </c>
      <c r="I300" s="65"/>
      <c r="J300" s="65">
        <f>SUM(J285:J299)</f>
        <v>0</v>
      </c>
      <c r="K300" s="65"/>
      <c r="L300" s="65">
        <f>SUM(L285:L299)</f>
        <v>0</v>
      </c>
      <c r="M300" s="65"/>
      <c r="N300" s="65">
        <f>SUM(N285:N299)</f>
        <v>0</v>
      </c>
      <c r="O300" s="65"/>
      <c r="P300" s="65">
        <f>SUM(P285:P299)</f>
        <v>0</v>
      </c>
      <c r="Q300" s="65"/>
      <c r="R300" s="65">
        <f>SUM(R285:R299)</f>
        <v>-6560586.7100000009</v>
      </c>
      <c r="S300" s="27"/>
      <c r="T300" s="24"/>
      <c r="U300" s="24"/>
    </row>
    <row r="301" spans="1:21">
      <c r="A301" t="s">
        <v>583</v>
      </c>
      <c r="B301" s="48">
        <v>-1402047.9199999997</v>
      </c>
      <c r="C301" s="52"/>
      <c r="D301" s="48">
        <f>-155611.3-140129.49-3083.36-149411.9</f>
        <v>-448236.04999999993</v>
      </c>
      <c r="E301" s="52"/>
      <c r="F301" s="48">
        <v>0</v>
      </c>
      <c r="G301" s="52"/>
      <c r="H301" s="48">
        <v>0</v>
      </c>
      <c r="I301" s="52"/>
      <c r="J301" s="48">
        <v>0</v>
      </c>
      <c r="K301" s="52"/>
      <c r="L301" s="48">
        <v>0</v>
      </c>
      <c r="M301" s="52"/>
      <c r="N301" s="48">
        <v>0</v>
      </c>
      <c r="O301" s="52"/>
      <c r="P301" s="48">
        <v>0</v>
      </c>
      <c r="Q301" s="52"/>
      <c r="R301" s="48">
        <f>SUM(B301:P301)</f>
        <v>-1850283.9699999997</v>
      </c>
      <c r="S301" s="37"/>
      <c r="T301" s="33"/>
      <c r="U301" s="33"/>
    </row>
    <row r="302" spans="1:21">
      <c r="B302" s="52">
        <f>B301+B300+B275+B252+B238+B235+B189+B181+B154+B284+B192</f>
        <v>-1146286923.6299999</v>
      </c>
      <c r="C302" s="52"/>
      <c r="D302" s="52">
        <f>D301+D300+D275+D252+D238+D235+D189+D181+D154+D284+D192</f>
        <v>-18599973.760000002</v>
      </c>
      <c r="E302" s="52"/>
      <c r="F302" s="139">
        <f>F301+F300+F275+F252+F238+F235+F189+F181+F154+F284+F192</f>
        <v>1086699.3900000001</v>
      </c>
      <c r="G302" s="52"/>
      <c r="H302" s="52">
        <f>H301+H300+H275+H252+H238+H235+H189+H181+H154+H284+H192</f>
        <v>-6.0026650317013264E-11</v>
      </c>
      <c r="I302" s="52"/>
      <c r="J302" s="52">
        <f>J301+J300+J275+J252+J238+J235+J189+J181+J154+J284+J192</f>
        <v>0</v>
      </c>
      <c r="K302" s="52"/>
      <c r="L302" s="139">
        <f>L301+L300+L275+L252+L238+L235+L189+L181+L154+L284+L192</f>
        <v>1387859.4600000002</v>
      </c>
      <c r="M302" s="52"/>
      <c r="N302" s="52">
        <f>N301+N300+N275+N252+N238+N235+N189+N181+N154+N284+N192</f>
        <v>-126226.16</v>
      </c>
      <c r="O302" s="52"/>
      <c r="P302" s="52">
        <f>P301+P300+P275+P252+P238+P235+P189+P181+P154+P284+P192</f>
        <v>0</v>
      </c>
      <c r="Q302" s="52"/>
      <c r="R302" s="52">
        <f>R301+R300+R275+R252+R238+R235+R189+R181+R154+R284+R192</f>
        <v>-1162538564.7</v>
      </c>
      <c r="S302" s="37"/>
      <c r="T302" s="33"/>
      <c r="U302" s="33"/>
    </row>
    <row r="303" spans="1:21">
      <c r="B303" s="52"/>
      <c r="C303" s="52"/>
      <c r="D303" s="52"/>
      <c r="E303" s="52"/>
      <c r="F303" s="52"/>
      <c r="G303" s="52"/>
      <c r="H303" s="52"/>
      <c r="I303" s="52"/>
      <c r="J303" s="52"/>
      <c r="K303" s="52"/>
      <c r="L303" s="52"/>
      <c r="M303" s="52"/>
      <c r="N303" s="52"/>
      <c r="O303" s="52"/>
      <c r="P303" s="52"/>
      <c r="Q303" s="52"/>
      <c r="R303" s="52"/>
      <c r="S303" s="37"/>
      <c r="T303" s="33"/>
      <c r="U303" s="33"/>
    </row>
    <row r="304" spans="1:21">
      <c r="A304" s="3" t="s">
        <v>119</v>
      </c>
      <c r="B304" s="45"/>
      <c r="C304" s="52"/>
      <c r="D304" s="45"/>
      <c r="E304" s="52"/>
      <c r="F304" s="45"/>
      <c r="G304" s="52"/>
      <c r="H304" s="45"/>
      <c r="I304" s="52"/>
      <c r="J304" s="45"/>
      <c r="K304" s="52"/>
      <c r="L304" s="45"/>
      <c r="M304" s="52"/>
      <c r="N304" s="45"/>
      <c r="O304" s="52"/>
      <c r="P304" s="45"/>
      <c r="Q304" s="52"/>
      <c r="R304" s="45"/>
      <c r="S304" s="33"/>
      <c r="T304" s="33"/>
      <c r="U304" s="33"/>
    </row>
    <row r="305" spans="1:21">
      <c r="A305" t="s">
        <v>821</v>
      </c>
      <c r="B305" s="45">
        <v>-1992262.9100000004</v>
      </c>
      <c r="C305" s="52"/>
      <c r="D305" s="45">
        <f>-23899.95-23899.95-23916.44</f>
        <v>-71716.34</v>
      </c>
      <c r="E305" s="52"/>
      <c r="F305" s="325">
        <v>0</v>
      </c>
      <c r="G305" s="52"/>
      <c r="H305" s="325">
        <v>0</v>
      </c>
      <c r="I305" s="52"/>
      <c r="J305" s="325">
        <v>0</v>
      </c>
      <c r="K305" s="52"/>
      <c r="L305" s="325">
        <v>0</v>
      </c>
      <c r="M305" s="52"/>
      <c r="N305" s="325">
        <v>0</v>
      </c>
      <c r="O305" s="52"/>
      <c r="P305" s="325">
        <v>0</v>
      </c>
      <c r="Q305" s="52"/>
      <c r="R305" s="52">
        <f>SUM(B305:P305)</f>
        <v>-2063979.2500000005</v>
      </c>
      <c r="S305" s="33"/>
      <c r="T305" s="33"/>
      <c r="U305" s="33"/>
    </row>
    <row r="306" spans="1:21">
      <c r="A306" t="s">
        <v>584</v>
      </c>
      <c r="B306" s="45">
        <v>0</v>
      </c>
      <c r="C306" s="52"/>
      <c r="D306" s="45">
        <v>0</v>
      </c>
      <c r="E306" s="52"/>
      <c r="F306" s="325">
        <v>0</v>
      </c>
      <c r="G306" s="52"/>
      <c r="H306" s="325">
        <v>0</v>
      </c>
      <c r="I306" s="52"/>
      <c r="J306" s="325">
        <v>0</v>
      </c>
      <c r="K306" s="52"/>
      <c r="L306" s="325">
        <v>0</v>
      </c>
      <c r="M306" s="52"/>
      <c r="N306" s="325">
        <v>0</v>
      </c>
      <c r="O306" s="52"/>
      <c r="P306" s="325">
        <v>0</v>
      </c>
      <c r="Q306" s="52"/>
      <c r="R306" s="52">
        <f t="shared" ref="R306:R321" si="21">SUM(B306:P306)</f>
        <v>0</v>
      </c>
      <c r="S306" s="33"/>
      <c r="T306" s="33"/>
      <c r="U306" s="33"/>
    </row>
    <row r="307" spans="1:21">
      <c r="A307" t="s">
        <v>823</v>
      </c>
      <c r="B307" s="45">
        <v>-1206875.7</v>
      </c>
      <c r="C307" s="52"/>
      <c r="D307" s="45">
        <f>-5747.52-5755.59-5762.83</f>
        <v>-17265.940000000002</v>
      </c>
      <c r="E307" s="52"/>
      <c r="F307" s="325">
        <v>0</v>
      </c>
      <c r="G307" s="52"/>
      <c r="H307" s="325">
        <v>0</v>
      </c>
      <c r="I307" s="52"/>
      <c r="J307" s="325">
        <v>0</v>
      </c>
      <c r="K307" s="52"/>
      <c r="L307" s="325">
        <v>0</v>
      </c>
      <c r="M307" s="52"/>
      <c r="N307" s="325">
        <v>0</v>
      </c>
      <c r="O307" s="52"/>
      <c r="P307" s="325">
        <v>0</v>
      </c>
      <c r="Q307" s="52"/>
      <c r="R307" s="52">
        <f t="shared" si="21"/>
        <v>-1224141.6399999999</v>
      </c>
      <c r="S307" s="33"/>
      <c r="T307" s="33"/>
      <c r="U307" s="33"/>
    </row>
    <row r="308" spans="1:21">
      <c r="A308" t="s">
        <v>585</v>
      </c>
      <c r="B308" s="45">
        <v>-69970.100000000006</v>
      </c>
      <c r="C308" s="52"/>
      <c r="D308" s="45">
        <f>-217.38-217.38-217.38</f>
        <v>-652.14</v>
      </c>
      <c r="E308" s="52"/>
      <c r="F308" s="325">
        <v>0</v>
      </c>
      <c r="G308" s="52"/>
      <c r="H308" s="325">
        <v>-54.97</v>
      </c>
      <c r="I308" s="52"/>
      <c r="J308" s="325">
        <v>0</v>
      </c>
      <c r="K308" s="52"/>
      <c r="L308" s="325">
        <v>0</v>
      </c>
      <c r="M308" s="52"/>
      <c r="N308" s="325">
        <v>0</v>
      </c>
      <c r="O308" s="52"/>
      <c r="P308" s="325">
        <v>0</v>
      </c>
      <c r="Q308" s="52"/>
      <c r="R308" s="52">
        <f t="shared" si="21"/>
        <v>-70677.210000000006</v>
      </c>
      <c r="S308" s="33"/>
      <c r="T308" s="33"/>
      <c r="U308" s="33"/>
    </row>
    <row r="309" spans="1:21">
      <c r="A309" t="s">
        <v>877</v>
      </c>
      <c r="B309" s="45">
        <v>-54.969999999999345</v>
      </c>
      <c r="C309" s="52"/>
      <c r="D309" s="45">
        <v>0</v>
      </c>
      <c r="E309" s="52"/>
      <c r="F309" s="325">
        <v>0</v>
      </c>
      <c r="G309" s="52"/>
      <c r="H309" s="325">
        <v>54.97</v>
      </c>
      <c r="I309" s="52"/>
      <c r="J309" s="325">
        <v>0</v>
      </c>
      <c r="K309" s="52"/>
      <c r="L309" s="325">
        <v>0</v>
      </c>
      <c r="M309" s="52"/>
      <c r="N309" s="325">
        <v>0</v>
      </c>
      <c r="O309" s="52"/>
      <c r="P309" s="325">
        <v>0</v>
      </c>
      <c r="Q309" s="52"/>
      <c r="R309" s="52">
        <f>SUM(B309:P309)</f>
        <v>6.5369931689929217E-13</v>
      </c>
      <c r="S309" s="33"/>
      <c r="T309" s="33"/>
      <c r="U309" s="33"/>
    </row>
    <row r="310" spans="1:21">
      <c r="A310" t="s">
        <v>208</v>
      </c>
      <c r="B310" s="45">
        <v>-62135882.899999991</v>
      </c>
      <c r="C310" s="52"/>
      <c r="D310" s="45">
        <f>-128320.02-128434-128264.71</f>
        <v>-385018.73000000004</v>
      </c>
      <c r="E310" s="52"/>
      <c r="F310" s="325">
        <f>92991.2+726991.97+178726.79</f>
        <v>998709.96</v>
      </c>
      <c r="G310" s="139"/>
      <c r="H310" s="325">
        <v>0</v>
      </c>
      <c r="I310" s="139"/>
      <c r="J310" s="325">
        <v>0</v>
      </c>
      <c r="K310" s="139"/>
      <c r="L310" s="325">
        <f>13880.52+164109.81+1932.27</f>
        <v>179922.59999999998</v>
      </c>
      <c r="M310" s="139"/>
      <c r="N310" s="325">
        <v>-157494.04999999999</v>
      </c>
      <c r="O310" s="52"/>
      <c r="P310" s="325">
        <v>0</v>
      </c>
      <c r="Q310" s="52"/>
      <c r="R310" s="52">
        <f t="shared" si="21"/>
        <v>-61499763.119999982</v>
      </c>
      <c r="S310" s="33"/>
      <c r="T310" s="33"/>
      <c r="U310" s="33"/>
    </row>
    <row r="311" spans="1:21">
      <c r="A311" t="s">
        <v>586</v>
      </c>
      <c r="B311" s="45">
        <v>-5911.3300000001118</v>
      </c>
      <c r="C311" s="52"/>
      <c r="D311" s="45">
        <f>-1.18-55.81-110.44</f>
        <v>-167.43</v>
      </c>
      <c r="E311" s="52"/>
      <c r="F311" s="325">
        <v>0</v>
      </c>
      <c r="G311" s="139"/>
      <c r="H311" s="325">
        <v>-8404.51</v>
      </c>
      <c r="I311" s="139"/>
      <c r="J311" s="325">
        <v>0</v>
      </c>
      <c r="K311" s="139"/>
      <c r="L311" s="325">
        <v>0</v>
      </c>
      <c r="M311" s="139"/>
      <c r="N311" s="325">
        <v>0</v>
      </c>
      <c r="O311" s="52"/>
      <c r="P311" s="325">
        <v>0</v>
      </c>
      <c r="Q311" s="52"/>
      <c r="R311" s="52">
        <f t="shared" si="21"/>
        <v>-14483.270000000113</v>
      </c>
      <c r="S311" s="33"/>
      <c r="T311" s="33"/>
      <c r="U311" s="33"/>
    </row>
    <row r="312" spans="1:21">
      <c r="A312" t="s">
        <v>587</v>
      </c>
      <c r="B312" s="45">
        <v>-501.16999999992549</v>
      </c>
      <c r="C312" s="52"/>
      <c r="D312" s="45">
        <v>0</v>
      </c>
      <c r="E312" s="52"/>
      <c r="F312" s="325">
        <v>0</v>
      </c>
      <c r="G312" s="139"/>
      <c r="H312" s="325">
        <v>1088.77</v>
      </c>
      <c r="I312" s="139"/>
      <c r="J312" s="325">
        <v>0</v>
      </c>
      <c r="K312" s="139"/>
      <c r="L312" s="325">
        <v>0</v>
      </c>
      <c r="M312" s="139"/>
      <c r="N312" s="325">
        <v>0</v>
      </c>
      <c r="O312" s="52"/>
      <c r="P312" s="325">
        <v>0</v>
      </c>
      <c r="Q312" s="52"/>
      <c r="R312" s="52">
        <f t="shared" si="21"/>
        <v>587.60000000007449</v>
      </c>
      <c r="S312" s="33"/>
      <c r="T312" s="33"/>
      <c r="U312" s="33"/>
    </row>
    <row r="313" spans="1:21">
      <c r="A313" t="s">
        <v>588</v>
      </c>
      <c r="B313" s="45">
        <v>-4582.080000000261</v>
      </c>
      <c r="C313" s="52"/>
      <c r="D313" s="45">
        <v>0</v>
      </c>
      <c r="E313" s="52"/>
      <c r="F313" s="325">
        <v>0</v>
      </c>
      <c r="G313" s="139"/>
      <c r="H313" s="325">
        <v>5530.1</v>
      </c>
      <c r="I313" s="139"/>
      <c r="J313" s="325">
        <v>0</v>
      </c>
      <c r="K313" s="139"/>
      <c r="L313" s="325">
        <v>0</v>
      </c>
      <c r="M313" s="139"/>
      <c r="N313" s="325">
        <v>0</v>
      </c>
      <c r="O313" s="52"/>
      <c r="P313" s="325">
        <v>0</v>
      </c>
      <c r="Q313" s="52"/>
      <c r="R313" s="52">
        <f t="shared" si="21"/>
        <v>948.01999999973941</v>
      </c>
      <c r="S313" s="33"/>
      <c r="T313" s="33"/>
      <c r="U313" s="33"/>
    </row>
    <row r="314" spans="1:21">
      <c r="A314" t="s">
        <v>589</v>
      </c>
      <c r="B314" s="45">
        <v>-15249.530000000097</v>
      </c>
      <c r="C314" s="52"/>
      <c r="D314" s="45">
        <v>0</v>
      </c>
      <c r="E314" s="52"/>
      <c r="F314" s="325">
        <v>0</v>
      </c>
      <c r="G314" s="139"/>
      <c r="H314" s="325">
        <v>1785.64</v>
      </c>
      <c r="I314" s="139"/>
      <c r="J314" s="325">
        <v>0</v>
      </c>
      <c r="K314" s="139"/>
      <c r="L314" s="325">
        <v>0</v>
      </c>
      <c r="M314" s="139"/>
      <c r="N314" s="325">
        <v>0</v>
      </c>
      <c r="O314" s="52"/>
      <c r="P314" s="325">
        <v>0</v>
      </c>
      <c r="Q314" s="52"/>
      <c r="R314" s="52">
        <f t="shared" si="21"/>
        <v>-13463.890000000098</v>
      </c>
      <c r="S314" s="33"/>
      <c r="T314" s="33"/>
      <c r="U314" s="33"/>
    </row>
    <row r="315" spans="1:21">
      <c r="A315" t="s">
        <v>210</v>
      </c>
      <c r="B315" s="45">
        <v>-17990559.810000002</v>
      </c>
      <c r="C315" s="52"/>
      <c r="D315" s="45">
        <f>-41048.67-42805.65-42724.62</f>
        <v>-126578.94</v>
      </c>
      <c r="E315" s="52"/>
      <c r="F315" s="325">
        <v>138836.94</v>
      </c>
      <c r="G315" s="139"/>
      <c r="H315" s="325">
        <v>0</v>
      </c>
      <c r="I315" s="139"/>
      <c r="J315" s="325">
        <v>0</v>
      </c>
      <c r="K315" s="139"/>
      <c r="L315" s="325">
        <v>14919.24</v>
      </c>
      <c r="M315" s="139"/>
      <c r="N315" s="325">
        <v>-85385.25</v>
      </c>
      <c r="O315" s="52"/>
      <c r="P315" s="325">
        <v>0</v>
      </c>
      <c r="Q315" s="52"/>
      <c r="R315" s="52">
        <f t="shared" si="21"/>
        <v>-18048767.820000004</v>
      </c>
      <c r="S315" s="33"/>
      <c r="T315" s="33"/>
      <c r="U315" s="33"/>
    </row>
    <row r="316" spans="1:21">
      <c r="A316" t="s">
        <v>616</v>
      </c>
      <c r="B316" s="45">
        <v>-17092202.520000003</v>
      </c>
      <c r="C316" s="52"/>
      <c r="D316" s="45">
        <f>-126109.03-126469.59-126992.55</f>
        <v>-379571.17</v>
      </c>
      <c r="E316" s="52"/>
      <c r="F316" s="325">
        <f>18103.4+2609.95+23764.57</f>
        <v>44477.919999999998</v>
      </c>
      <c r="G316" s="139"/>
      <c r="H316" s="325">
        <v>0</v>
      </c>
      <c r="I316" s="139"/>
      <c r="J316" s="325">
        <v>0</v>
      </c>
      <c r="K316" s="139"/>
      <c r="L316" s="325">
        <f>74232.67+18359.38+3750.87</f>
        <v>96342.92</v>
      </c>
      <c r="M316" s="139"/>
      <c r="N316" s="325">
        <v>0</v>
      </c>
      <c r="O316" s="52"/>
      <c r="P316" s="325">
        <v>0</v>
      </c>
      <c r="Q316" s="52"/>
      <c r="R316" s="52">
        <f t="shared" si="21"/>
        <v>-17330952.850000001</v>
      </c>
      <c r="S316" s="33"/>
      <c r="T316" s="33"/>
      <c r="U316" s="33"/>
    </row>
    <row r="317" spans="1:21">
      <c r="A317" t="s">
        <v>618</v>
      </c>
      <c r="B317" s="45">
        <v>-21644892.839999996</v>
      </c>
      <c r="C317" s="52"/>
      <c r="D317" s="45">
        <f>-92131.58-92360.8-92465.3</f>
        <v>-276957.68</v>
      </c>
      <c r="E317" s="52"/>
      <c r="F317" s="325">
        <f>11605.94+24002.07+88.79</f>
        <v>35696.800000000003</v>
      </c>
      <c r="G317" s="139"/>
      <c r="H317" s="325">
        <v>0</v>
      </c>
      <c r="I317" s="139"/>
      <c r="J317" s="325">
        <v>0</v>
      </c>
      <c r="K317" s="139"/>
      <c r="L317" s="325">
        <f>75379.54+16794.86+2177.17</f>
        <v>94351.569999999992</v>
      </c>
      <c r="M317" s="139"/>
      <c r="N317" s="325">
        <v>-9874.73</v>
      </c>
      <c r="O317" s="52"/>
      <c r="P317" s="325">
        <v>0</v>
      </c>
      <c r="Q317" s="52"/>
      <c r="R317" s="52">
        <f t="shared" si="21"/>
        <v>-21801676.879999995</v>
      </c>
      <c r="S317" s="33"/>
      <c r="T317" s="33"/>
      <c r="U317" s="33"/>
    </row>
    <row r="318" spans="1:21">
      <c r="A318" t="s">
        <v>590</v>
      </c>
      <c r="B318" s="45">
        <v>-617933.82000000007</v>
      </c>
      <c r="C318" s="52"/>
      <c r="D318" s="45">
        <f>-3757.19-3635.04-3512.88</f>
        <v>-10905.11</v>
      </c>
      <c r="E318" s="52"/>
      <c r="F318" s="325">
        <v>166872.46</v>
      </c>
      <c r="G318" s="139"/>
      <c r="H318" s="325">
        <v>0</v>
      </c>
      <c r="I318" s="139"/>
      <c r="J318" s="325">
        <v>0</v>
      </c>
      <c r="K318" s="139"/>
      <c r="L318" s="325">
        <v>8445.3799999999992</v>
      </c>
      <c r="M318" s="139"/>
      <c r="N318" s="325">
        <v>-48334.29</v>
      </c>
      <c r="O318" s="52"/>
      <c r="P318" s="325">
        <v>0</v>
      </c>
      <c r="Q318" s="52"/>
      <c r="R318" s="52">
        <f t="shared" si="21"/>
        <v>-501855.38000000006</v>
      </c>
      <c r="S318" s="33"/>
      <c r="T318" s="33"/>
      <c r="U318" s="33"/>
    </row>
    <row r="319" spans="1:21">
      <c r="A319" t="s">
        <v>591</v>
      </c>
      <c r="B319" s="45">
        <v>-2183948.7199999997</v>
      </c>
      <c r="C319" s="52"/>
      <c r="D319" s="45">
        <f>-17145.29-19830.3-22585.24</f>
        <v>-59560.83</v>
      </c>
      <c r="E319" s="52"/>
      <c r="F319" s="325">
        <f>45983.09+193400.6</f>
        <v>239383.69</v>
      </c>
      <c r="G319" s="139"/>
      <c r="H319" s="325">
        <v>0</v>
      </c>
      <c r="I319" s="139"/>
      <c r="J319" s="325">
        <v>0</v>
      </c>
      <c r="K319" s="139"/>
      <c r="L319" s="325">
        <f>395.11+9787.97</f>
        <v>10183.08</v>
      </c>
      <c r="M319" s="139"/>
      <c r="N319" s="325">
        <v>-56018.12</v>
      </c>
      <c r="O319" s="52"/>
      <c r="P319" s="325">
        <v>0</v>
      </c>
      <c r="Q319" s="52"/>
      <c r="R319" s="52">
        <f t="shared" si="21"/>
        <v>-2049960.9</v>
      </c>
      <c r="S319" s="33"/>
      <c r="T319" s="33"/>
      <c r="U319" s="33"/>
    </row>
    <row r="320" spans="1:21">
      <c r="A320" t="s">
        <v>592</v>
      </c>
      <c r="B320" s="45">
        <v>-240.2399999999997</v>
      </c>
      <c r="C320" s="52"/>
      <c r="D320" s="45">
        <f>-16.57-16.57-16.57</f>
        <v>-49.71</v>
      </c>
      <c r="E320" s="52"/>
      <c r="F320" s="325">
        <v>0</v>
      </c>
      <c r="G320" s="139"/>
      <c r="H320" s="325">
        <v>0</v>
      </c>
      <c r="I320" s="139"/>
      <c r="J320" s="325">
        <v>0</v>
      </c>
      <c r="K320" s="139"/>
      <c r="L320" s="325">
        <v>0</v>
      </c>
      <c r="M320" s="139"/>
      <c r="N320" s="325">
        <v>0</v>
      </c>
      <c r="O320" s="52"/>
      <c r="P320" s="325">
        <v>0</v>
      </c>
      <c r="Q320" s="52"/>
      <c r="R320" s="52">
        <f t="shared" si="21"/>
        <v>-289.9499999999997</v>
      </c>
      <c r="S320" s="33"/>
      <c r="T320" s="33"/>
      <c r="U320" s="33"/>
    </row>
    <row r="321" spans="1:21">
      <c r="A321" t="s">
        <v>593</v>
      </c>
      <c r="B321" s="48">
        <v>-663.04</v>
      </c>
      <c r="C321" s="52"/>
      <c r="D321" s="48">
        <f>-663.04-663.04-663.04</f>
        <v>-1989.12</v>
      </c>
      <c r="E321" s="52"/>
      <c r="F321" s="327">
        <v>0</v>
      </c>
      <c r="G321" s="139"/>
      <c r="H321" s="327">
        <v>0</v>
      </c>
      <c r="I321" s="139"/>
      <c r="J321" s="327">
        <v>0</v>
      </c>
      <c r="K321" s="139"/>
      <c r="L321" s="327">
        <v>0</v>
      </c>
      <c r="M321" s="139"/>
      <c r="N321" s="327">
        <v>0</v>
      </c>
      <c r="O321" s="52"/>
      <c r="P321" s="327">
        <v>0</v>
      </c>
      <c r="Q321" s="52"/>
      <c r="R321" s="48">
        <f t="shared" si="21"/>
        <v>-2652.16</v>
      </c>
      <c r="S321" s="37"/>
      <c r="T321" s="33"/>
      <c r="U321" s="33"/>
    </row>
    <row r="322" spans="1:21">
      <c r="B322" s="52">
        <f>SUM(B305:B321)</f>
        <v>-124961731.68000001</v>
      </c>
      <c r="C322" s="52"/>
      <c r="D322" s="52">
        <f>SUM(D305:D321)</f>
        <v>-1330433.1400000001</v>
      </c>
      <c r="E322" s="52"/>
      <c r="F322" s="139">
        <f>SUM(F305:F321)</f>
        <v>1623977.7699999998</v>
      </c>
      <c r="G322" s="139"/>
      <c r="H322" s="139">
        <f>SUM(H305:H321)</f>
        <v>6.8212102632969618E-13</v>
      </c>
      <c r="I322" s="139"/>
      <c r="J322" s="139">
        <f>SUM(J305:J321)</f>
        <v>0</v>
      </c>
      <c r="K322" s="139"/>
      <c r="L322" s="139">
        <f>SUM(L305:L321)</f>
        <v>404164.79</v>
      </c>
      <c r="M322" s="139"/>
      <c r="N322" s="52">
        <f>SUM(N305:N321)</f>
        <v>-357106.44</v>
      </c>
      <c r="O322" s="52"/>
      <c r="P322" s="52">
        <f>SUM(P305:P321)</f>
        <v>0</v>
      </c>
      <c r="Q322" s="52"/>
      <c r="R322" s="52">
        <f>SUM(R305:R321)</f>
        <v>-124621128.69999997</v>
      </c>
      <c r="S322" s="37"/>
      <c r="T322" s="33"/>
      <c r="U322" s="33"/>
    </row>
    <row r="323" spans="1:21">
      <c r="B323" s="52"/>
      <c r="C323" s="52"/>
      <c r="D323" s="52"/>
      <c r="E323" s="52"/>
      <c r="F323" s="139"/>
      <c r="G323" s="139"/>
      <c r="H323" s="139"/>
      <c r="I323" s="139"/>
      <c r="J323" s="139"/>
      <c r="K323" s="139"/>
      <c r="L323" s="139"/>
      <c r="M323" s="139"/>
      <c r="N323" s="52"/>
      <c r="O323" s="52"/>
      <c r="P323" s="52"/>
      <c r="Q323" s="52"/>
      <c r="R323" s="52"/>
      <c r="S323" s="37"/>
      <c r="T323" s="33"/>
      <c r="U323" s="33"/>
    </row>
    <row r="324" spans="1:21">
      <c r="B324" s="45"/>
      <c r="C324" s="52"/>
      <c r="D324" s="45"/>
      <c r="E324" s="52"/>
      <c r="F324" s="138"/>
      <c r="G324" s="139"/>
      <c r="H324" s="138"/>
      <c r="I324" s="139"/>
      <c r="J324" s="138"/>
      <c r="K324" s="139"/>
      <c r="L324" s="138"/>
      <c r="M324" s="139"/>
      <c r="N324" s="45"/>
      <c r="O324" s="52"/>
      <c r="P324" s="45"/>
      <c r="Q324" s="52"/>
      <c r="R324" s="45"/>
      <c r="S324" s="33"/>
      <c r="T324" s="33"/>
      <c r="U324" s="33"/>
    </row>
    <row r="325" spans="1:21" ht="13.5" thickBot="1">
      <c r="A325" s="3" t="s">
        <v>42</v>
      </c>
      <c r="B325" s="46">
        <f>B322+B302+B149+B52+B37+B28</f>
        <v>-1779470427.8199997</v>
      </c>
      <c r="C325" s="52"/>
      <c r="D325" s="46">
        <f>D322+D302+D149+D52+D37+D28</f>
        <v>-28391653.140000001</v>
      </c>
      <c r="E325" s="52"/>
      <c r="F325" s="144">
        <f>F322+F302+F149+F52+F37+F28</f>
        <v>5225562.08</v>
      </c>
      <c r="G325" s="139"/>
      <c r="H325" s="144">
        <f>H322+H302+H149+H52+H37+H28</f>
        <v>-223.56000000005935</v>
      </c>
      <c r="I325" s="139"/>
      <c r="J325" s="144">
        <f>J322+J302+J149+J52+J37+J28</f>
        <v>0</v>
      </c>
      <c r="K325" s="139"/>
      <c r="L325" s="144">
        <f>L322+L302+L149+L52+L37+L28</f>
        <v>4577782.8</v>
      </c>
      <c r="M325" s="139"/>
      <c r="N325" s="144">
        <f>N322+N302+N149+N52+N37+N28</f>
        <v>-538299.82999999996</v>
      </c>
      <c r="O325" s="52"/>
      <c r="P325" s="46">
        <f>P322+P302+P149+P52+P37+P28</f>
        <v>0</v>
      </c>
      <c r="Q325" s="52"/>
      <c r="R325" s="46">
        <f>R322+R302+R149+R52+R37+R28</f>
        <v>-1798597259.4699998</v>
      </c>
      <c r="S325" s="33"/>
      <c r="T325" s="33"/>
      <c r="U325" s="33"/>
    </row>
    <row r="326" spans="1:21" ht="13.5" thickTop="1">
      <c r="B326" s="4"/>
      <c r="C326" s="55"/>
      <c r="D326" s="4"/>
      <c r="E326" s="55"/>
      <c r="F326" s="145"/>
      <c r="G326" s="146"/>
      <c r="H326" s="145"/>
      <c r="I326" s="146"/>
      <c r="J326" s="145"/>
      <c r="K326" s="146"/>
      <c r="L326" s="145"/>
      <c r="M326" s="146"/>
      <c r="N326" s="4"/>
      <c r="O326" s="55"/>
      <c r="P326" s="4"/>
      <c r="Q326" s="55"/>
      <c r="R326" s="4"/>
    </row>
    <row r="328" spans="1:21">
      <c r="A328" s="3" t="s">
        <v>116</v>
      </c>
      <c r="B328" s="52"/>
      <c r="C328" s="52"/>
      <c r="D328" s="52"/>
      <c r="E328" s="52"/>
      <c r="F328" s="52"/>
      <c r="G328" s="52"/>
      <c r="H328" s="52"/>
      <c r="I328" s="52"/>
      <c r="J328" s="52"/>
      <c r="K328" s="52"/>
      <c r="L328" s="52"/>
      <c r="M328" s="52"/>
      <c r="N328" s="52"/>
      <c r="O328" s="52"/>
      <c r="P328" s="52"/>
      <c r="Q328" s="52"/>
      <c r="R328" s="52"/>
      <c r="S328" s="37"/>
      <c r="T328" s="33"/>
      <c r="U328" s="33"/>
    </row>
    <row r="329" spans="1:21">
      <c r="A329" t="s">
        <v>1014</v>
      </c>
      <c r="B329" s="52">
        <v>0</v>
      </c>
      <c r="C329" s="52"/>
      <c r="D329" s="52">
        <v>0</v>
      </c>
      <c r="E329" s="52"/>
      <c r="F329" s="52">
        <v>0</v>
      </c>
      <c r="G329" s="52"/>
      <c r="H329" s="52">
        <v>0</v>
      </c>
      <c r="I329" s="52"/>
      <c r="J329" s="52">
        <v>0</v>
      </c>
      <c r="K329" s="52"/>
      <c r="L329" s="52">
        <v>0</v>
      </c>
      <c r="M329" s="52"/>
      <c r="N329" s="52">
        <v>0</v>
      </c>
      <c r="O329" s="52"/>
      <c r="P329" s="52">
        <v>0</v>
      </c>
      <c r="Q329" s="52"/>
      <c r="R329" s="52">
        <v>0</v>
      </c>
      <c r="S329" s="37"/>
      <c r="T329" s="33"/>
      <c r="U329" s="33"/>
    </row>
    <row r="330" spans="1:21">
      <c r="A330" t="s">
        <v>1015</v>
      </c>
      <c r="B330" s="48">
        <v>0</v>
      </c>
      <c r="C330" s="52"/>
      <c r="D330" s="48">
        <v>0</v>
      </c>
      <c r="E330" s="52"/>
      <c r="F330" s="48">
        <v>0</v>
      </c>
      <c r="G330" s="52"/>
      <c r="H330" s="48">
        <v>0</v>
      </c>
      <c r="I330" s="52"/>
      <c r="J330" s="48">
        <v>0</v>
      </c>
      <c r="K330" s="52"/>
      <c r="L330" s="48">
        <v>0</v>
      </c>
      <c r="M330" s="52"/>
      <c r="N330" s="48">
        <v>0</v>
      </c>
      <c r="O330" s="52"/>
      <c r="P330" s="48">
        <v>0</v>
      </c>
      <c r="Q330" s="52"/>
      <c r="R330" s="48">
        <f>SUM(B330:P330)</f>
        <v>0</v>
      </c>
      <c r="S330" s="37"/>
      <c r="T330" s="33"/>
      <c r="U330" s="33"/>
    </row>
    <row r="331" spans="1:21">
      <c r="B331" s="52">
        <f>SUM(B329:B330)</f>
        <v>0</v>
      </c>
      <c r="C331" s="52"/>
      <c r="D331" s="52">
        <f t="shared" ref="D331:R331" si="22">SUM(D329:D330)</f>
        <v>0</v>
      </c>
      <c r="E331" s="52"/>
      <c r="F331" s="52">
        <f t="shared" si="22"/>
        <v>0</v>
      </c>
      <c r="G331" s="52"/>
      <c r="H331" s="52">
        <f t="shared" si="22"/>
        <v>0</v>
      </c>
      <c r="I331" s="52"/>
      <c r="J331" s="52">
        <f t="shared" si="22"/>
        <v>0</v>
      </c>
      <c r="K331" s="52"/>
      <c r="L331" s="52">
        <f t="shared" si="22"/>
        <v>0</v>
      </c>
      <c r="M331" s="52"/>
      <c r="N331" s="52">
        <f t="shared" si="22"/>
        <v>0</v>
      </c>
      <c r="O331" s="52"/>
      <c r="P331" s="52">
        <f t="shared" si="22"/>
        <v>0</v>
      </c>
      <c r="Q331" s="52"/>
      <c r="R331" s="52">
        <f t="shared" si="22"/>
        <v>0</v>
      </c>
      <c r="S331" s="37"/>
      <c r="T331" s="33"/>
      <c r="U331" s="33"/>
    </row>
    <row r="333" spans="1:21" ht="13.5" thickBot="1">
      <c r="A333" s="3" t="s">
        <v>43</v>
      </c>
      <c r="B333" s="46">
        <f>B331</f>
        <v>0</v>
      </c>
      <c r="C333" s="52"/>
      <c r="D333" s="46">
        <f>D331</f>
        <v>0</v>
      </c>
      <c r="E333" s="52"/>
      <c r="F333" s="46">
        <f>F331</f>
        <v>0</v>
      </c>
      <c r="G333" s="52"/>
      <c r="H333" s="46">
        <f>H331</f>
        <v>0</v>
      </c>
      <c r="I333" s="52"/>
      <c r="J333" s="46">
        <f>J331</f>
        <v>0</v>
      </c>
      <c r="K333" s="52"/>
      <c r="L333" s="46">
        <f>L331</f>
        <v>0</v>
      </c>
      <c r="M333" s="52"/>
      <c r="N333" s="46">
        <f>N331</f>
        <v>0</v>
      </c>
      <c r="O333" s="52"/>
      <c r="P333" s="46">
        <f>P331</f>
        <v>0</v>
      </c>
      <c r="Q333" s="52"/>
      <c r="R333" s="46">
        <f>R331</f>
        <v>0</v>
      </c>
      <c r="S333" s="33"/>
      <c r="T333" s="33"/>
      <c r="U333" s="33"/>
    </row>
    <row r="334" spans="1:21" ht="13.5" thickTop="1"/>
    <row r="338" spans="1:21">
      <c r="A338" s="3" t="s">
        <v>121</v>
      </c>
      <c r="B338" s="4"/>
      <c r="C338" s="55"/>
      <c r="D338" s="4"/>
      <c r="E338" s="55"/>
      <c r="F338" s="4"/>
      <c r="G338" s="55"/>
      <c r="H338" s="4"/>
      <c r="I338" s="55"/>
      <c r="J338" s="4"/>
      <c r="K338" s="55"/>
      <c r="L338" s="4"/>
      <c r="M338" s="55"/>
      <c r="N338" s="4"/>
      <c r="O338" s="55"/>
      <c r="P338" s="4"/>
      <c r="Q338" s="55"/>
      <c r="R338" s="4"/>
    </row>
    <row r="339" spans="1:21">
      <c r="A339" t="s">
        <v>594</v>
      </c>
      <c r="B339" s="45">
        <v>0</v>
      </c>
      <c r="C339" s="52"/>
      <c r="D339" s="45">
        <v>0</v>
      </c>
      <c r="E339" s="52"/>
      <c r="F339" s="325">
        <v>0</v>
      </c>
      <c r="G339" s="52"/>
      <c r="H339" s="325">
        <v>0</v>
      </c>
      <c r="I339" s="52"/>
      <c r="J339" s="325">
        <v>0</v>
      </c>
      <c r="K339" s="52"/>
      <c r="L339" s="325">
        <v>0</v>
      </c>
      <c r="M339" s="52"/>
      <c r="N339" s="325">
        <v>0</v>
      </c>
      <c r="O339" s="52"/>
      <c r="P339" s="325">
        <v>0</v>
      </c>
      <c r="Q339" s="52"/>
      <c r="R339" s="45">
        <f t="shared" ref="R339:R352" si="23">SUM(B339:P339)</f>
        <v>0</v>
      </c>
    </row>
    <row r="340" spans="1:21">
      <c r="A340" t="s">
        <v>595</v>
      </c>
      <c r="B340" s="45">
        <v>-77410.05</v>
      </c>
      <c r="C340" s="52"/>
      <c r="D340" s="138">
        <f>-2.47-2.47-2.47</f>
        <v>-7.41</v>
      </c>
      <c r="E340" s="52"/>
      <c r="F340" s="138">
        <v>0</v>
      </c>
      <c r="G340" s="52"/>
      <c r="H340" s="138">
        <v>0</v>
      </c>
      <c r="I340" s="52"/>
      <c r="J340" s="138">
        <v>0</v>
      </c>
      <c r="K340" s="52"/>
      <c r="L340" s="138">
        <v>0</v>
      </c>
      <c r="M340" s="52"/>
      <c r="N340" s="138">
        <v>0</v>
      </c>
      <c r="O340" s="52"/>
      <c r="P340" s="138">
        <v>0</v>
      </c>
      <c r="Q340" s="52"/>
      <c r="R340" s="45">
        <f t="shared" si="23"/>
        <v>-77417.460000000006</v>
      </c>
    </row>
    <row r="341" spans="1:21">
      <c r="A341" t="s">
        <v>596</v>
      </c>
      <c r="B341" s="45">
        <v>-116009.66</v>
      </c>
      <c r="C341" s="52"/>
      <c r="D341" s="138">
        <f>-325.03-325.03-325.03</f>
        <v>-975.08999999999992</v>
      </c>
      <c r="E341" s="52"/>
      <c r="F341" s="138">
        <v>0</v>
      </c>
      <c r="G341" s="139"/>
      <c r="H341" s="138">
        <v>0</v>
      </c>
      <c r="I341" s="139"/>
      <c r="J341" s="138">
        <v>0</v>
      </c>
      <c r="K341" s="139"/>
      <c r="L341" s="138">
        <v>0</v>
      </c>
      <c r="M341" s="139"/>
      <c r="N341" s="138">
        <v>0</v>
      </c>
      <c r="O341" s="52"/>
      <c r="P341" s="138">
        <v>0</v>
      </c>
      <c r="Q341" s="52"/>
      <c r="R341" s="45">
        <f t="shared" si="23"/>
        <v>-116984.75</v>
      </c>
    </row>
    <row r="342" spans="1:21">
      <c r="A342" t="s">
        <v>597</v>
      </c>
      <c r="B342" s="45">
        <v>-196424.29</v>
      </c>
      <c r="C342" s="52"/>
      <c r="D342" s="138">
        <f>-3705.29-3705.29-3705.29</f>
        <v>-11115.869999999999</v>
      </c>
      <c r="E342" s="52"/>
      <c r="F342" s="138">
        <v>0</v>
      </c>
      <c r="G342" s="139"/>
      <c r="H342" s="138">
        <v>0</v>
      </c>
      <c r="I342" s="139"/>
      <c r="J342" s="138">
        <v>0</v>
      </c>
      <c r="K342" s="139"/>
      <c r="L342" s="138">
        <v>0</v>
      </c>
      <c r="M342" s="139"/>
      <c r="N342" s="138">
        <v>0</v>
      </c>
      <c r="O342" s="52"/>
      <c r="P342" s="138">
        <v>0</v>
      </c>
      <c r="Q342" s="52"/>
      <c r="R342" s="45">
        <f t="shared" si="23"/>
        <v>-207540.16</v>
      </c>
    </row>
    <row r="343" spans="1:21">
      <c r="A343" t="s">
        <v>598</v>
      </c>
      <c r="B343" s="45">
        <v>-107204698.94999999</v>
      </c>
      <c r="C343" s="52"/>
      <c r="D343" s="138">
        <f>-475641.06-484164.12-492647.16</f>
        <v>-1452452.3399999999</v>
      </c>
      <c r="E343" s="52"/>
      <c r="F343" s="138">
        <f>15474.72+2796.78</f>
        <v>18271.5</v>
      </c>
      <c r="G343" s="139"/>
      <c r="H343" s="138">
        <v>1337.83</v>
      </c>
      <c r="I343" s="139"/>
      <c r="J343" s="138">
        <v>0</v>
      </c>
      <c r="K343" s="139"/>
      <c r="L343" s="138">
        <f>59719.42+644.31</f>
        <v>60363.729999999996</v>
      </c>
      <c r="M343" s="139"/>
      <c r="N343" s="138">
        <v>0</v>
      </c>
      <c r="O343" s="52"/>
      <c r="P343" s="138">
        <v>0</v>
      </c>
      <c r="Q343" s="52"/>
      <c r="R343" s="45">
        <f t="shared" si="23"/>
        <v>-108577178.22999999</v>
      </c>
    </row>
    <row r="344" spans="1:21">
      <c r="A344" t="s">
        <v>599</v>
      </c>
      <c r="B344" s="45">
        <v>-2753836.73</v>
      </c>
      <c r="C344" s="52"/>
      <c r="D344" s="138">
        <f>-26228.52-26231.18-26256.41</f>
        <v>-78716.11</v>
      </c>
      <c r="E344" s="52"/>
      <c r="F344" s="138">
        <f>2165.5+1918.44</f>
        <v>4083.94</v>
      </c>
      <c r="G344" s="139"/>
      <c r="H344" s="138">
        <v>0</v>
      </c>
      <c r="I344" s="139"/>
      <c r="J344" s="138">
        <v>0</v>
      </c>
      <c r="K344" s="139"/>
      <c r="L344" s="138">
        <v>0</v>
      </c>
      <c r="M344" s="139"/>
      <c r="N344" s="138">
        <v>0</v>
      </c>
      <c r="O344" s="52"/>
      <c r="P344" s="138">
        <v>0</v>
      </c>
      <c r="Q344" s="52"/>
      <c r="R344" s="45">
        <f t="shared" si="23"/>
        <v>-2828468.9</v>
      </c>
    </row>
    <row r="345" spans="1:21">
      <c r="A345" t="s">
        <v>600</v>
      </c>
      <c r="B345" s="45">
        <v>-1668740.5299999998</v>
      </c>
      <c r="C345" s="52"/>
      <c r="D345" s="138">
        <f>-8512.02-8512.02-8586.71</f>
        <v>-25610.75</v>
      </c>
      <c r="E345" s="52"/>
      <c r="F345" s="138">
        <v>0</v>
      </c>
      <c r="G345" s="139"/>
      <c r="H345" s="138">
        <v>0</v>
      </c>
      <c r="I345" s="139"/>
      <c r="J345" s="138">
        <v>0</v>
      </c>
      <c r="K345" s="139"/>
      <c r="L345" s="138">
        <v>0</v>
      </c>
      <c r="M345" s="139"/>
      <c r="N345" s="138">
        <v>0</v>
      </c>
      <c r="O345" s="52"/>
      <c r="P345" s="138">
        <v>0</v>
      </c>
      <c r="Q345" s="52"/>
      <c r="R345" s="45">
        <f t="shared" si="23"/>
        <v>-1694351.2799999998</v>
      </c>
    </row>
    <row r="346" spans="1:21">
      <c r="A346" t="s">
        <v>623</v>
      </c>
      <c r="B346" s="45">
        <v>-69756859.810000002</v>
      </c>
      <c r="C346" s="52"/>
      <c r="D346" s="138">
        <f>-581623.49-583935.63-586234.67</f>
        <v>-1751793.79</v>
      </c>
      <c r="E346" s="52"/>
      <c r="F346" s="138">
        <v>1262.3599999999999</v>
      </c>
      <c r="G346" s="139"/>
      <c r="H346" s="138">
        <v>0</v>
      </c>
      <c r="I346" s="139"/>
      <c r="J346" s="138">
        <v>0</v>
      </c>
      <c r="K346" s="139"/>
      <c r="L346" s="138">
        <v>0</v>
      </c>
      <c r="M346" s="139"/>
      <c r="N346" s="138">
        <v>0</v>
      </c>
      <c r="O346" s="52"/>
      <c r="P346" s="138">
        <v>0</v>
      </c>
      <c r="Q346" s="52"/>
      <c r="R346" s="45">
        <f t="shared" si="23"/>
        <v>-71507391.24000001</v>
      </c>
    </row>
    <row r="347" spans="1:21">
      <c r="A347" t="s">
        <v>624</v>
      </c>
      <c r="B347" s="45">
        <v>-7561200.3100000005</v>
      </c>
      <c r="C347" s="52"/>
      <c r="D347" s="138">
        <f>-132447.22-132447.22-132707.86</f>
        <v>-397602.3</v>
      </c>
      <c r="E347" s="52"/>
      <c r="F347" s="138">
        <v>0</v>
      </c>
      <c r="G347" s="139"/>
      <c r="H347" s="138">
        <v>0</v>
      </c>
      <c r="I347" s="139"/>
      <c r="J347" s="138">
        <v>0</v>
      </c>
      <c r="K347" s="139"/>
      <c r="L347" s="138">
        <v>0</v>
      </c>
      <c r="M347" s="139"/>
      <c r="N347" s="138">
        <v>0</v>
      </c>
      <c r="O347" s="52"/>
      <c r="P347" s="138">
        <v>0</v>
      </c>
      <c r="Q347" s="52"/>
      <c r="R347" s="45">
        <f t="shared" si="23"/>
        <v>-7958802.6100000003</v>
      </c>
    </row>
    <row r="348" spans="1:21">
      <c r="A348" t="s">
        <v>625</v>
      </c>
      <c r="B348" s="45">
        <v>-591351.35999999987</v>
      </c>
      <c r="C348" s="52"/>
      <c r="D348" s="138">
        <f>-43649.25-44081.07-44270.03</f>
        <v>-132000.35</v>
      </c>
      <c r="E348" s="52"/>
      <c r="F348" s="138">
        <v>0</v>
      </c>
      <c r="G348" s="139"/>
      <c r="H348" s="138">
        <v>0</v>
      </c>
      <c r="I348" s="139"/>
      <c r="J348" s="138">
        <v>0</v>
      </c>
      <c r="K348" s="139"/>
      <c r="L348" s="138">
        <v>0</v>
      </c>
      <c r="M348" s="139"/>
      <c r="N348" s="138">
        <v>0</v>
      </c>
      <c r="O348" s="52"/>
      <c r="P348" s="138">
        <v>0</v>
      </c>
      <c r="Q348" s="52"/>
      <c r="R348" s="45">
        <f t="shared" si="23"/>
        <v>-723351.70999999985</v>
      </c>
    </row>
    <row r="349" spans="1:21">
      <c r="A349" t="s">
        <v>626</v>
      </c>
      <c r="B349" s="45">
        <v>-99216.31</v>
      </c>
      <c r="C349" s="52"/>
      <c r="D349" s="138">
        <f>-739.75-739.75-739.75</f>
        <v>-2219.25</v>
      </c>
      <c r="E349" s="52"/>
      <c r="F349" s="138">
        <v>0</v>
      </c>
      <c r="G349" s="139"/>
      <c r="H349" s="138">
        <v>0</v>
      </c>
      <c r="I349" s="139"/>
      <c r="J349" s="138">
        <v>0</v>
      </c>
      <c r="K349" s="139"/>
      <c r="L349" s="138">
        <v>0</v>
      </c>
      <c r="M349" s="139"/>
      <c r="N349" s="138">
        <v>0</v>
      </c>
      <c r="O349" s="52"/>
      <c r="P349" s="138">
        <v>0</v>
      </c>
      <c r="Q349" s="52"/>
      <c r="R349" s="45">
        <f t="shared" si="23"/>
        <v>-101435.56</v>
      </c>
    </row>
    <row r="350" spans="1:21">
      <c r="A350" t="s">
        <v>627</v>
      </c>
      <c r="B350" s="45">
        <v>-19622.14</v>
      </c>
      <c r="C350" s="52"/>
      <c r="D350" s="138">
        <f>-148.23-148.23-148.23</f>
        <v>-444.68999999999994</v>
      </c>
      <c r="E350" s="52"/>
      <c r="F350" s="138">
        <v>0</v>
      </c>
      <c r="G350" s="139"/>
      <c r="H350" s="138">
        <v>0</v>
      </c>
      <c r="I350" s="139"/>
      <c r="J350" s="138">
        <v>0</v>
      </c>
      <c r="K350" s="139"/>
      <c r="L350" s="138">
        <v>0</v>
      </c>
      <c r="M350" s="139"/>
      <c r="N350" s="138">
        <v>0</v>
      </c>
      <c r="O350" s="52"/>
      <c r="P350" s="138">
        <v>0</v>
      </c>
      <c r="Q350" s="52"/>
      <c r="R350" s="45">
        <f t="shared" si="23"/>
        <v>-20066.829999999998</v>
      </c>
    </row>
    <row r="351" spans="1:21">
      <c r="A351" t="s">
        <v>628</v>
      </c>
      <c r="B351" s="52">
        <v>-90.17000000000003</v>
      </c>
      <c r="C351" s="52"/>
      <c r="D351" s="139">
        <f>-6.14-6.14-6.14</f>
        <v>-18.419999999999998</v>
      </c>
      <c r="E351" s="52"/>
      <c r="F351" s="139">
        <v>0</v>
      </c>
      <c r="G351" s="139"/>
      <c r="H351" s="139">
        <v>0</v>
      </c>
      <c r="I351" s="139"/>
      <c r="J351" s="139">
        <v>0</v>
      </c>
      <c r="K351" s="139"/>
      <c r="L351" s="139">
        <v>0</v>
      </c>
      <c r="M351" s="139"/>
      <c r="N351" s="139">
        <v>0</v>
      </c>
      <c r="O351" s="52"/>
      <c r="P351" s="139">
        <v>0</v>
      </c>
      <c r="Q351" s="52"/>
      <c r="R351" s="45">
        <f t="shared" si="23"/>
        <v>-108.59000000000003</v>
      </c>
      <c r="S351" s="7"/>
      <c r="T351" s="7"/>
      <c r="U351" s="7"/>
    </row>
    <row r="352" spans="1:21">
      <c r="A352" t="s">
        <v>629</v>
      </c>
      <c r="B352" s="67">
        <v>-346147.34000000154</v>
      </c>
      <c r="C352" s="68"/>
      <c r="D352" s="140">
        <f>-24722.49-24722.54-24722.48</f>
        <v>-74167.509999999995</v>
      </c>
      <c r="E352" s="68"/>
      <c r="F352" s="140">
        <v>0</v>
      </c>
      <c r="G352" s="147"/>
      <c r="H352" s="140">
        <v>0</v>
      </c>
      <c r="I352" s="147"/>
      <c r="J352" s="140">
        <v>0</v>
      </c>
      <c r="K352" s="147"/>
      <c r="L352" s="140">
        <v>0</v>
      </c>
      <c r="M352" s="147"/>
      <c r="N352" s="140">
        <v>0</v>
      </c>
      <c r="O352" s="68"/>
      <c r="P352" s="140">
        <v>0</v>
      </c>
      <c r="Q352" s="68"/>
      <c r="R352" s="67">
        <f t="shared" si="23"/>
        <v>-420314.85000000155</v>
      </c>
      <c r="S352" s="7"/>
      <c r="T352" s="7"/>
      <c r="U352" s="7"/>
    </row>
    <row r="353" spans="1:21">
      <c r="B353" s="52">
        <f>SUM(B339:B352)</f>
        <v>-190391607.64999998</v>
      </c>
      <c r="C353" s="52"/>
      <c r="D353" s="52">
        <f>SUM(D339:D352)</f>
        <v>-3927123.88</v>
      </c>
      <c r="E353" s="52"/>
      <c r="F353" s="139">
        <f>SUM(F339:F352)</f>
        <v>23617.8</v>
      </c>
      <c r="G353" s="139"/>
      <c r="H353" s="139">
        <f>SUM(H339:H352)</f>
        <v>1337.83</v>
      </c>
      <c r="I353" s="139"/>
      <c r="J353" s="139">
        <f>SUM(J339:J352)</f>
        <v>0</v>
      </c>
      <c r="K353" s="139"/>
      <c r="L353" s="139">
        <f>SUM(L339:L352)</f>
        <v>60363.729999999996</v>
      </c>
      <c r="M353" s="139"/>
      <c r="N353" s="139">
        <f>SUM(N339:N352)</f>
        <v>0</v>
      </c>
      <c r="O353" s="52"/>
      <c r="P353" s="52">
        <f>SUM(P339:P352)</f>
        <v>0</v>
      </c>
      <c r="Q353" s="52"/>
      <c r="R353" s="52">
        <f>SUM(R339:R352)</f>
        <v>-194233412.17000005</v>
      </c>
      <c r="S353" s="7"/>
      <c r="T353" s="7"/>
      <c r="U353" s="7"/>
    </row>
    <row r="354" spans="1:21">
      <c r="B354" s="52"/>
      <c r="C354" s="52"/>
      <c r="D354" s="52"/>
      <c r="E354" s="52"/>
      <c r="F354" s="139"/>
      <c r="G354" s="139"/>
      <c r="H354" s="139"/>
      <c r="I354" s="139"/>
      <c r="J354" s="139"/>
      <c r="K354" s="139"/>
      <c r="L354" s="139"/>
      <c r="M354" s="139"/>
      <c r="N354" s="139"/>
      <c r="O354" s="52"/>
      <c r="P354" s="52"/>
      <c r="Q354" s="52"/>
      <c r="R354" s="52"/>
      <c r="S354" s="7"/>
      <c r="T354" s="7"/>
      <c r="U354" s="7"/>
    </row>
    <row r="355" spans="1:21">
      <c r="A355" s="3" t="s">
        <v>122</v>
      </c>
      <c r="B355" s="52"/>
      <c r="C355" s="52"/>
      <c r="D355" s="52"/>
      <c r="E355" s="52"/>
      <c r="F355" s="52"/>
      <c r="G355" s="52"/>
      <c r="H355" s="52"/>
      <c r="I355" s="52"/>
      <c r="J355" s="52"/>
      <c r="K355" s="52"/>
      <c r="L355" s="52"/>
      <c r="M355" s="52"/>
      <c r="N355" s="52"/>
      <c r="O355" s="52"/>
      <c r="P355" s="52"/>
      <c r="Q355" s="52"/>
      <c r="R355" s="52"/>
      <c r="S355" s="7"/>
      <c r="T355" s="7"/>
      <c r="U355" s="7"/>
    </row>
    <row r="356" spans="1:21">
      <c r="A356" t="s">
        <v>630</v>
      </c>
      <c r="B356" s="52">
        <v>-1036500.9700000002</v>
      </c>
      <c r="C356" s="52"/>
      <c r="D356" s="52">
        <f>-4635.38-5332.33-6268.04</f>
        <v>-16235.75</v>
      </c>
      <c r="E356" s="52"/>
      <c r="F356" s="326">
        <v>0</v>
      </c>
      <c r="G356" s="52"/>
      <c r="H356" s="326">
        <v>0</v>
      </c>
      <c r="I356" s="52"/>
      <c r="J356" s="326">
        <v>0</v>
      </c>
      <c r="K356" s="52"/>
      <c r="L356" s="326">
        <v>0</v>
      </c>
      <c r="M356" s="52"/>
      <c r="N356" s="326">
        <v>0</v>
      </c>
      <c r="O356" s="52"/>
      <c r="P356" s="326">
        <v>0</v>
      </c>
      <c r="Q356" s="52"/>
      <c r="R356" s="45">
        <f t="shared" ref="R356:R361" si="24">SUM(B356:P356)</f>
        <v>-1052736.7200000002</v>
      </c>
      <c r="S356" s="7"/>
      <c r="T356" s="83"/>
      <c r="U356" s="7"/>
    </row>
    <row r="357" spans="1:21">
      <c r="A357" t="s">
        <v>631</v>
      </c>
      <c r="B357" s="52">
        <v>-206261.13</v>
      </c>
      <c r="C357" s="52"/>
      <c r="D357" s="52">
        <f>-2322.14-2350.78-2379.43</f>
        <v>-7052.35</v>
      </c>
      <c r="E357" s="52"/>
      <c r="F357" s="326">
        <v>0</v>
      </c>
      <c r="G357" s="52"/>
      <c r="H357" s="326">
        <v>0</v>
      </c>
      <c r="I357" s="52"/>
      <c r="J357" s="326">
        <v>0</v>
      </c>
      <c r="K357" s="52"/>
      <c r="L357" s="326">
        <v>0</v>
      </c>
      <c r="M357" s="52"/>
      <c r="N357" s="326">
        <v>0</v>
      </c>
      <c r="O357" s="52"/>
      <c r="P357" s="326">
        <v>0</v>
      </c>
      <c r="Q357" s="52"/>
      <c r="R357" s="45">
        <f t="shared" si="24"/>
        <v>-213313.48</v>
      </c>
      <c r="S357" s="7"/>
      <c r="T357" s="83"/>
      <c r="U357" s="7"/>
    </row>
    <row r="358" spans="1:21">
      <c r="A358" t="s">
        <v>632</v>
      </c>
      <c r="B358" s="52">
        <v>-1536691.1599999997</v>
      </c>
      <c r="C358" s="52"/>
      <c r="D358" s="52">
        <f>-16270.99-16818.46-17475.83</f>
        <v>-50565.279999999999</v>
      </c>
      <c r="E358" s="52"/>
      <c r="F358" s="326">
        <v>0</v>
      </c>
      <c r="G358" s="52"/>
      <c r="H358" s="326">
        <v>0</v>
      </c>
      <c r="I358" s="52"/>
      <c r="J358" s="326">
        <v>0</v>
      </c>
      <c r="K358" s="52"/>
      <c r="L358" s="326">
        <v>0</v>
      </c>
      <c r="M358" s="52"/>
      <c r="N358" s="326">
        <v>0</v>
      </c>
      <c r="O358" s="52"/>
      <c r="P358" s="326">
        <v>0</v>
      </c>
      <c r="Q358" s="52"/>
      <c r="R358" s="45">
        <f t="shared" si="24"/>
        <v>-1587256.4399999997</v>
      </c>
      <c r="S358" s="7"/>
      <c r="T358" s="83"/>
      <c r="U358" s="7"/>
    </row>
    <row r="359" spans="1:21">
      <c r="A359" t="s">
        <v>633</v>
      </c>
      <c r="B359" s="52">
        <v>0</v>
      </c>
      <c r="C359" s="52"/>
      <c r="D359" s="52">
        <v>0</v>
      </c>
      <c r="E359" s="52"/>
      <c r="F359" s="326">
        <v>0</v>
      </c>
      <c r="G359" s="52"/>
      <c r="H359" s="326">
        <v>0</v>
      </c>
      <c r="I359" s="52"/>
      <c r="J359" s="326">
        <v>0</v>
      </c>
      <c r="K359" s="52"/>
      <c r="L359" s="326">
        <v>0</v>
      </c>
      <c r="M359" s="52"/>
      <c r="N359" s="326">
        <v>0</v>
      </c>
      <c r="O359" s="52"/>
      <c r="P359" s="326">
        <v>0</v>
      </c>
      <c r="Q359" s="52"/>
      <c r="R359" s="45">
        <f t="shared" si="24"/>
        <v>0</v>
      </c>
      <c r="S359" s="71"/>
      <c r="T359" s="83"/>
      <c r="U359" s="7"/>
    </row>
    <row r="360" spans="1:21">
      <c r="A360" t="s">
        <v>634</v>
      </c>
      <c r="B360" s="52">
        <v>-2000276.8799999997</v>
      </c>
      <c r="C360" s="52"/>
      <c r="D360" s="52">
        <f>-5810.83-5810.82-5810.82</f>
        <v>-17432.47</v>
      </c>
      <c r="E360" s="52"/>
      <c r="F360" s="326">
        <v>0</v>
      </c>
      <c r="G360" s="52"/>
      <c r="H360" s="326">
        <v>0</v>
      </c>
      <c r="I360" s="52"/>
      <c r="J360" s="326">
        <v>0</v>
      </c>
      <c r="K360" s="52"/>
      <c r="L360" s="326">
        <v>0</v>
      </c>
      <c r="M360" s="52"/>
      <c r="N360" s="326">
        <v>0</v>
      </c>
      <c r="O360" s="52"/>
      <c r="P360" s="326">
        <v>0</v>
      </c>
      <c r="Q360" s="52"/>
      <c r="R360" s="45">
        <f t="shared" si="24"/>
        <v>-2017709.3499999996</v>
      </c>
      <c r="S360" s="71"/>
      <c r="T360" s="83"/>
      <c r="U360" s="7"/>
    </row>
    <row r="361" spans="1:21">
      <c r="A361" t="s">
        <v>635</v>
      </c>
      <c r="B361" s="67">
        <v>-36346.14</v>
      </c>
      <c r="C361" s="68"/>
      <c r="D361" s="67">
        <f>-398.52-398.52-398.52</f>
        <v>-1195.56</v>
      </c>
      <c r="E361" s="68"/>
      <c r="F361" s="67">
        <v>0</v>
      </c>
      <c r="G361" s="68"/>
      <c r="H361" s="67">
        <v>0</v>
      </c>
      <c r="I361" s="68"/>
      <c r="J361" s="67">
        <v>0</v>
      </c>
      <c r="K361" s="68"/>
      <c r="L361" s="67">
        <v>0</v>
      </c>
      <c r="M361" s="68"/>
      <c r="N361" s="67">
        <v>0</v>
      </c>
      <c r="O361" s="68"/>
      <c r="P361" s="67">
        <v>0</v>
      </c>
      <c r="Q361" s="68"/>
      <c r="R361" s="67">
        <f t="shared" si="24"/>
        <v>-37541.699999999997</v>
      </c>
      <c r="S361" s="185"/>
      <c r="T361" s="83"/>
      <c r="U361" s="7"/>
    </row>
    <row r="362" spans="1:21">
      <c r="B362" s="52">
        <f>SUM(B356:B361)</f>
        <v>-4816076.2799999993</v>
      </c>
      <c r="C362" s="52"/>
      <c r="D362" s="52">
        <f>SUM(D356:D361)</f>
        <v>-92481.41</v>
      </c>
      <c r="E362" s="52"/>
      <c r="F362" s="52">
        <f>SUM(F356:F361)</f>
        <v>0</v>
      </c>
      <c r="G362" s="52"/>
      <c r="H362" s="52">
        <f>SUM(H356:H361)</f>
        <v>0</v>
      </c>
      <c r="I362" s="52"/>
      <c r="J362" s="52">
        <f>SUM(J356:J361)</f>
        <v>0</v>
      </c>
      <c r="K362" s="52"/>
      <c r="L362" s="52">
        <f>SUM(L356:L361)</f>
        <v>0</v>
      </c>
      <c r="M362" s="52"/>
      <c r="N362" s="52">
        <f>SUM(N356:N361)</f>
        <v>0</v>
      </c>
      <c r="O362" s="52"/>
      <c r="P362" s="52">
        <f>SUM(P356:P361)</f>
        <v>0</v>
      </c>
      <c r="Q362" s="52"/>
      <c r="R362" s="52">
        <f>SUM(R356:R361)</f>
        <v>-4908557.6899999995</v>
      </c>
      <c r="S362" s="7"/>
      <c r="T362" s="7"/>
      <c r="U362" s="7"/>
    </row>
    <row r="365" spans="1:21">
      <c r="A365" s="3" t="s">
        <v>124</v>
      </c>
      <c r="B365" s="52"/>
      <c r="C365" s="52"/>
      <c r="D365" s="52"/>
      <c r="E365" s="52"/>
      <c r="F365" s="52"/>
      <c r="G365" s="52"/>
      <c r="H365" s="52"/>
      <c r="I365" s="52"/>
      <c r="J365" s="52"/>
      <c r="K365" s="52"/>
      <c r="L365" s="52"/>
      <c r="M365" s="52"/>
      <c r="N365" s="52"/>
      <c r="O365" s="52"/>
      <c r="P365" s="52"/>
      <c r="Q365" s="52"/>
      <c r="R365" s="52"/>
      <c r="S365" s="7"/>
      <c r="T365" s="7"/>
      <c r="U365" s="7"/>
    </row>
    <row r="366" spans="1:21">
      <c r="A366" t="s">
        <v>637</v>
      </c>
      <c r="B366" s="52">
        <v>0</v>
      </c>
      <c r="C366" s="52"/>
      <c r="D366" s="52">
        <v>0</v>
      </c>
      <c r="E366" s="52"/>
      <c r="F366" s="326">
        <v>0</v>
      </c>
      <c r="G366" s="52"/>
      <c r="H366" s="326">
        <v>0</v>
      </c>
      <c r="I366" s="52"/>
      <c r="J366" s="326">
        <v>0</v>
      </c>
      <c r="K366" s="52"/>
      <c r="L366" s="326">
        <v>0</v>
      </c>
      <c r="M366" s="52"/>
      <c r="N366" s="326">
        <v>0</v>
      </c>
      <c r="O366" s="52"/>
      <c r="P366" s="326">
        <v>0</v>
      </c>
      <c r="Q366" s="52"/>
      <c r="R366" s="45">
        <f t="shared" ref="R366:R383" si="25">SUM(B366:P366)</f>
        <v>0</v>
      </c>
      <c r="S366" s="7"/>
      <c r="T366" s="7"/>
      <c r="U366" s="7"/>
    </row>
    <row r="367" spans="1:21">
      <c r="A367" t="s">
        <v>645</v>
      </c>
      <c r="B367" s="52">
        <v>-70451.45</v>
      </c>
      <c r="C367" s="52"/>
      <c r="D367" s="52">
        <v>0</v>
      </c>
      <c r="E367" s="52"/>
      <c r="F367" s="326">
        <v>0</v>
      </c>
      <c r="G367" s="52"/>
      <c r="H367" s="326">
        <v>0</v>
      </c>
      <c r="I367" s="52"/>
      <c r="J367" s="326">
        <v>0</v>
      </c>
      <c r="K367" s="52"/>
      <c r="L367" s="326">
        <v>0</v>
      </c>
      <c r="M367" s="52"/>
      <c r="N367" s="326">
        <v>0</v>
      </c>
      <c r="O367" s="52"/>
      <c r="P367" s="326">
        <v>0</v>
      </c>
      <c r="Q367" s="52"/>
      <c r="R367" s="45">
        <f t="shared" si="25"/>
        <v>-70451.45</v>
      </c>
      <c r="S367" s="7"/>
      <c r="T367" s="7"/>
      <c r="U367" s="7"/>
    </row>
    <row r="368" spans="1:21">
      <c r="A368" t="s">
        <v>638</v>
      </c>
      <c r="B368" s="52">
        <v>-933237.26</v>
      </c>
      <c r="C368" s="52"/>
      <c r="D368" s="52">
        <f>-6146.43-6170.28-6164.35</f>
        <v>-18481.059999999998</v>
      </c>
      <c r="E368" s="52"/>
      <c r="F368" s="326">
        <v>0</v>
      </c>
      <c r="G368" s="139"/>
      <c r="H368" s="326">
        <v>0</v>
      </c>
      <c r="I368" s="139"/>
      <c r="J368" s="326">
        <v>0</v>
      </c>
      <c r="K368" s="139"/>
      <c r="L368" s="326">
        <v>0</v>
      </c>
      <c r="M368" s="139"/>
      <c r="N368" s="326">
        <v>0</v>
      </c>
      <c r="O368" s="52"/>
      <c r="P368" s="326">
        <v>0</v>
      </c>
      <c r="Q368" s="52"/>
      <c r="R368" s="45">
        <f t="shared" si="25"/>
        <v>-951718.32000000007</v>
      </c>
      <c r="S368" s="7"/>
      <c r="T368" s="7"/>
      <c r="U368" s="7"/>
    </row>
    <row r="369" spans="1:21">
      <c r="A369" t="s">
        <v>639</v>
      </c>
      <c r="B369" s="52">
        <v>-14636.49</v>
      </c>
      <c r="C369" s="52"/>
      <c r="D369" s="52">
        <v>0</v>
      </c>
      <c r="E369" s="52"/>
      <c r="F369" s="326">
        <v>0</v>
      </c>
      <c r="G369" s="139"/>
      <c r="H369" s="326">
        <v>0</v>
      </c>
      <c r="I369" s="139"/>
      <c r="J369" s="326">
        <v>0</v>
      </c>
      <c r="K369" s="139"/>
      <c r="L369" s="326">
        <v>0</v>
      </c>
      <c r="M369" s="139"/>
      <c r="N369" s="326">
        <v>0</v>
      </c>
      <c r="O369" s="52"/>
      <c r="P369" s="326">
        <v>0</v>
      </c>
      <c r="Q369" s="52"/>
      <c r="R369" s="45">
        <f t="shared" si="25"/>
        <v>-14636.49</v>
      </c>
      <c r="S369" s="7"/>
      <c r="T369" s="7"/>
      <c r="U369" s="7"/>
    </row>
    <row r="370" spans="1:21">
      <c r="A370" t="s">
        <v>620</v>
      </c>
      <c r="B370" s="52">
        <v>-725198.25</v>
      </c>
      <c r="C370" s="52"/>
      <c r="D370" s="52">
        <f>-1620.02-1620.02-1630.09</f>
        <v>-4870.13</v>
      </c>
      <c r="E370" s="52"/>
      <c r="F370" s="326">
        <v>0</v>
      </c>
      <c r="G370" s="139"/>
      <c r="H370" s="326">
        <v>0</v>
      </c>
      <c r="I370" s="139"/>
      <c r="J370" s="326">
        <v>0</v>
      </c>
      <c r="K370" s="139"/>
      <c r="L370" s="326">
        <v>0</v>
      </c>
      <c r="M370" s="139"/>
      <c r="N370" s="326">
        <v>0</v>
      </c>
      <c r="O370" s="52"/>
      <c r="P370" s="326">
        <v>0</v>
      </c>
      <c r="Q370" s="52"/>
      <c r="R370" s="45">
        <f t="shared" si="25"/>
        <v>-730068.38</v>
      </c>
      <c r="S370" s="7"/>
      <c r="T370" s="7"/>
      <c r="U370" s="7"/>
    </row>
    <row r="371" spans="1:21">
      <c r="A371" t="s">
        <v>640</v>
      </c>
      <c r="B371" s="52">
        <v>-569589.96</v>
      </c>
      <c r="C371" s="52"/>
      <c r="D371" s="52">
        <v>0</v>
      </c>
      <c r="E371" s="52"/>
      <c r="F371" s="326">
        <v>0</v>
      </c>
      <c r="G371" s="139"/>
      <c r="H371" s="326">
        <v>0</v>
      </c>
      <c r="I371" s="139"/>
      <c r="J371" s="326">
        <v>0</v>
      </c>
      <c r="K371" s="139"/>
      <c r="L371" s="326">
        <v>0</v>
      </c>
      <c r="M371" s="139"/>
      <c r="N371" s="326">
        <v>0</v>
      </c>
      <c r="O371" s="52"/>
      <c r="P371" s="326">
        <v>0</v>
      </c>
      <c r="Q371" s="52"/>
      <c r="R371" s="45">
        <f t="shared" si="25"/>
        <v>-569589.96</v>
      </c>
      <c r="S371" s="7"/>
      <c r="T371" s="7"/>
      <c r="U371" s="7"/>
    </row>
    <row r="372" spans="1:21">
      <c r="A372" t="s">
        <v>641</v>
      </c>
      <c r="B372" s="52">
        <v>-452027.29</v>
      </c>
      <c r="C372" s="52"/>
      <c r="D372" s="52">
        <v>0</v>
      </c>
      <c r="E372" s="52"/>
      <c r="F372" s="326">
        <v>0</v>
      </c>
      <c r="G372" s="139"/>
      <c r="H372" s="326">
        <v>0</v>
      </c>
      <c r="I372" s="139"/>
      <c r="J372" s="326">
        <v>0</v>
      </c>
      <c r="K372" s="139"/>
      <c r="L372" s="326">
        <v>0</v>
      </c>
      <c r="M372" s="139"/>
      <c r="N372" s="326">
        <v>0</v>
      </c>
      <c r="O372" s="52"/>
      <c r="P372" s="326">
        <v>0</v>
      </c>
      <c r="Q372" s="52"/>
      <c r="R372" s="45">
        <f t="shared" si="25"/>
        <v>-452027.29</v>
      </c>
      <c r="S372" s="7"/>
      <c r="T372" s="7"/>
      <c r="U372" s="7"/>
    </row>
    <row r="373" spans="1:21">
      <c r="A373" t="s">
        <v>642</v>
      </c>
      <c r="B373" s="52">
        <v>-7772376.6199999992</v>
      </c>
      <c r="C373" s="52"/>
      <c r="D373" s="52">
        <f>-7397.46-7397.46-7397.46</f>
        <v>-22192.38</v>
      </c>
      <c r="E373" s="52"/>
      <c r="F373" s="326">
        <v>0</v>
      </c>
      <c r="G373" s="139"/>
      <c r="H373" s="326">
        <v>0</v>
      </c>
      <c r="I373" s="139"/>
      <c r="J373" s="326">
        <v>0</v>
      </c>
      <c r="K373" s="139"/>
      <c r="L373" s="326">
        <v>0</v>
      </c>
      <c r="M373" s="139"/>
      <c r="N373" s="326">
        <v>0</v>
      </c>
      <c r="O373" s="52"/>
      <c r="P373" s="326">
        <v>0</v>
      </c>
      <c r="Q373" s="52"/>
      <c r="R373" s="45">
        <f t="shared" si="25"/>
        <v>-7794568.9999999991</v>
      </c>
      <c r="S373" s="7"/>
      <c r="T373" s="7"/>
      <c r="U373" s="7"/>
    </row>
    <row r="374" spans="1:21">
      <c r="A374" t="s">
        <v>622</v>
      </c>
      <c r="B374" s="52">
        <v>-2080227.98</v>
      </c>
      <c r="C374" s="52"/>
      <c r="D374" s="52">
        <f>-623.85-623.85-623.85</f>
        <v>-1871.5500000000002</v>
      </c>
      <c r="E374" s="52"/>
      <c r="F374" s="326">
        <v>0</v>
      </c>
      <c r="G374" s="139"/>
      <c r="H374" s="326">
        <v>0</v>
      </c>
      <c r="I374" s="139"/>
      <c r="J374" s="326">
        <v>0</v>
      </c>
      <c r="K374" s="139"/>
      <c r="L374" s="326">
        <v>0</v>
      </c>
      <c r="M374" s="139"/>
      <c r="N374" s="326">
        <v>0</v>
      </c>
      <c r="O374" s="52"/>
      <c r="P374" s="326">
        <v>0</v>
      </c>
      <c r="Q374" s="52"/>
      <c r="R374" s="45">
        <f t="shared" si="25"/>
        <v>-2082099.53</v>
      </c>
      <c r="S374" s="7"/>
      <c r="T374" s="7"/>
      <c r="U374" s="7"/>
    </row>
    <row r="375" spans="1:21">
      <c r="A375" t="s">
        <v>1000</v>
      </c>
      <c r="B375" s="52">
        <v>-511124.80999999982</v>
      </c>
      <c r="C375" s="52"/>
      <c r="D375" s="52">
        <f>-9970.33+1354.35-10416.58+1414.97-10416.58+1414.97</f>
        <v>-26619.199999999997</v>
      </c>
      <c r="E375" s="52"/>
      <c r="F375" s="326">
        <v>0</v>
      </c>
      <c r="G375" s="139"/>
      <c r="H375" s="326">
        <v>0</v>
      </c>
      <c r="I375" s="139"/>
      <c r="J375" s="326">
        <v>0</v>
      </c>
      <c r="K375" s="139"/>
      <c r="L375" s="326">
        <v>0</v>
      </c>
      <c r="M375" s="139"/>
      <c r="N375" s="326">
        <v>0</v>
      </c>
      <c r="O375" s="52"/>
      <c r="P375" s="326">
        <v>0</v>
      </c>
      <c r="Q375" s="52"/>
      <c r="R375" s="45">
        <f t="shared" si="25"/>
        <v>-537744.00999999978</v>
      </c>
      <c r="S375" s="7"/>
      <c r="T375" s="7"/>
      <c r="U375" s="7"/>
    </row>
    <row r="376" spans="1:21">
      <c r="A376" t="s">
        <v>1090</v>
      </c>
      <c r="B376" s="52">
        <v>610564.73</v>
      </c>
      <c r="C376" s="52"/>
      <c r="D376" s="52">
        <f>-14785.32-15963-16129.22</f>
        <v>-46877.54</v>
      </c>
      <c r="E376" s="52"/>
      <c r="F376" s="326">
        <v>0</v>
      </c>
      <c r="G376" s="139"/>
      <c r="H376" s="326">
        <v>0</v>
      </c>
      <c r="I376" s="139"/>
      <c r="J376" s="326">
        <v>0</v>
      </c>
      <c r="K376" s="139"/>
      <c r="L376" s="326">
        <v>0</v>
      </c>
      <c r="M376" s="139"/>
      <c r="N376" s="326">
        <v>0</v>
      </c>
      <c r="O376" s="52"/>
      <c r="P376" s="326">
        <v>0</v>
      </c>
      <c r="Q376" s="52"/>
      <c r="R376" s="45">
        <f t="shared" si="25"/>
        <v>563687.18999999994</v>
      </c>
      <c r="S376" s="7"/>
      <c r="T376" s="7"/>
      <c r="U376" s="7"/>
    </row>
    <row r="377" spans="1:21">
      <c r="A377" t="s">
        <v>1002</v>
      </c>
      <c r="B377" s="52">
        <v>-6757445.2599999979</v>
      </c>
      <c r="C377" s="52"/>
      <c r="D377" s="52">
        <f>-18794.67-18788.15-18775.16</f>
        <v>-56357.979999999996</v>
      </c>
      <c r="E377" s="52"/>
      <c r="F377" s="326">
        <v>18547.78</v>
      </c>
      <c r="G377" s="139"/>
      <c r="H377" s="326">
        <v>0</v>
      </c>
      <c r="I377" s="139"/>
      <c r="J377" s="326">
        <v>0</v>
      </c>
      <c r="K377" s="139"/>
      <c r="L377" s="326">
        <v>0</v>
      </c>
      <c r="M377" s="139"/>
      <c r="N377" s="326">
        <v>0</v>
      </c>
      <c r="O377" s="52"/>
      <c r="P377" s="326">
        <v>0</v>
      </c>
      <c r="Q377" s="52"/>
      <c r="R377" s="45">
        <f t="shared" si="25"/>
        <v>-6795255.4599999981</v>
      </c>
      <c r="S377" s="7"/>
      <c r="T377" s="7"/>
      <c r="U377" s="7"/>
    </row>
    <row r="378" spans="1:21">
      <c r="A378" t="s">
        <v>643</v>
      </c>
      <c r="B378" s="52">
        <v>-4211238.7200000007</v>
      </c>
      <c r="C378" s="52"/>
      <c r="D378" s="52">
        <f>-17651.4-18019.13-18173.43</f>
        <v>-53843.96</v>
      </c>
      <c r="E378" s="52"/>
      <c r="F378" s="326">
        <v>27481.74</v>
      </c>
      <c r="G378" s="139"/>
      <c r="H378" s="326">
        <v>2506.39</v>
      </c>
      <c r="I378" s="139"/>
      <c r="J378" s="326">
        <v>0</v>
      </c>
      <c r="K378" s="139"/>
      <c r="L378" s="326">
        <v>0</v>
      </c>
      <c r="M378" s="139"/>
      <c r="N378" s="326">
        <v>0</v>
      </c>
      <c r="O378" s="52"/>
      <c r="P378" s="326">
        <v>0</v>
      </c>
      <c r="Q378" s="52"/>
      <c r="R378" s="45">
        <f t="shared" si="25"/>
        <v>-4235094.5500000007</v>
      </c>
      <c r="S378" s="7"/>
      <c r="T378" s="7"/>
      <c r="U378" s="7"/>
    </row>
    <row r="379" spans="1:21">
      <c r="A379" t="s">
        <v>644</v>
      </c>
      <c r="B379" s="52">
        <v>-283009.2</v>
      </c>
      <c r="C379" s="52"/>
      <c r="D379" s="52">
        <f>-533.6-533.6-533.6</f>
        <v>-1600.8000000000002</v>
      </c>
      <c r="E379" s="52"/>
      <c r="F379" s="326">
        <v>0</v>
      </c>
      <c r="G379" s="139"/>
      <c r="H379" s="326">
        <v>0</v>
      </c>
      <c r="I379" s="139"/>
      <c r="J379" s="326">
        <v>0</v>
      </c>
      <c r="K379" s="139"/>
      <c r="L379" s="326">
        <v>0</v>
      </c>
      <c r="M379" s="139"/>
      <c r="N379" s="326">
        <v>0</v>
      </c>
      <c r="O379" s="52"/>
      <c r="P379" s="326">
        <v>0</v>
      </c>
      <c r="Q379" s="52"/>
      <c r="R379" s="45">
        <f t="shared" si="25"/>
        <v>-284610</v>
      </c>
      <c r="S379" s="7"/>
      <c r="T379" s="7"/>
      <c r="U379" s="7"/>
    </row>
    <row r="380" spans="1:21">
      <c r="A380" t="s">
        <v>646</v>
      </c>
      <c r="B380" s="52">
        <v>-5297390.2700000014</v>
      </c>
      <c r="C380" s="52"/>
      <c r="D380" s="52">
        <f>-19469.48-19798.9-20580.35</f>
        <v>-59848.73</v>
      </c>
      <c r="E380" s="52"/>
      <c r="F380" s="326">
        <v>9008.6299999999992</v>
      </c>
      <c r="G380" s="139"/>
      <c r="H380" s="326">
        <v>-2506.39</v>
      </c>
      <c r="I380" s="139"/>
      <c r="J380" s="326">
        <v>0</v>
      </c>
      <c r="K380" s="139"/>
      <c r="L380" s="326">
        <v>0</v>
      </c>
      <c r="M380" s="139"/>
      <c r="N380" s="326">
        <v>0</v>
      </c>
      <c r="O380" s="52"/>
      <c r="P380" s="326">
        <v>0</v>
      </c>
      <c r="Q380" s="52"/>
      <c r="R380" s="45">
        <f t="shared" si="25"/>
        <v>-5350736.7600000016</v>
      </c>
      <c r="S380" s="7"/>
      <c r="T380" s="7"/>
      <c r="U380" s="7"/>
    </row>
    <row r="381" spans="1:21">
      <c r="A381" t="s">
        <v>1004</v>
      </c>
      <c r="B381" s="52">
        <v>-301336.06</v>
      </c>
      <c r="C381" s="52"/>
      <c r="D381" s="52">
        <f>-2296.84-2333.94-2318.96</f>
        <v>-6949.7400000000007</v>
      </c>
      <c r="E381" s="52"/>
      <c r="F381" s="326">
        <v>0</v>
      </c>
      <c r="G381" s="139"/>
      <c r="H381" s="326">
        <v>0</v>
      </c>
      <c r="I381" s="139"/>
      <c r="J381" s="326">
        <v>0</v>
      </c>
      <c r="K381" s="139"/>
      <c r="L381" s="326">
        <v>0</v>
      </c>
      <c r="M381" s="139"/>
      <c r="N381" s="326">
        <v>0</v>
      </c>
      <c r="O381" s="52"/>
      <c r="P381" s="326">
        <v>0</v>
      </c>
      <c r="Q381" s="52"/>
      <c r="R381" s="45">
        <f t="shared" si="25"/>
        <v>-308285.8</v>
      </c>
      <c r="S381" s="7"/>
      <c r="T381" s="7"/>
      <c r="U381" s="7"/>
    </row>
    <row r="382" spans="1:21">
      <c r="A382" t="s">
        <v>647</v>
      </c>
      <c r="B382" s="52">
        <v>-623.67000000000257</v>
      </c>
      <c r="C382" s="52"/>
      <c r="D382" s="52">
        <f>-39.46-39.45-39.45</f>
        <v>-118.36</v>
      </c>
      <c r="E382" s="52"/>
      <c r="F382" s="326">
        <v>0</v>
      </c>
      <c r="G382" s="139"/>
      <c r="H382" s="326">
        <v>0</v>
      </c>
      <c r="I382" s="139"/>
      <c r="J382" s="326">
        <v>0</v>
      </c>
      <c r="K382" s="139"/>
      <c r="L382" s="326">
        <v>0</v>
      </c>
      <c r="M382" s="139"/>
      <c r="N382" s="326">
        <v>0</v>
      </c>
      <c r="O382" s="52"/>
      <c r="P382" s="326">
        <v>0</v>
      </c>
      <c r="Q382" s="52"/>
      <c r="R382" s="45">
        <f t="shared" si="25"/>
        <v>-742.03000000000259</v>
      </c>
      <c r="S382" s="7"/>
      <c r="T382" s="7"/>
      <c r="U382" s="7"/>
    </row>
    <row r="383" spans="1:21">
      <c r="A383" t="s">
        <v>648</v>
      </c>
      <c r="B383" s="67">
        <v>-256927.56999999995</v>
      </c>
      <c r="C383" s="68"/>
      <c r="D383" s="67">
        <f>-18308.99-18309.02-18308.97</f>
        <v>-54926.98</v>
      </c>
      <c r="E383" s="52"/>
      <c r="F383" s="67">
        <v>0</v>
      </c>
      <c r="G383" s="139"/>
      <c r="H383" s="67">
        <v>0</v>
      </c>
      <c r="I383" s="139"/>
      <c r="J383" s="67">
        <v>0</v>
      </c>
      <c r="K383" s="139"/>
      <c r="L383" s="67">
        <v>0</v>
      </c>
      <c r="M383" s="139"/>
      <c r="N383" s="67">
        <v>0</v>
      </c>
      <c r="O383" s="52"/>
      <c r="P383" s="67">
        <v>0</v>
      </c>
      <c r="Q383" s="52"/>
      <c r="R383" s="67">
        <f t="shared" si="25"/>
        <v>-311854.54999999993</v>
      </c>
      <c r="S383" s="7"/>
      <c r="T383" s="7"/>
      <c r="U383" s="7"/>
    </row>
    <row r="384" spans="1:21">
      <c r="B384" s="52">
        <f>SUM(B366:B383)</f>
        <v>-29626276.129999999</v>
      </c>
      <c r="C384" s="52"/>
      <c r="D384" s="52">
        <f>SUM(D366:D383)</f>
        <v>-354558.41</v>
      </c>
      <c r="E384" s="52"/>
      <c r="F384" s="139">
        <f>SUM(F366:F383)</f>
        <v>55038.15</v>
      </c>
      <c r="G384" s="139"/>
      <c r="H384" s="139">
        <f>SUM(H366:H383)</f>
        <v>0</v>
      </c>
      <c r="I384" s="139"/>
      <c r="J384" s="139">
        <f>SUM(J366:J383)</f>
        <v>0</v>
      </c>
      <c r="K384" s="139"/>
      <c r="L384" s="139">
        <f>SUM(L366:L383)</f>
        <v>0</v>
      </c>
      <c r="M384" s="139"/>
      <c r="N384" s="139">
        <f>SUM(N366:N383)</f>
        <v>0</v>
      </c>
      <c r="O384" s="52"/>
      <c r="P384" s="52">
        <f>SUM(P366:P383)</f>
        <v>0</v>
      </c>
      <c r="Q384" s="52"/>
      <c r="R384" s="52">
        <f>SUM(R366:R383)</f>
        <v>-29925796.390000001</v>
      </c>
      <c r="S384" s="7"/>
      <c r="T384" s="7"/>
      <c r="U384" s="7"/>
    </row>
    <row r="385" spans="1:21">
      <c r="B385" s="52"/>
      <c r="C385" s="52"/>
      <c r="D385" s="52"/>
      <c r="E385" s="52"/>
      <c r="F385" s="139"/>
      <c r="G385" s="139"/>
      <c r="H385" s="139"/>
      <c r="I385" s="139"/>
      <c r="J385" s="139"/>
      <c r="K385" s="139"/>
      <c r="L385" s="139"/>
      <c r="M385" s="139"/>
      <c r="N385" s="139"/>
      <c r="O385" s="52"/>
      <c r="P385" s="52"/>
      <c r="Q385" s="52"/>
      <c r="R385" s="52"/>
      <c r="S385" s="7"/>
      <c r="T385" s="7"/>
      <c r="U385" s="7"/>
    </row>
    <row r="386" spans="1:21">
      <c r="A386" s="3" t="s">
        <v>125</v>
      </c>
      <c r="B386" s="52"/>
      <c r="C386" s="52"/>
      <c r="D386" s="52"/>
      <c r="E386" s="52"/>
      <c r="F386" s="139"/>
      <c r="G386" s="139"/>
      <c r="H386" s="139"/>
      <c r="I386" s="139"/>
      <c r="J386" s="139"/>
      <c r="K386" s="139"/>
      <c r="L386" s="139"/>
      <c r="M386" s="139"/>
      <c r="N386" s="139"/>
      <c r="O386" s="52"/>
      <c r="P386" s="52"/>
      <c r="Q386" s="52"/>
      <c r="R386" s="52"/>
      <c r="S386" s="7"/>
      <c r="T386" s="7"/>
      <c r="U386" s="7"/>
    </row>
    <row r="387" spans="1:21">
      <c r="A387" t="s">
        <v>649</v>
      </c>
      <c r="B387" s="52">
        <v>-208837.46999999997</v>
      </c>
      <c r="C387" s="52"/>
      <c r="D387" s="52">
        <f>-49.65-49.65-49.65</f>
        <v>-148.94999999999999</v>
      </c>
      <c r="E387" s="52"/>
      <c r="F387" s="326">
        <v>0</v>
      </c>
      <c r="G387" s="139"/>
      <c r="H387" s="326">
        <v>0</v>
      </c>
      <c r="I387" s="139"/>
      <c r="J387" s="326">
        <v>0</v>
      </c>
      <c r="K387" s="139"/>
      <c r="L387" s="326">
        <v>0</v>
      </c>
      <c r="M387" s="139"/>
      <c r="N387" s="326">
        <v>0</v>
      </c>
      <c r="O387" s="52"/>
      <c r="P387" s="326">
        <v>0</v>
      </c>
      <c r="Q387" s="52"/>
      <c r="R387" s="45">
        <f>SUM(B387:P387)</f>
        <v>-208986.41999999998</v>
      </c>
      <c r="S387" s="7"/>
      <c r="T387" s="7"/>
      <c r="U387" s="7"/>
    </row>
    <row r="388" spans="1:21">
      <c r="A388" t="s">
        <v>650</v>
      </c>
      <c r="B388" s="52">
        <v>-12039067.15</v>
      </c>
      <c r="C388" s="52"/>
      <c r="D388" s="52">
        <f>-5809.1-5803.32-5818.43</f>
        <v>-17430.849999999999</v>
      </c>
      <c r="E388" s="52"/>
      <c r="F388" s="326">
        <v>1389.93</v>
      </c>
      <c r="G388" s="139"/>
      <c r="H388" s="326">
        <v>-1337.83</v>
      </c>
      <c r="I388" s="139"/>
      <c r="J388" s="326">
        <v>0</v>
      </c>
      <c r="K388" s="139"/>
      <c r="L388" s="326">
        <v>21090.05</v>
      </c>
      <c r="M388" s="139"/>
      <c r="N388" s="326">
        <v>0</v>
      </c>
      <c r="O388" s="52"/>
      <c r="P388" s="326">
        <v>0</v>
      </c>
      <c r="Q388" s="52"/>
      <c r="R388" s="182">
        <f>SUM(B388:P388)</f>
        <v>-12035355.85</v>
      </c>
      <c r="S388" s="7"/>
      <c r="T388" s="7"/>
      <c r="U388" s="7"/>
    </row>
    <row r="389" spans="1:21">
      <c r="A389" t="s">
        <v>1445</v>
      </c>
      <c r="B389" s="67">
        <v>-35270.86</v>
      </c>
      <c r="C389" s="68"/>
      <c r="D389" s="67">
        <f>-8817.73-8817.7-8817.7</f>
        <v>-26453.13</v>
      </c>
      <c r="E389" s="68"/>
      <c r="F389" s="67">
        <v>0</v>
      </c>
      <c r="G389" s="147"/>
      <c r="H389" s="67">
        <v>0</v>
      </c>
      <c r="I389" s="147"/>
      <c r="J389" s="67">
        <v>0</v>
      </c>
      <c r="K389" s="147"/>
      <c r="L389" s="67">
        <v>0</v>
      </c>
      <c r="M389" s="147"/>
      <c r="N389" s="67">
        <v>0</v>
      </c>
      <c r="O389" s="68"/>
      <c r="P389" s="67">
        <v>0</v>
      </c>
      <c r="Q389" s="68"/>
      <c r="R389" s="67">
        <f t="shared" ref="R389" si="26">SUM(B389:P389)</f>
        <v>-61723.990000000005</v>
      </c>
      <c r="S389" s="7"/>
      <c r="T389" s="7"/>
      <c r="U389" s="7"/>
    </row>
    <row r="390" spans="1:21">
      <c r="B390" s="37">
        <f>SUM(B387:B389)</f>
        <v>-12283175.48</v>
      </c>
      <c r="C390" s="37"/>
      <c r="D390" s="37">
        <f>SUM(D387:D389)</f>
        <v>-44032.93</v>
      </c>
      <c r="E390" s="37"/>
      <c r="F390" s="37">
        <f>SUM(F387:F389)</f>
        <v>1389.93</v>
      </c>
      <c r="G390" s="149"/>
      <c r="H390" s="37">
        <f>SUM(H387:H389)</f>
        <v>-1337.83</v>
      </c>
      <c r="I390" s="149"/>
      <c r="J390" s="37">
        <f>SUM(J387:J389)</f>
        <v>0</v>
      </c>
      <c r="K390" s="149"/>
      <c r="L390" s="37">
        <f>SUM(L387:L389)</f>
        <v>21090.05</v>
      </c>
      <c r="M390" s="149"/>
      <c r="N390" s="37">
        <f>SUM(N387:N389)</f>
        <v>0</v>
      </c>
      <c r="O390" s="37"/>
      <c r="P390" s="37">
        <f>SUM(P387:P389)</f>
        <v>0</v>
      </c>
      <c r="Q390" s="37"/>
      <c r="R390" s="37">
        <f>SUM(R387:R389)</f>
        <v>-12306066.26</v>
      </c>
      <c r="S390" s="7"/>
      <c r="T390" s="7"/>
      <c r="U390" s="7"/>
    </row>
    <row r="391" spans="1:21">
      <c r="B391" s="37"/>
      <c r="C391" s="37"/>
      <c r="D391" s="37"/>
      <c r="E391" s="37"/>
      <c r="F391" s="149"/>
      <c r="G391" s="149"/>
      <c r="H391" s="149"/>
      <c r="I391" s="149"/>
      <c r="J391" s="149"/>
      <c r="K391" s="149"/>
      <c r="L391" s="149"/>
      <c r="M391" s="149"/>
      <c r="N391" s="149"/>
      <c r="O391" s="37"/>
      <c r="P391" s="37"/>
      <c r="Q391" s="37"/>
      <c r="R391" s="37"/>
      <c r="S391" s="7"/>
      <c r="T391" s="7"/>
      <c r="U391" s="7"/>
    </row>
    <row r="392" spans="1:21">
      <c r="B392" s="33"/>
      <c r="C392" s="37"/>
      <c r="D392" s="33"/>
      <c r="E392" s="37"/>
      <c r="F392" s="150"/>
      <c r="G392" s="149"/>
      <c r="H392" s="150"/>
      <c r="I392" s="149"/>
      <c r="J392" s="150"/>
      <c r="K392" s="149"/>
      <c r="L392" s="150"/>
      <c r="M392" s="149"/>
      <c r="N392" s="150"/>
      <c r="O392" s="37"/>
      <c r="P392" s="33"/>
      <c r="Q392" s="37"/>
      <c r="R392" s="33"/>
    </row>
    <row r="393" spans="1:21" ht="13.5" thickBot="1">
      <c r="A393" s="3" t="s">
        <v>40</v>
      </c>
      <c r="B393" s="44">
        <f>B390+B384+'KY_Res by Plant Acct-P29 (Fin)'!B362+'KY_Res by Plant Acct-P29 (Fin)'!B353</f>
        <v>-237117135.53999996</v>
      </c>
      <c r="C393" s="37"/>
      <c r="D393" s="44">
        <f>D390+D384+'KY_Res by Plant Acct-P29 (Fin)'!D362+'KY_Res by Plant Acct-P29 (Fin)'!D353</f>
        <v>-4418196.63</v>
      </c>
      <c r="E393" s="37"/>
      <c r="F393" s="151">
        <f>F390+F384+'KY_Res by Plant Acct-P29 (Fin)'!F362+'KY_Res by Plant Acct-P29 (Fin)'!F353</f>
        <v>80045.88</v>
      </c>
      <c r="G393" s="149"/>
      <c r="H393" s="151">
        <f>H390+H384+'KY_Res by Plant Acct-P29 (Fin)'!H362+'KY_Res by Plant Acct-P29 (Fin)'!H353</f>
        <v>0</v>
      </c>
      <c r="I393" s="149"/>
      <c r="J393" s="151">
        <f>J390+J384+'KY_Res by Plant Acct-P29 (Fin)'!J362+'KY_Res by Plant Acct-P29 (Fin)'!J353</f>
        <v>0</v>
      </c>
      <c r="K393" s="149"/>
      <c r="L393" s="151">
        <f>L390+L384+'KY_Res by Plant Acct-P29 (Fin)'!L362+'KY_Res by Plant Acct-P29 (Fin)'!L353</f>
        <v>81453.78</v>
      </c>
      <c r="M393" s="149"/>
      <c r="N393" s="151">
        <f>N390+N384+'KY_Res by Plant Acct-P29 (Fin)'!N362+'KY_Res by Plant Acct-P29 (Fin)'!N353</f>
        <v>0</v>
      </c>
      <c r="O393" s="37"/>
      <c r="P393" s="44">
        <f>P390+P384+'KY_Res by Plant Acct-P29 (Fin)'!P362+'KY_Res by Plant Acct-P29 (Fin)'!P353</f>
        <v>0</v>
      </c>
      <c r="Q393" s="37"/>
      <c r="R393" s="44">
        <f>R390+R384+'KY_Res by Plant Acct-P29 (Fin)'!R362+'KY_Res by Plant Acct-P29 (Fin)'!R353</f>
        <v>-241373832.51000005</v>
      </c>
    </row>
    <row r="394" spans="1:21" ht="13.5" thickTop="1">
      <c r="B394" s="33"/>
      <c r="C394" s="37"/>
      <c r="D394" s="33"/>
      <c r="E394" s="37"/>
      <c r="F394" s="33"/>
      <c r="G394" s="37"/>
      <c r="H394" s="33"/>
      <c r="I394" s="37"/>
      <c r="J394" s="33"/>
      <c r="K394" s="37"/>
      <c r="L394" s="33"/>
      <c r="M394" s="37"/>
      <c r="N394" s="33"/>
      <c r="O394" s="37"/>
      <c r="P394" s="33"/>
      <c r="Q394" s="37"/>
      <c r="R394" s="33"/>
    </row>
    <row r="395" spans="1:21">
      <c r="B395" s="33"/>
      <c r="C395" s="37"/>
      <c r="D395" s="33"/>
      <c r="E395" s="37"/>
      <c r="F395" s="33"/>
      <c r="G395" s="37"/>
      <c r="H395" s="33"/>
      <c r="I395" s="37"/>
      <c r="J395" s="33"/>
      <c r="K395" s="37"/>
      <c r="L395" s="33"/>
      <c r="M395" s="37"/>
      <c r="N395" s="33"/>
      <c r="O395" s="37"/>
      <c r="P395" s="33"/>
      <c r="Q395" s="37"/>
      <c r="R395" s="33"/>
    </row>
    <row r="396" spans="1:21">
      <c r="A396" s="3" t="s">
        <v>123</v>
      </c>
      <c r="B396" s="52"/>
      <c r="C396" s="52"/>
      <c r="D396" s="52"/>
      <c r="E396" s="52"/>
      <c r="F396" s="52"/>
      <c r="G396" s="52"/>
      <c r="H396" s="52"/>
      <c r="I396" s="52"/>
      <c r="J396" s="52"/>
      <c r="K396" s="52"/>
      <c r="L396" s="52"/>
      <c r="M396" s="52"/>
      <c r="N396" s="52"/>
      <c r="O396" s="52"/>
      <c r="P396" s="52"/>
      <c r="Q396" s="52"/>
      <c r="R396" s="52"/>
      <c r="S396" s="7"/>
      <c r="T396" s="7"/>
      <c r="U396" s="7"/>
    </row>
    <row r="397" spans="1:21">
      <c r="A397" t="s">
        <v>636</v>
      </c>
      <c r="B397" s="67">
        <v>0</v>
      </c>
      <c r="C397" s="68"/>
      <c r="D397" s="67">
        <v>0</v>
      </c>
      <c r="E397" s="68"/>
      <c r="F397" s="67">
        <v>0</v>
      </c>
      <c r="G397" s="68"/>
      <c r="H397" s="67">
        <v>0</v>
      </c>
      <c r="I397" s="68"/>
      <c r="J397" s="67">
        <v>0</v>
      </c>
      <c r="K397" s="68"/>
      <c r="L397" s="67">
        <v>0</v>
      </c>
      <c r="M397" s="68"/>
      <c r="N397" s="67">
        <v>0</v>
      </c>
      <c r="O397" s="68"/>
      <c r="P397" s="67">
        <v>0</v>
      </c>
      <c r="Q397" s="68"/>
      <c r="R397" s="48">
        <f>SUM(B397:P397)</f>
        <v>0</v>
      </c>
      <c r="S397" s="7"/>
      <c r="T397" s="7"/>
      <c r="U397" s="7"/>
    </row>
    <row r="398" spans="1:21">
      <c r="B398" s="52">
        <f>SUM(B397)</f>
        <v>0</v>
      </c>
      <c r="C398" s="52"/>
      <c r="D398" s="52">
        <f>SUM(D397)</f>
        <v>0</v>
      </c>
      <c r="E398" s="52"/>
      <c r="F398" s="52">
        <f>SUM(F397)</f>
        <v>0</v>
      </c>
      <c r="G398" s="52"/>
      <c r="H398" s="52">
        <f>SUM(H397)</f>
        <v>0</v>
      </c>
      <c r="I398" s="52"/>
      <c r="J398" s="52">
        <f>SUM(J397)</f>
        <v>0</v>
      </c>
      <c r="K398" s="52"/>
      <c r="L398" s="52">
        <f>SUM(L397)</f>
        <v>0</v>
      </c>
      <c r="M398" s="52"/>
      <c r="N398" s="52">
        <f>SUM(N397)</f>
        <v>0</v>
      </c>
      <c r="O398" s="52"/>
      <c r="P398" s="52">
        <f>SUM(P397)</f>
        <v>0</v>
      </c>
      <c r="Q398" s="52"/>
      <c r="R398" s="52">
        <f>SUM(R397)</f>
        <v>0</v>
      </c>
      <c r="S398" s="7"/>
      <c r="T398" s="7"/>
      <c r="U398" s="7"/>
    </row>
    <row r="399" spans="1:21">
      <c r="B399" s="33"/>
      <c r="C399" s="37"/>
      <c r="D399" s="33"/>
      <c r="E399" s="37"/>
      <c r="F399" s="33"/>
      <c r="G399" s="37"/>
      <c r="H399" s="33"/>
      <c r="I399" s="37"/>
      <c r="J399" s="33"/>
      <c r="K399" s="37"/>
      <c r="L399" s="33"/>
      <c r="M399" s="37"/>
      <c r="N399" s="33"/>
      <c r="O399" s="37"/>
      <c r="P399" s="33"/>
      <c r="Q399" s="37"/>
      <c r="R399" s="33"/>
    </row>
    <row r="400" spans="1:21">
      <c r="B400" s="33"/>
      <c r="C400" s="37"/>
      <c r="D400" s="33"/>
      <c r="E400" s="37"/>
      <c r="F400" s="33"/>
      <c r="G400" s="37"/>
      <c r="H400" s="33"/>
      <c r="I400" s="37"/>
      <c r="J400" s="33"/>
      <c r="K400" s="37"/>
      <c r="L400" s="33"/>
      <c r="M400" s="37"/>
      <c r="N400" s="33"/>
      <c r="O400" s="37"/>
      <c r="P400" s="33"/>
      <c r="Q400" s="37"/>
      <c r="R400" s="33"/>
    </row>
    <row r="401" spans="1:19" ht="13.5" thickBot="1">
      <c r="A401" s="3" t="s">
        <v>41</v>
      </c>
      <c r="B401" s="44">
        <f>B398</f>
        <v>0</v>
      </c>
      <c r="C401" s="37"/>
      <c r="D401" s="44">
        <f>D398</f>
        <v>0</v>
      </c>
      <c r="E401" s="37"/>
      <c r="F401" s="44">
        <f>F398</f>
        <v>0</v>
      </c>
      <c r="G401" s="37"/>
      <c r="H401" s="44">
        <f>H398</f>
        <v>0</v>
      </c>
      <c r="I401" s="37"/>
      <c r="J401" s="44">
        <f>J398</f>
        <v>0</v>
      </c>
      <c r="K401" s="37"/>
      <c r="L401" s="44">
        <f>L398</f>
        <v>0</v>
      </c>
      <c r="M401" s="37"/>
      <c r="N401" s="44">
        <f>N398</f>
        <v>0</v>
      </c>
      <c r="O401" s="37"/>
      <c r="P401" s="44">
        <f>P398</f>
        <v>0</v>
      </c>
      <c r="Q401" s="37"/>
      <c r="R401" s="44">
        <f>R398</f>
        <v>0</v>
      </c>
    </row>
    <row r="402" spans="1:19" ht="13.5" thickTop="1"/>
    <row r="404" spans="1:19" s="10" customFormat="1">
      <c r="A404" s="12" t="s">
        <v>455</v>
      </c>
      <c r="C404" s="71"/>
      <c r="E404" s="71"/>
      <c r="G404" s="71"/>
      <c r="I404" s="71"/>
      <c r="K404" s="71"/>
      <c r="M404" s="71"/>
      <c r="O404" s="71"/>
      <c r="Q404" s="71"/>
    </row>
    <row r="405" spans="1:19" s="10" customFormat="1">
      <c r="A405" s="10" t="s">
        <v>325</v>
      </c>
      <c r="B405" s="24">
        <v>0</v>
      </c>
      <c r="C405" s="27"/>
      <c r="D405" s="24">
        <v>0</v>
      </c>
      <c r="E405" s="27"/>
      <c r="F405" s="24">
        <v>0</v>
      </c>
      <c r="G405" s="27"/>
      <c r="H405" s="24">
        <v>0</v>
      </c>
      <c r="I405" s="27"/>
      <c r="J405" s="24">
        <v>0</v>
      </c>
      <c r="K405" s="27"/>
      <c r="L405" s="24">
        <v>0</v>
      </c>
      <c r="M405" s="27"/>
      <c r="N405" s="24">
        <v>0</v>
      </c>
      <c r="O405" s="27"/>
      <c r="P405" s="24">
        <v>0</v>
      </c>
      <c r="Q405" s="27"/>
      <c r="R405" s="24">
        <f t="shared" ref="R405:R432" si="27">SUM(B405:P405)</f>
        <v>0</v>
      </c>
      <c r="S405" s="24"/>
    </row>
    <row r="406" spans="1:19" s="10" customFormat="1">
      <c r="A406" s="10" t="s">
        <v>327</v>
      </c>
      <c r="B406" s="24">
        <v>-134866.74</v>
      </c>
      <c r="C406" s="27"/>
      <c r="D406" s="24">
        <f>-496.82-496.82-496.82</f>
        <v>-1490.46</v>
      </c>
      <c r="E406" s="27"/>
      <c r="F406" s="24">
        <v>0</v>
      </c>
      <c r="G406" s="27"/>
      <c r="H406" s="24">
        <v>0</v>
      </c>
      <c r="I406" s="27"/>
      <c r="J406" s="24">
        <v>0</v>
      </c>
      <c r="K406" s="27"/>
      <c r="L406" s="24">
        <v>0</v>
      </c>
      <c r="M406" s="27"/>
      <c r="N406" s="24">
        <v>0</v>
      </c>
      <c r="O406" s="27"/>
      <c r="P406" s="24">
        <v>0</v>
      </c>
      <c r="Q406" s="27"/>
      <c r="R406" s="24">
        <f t="shared" si="27"/>
        <v>-136357.19999999998</v>
      </c>
      <c r="S406" s="24"/>
    </row>
    <row r="407" spans="1:19" s="10" customFormat="1">
      <c r="A407" s="10" t="s">
        <v>960</v>
      </c>
      <c r="B407" s="24">
        <v>-6431136.6999999993</v>
      </c>
      <c r="C407" s="27"/>
      <c r="D407" s="24">
        <f>-86946.49-87633.55-88064.66</f>
        <v>-262644.7</v>
      </c>
      <c r="E407" s="27"/>
      <c r="F407" s="24">
        <v>0</v>
      </c>
      <c r="G407" s="27"/>
      <c r="H407" s="24">
        <v>0</v>
      </c>
      <c r="I407" s="27"/>
      <c r="J407" s="24">
        <v>0</v>
      </c>
      <c r="K407" s="27"/>
      <c r="L407" s="24">
        <v>0</v>
      </c>
      <c r="M407" s="27"/>
      <c r="N407" s="24">
        <v>0</v>
      </c>
      <c r="O407" s="27"/>
      <c r="P407" s="24">
        <v>0</v>
      </c>
      <c r="Q407" s="27"/>
      <c r="R407" s="24">
        <f>SUM(B407:P407)</f>
        <v>-6693781.3999999994</v>
      </c>
      <c r="S407" s="24"/>
    </row>
    <row r="408" spans="1:19" s="10" customFormat="1">
      <c r="A408" s="10" t="s">
        <v>1959</v>
      </c>
      <c r="B408" s="24">
        <v>0</v>
      </c>
      <c r="C408" s="27"/>
      <c r="D408" s="24">
        <v>-2258.9699999999998</v>
      </c>
      <c r="E408" s="27"/>
      <c r="F408" s="24">
        <v>0</v>
      </c>
      <c r="G408" s="27"/>
      <c r="H408" s="24">
        <v>-75319.27</v>
      </c>
      <c r="I408" s="27"/>
      <c r="J408" s="24">
        <v>0</v>
      </c>
      <c r="K408" s="27"/>
      <c r="L408" s="24">
        <v>0</v>
      </c>
      <c r="M408" s="27"/>
      <c r="N408" s="24">
        <v>0</v>
      </c>
      <c r="O408" s="27"/>
      <c r="P408" s="24">
        <v>0</v>
      </c>
      <c r="Q408" s="27"/>
      <c r="R408" s="24">
        <f>SUM(B408:P408)</f>
        <v>-77578.240000000005</v>
      </c>
      <c r="S408" s="24"/>
    </row>
    <row r="409" spans="1:19" s="10" customFormat="1">
      <c r="A409" s="10" t="s">
        <v>1958</v>
      </c>
      <c r="B409" s="24">
        <v>0</v>
      </c>
      <c r="C409" s="27"/>
      <c r="D409" s="24">
        <f>0-2486.04</f>
        <v>-2486.04</v>
      </c>
      <c r="E409" s="27"/>
      <c r="F409" s="24">
        <v>0</v>
      </c>
      <c r="G409" s="27"/>
      <c r="H409" s="24">
        <v>-19854.07</v>
      </c>
      <c r="I409" s="27"/>
      <c r="J409" s="24">
        <v>0</v>
      </c>
      <c r="K409" s="27"/>
      <c r="L409" s="24">
        <v>0</v>
      </c>
      <c r="M409" s="27"/>
      <c r="N409" s="24">
        <v>0</v>
      </c>
      <c r="O409" s="27"/>
      <c r="P409" s="24">
        <v>0</v>
      </c>
      <c r="Q409" s="27"/>
      <c r="R409" s="24">
        <f>SUM(B409:P409)</f>
        <v>-22340.11</v>
      </c>
      <c r="S409" s="24"/>
    </row>
    <row r="410" spans="1:19" s="10" customFormat="1">
      <c r="A410" s="10" t="s">
        <v>1957</v>
      </c>
      <c r="B410" s="24">
        <v>-11088048.110000001</v>
      </c>
      <c r="C410" s="27"/>
      <c r="D410" s="24">
        <f>-73314.32-73314.32-70501.03</f>
        <v>-217129.67</v>
      </c>
      <c r="E410" s="27"/>
      <c r="F410" s="24">
        <v>118999.15</v>
      </c>
      <c r="G410" s="27"/>
      <c r="H410" s="24">
        <v>19854.07</v>
      </c>
      <c r="I410" s="27"/>
      <c r="J410" s="24">
        <v>0</v>
      </c>
      <c r="K410" s="27"/>
      <c r="L410" s="24">
        <v>10656</v>
      </c>
      <c r="M410" s="27"/>
      <c r="N410" s="24">
        <v>0</v>
      </c>
      <c r="O410" s="27"/>
      <c r="P410" s="24">
        <v>0</v>
      </c>
      <c r="Q410" s="27"/>
      <c r="R410" s="24">
        <f t="shared" si="27"/>
        <v>-11155668.560000001</v>
      </c>
      <c r="S410" s="24"/>
    </row>
    <row r="411" spans="1:19" s="10" customFormat="1">
      <c r="A411" s="10" t="s">
        <v>1956</v>
      </c>
      <c r="B411" s="24">
        <v>-1536563.81</v>
      </c>
      <c r="C411" s="27"/>
      <c r="D411" s="24">
        <f>-8117.71-8117.71-5883.84</f>
        <v>-22119.260000000002</v>
      </c>
      <c r="E411" s="27"/>
      <c r="F411" s="24">
        <v>188.1</v>
      </c>
      <c r="G411" s="27"/>
      <c r="H411" s="24">
        <v>75319.27</v>
      </c>
      <c r="I411" s="27"/>
      <c r="J411" s="24">
        <v>0</v>
      </c>
      <c r="K411" s="27"/>
      <c r="L411" s="24">
        <v>0</v>
      </c>
      <c r="M411" s="27"/>
      <c r="N411" s="24">
        <v>0</v>
      </c>
      <c r="O411" s="27"/>
      <c r="P411" s="24">
        <v>0</v>
      </c>
      <c r="Q411" s="27"/>
      <c r="R411" s="24">
        <f t="shared" si="27"/>
        <v>-1483175.7</v>
      </c>
      <c r="S411" s="24"/>
    </row>
    <row r="412" spans="1:19" s="10" customFormat="1">
      <c r="A412" s="10" t="s">
        <v>330</v>
      </c>
      <c r="B412" s="24">
        <v>449886.64000000019</v>
      </c>
      <c r="C412" s="27"/>
      <c r="D412" s="24">
        <f>-8902.46-8902.46-8902.46</f>
        <v>-26707.379999999997</v>
      </c>
      <c r="E412" s="27"/>
      <c r="F412" s="24">
        <v>0</v>
      </c>
      <c r="G412" s="27"/>
      <c r="H412" s="24">
        <v>0</v>
      </c>
      <c r="I412" s="27"/>
      <c r="J412" s="24">
        <v>0</v>
      </c>
      <c r="K412" s="27"/>
      <c r="L412" s="24">
        <v>0</v>
      </c>
      <c r="M412" s="27"/>
      <c r="N412" s="24">
        <v>0</v>
      </c>
      <c r="O412" s="27"/>
      <c r="P412" s="24">
        <v>0</v>
      </c>
      <c r="Q412" s="27"/>
      <c r="R412" s="24">
        <f t="shared" si="27"/>
        <v>423179.26000000018</v>
      </c>
      <c r="S412" s="24"/>
    </row>
    <row r="413" spans="1:19" s="10" customFormat="1">
      <c r="A413" s="10" t="s">
        <v>323</v>
      </c>
      <c r="B413" s="24">
        <v>-7478899.6199999992</v>
      </c>
      <c r="C413" s="27"/>
      <c r="D413" s="24">
        <f>-13682.27-13605-13527.71</f>
        <v>-40814.979999999996</v>
      </c>
      <c r="E413" s="27"/>
      <c r="F413" s="24">
        <v>122833.7</v>
      </c>
      <c r="G413" s="27"/>
      <c r="H413" s="24">
        <v>0</v>
      </c>
      <c r="I413" s="27"/>
      <c r="J413" s="24">
        <v>0</v>
      </c>
      <c r="K413" s="27"/>
      <c r="L413" s="24">
        <v>5901.84</v>
      </c>
      <c r="M413" s="27"/>
      <c r="N413" s="24">
        <v>0</v>
      </c>
      <c r="O413" s="27"/>
      <c r="P413" s="24">
        <v>0</v>
      </c>
      <c r="Q413" s="27"/>
      <c r="R413" s="24">
        <f t="shared" si="27"/>
        <v>-7390979.0599999996</v>
      </c>
      <c r="S413" s="24"/>
    </row>
    <row r="414" spans="1:19" s="10" customFormat="1">
      <c r="A414" s="10" t="s">
        <v>328</v>
      </c>
      <c r="B414" s="24">
        <v>-170856.69999999998</v>
      </c>
      <c r="C414" s="27"/>
      <c r="D414" s="24">
        <f>-612.72-612.72-612.72</f>
        <v>-1838.16</v>
      </c>
      <c r="E414" s="27"/>
      <c r="F414" s="24">
        <v>0</v>
      </c>
      <c r="G414" s="27"/>
      <c r="H414" s="24">
        <v>0</v>
      </c>
      <c r="I414" s="27"/>
      <c r="J414" s="24">
        <v>0</v>
      </c>
      <c r="K414" s="27"/>
      <c r="L414" s="24">
        <v>0</v>
      </c>
      <c r="M414" s="27"/>
      <c r="N414" s="24">
        <v>0</v>
      </c>
      <c r="O414" s="27"/>
      <c r="P414" s="24">
        <v>0</v>
      </c>
      <c r="Q414" s="27"/>
      <c r="R414" s="24">
        <f t="shared" si="27"/>
        <v>-172694.86</v>
      </c>
      <c r="S414" s="24"/>
    </row>
    <row r="415" spans="1:19" s="10" customFormat="1">
      <c r="A415" s="10" t="s">
        <v>324</v>
      </c>
      <c r="B415" s="24">
        <v>-245565.81</v>
      </c>
      <c r="C415" s="27"/>
      <c r="D415" s="24">
        <f>-2076.72-2076.72-2076.72</f>
        <v>-6230.16</v>
      </c>
      <c r="E415" s="27"/>
      <c r="F415" s="24">
        <v>0</v>
      </c>
      <c r="G415" s="27"/>
      <c r="H415" s="24">
        <v>0</v>
      </c>
      <c r="I415" s="27"/>
      <c r="J415" s="24">
        <v>0</v>
      </c>
      <c r="K415" s="27"/>
      <c r="L415" s="24">
        <v>0</v>
      </c>
      <c r="M415" s="27"/>
      <c r="N415" s="24">
        <v>0</v>
      </c>
      <c r="O415" s="27"/>
      <c r="P415" s="24">
        <v>0</v>
      </c>
      <c r="Q415" s="27"/>
      <c r="R415" s="24">
        <f t="shared" si="27"/>
        <v>-251795.97</v>
      </c>
      <c r="S415" s="24"/>
    </row>
    <row r="416" spans="1:19" s="10" customFormat="1">
      <c r="A416" s="10" t="s">
        <v>322</v>
      </c>
      <c r="B416" s="24">
        <v>-2773011.3099999996</v>
      </c>
      <c r="C416" s="27"/>
      <c r="D416" s="24">
        <f>-42733.54-42734.06-43088.29</f>
        <v>-128555.89000000001</v>
      </c>
      <c r="E416" s="27"/>
      <c r="F416" s="24">
        <v>0</v>
      </c>
      <c r="G416" s="27"/>
      <c r="H416" s="24">
        <v>0</v>
      </c>
      <c r="I416" s="27"/>
      <c r="J416" s="24">
        <v>0</v>
      </c>
      <c r="K416" s="27"/>
      <c r="L416" s="24">
        <v>0</v>
      </c>
      <c r="M416" s="27"/>
      <c r="N416" s="24">
        <v>0</v>
      </c>
      <c r="O416" s="27"/>
      <c r="P416" s="24">
        <v>0</v>
      </c>
      <c r="Q416" s="27"/>
      <c r="R416" s="24">
        <f t="shared" si="27"/>
        <v>-2901567.1999999997</v>
      </c>
      <c r="S416" s="24"/>
    </row>
    <row r="417" spans="1:20" s="10" customFormat="1">
      <c r="A417" s="10" t="s">
        <v>959</v>
      </c>
      <c r="B417" s="24">
        <v>-794921.77000000025</v>
      </c>
      <c r="C417" s="27"/>
      <c r="D417" s="24">
        <f>-15266.81-15266.81-15266.81</f>
        <v>-45800.43</v>
      </c>
      <c r="E417" s="27"/>
      <c r="F417" s="24">
        <v>0</v>
      </c>
      <c r="G417" s="27"/>
      <c r="H417" s="24">
        <v>0</v>
      </c>
      <c r="I417" s="27"/>
      <c r="J417" s="24">
        <v>0</v>
      </c>
      <c r="K417" s="27"/>
      <c r="L417" s="24">
        <v>0</v>
      </c>
      <c r="M417" s="27"/>
      <c r="N417" s="24">
        <v>0</v>
      </c>
      <c r="O417" s="27"/>
      <c r="P417" s="24">
        <v>0</v>
      </c>
      <c r="Q417" s="27"/>
      <c r="R417" s="24">
        <f t="shared" si="27"/>
        <v>-840722.2000000003</v>
      </c>
      <c r="S417" s="24"/>
    </row>
    <row r="418" spans="1:20" s="10" customFormat="1">
      <c r="A418" s="10" t="s">
        <v>1429</v>
      </c>
      <c r="B418" s="24">
        <v>-12206087.189999999</v>
      </c>
      <c r="C418" s="27"/>
      <c r="D418" s="24">
        <f>-251717.02-256404.68-262353.67</f>
        <v>-770475.36999999988</v>
      </c>
      <c r="E418" s="27"/>
      <c r="F418" s="24">
        <v>0</v>
      </c>
      <c r="G418" s="27"/>
      <c r="H418" s="24">
        <v>0</v>
      </c>
      <c r="I418" s="27"/>
      <c r="J418" s="24">
        <v>0</v>
      </c>
      <c r="K418" s="27"/>
      <c r="L418" s="24">
        <v>0</v>
      </c>
      <c r="M418" s="27"/>
      <c r="N418" s="24">
        <v>0</v>
      </c>
      <c r="O418" s="27"/>
      <c r="P418" s="24">
        <v>0</v>
      </c>
      <c r="Q418" s="27"/>
      <c r="R418" s="24">
        <f t="shared" si="27"/>
        <v>-12976562.559999999</v>
      </c>
      <c r="S418" s="24"/>
    </row>
    <row r="419" spans="1:20" s="10" customFormat="1">
      <c r="A419" s="10" t="s">
        <v>961</v>
      </c>
      <c r="B419" s="24">
        <v>-2232447.79</v>
      </c>
      <c r="C419" s="27"/>
      <c r="D419" s="24">
        <f>-65664.53-67807.9-69951.28</f>
        <v>-203423.71</v>
      </c>
      <c r="E419" s="27"/>
      <c r="F419" s="24">
        <v>0</v>
      </c>
      <c r="G419" s="27"/>
      <c r="H419" s="24">
        <v>0</v>
      </c>
      <c r="I419" s="27"/>
      <c r="J419" s="24">
        <v>0</v>
      </c>
      <c r="K419" s="27"/>
      <c r="L419" s="24">
        <v>0</v>
      </c>
      <c r="M419" s="27"/>
      <c r="N419" s="24">
        <v>0</v>
      </c>
      <c r="O419" s="27"/>
      <c r="P419" s="24">
        <v>0</v>
      </c>
      <c r="Q419" s="27"/>
      <c r="R419" s="24">
        <f t="shared" si="27"/>
        <v>-2435871.5</v>
      </c>
      <c r="S419" s="24"/>
    </row>
    <row r="420" spans="1:20" s="10" customFormat="1">
      <c r="A420" s="10" t="s">
        <v>1433</v>
      </c>
      <c r="B420" s="24">
        <v>-86163.92</v>
      </c>
      <c r="C420" s="27"/>
      <c r="D420" s="24">
        <f>-1420.8-1420.8-1420.8</f>
        <v>-4262.3999999999996</v>
      </c>
      <c r="E420" s="27"/>
      <c r="F420" s="24">
        <v>0</v>
      </c>
      <c r="G420" s="27"/>
      <c r="H420" s="24">
        <v>0</v>
      </c>
      <c r="I420" s="27"/>
      <c r="J420" s="24">
        <v>0</v>
      </c>
      <c r="K420" s="27"/>
      <c r="L420" s="24">
        <v>0</v>
      </c>
      <c r="M420" s="27"/>
      <c r="N420" s="24">
        <v>0</v>
      </c>
      <c r="O420" s="27"/>
      <c r="P420" s="24">
        <v>0</v>
      </c>
      <c r="Q420" s="27"/>
      <c r="R420" s="24">
        <f t="shared" si="27"/>
        <v>-90426.319999999992</v>
      </c>
      <c r="S420" s="24"/>
    </row>
    <row r="421" spans="1:20" s="10" customFormat="1">
      <c r="A421" s="10" t="s">
        <v>963</v>
      </c>
      <c r="B421" s="24">
        <v>-653996.69000000018</v>
      </c>
      <c r="C421" s="27"/>
      <c r="D421" s="24">
        <f>-12946.53-12946.53-12946.53</f>
        <v>-38839.590000000004</v>
      </c>
      <c r="E421" s="27"/>
      <c r="F421" s="24">
        <v>0</v>
      </c>
      <c r="G421" s="27"/>
      <c r="H421" s="24">
        <v>0</v>
      </c>
      <c r="I421" s="27"/>
      <c r="J421" s="24">
        <v>0</v>
      </c>
      <c r="K421" s="27"/>
      <c r="L421" s="24">
        <v>0</v>
      </c>
      <c r="M421" s="27"/>
      <c r="N421" s="24">
        <v>0</v>
      </c>
      <c r="O421" s="27"/>
      <c r="P421" s="24">
        <v>0</v>
      </c>
      <c r="Q421" s="27"/>
      <c r="R421" s="24">
        <f t="shared" si="27"/>
        <v>-692836.28000000014</v>
      </c>
      <c r="S421" s="24"/>
    </row>
    <row r="422" spans="1:20" s="10" customFormat="1">
      <c r="A422" s="10" t="s">
        <v>331</v>
      </c>
      <c r="B422" s="24">
        <v>-121598.40000000001</v>
      </c>
      <c r="C422" s="27"/>
      <c r="D422" s="24">
        <f>-2676.95-2676.97-2676.95</f>
        <v>-8030.87</v>
      </c>
      <c r="E422" s="27"/>
      <c r="F422" s="24">
        <v>0</v>
      </c>
      <c r="G422" s="27"/>
      <c r="H422" s="24">
        <v>0</v>
      </c>
      <c r="I422" s="27"/>
      <c r="J422" s="24">
        <v>0</v>
      </c>
      <c r="K422" s="27"/>
      <c r="L422" s="24">
        <v>0</v>
      </c>
      <c r="M422" s="27"/>
      <c r="N422" s="24">
        <v>0</v>
      </c>
      <c r="O422" s="27"/>
      <c r="P422" s="24">
        <v>0</v>
      </c>
      <c r="Q422" s="27"/>
      <c r="R422" s="24">
        <f t="shared" si="27"/>
        <v>-129629.27</v>
      </c>
      <c r="S422" s="24"/>
    </row>
    <row r="423" spans="1:20" s="10" customFormat="1">
      <c r="A423" s="10" t="s">
        <v>957</v>
      </c>
      <c r="B423" s="24">
        <v>-28654.350000000002</v>
      </c>
      <c r="C423" s="27"/>
      <c r="D423" s="24">
        <f>-183.82-183.82-183.82</f>
        <v>-551.46</v>
      </c>
      <c r="E423" s="27"/>
      <c r="F423" s="24">
        <v>0</v>
      </c>
      <c r="G423" s="27"/>
      <c r="H423" s="24">
        <v>0</v>
      </c>
      <c r="I423" s="27"/>
      <c r="J423" s="24">
        <v>0</v>
      </c>
      <c r="K423" s="27"/>
      <c r="L423" s="24">
        <v>0</v>
      </c>
      <c r="M423" s="27"/>
      <c r="N423" s="24">
        <v>0</v>
      </c>
      <c r="O423" s="27"/>
      <c r="P423" s="24">
        <v>0</v>
      </c>
      <c r="Q423" s="27"/>
      <c r="R423" s="24">
        <f t="shared" si="27"/>
        <v>-29205.81</v>
      </c>
      <c r="S423" s="24"/>
    </row>
    <row r="424" spans="1:20" s="10" customFormat="1">
      <c r="A424" s="10" t="s">
        <v>958</v>
      </c>
      <c r="B424" s="24">
        <v>-520480.73</v>
      </c>
      <c r="C424" s="27"/>
      <c r="D424" s="24">
        <f>-5300.7-5300.7-5300.7</f>
        <v>-15902.099999999999</v>
      </c>
      <c r="E424" s="27"/>
      <c r="F424" s="24">
        <v>0</v>
      </c>
      <c r="G424" s="27"/>
      <c r="H424" s="24">
        <v>0</v>
      </c>
      <c r="I424" s="27"/>
      <c r="J424" s="24">
        <v>0</v>
      </c>
      <c r="K424" s="27"/>
      <c r="L424" s="24">
        <v>0</v>
      </c>
      <c r="M424" s="27"/>
      <c r="N424" s="24">
        <v>0</v>
      </c>
      <c r="O424" s="27"/>
      <c r="P424" s="24">
        <v>0</v>
      </c>
      <c r="Q424" s="27"/>
      <c r="R424" s="24">
        <f t="shared" si="27"/>
        <v>-536382.82999999996</v>
      </c>
      <c r="S424" s="24"/>
    </row>
    <row r="425" spans="1:20" s="10" customFormat="1">
      <c r="A425" s="10" t="s">
        <v>329</v>
      </c>
      <c r="B425" s="24">
        <v>-1020966.5399999998</v>
      </c>
      <c r="C425" s="27"/>
      <c r="D425" s="24">
        <f>-15603.98-15613.91-15613.91</f>
        <v>-46831.8</v>
      </c>
      <c r="E425" s="27"/>
      <c r="F425" s="24">
        <v>0</v>
      </c>
      <c r="G425" s="27"/>
      <c r="H425" s="24">
        <v>-87847.63</v>
      </c>
      <c r="I425" s="27"/>
      <c r="J425" s="24">
        <v>0</v>
      </c>
      <c r="K425" s="27"/>
      <c r="L425" s="24">
        <v>0</v>
      </c>
      <c r="M425" s="27"/>
      <c r="N425" s="24">
        <v>0</v>
      </c>
      <c r="O425" s="27"/>
      <c r="P425" s="24">
        <v>0</v>
      </c>
      <c r="Q425" s="27"/>
      <c r="R425" s="24">
        <f t="shared" si="27"/>
        <v>-1155645.9699999997</v>
      </c>
      <c r="S425" s="24"/>
      <c r="T425" s="72"/>
    </row>
    <row r="426" spans="1:20" s="10" customFormat="1">
      <c r="A426" s="10" t="s">
        <v>962</v>
      </c>
      <c r="B426" s="24">
        <v>1.8189894035458565E-12</v>
      </c>
      <c r="C426" s="27"/>
      <c r="D426" s="24">
        <v>0</v>
      </c>
      <c r="E426" s="27"/>
      <c r="F426" s="24">
        <v>0</v>
      </c>
      <c r="G426" s="27"/>
      <c r="H426" s="24">
        <v>0</v>
      </c>
      <c r="I426" s="27"/>
      <c r="J426" s="24">
        <v>0</v>
      </c>
      <c r="K426" s="27"/>
      <c r="L426" s="24">
        <v>0</v>
      </c>
      <c r="M426" s="27"/>
      <c r="N426" s="24">
        <v>0</v>
      </c>
      <c r="O426" s="27"/>
      <c r="P426" s="24">
        <v>0</v>
      </c>
      <c r="Q426" s="27"/>
      <c r="R426" s="24">
        <f t="shared" si="27"/>
        <v>1.8189894035458565E-12</v>
      </c>
      <c r="S426" s="24"/>
    </row>
    <row r="427" spans="1:20" s="10" customFormat="1">
      <c r="A427" s="10" t="s">
        <v>326</v>
      </c>
      <c r="B427" s="24">
        <v>-207703.13</v>
      </c>
      <c r="C427" s="27"/>
      <c r="D427" s="24">
        <f>-379.5-379.5-379.5</f>
        <v>-1138.5</v>
      </c>
      <c r="E427" s="27"/>
      <c r="F427" s="24">
        <v>0</v>
      </c>
      <c r="G427" s="27"/>
      <c r="H427" s="24">
        <v>0</v>
      </c>
      <c r="I427" s="27"/>
      <c r="J427" s="24">
        <v>0</v>
      </c>
      <c r="K427" s="27"/>
      <c r="L427" s="24">
        <v>0</v>
      </c>
      <c r="M427" s="27"/>
      <c r="N427" s="24">
        <v>0</v>
      </c>
      <c r="O427" s="27"/>
      <c r="P427" s="24">
        <v>0</v>
      </c>
      <c r="Q427" s="27"/>
      <c r="R427" s="24">
        <f t="shared" si="27"/>
        <v>-208841.63</v>
      </c>
      <c r="S427" s="24"/>
    </row>
    <row r="428" spans="1:20" s="10" customFormat="1">
      <c r="A428" s="10" t="s">
        <v>964</v>
      </c>
      <c r="B428" s="24">
        <v>-9286.7300000000014</v>
      </c>
      <c r="C428" s="27"/>
      <c r="D428" s="24">
        <f>-47.28-47.28-47.28</f>
        <v>-141.84</v>
      </c>
      <c r="E428" s="27"/>
      <c r="F428" s="24">
        <v>0</v>
      </c>
      <c r="G428" s="27"/>
      <c r="H428" s="24">
        <v>0</v>
      </c>
      <c r="I428" s="27"/>
      <c r="J428" s="24">
        <v>0</v>
      </c>
      <c r="K428" s="27"/>
      <c r="L428" s="24">
        <v>0</v>
      </c>
      <c r="M428" s="27"/>
      <c r="N428" s="24">
        <v>0</v>
      </c>
      <c r="O428" s="27"/>
      <c r="P428" s="24">
        <v>0</v>
      </c>
      <c r="Q428" s="27"/>
      <c r="R428" s="24">
        <f t="shared" si="27"/>
        <v>-9428.5700000000015</v>
      </c>
      <c r="S428" s="24"/>
    </row>
    <row r="429" spans="1:20" s="10" customFormat="1">
      <c r="A429" s="10" t="s">
        <v>817</v>
      </c>
      <c r="B429" s="24">
        <v>-23528432.34</v>
      </c>
      <c r="C429" s="27"/>
      <c r="D429" s="24">
        <f>-404609.95-405461.98-406722.78</f>
        <v>-1216794.71</v>
      </c>
      <c r="E429" s="27"/>
      <c r="F429" s="24">
        <v>1200.03</v>
      </c>
      <c r="G429" s="27"/>
      <c r="H429" s="24">
        <v>0</v>
      </c>
      <c r="I429" s="27"/>
      <c r="J429" s="24">
        <v>0</v>
      </c>
      <c r="K429" s="27"/>
      <c r="L429" s="24">
        <v>0</v>
      </c>
      <c r="M429" s="27"/>
      <c r="N429" s="24">
        <v>-3000</v>
      </c>
      <c r="O429" s="27"/>
      <c r="P429" s="24">
        <v>0</v>
      </c>
      <c r="Q429" s="27"/>
      <c r="R429" s="24">
        <f t="shared" si="27"/>
        <v>-24747027.02</v>
      </c>
      <c r="S429" s="24"/>
    </row>
    <row r="430" spans="1:20" s="10" customFormat="1">
      <c r="A430" s="10" t="s">
        <v>332</v>
      </c>
      <c r="B430" s="24">
        <v>-5807716.1399999997</v>
      </c>
      <c r="C430" s="27"/>
      <c r="D430" s="24">
        <f>-4859.5-4886.5-4913.49</f>
        <v>-14659.49</v>
      </c>
      <c r="E430" s="27"/>
      <c r="F430" s="24">
        <v>0</v>
      </c>
      <c r="G430" s="27"/>
      <c r="H430" s="24">
        <v>0</v>
      </c>
      <c r="I430" s="27"/>
      <c r="J430" s="24">
        <v>0</v>
      </c>
      <c r="K430" s="27"/>
      <c r="L430" s="24">
        <v>0</v>
      </c>
      <c r="M430" s="27"/>
      <c r="N430" s="24">
        <v>0</v>
      </c>
      <c r="O430" s="27"/>
      <c r="P430" s="24">
        <v>0</v>
      </c>
      <c r="Q430" s="27"/>
      <c r="R430" s="24">
        <f t="shared" si="27"/>
        <v>-5822375.6299999999</v>
      </c>
      <c r="S430" s="24"/>
    </row>
    <row r="431" spans="1:20" s="10" customFormat="1">
      <c r="A431" s="10" t="s">
        <v>333</v>
      </c>
      <c r="B431" s="24">
        <v>-208620.31999999995</v>
      </c>
      <c r="C431" s="27"/>
      <c r="D431" s="24">
        <f>-563.05-496.54-496.54</f>
        <v>-1556.1299999999999</v>
      </c>
      <c r="E431" s="27"/>
      <c r="F431" s="24">
        <v>0</v>
      </c>
      <c r="G431" s="27"/>
      <c r="H431" s="24">
        <v>87847.63</v>
      </c>
      <c r="I431" s="27"/>
      <c r="J431" s="24">
        <v>0</v>
      </c>
      <c r="K431" s="27"/>
      <c r="L431" s="24">
        <v>0</v>
      </c>
      <c r="M431" s="27"/>
      <c r="N431" s="24">
        <v>0</v>
      </c>
      <c r="O431" s="27"/>
      <c r="P431" s="24">
        <v>0</v>
      </c>
      <c r="Q431" s="27"/>
      <c r="R431" s="24">
        <f t="shared" si="27"/>
        <v>-122328.81999999995</v>
      </c>
      <c r="S431" s="24"/>
    </row>
    <row r="432" spans="1:20" s="10" customFormat="1">
      <c r="A432" s="10" t="s">
        <v>334</v>
      </c>
      <c r="B432" s="28">
        <v>-2403.5899999999974</v>
      </c>
      <c r="C432" s="27"/>
      <c r="D432" s="28">
        <f>-171.7-171.7-171.7</f>
        <v>-515.09999999999991</v>
      </c>
      <c r="E432" s="27"/>
      <c r="F432" s="28">
        <v>0</v>
      </c>
      <c r="G432" s="27"/>
      <c r="H432" s="28">
        <v>0</v>
      </c>
      <c r="I432" s="27"/>
      <c r="J432" s="28">
        <v>0</v>
      </c>
      <c r="K432" s="27"/>
      <c r="L432" s="28">
        <v>0</v>
      </c>
      <c r="M432" s="27"/>
      <c r="N432" s="28">
        <v>0</v>
      </c>
      <c r="O432" s="27"/>
      <c r="P432" s="28">
        <v>0</v>
      </c>
      <c r="Q432" s="27"/>
      <c r="R432" s="28">
        <f t="shared" si="27"/>
        <v>-2918.6899999999973</v>
      </c>
      <c r="S432" s="24"/>
    </row>
    <row r="433" spans="1:19" s="10" customFormat="1">
      <c r="B433" s="27">
        <f>SUM(B405:B417)+SUM(B418:B432)</f>
        <v>-76838541.789999992</v>
      </c>
      <c r="C433" s="27"/>
      <c r="D433" s="27">
        <f>SUM(D405:D417)+SUM(D418:D432)</f>
        <v>-3081199.17</v>
      </c>
      <c r="E433" s="27"/>
      <c r="F433" s="27">
        <f>SUM(F405:F417)+SUM(F418:F432)</f>
        <v>243220.98</v>
      </c>
      <c r="G433" s="152"/>
      <c r="H433" s="27">
        <f>SUM(H405:H417)+SUM(H418:H432)</f>
        <v>1.4551915228366852E-11</v>
      </c>
      <c r="I433" s="152"/>
      <c r="J433" s="27">
        <f>SUM(J405:J417)+SUM(J418:J432)</f>
        <v>0</v>
      </c>
      <c r="K433" s="152"/>
      <c r="L433" s="27">
        <f>SUM(L405:L417)+SUM(L418:L432)</f>
        <v>16557.84</v>
      </c>
      <c r="M433" s="27"/>
      <c r="N433" s="27">
        <f>SUM(N405:N417)+SUM(N418:N432)</f>
        <v>-3000</v>
      </c>
      <c r="O433" s="27"/>
      <c r="P433" s="27">
        <f>SUM(P405:P417)+SUM(P418:P432)</f>
        <v>0</v>
      </c>
      <c r="Q433" s="27"/>
      <c r="R433" s="27">
        <f>SUM(R405:R417)+SUM(R418:R432)</f>
        <v>-79662962.139999986</v>
      </c>
      <c r="S433" s="24"/>
    </row>
    <row r="434" spans="1:19" s="10" customFormat="1">
      <c r="B434" s="27"/>
      <c r="C434" s="27"/>
      <c r="D434" s="27"/>
      <c r="E434" s="27"/>
      <c r="F434" s="27"/>
      <c r="G434" s="152"/>
      <c r="H434" s="27"/>
      <c r="I434" s="152"/>
      <c r="J434" s="27"/>
      <c r="K434" s="152"/>
      <c r="L434" s="27"/>
      <c r="M434" s="27"/>
      <c r="N434" s="27"/>
      <c r="O434" s="27"/>
      <c r="P434" s="27"/>
      <c r="Q434" s="27"/>
      <c r="R434" s="27"/>
      <c r="S434" s="24"/>
    </row>
    <row r="435" spans="1:19" s="10" customFormat="1">
      <c r="A435" s="12" t="s">
        <v>651</v>
      </c>
      <c r="B435" s="27"/>
      <c r="C435" s="27"/>
      <c r="D435" s="27"/>
      <c r="E435" s="27"/>
      <c r="F435" s="27"/>
      <c r="G435" s="27"/>
      <c r="H435" s="27"/>
      <c r="I435" s="27"/>
      <c r="J435" s="27"/>
      <c r="K435" s="27"/>
      <c r="L435" s="27"/>
      <c r="M435" s="27"/>
      <c r="N435" s="27"/>
      <c r="O435" s="27"/>
      <c r="P435" s="27"/>
      <c r="Q435" s="27"/>
      <c r="R435" s="27"/>
      <c r="S435" s="24"/>
    </row>
    <row r="436" spans="1:19" s="10" customFormat="1">
      <c r="A436" s="10" t="s">
        <v>339</v>
      </c>
      <c r="B436" s="27">
        <v>0</v>
      </c>
      <c r="C436" s="27"/>
      <c r="D436" s="27">
        <v>0</v>
      </c>
      <c r="E436" s="27"/>
      <c r="F436" s="27">
        <v>0</v>
      </c>
      <c r="G436" s="27"/>
      <c r="H436" s="27">
        <v>0</v>
      </c>
      <c r="I436" s="27"/>
      <c r="J436" s="27">
        <v>0</v>
      </c>
      <c r="K436" s="27"/>
      <c r="L436" s="27">
        <v>0</v>
      </c>
      <c r="M436" s="27"/>
      <c r="N436" s="27">
        <v>0</v>
      </c>
      <c r="O436" s="27"/>
      <c r="P436" s="27">
        <v>0</v>
      </c>
      <c r="Q436" s="27"/>
      <c r="R436" s="24">
        <f>SUM(B436:P436)</f>
        <v>0</v>
      </c>
      <c r="S436" s="24"/>
    </row>
    <row r="437" spans="1:19" s="10" customFormat="1">
      <c r="A437" s="10" t="s">
        <v>340</v>
      </c>
      <c r="B437" s="27">
        <f>-(249.93)</f>
        <v>-249.93</v>
      </c>
      <c r="C437" s="27"/>
      <c r="D437" s="27">
        <v>0</v>
      </c>
      <c r="E437" s="27"/>
      <c r="F437" s="27">
        <v>0</v>
      </c>
      <c r="G437" s="27"/>
      <c r="H437" s="27">
        <v>0</v>
      </c>
      <c r="I437" s="27"/>
      <c r="J437" s="27">
        <v>0</v>
      </c>
      <c r="K437" s="27"/>
      <c r="L437" s="27">
        <v>0</v>
      </c>
      <c r="M437" s="27"/>
      <c r="N437" s="27">
        <v>0</v>
      </c>
      <c r="O437" s="27"/>
      <c r="P437" s="27">
        <v>0</v>
      </c>
      <c r="Q437" s="27"/>
      <c r="R437" s="24">
        <f>SUM(B437:P437)</f>
        <v>-249.93</v>
      </c>
      <c r="S437" s="24"/>
    </row>
    <row r="438" spans="1:19" s="10" customFormat="1">
      <c r="A438" s="10" t="s">
        <v>341</v>
      </c>
      <c r="B438" s="27">
        <v>0</v>
      </c>
      <c r="C438" s="27"/>
      <c r="D438" s="27">
        <v>0</v>
      </c>
      <c r="E438" s="27"/>
      <c r="F438" s="27">
        <v>0</v>
      </c>
      <c r="G438" s="27"/>
      <c r="H438" s="27">
        <v>0</v>
      </c>
      <c r="I438" s="27"/>
      <c r="J438" s="27">
        <v>0</v>
      </c>
      <c r="K438" s="27"/>
      <c r="L438" s="27">
        <v>0</v>
      </c>
      <c r="M438" s="27"/>
      <c r="N438" s="27">
        <v>0</v>
      </c>
      <c r="O438" s="27"/>
      <c r="P438" s="27">
        <v>0</v>
      </c>
      <c r="Q438" s="27"/>
      <c r="R438" s="24">
        <f>SUM(B438:P438)</f>
        <v>0</v>
      </c>
      <c r="S438" s="24"/>
    </row>
    <row r="439" spans="1:19" s="10" customFormat="1">
      <c r="A439" s="10" t="s">
        <v>342</v>
      </c>
      <c r="B439" s="28">
        <f>-(63110.43)</f>
        <v>-63110.43</v>
      </c>
      <c r="C439" s="27"/>
      <c r="D439" s="28">
        <v>0</v>
      </c>
      <c r="E439" s="27"/>
      <c r="F439" s="28">
        <v>0</v>
      </c>
      <c r="G439" s="27"/>
      <c r="H439" s="28">
        <v>0</v>
      </c>
      <c r="I439" s="27"/>
      <c r="J439" s="28">
        <v>0</v>
      </c>
      <c r="K439" s="27"/>
      <c r="L439" s="28">
        <v>0</v>
      </c>
      <c r="M439" s="27"/>
      <c r="N439" s="28">
        <v>0</v>
      </c>
      <c r="O439" s="27"/>
      <c r="P439" s="28">
        <v>0</v>
      </c>
      <c r="Q439" s="27"/>
      <c r="R439" s="28">
        <f>SUM(B439:P439)</f>
        <v>-63110.43</v>
      </c>
      <c r="S439" s="24"/>
    </row>
    <row r="440" spans="1:19" s="10" customFormat="1">
      <c r="B440" s="27">
        <f>SUM(B436:B439)</f>
        <v>-63360.36</v>
      </c>
      <c r="C440" s="27"/>
      <c r="D440" s="27">
        <f>SUM(D436:D439)</f>
        <v>0</v>
      </c>
      <c r="E440" s="27"/>
      <c r="F440" s="27">
        <f>SUM(F436:F439)</f>
        <v>0</v>
      </c>
      <c r="G440" s="27"/>
      <c r="H440" s="27">
        <f>SUM(H436:H439)</f>
        <v>0</v>
      </c>
      <c r="I440" s="27"/>
      <c r="J440" s="27">
        <f>SUM(J436:J439)</f>
        <v>0</v>
      </c>
      <c r="K440" s="27"/>
      <c r="L440" s="27">
        <f>SUM(L436:L439)</f>
        <v>0</v>
      </c>
      <c r="M440" s="27"/>
      <c r="N440" s="27">
        <f>SUM(N436:N439)</f>
        <v>0</v>
      </c>
      <c r="O440" s="27"/>
      <c r="P440" s="27">
        <f>SUM(P436:P439)</f>
        <v>0</v>
      </c>
      <c r="Q440" s="27"/>
      <c r="R440" s="27">
        <f>SUM(R436:R439)</f>
        <v>-63360.36</v>
      </c>
      <c r="S440" s="24"/>
    </row>
    <row r="441" spans="1:19" s="10" customFormat="1">
      <c r="B441" s="27"/>
      <c r="C441" s="27"/>
      <c r="D441" s="27"/>
      <c r="E441" s="27"/>
      <c r="F441" s="27"/>
      <c r="G441" s="27"/>
      <c r="H441" s="27"/>
      <c r="I441" s="27"/>
      <c r="J441" s="27"/>
      <c r="K441" s="27"/>
      <c r="L441" s="27"/>
      <c r="M441" s="27"/>
      <c r="N441" s="27"/>
      <c r="O441" s="27"/>
      <c r="P441" s="27"/>
      <c r="Q441" s="27"/>
      <c r="R441" s="27"/>
      <c r="S441" s="24"/>
    </row>
    <row r="442" spans="1:19" s="10" customFormat="1">
      <c r="B442" s="24"/>
      <c r="C442" s="27"/>
      <c r="D442" s="24"/>
      <c r="E442" s="27"/>
      <c r="F442" s="24"/>
      <c r="G442" s="27"/>
      <c r="H442" s="24"/>
      <c r="I442" s="27"/>
      <c r="J442" s="24"/>
      <c r="K442" s="27"/>
      <c r="L442" s="24"/>
      <c r="M442" s="27"/>
      <c r="N442" s="24"/>
      <c r="O442" s="27"/>
      <c r="P442" s="24"/>
      <c r="Q442" s="27"/>
      <c r="R442" s="24"/>
      <c r="S442" s="24"/>
    </row>
    <row r="443" spans="1:19" s="10" customFormat="1" ht="13.5" thickBot="1">
      <c r="A443" s="12" t="s">
        <v>44</v>
      </c>
      <c r="B443" s="73">
        <f>B440+B433</f>
        <v>-76901902.149999991</v>
      </c>
      <c r="C443" s="27"/>
      <c r="D443" s="73">
        <f>D440+D433</f>
        <v>-3081199.17</v>
      </c>
      <c r="E443" s="27"/>
      <c r="F443" s="73">
        <f>F440+F433</f>
        <v>243220.98</v>
      </c>
      <c r="G443" s="27"/>
      <c r="H443" s="73">
        <f>H440+H433</f>
        <v>1.4551915228366852E-11</v>
      </c>
      <c r="I443" s="27"/>
      <c r="J443" s="73">
        <f>J440+J433</f>
        <v>0</v>
      </c>
      <c r="K443" s="27"/>
      <c r="L443" s="73">
        <f>L440+L433</f>
        <v>16557.84</v>
      </c>
      <c r="M443" s="27"/>
      <c r="N443" s="73">
        <f>N440+N433</f>
        <v>-3000</v>
      </c>
      <c r="O443" s="27"/>
      <c r="P443" s="73">
        <f>P440+P433</f>
        <v>0</v>
      </c>
      <c r="Q443" s="27"/>
      <c r="R443" s="73">
        <f>R440+R433</f>
        <v>-79726322.499999985</v>
      </c>
      <c r="S443" s="24"/>
    </row>
    <row r="444" spans="1:19" s="10" customFormat="1" ht="13.5" thickTop="1">
      <c r="C444" s="71"/>
      <c r="E444" s="71"/>
      <c r="G444" s="71"/>
      <c r="I444" s="71"/>
      <c r="K444" s="71"/>
      <c r="M444" s="71"/>
      <c r="O444" s="71"/>
      <c r="Q444" s="71"/>
    </row>
    <row r="445" spans="1:19" s="10" customFormat="1">
      <c r="C445" s="71"/>
      <c r="E445" s="71"/>
      <c r="G445" s="71"/>
      <c r="I445" s="71"/>
      <c r="K445" s="71"/>
      <c r="M445" s="71"/>
      <c r="O445" s="71"/>
      <c r="Q445" s="71"/>
    </row>
    <row r="446" spans="1:19" s="10" customFormat="1">
      <c r="A446" s="12" t="s">
        <v>111</v>
      </c>
      <c r="B446" s="27"/>
      <c r="C446" s="27"/>
      <c r="D446" s="27"/>
      <c r="E446" s="27"/>
      <c r="F446" s="27"/>
      <c r="G446" s="27"/>
      <c r="H446" s="27"/>
      <c r="I446" s="27"/>
      <c r="J446" s="27"/>
      <c r="K446" s="27"/>
      <c r="L446" s="27"/>
      <c r="M446" s="27"/>
      <c r="N446" s="27"/>
      <c r="O446" s="27"/>
      <c r="P446" s="27"/>
      <c r="Q446" s="27"/>
      <c r="R446" s="27"/>
      <c r="S446" s="24"/>
    </row>
    <row r="447" spans="1:19" s="10" customFormat="1">
      <c r="A447" s="10" t="s">
        <v>335</v>
      </c>
      <c r="B447" s="27">
        <v>0</v>
      </c>
      <c r="C447" s="27"/>
      <c r="D447" s="27">
        <v>0</v>
      </c>
      <c r="E447" s="27"/>
      <c r="F447" s="27">
        <v>0</v>
      </c>
      <c r="G447" s="27"/>
      <c r="H447" s="27">
        <v>0</v>
      </c>
      <c r="I447" s="27"/>
      <c r="J447" s="27">
        <v>0</v>
      </c>
      <c r="K447" s="27"/>
      <c r="L447" s="27">
        <v>0</v>
      </c>
      <c r="M447" s="27"/>
      <c r="N447" s="27">
        <v>0</v>
      </c>
      <c r="O447" s="27"/>
      <c r="P447" s="27">
        <v>0</v>
      </c>
      <c r="Q447" s="27"/>
      <c r="R447" s="24">
        <f>SUM(B447:P447)</f>
        <v>0</v>
      </c>
      <c r="S447" s="24"/>
    </row>
    <row r="448" spans="1:19" s="10" customFormat="1">
      <c r="A448" s="10" t="s">
        <v>336</v>
      </c>
      <c r="B448" s="27">
        <v>0</v>
      </c>
      <c r="C448" s="27"/>
      <c r="D448" s="27">
        <v>0</v>
      </c>
      <c r="E448" s="27"/>
      <c r="F448" s="27">
        <v>0</v>
      </c>
      <c r="G448" s="27"/>
      <c r="H448" s="27">
        <v>0</v>
      </c>
      <c r="I448" s="27"/>
      <c r="J448" s="27">
        <v>0</v>
      </c>
      <c r="K448" s="27"/>
      <c r="L448" s="27">
        <v>0</v>
      </c>
      <c r="M448" s="27"/>
      <c r="N448" s="27">
        <v>0</v>
      </c>
      <c r="O448" s="27"/>
      <c r="P448" s="27">
        <v>0</v>
      </c>
      <c r="Q448" s="27"/>
      <c r="R448" s="24">
        <f>SUM(B448:P448)</f>
        <v>0</v>
      </c>
      <c r="S448" s="24"/>
    </row>
    <row r="449" spans="1:19" s="10" customFormat="1">
      <c r="A449" s="10" t="s">
        <v>338</v>
      </c>
      <c r="B449" s="27">
        <v>-8710015.2100000028</v>
      </c>
      <c r="C449" s="27"/>
      <c r="D449" s="27">
        <f>-336483.75-365306.49-366933.58</f>
        <v>-1068723.82</v>
      </c>
      <c r="E449" s="27"/>
      <c r="F449" s="27">
        <v>1193940.58</v>
      </c>
      <c r="G449" s="27"/>
      <c r="H449" s="27">
        <v>0</v>
      </c>
      <c r="I449" s="27"/>
      <c r="J449" s="27">
        <v>0</v>
      </c>
      <c r="K449" s="27"/>
      <c r="L449" s="27">
        <v>0</v>
      </c>
      <c r="M449" s="27"/>
      <c r="N449" s="27">
        <v>0</v>
      </c>
      <c r="O449" s="27"/>
      <c r="P449" s="27">
        <v>0</v>
      </c>
      <c r="Q449" s="27"/>
      <c r="R449" s="27">
        <f>SUM(B449:P449)</f>
        <v>-8584798.450000003</v>
      </c>
      <c r="S449" s="24"/>
    </row>
    <row r="450" spans="1:19" s="10" customFormat="1">
      <c r="A450" s="10" t="s">
        <v>1025</v>
      </c>
      <c r="B450" s="27">
        <v>-11361588.82</v>
      </c>
      <c r="C450" s="27"/>
      <c r="D450" s="27">
        <f>-369333.83-369095.99-370021.66</f>
        <v>-1108451.48</v>
      </c>
      <c r="E450" s="27"/>
      <c r="F450" s="27">
        <v>0</v>
      </c>
      <c r="G450" s="27"/>
      <c r="H450" s="27">
        <v>0</v>
      </c>
      <c r="I450" s="27"/>
      <c r="J450" s="27">
        <v>0</v>
      </c>
      <c r="K450" s="27"/>
      <c r="L450" s="27">
        <v>0</v>
      </c>
      <c r="M450" s="27"/>
      <c r="N450" s="27">
        <v>0</v>
      </c>
      <c r="O450" s="27"/>
      <c r="P450" s="27">
        <v>0</v>
      </c>
      <c r="Q450" s="27"/>
      <c r="R450" s="24">
        <f>SUM(B450:P450)</f>
        <v>-12470040.300000001</v>
      </c>
      <c r="S450" s="24"/>
    </row>
    <row r="451" spans="1:19" s="10" customFormat="1">
      <c r="A451" s="10" t="s">
        <v>337</v>
      </c>
      <c r="B451" s="28">
        <v>0</v>
      </c>
      <c r="C451" s="27"/>
      <c r="D451" s="28">
        <v>0</v>
      </c>
      <c r="E451" s="27"/>
      <c r="F451" s="28">
        <v>0</v>
      </c>
      <c r="G451" s="27"/>
      <c r="H451" s="28">
        <v>0</v>
      </c>
      <c r="I451" s="27"/>
      <c r="J451" s="28">
        <v>0</v>
      </c>
      <c r="K451" s="27"/>
      <c r="L451" s="28">
        <v>0</v>
      </c>
      <c r="M451" s="27"/>
      <c r="N451" s="28">
        <v>0</v>
      </c>
      <c r="O451" s="27"/>
      <c r="P451" s="28">
        <v>0</v>
      </c>
      <c r="Q451" s="27"/>
      <c r="R451" s="28">
        <f>SUM(B451:P451)</f>
        <v>0</v>
      </c>
      <c r="S451" s="24"/>
    </row>
    <row r="452" spans="1:19" s="10" customFormat="1">
      <c r="B452" s="27">
        <f>SUM(B447:B451)</f>
        <v>-20071604.030000001</v>
      </c>
      <c r="C452" s="27"/>
      <c r="D452" s="27">
        <f>SUM(D447:D451)</f>
        <v>-2177175.2999999998</v>
      </c>
      <c r="E452" s="27"/>
      <c r="F452" s="27">
        <f>SUM(F447:F451)</f>
        <v>1193940.58</v>
      </c>
      <c r="G452" s="27"/>
      <c r="H452" s="27">
        <f>SUM(H447:H451)</f>
        <v>0</v>
      </c>
      <c r="I452" s="27"/>
      <c r="J452" s="27">
        <f>SUM(J447:J451)</f>
        <v>0</v>
      </c>
      <c r="K452" s="27"/>
      <c r="L452" s="27">
        <f>SUM(L447:L451)</f>
        <v>0</v>
      </c>
      <c r="M452" s="27"/>
      <c r="N452" s="27">
        <f>SUM(N447:N451)</f>
        <v>0</v>
      </c>
      <c r="O452" s="27"/>
      <c r="P452" s="27">
        <f>SUM(P447:P451)</f>
        <v>0</v>
      </c>
      <c r="Q452" s="27"/>
      <c r="R452" s="27">
        <f>SUM(R447:R451)</f>
        <v>-21054838.750000004</v>
      </c>
      <c r="S452" s="24"/>
    </row>
    <row r="453" spans="1:19" s="10" customFormat="1">
      <c r="B453" s="27"/>
      <c r="C453" s="27"/>
      <c r="D453" s="27"/>
      <c r="E453" s="27"/>
      <c r="F453" s="27"/>
      <c r="G453" s="27"/>
      <c r="H453" s="27"/>
      <c r="I453" s="27"/>
      <c r="J453" s="27"/>
      <c r="K453" s="27"/>
      <c r="L453" s="27"/>
      <c r="M453" s="27"/>
      <c r="N453" s="27"/>
      <c r="O453" s="27"/>
      <c r="P453" s="27"/>
      <c r="Q453" s="27"/>
      <c r="R453" s="27"/>
      <c r="S453" s="24"/>
    </row>
    <row r="454" spans="1:19" s="10" customFormat="1">
      <c r="C454" s="71"/>
      <c r="E454" s="71"/>
      <c r="G454" s="71"/>
      <c r="I454" s="71"/>
      <c r="K454" s="71"/>
      <c r="M454" s="71"/>
      <c r="O454" s="71"/>
      <c r="Q454" s="71"/>
    </row>
    <row r="455" spans="1:19" s="10" customFormat="1" ht="13.5" thickBot="1">
      <c r="A455" s="12" t="s">
        <v>45</v>
      </c>
      <c r="B455" s="73">
        <f>B452</f>
        <v>-20071604.030000001</v>
      </c>
      <c r="C455" s="27"/>
      <c r="D455" s="73">
        <f>D452</f>
        <v>-2177175.2999999998</v>
      </c>
      <c r="E455" s="27"/>
      <c r="F455" s="73">
        <f>F452</f>
        <v>1193940.58</v>
      </c>
      <c r="G455" s="27"/>
      <c r="H455" s="73">
        <f>H452</f>
        <v>0</v>
      </c>
      <c r="I455" s="27"/>
      <c r="J455" s="73">
        <f>J452</f>
        <v>0</v>
      </c>
      <c r="K455" s="27"/>
      <c r="L455" s="73">
        <f>L452</f>
        <v>0</v>
      </c>
      <c r="M455" s="27"/>
      <c r="N455" s="73">
        <f>N452</f>
        <v>0</v>
      </c>
      <c r="O455" s="27"/>
      <c r="P455" s="73">
        <f>P452</f>
        <v>0</v>
      </c>
      <c r="Q455" s="27"/>
      <c r="R455" s="73">
        <f>R452</f>
        <v>-21054838.750000004</v>
      </c>
      <c r="S455" s="24"/>
    </row>
    <row r="456" spans="1:19" ht="13.5" thickTop="1"/>
    <row r="458" spans="1:19" ht="13.5" thickBot="1">
      <c r="A458" s="3" t="s">
        <v>141</v>
      </c>
      <c r="B458" s="92">
        <f>B401+B393+B333+B325+B455+B443</f>
        <v>-2113561069.5399997</v>
      </c>
      <c r="D458" s="92">
        <f>D401+D393+D333+D325+D455+D443</f>
        <v>-38068224.240000002</v>
      </c>
      <c r="F458" s="92">
        <f>F401+F393+F333+F325+F455+F443</f>
        <v>6742769.5200000005</v>
      </c>
      <c r="H458" s="92">
        <f>H401+H393+H333+H325+H455+H443</f>
        <v>-223.56000000004479</v>
      </c>
      <c r="J458" s="92">
        <f>J401+J393+J333+J325+J455+J443</f>
        <v>0</v>
      </c>
      <c r="L458" s="92">
        <f>L401+L393+L333+L325+L455+L443</f>
        <v>4675794.42</v>
      </c>
      <c r="N458" s="92">
        <f>N401+N393+N333+N325+N455+N443</f>
        <v>-541299.82999999996</v>
      </c>
      <c r="P458" s="92">
        <f>P401+P393+P333+P325+P455+P443</f>
        <v>0</v>
      </c>
      <c r="R458" s="92">
        <f>R401+R393+R333+R325+R455+R443</f>
        <v>-2140752253.2299998</v>
      </c>
    </row>
    <row r="459" spans="1:19" ht="13.5" thickTop="1"/>
  </sheetData>
  <sortState ref="A25:AA27">
    <sortCondition ref="A25"/>
  </sortState>
  <customSheetViews>
    <customSheetView guid="{6B74E52F-9552-408A-8775-25AFF24E6639}" scale="75" showPageBreaks="1" fitToPage="1" hiddenRows="1" showRuler="0" topLeftCell="A349">
      <selection activeCell="H371" sqref="H371"/>
      <rowBreaks count="4" manualBreakCount="4">
        <brk id="148" max="17" man="1"/>
        <brk id="305" max="16383" man="1"/>
        <brk id="352" max="16383" man="1"/>
        <brk id="407" max="16383" man="1"/>
      </rowBreaks>
      <pageMargins left="0.75" right="0.75" top="1" bottom="1" header="0.5" footer="0.5"/>
      <pageSetup scale="55" fitToHeight="0" orientation="landscape" r:id="rId1"/>
      <headerFooter alignWithMargins="0">
        <oddFooter>&amp;L&amp;Z
&amp;F&amp;C&amp;A&amp;R28.&amp;P</oddFooter>
      </headerFooter>
    </customSheetView>
  </customSheetViews>
  <mergeCells count="3">
    <mergeCell ref="A1:R1"/>
    <mergeCell ref="A2:R2"/>
    <mergeCell ref="A3:R3"/>
  </mergeCells>
  <phoneticPr fontId="4" type="noConversion"/>
  <pageMargins left="0.75" right="0.75" top="1" bottom="1" header="0.5" footer="0.5"/>
  <pageSetup scale="55" fitToHeight="0" orientation="landscape" r:id="rId2"/>
  <headerFooter alignWithMargins="0">
    <oddFooter>&amp;L&amp;Z
&amp;F&amp;C&amp;A&amp;R29.&amp;P</oddFooter>
  </headerFooter>
  <rowBreaks count="4" manualBreakCount="4">
    <brk id="149" max="17" man="1"/>
    <brk id="337" max="16383" man="1"/>
    <brk id="385" max="16383" man="1"/>
    <brk id="444" max="16383" man="1"/>
  </rowBreaks>
</worksheet>
</file>

<file path=xl/worksheets/sheet116.xml><?xml version="1.0" encoding="utf-8"?>
<worksheet xmlns="http://schemas.openxmlformats.org/spreadsheetml/2006/main" xmlns:r="http://schemas.openxmlformats.org/officeDocument/2006/relationships">
  <sheetPr codeName="Sheet71">
    <tabColor rgb="FF00B050"/>
    <pageSetUpPr fitToPage="1"/>
  </sheetPr>
  <dimension ref="A1:AA51"/>
  <sheetViews>
    <sheetView zoomScale="80" zoomScaleNormal="80" workbookViewId="0">
      <pane xSplit="3" ySplit="7" topLeftCell="D8" activePane="bottomRight" state="frozen"/>
      <selection activeCell="C38" sqref="C38"/>
      <selection pane="topRight" activeCell="C38" sqref="C38"/>
      <selection pane="bottomLeft" activeCell="C38" sqref="C38"/>
      <selection pane="bottomRight" activeCell="D8" sqref="D8"/>
    </sheetView>
  </sheetViews>
  <sheetFormatPr defaultRowHeight="12.75"/>
  <cols>
    <col min="1" max="1" width="43.7109375" bestFit="1" customWidth="1"/>
    <col min="2" max="2" width="17.7109375" customWidth="1"/>
    <col min="3" max="3" width="1.7109375" style="7" customWidth="1"/>
    <col min="4" max="4" width="17.7109375" customWidth="1"/>
    <col min="5" max="5" width="1.7109375" style="7" customWidth="1"/>
    <col min="6" max="6" width="17.7109375" customWidth="1"/>
    <col min="7" max="7" width="1.7109375" style="7" customWidth="1"/>
    <col min="8" max="8" width="17.7109375" customWidth="1"/>
    <col min="9" max="9" width="1.7109375" style="7" customWidth="1"/>
    <col min="10" max="10" width="17.7109375" customWidth="1"/>
    <col min="11" max="11" width="1.7109375" style="7" customWidth="1"/>
    <col min="12" max="12" width="17.7109375" customWidth="1"/>
    <col min="13" max="13" width="1.7109375" style="7" customWidth="1"/>
    <col min="14" max="14" width="17.7109375" customWidth="1"/>
    <col min="15" max="15" width="1.7109375" style="7" customWidth="1"/>
    <col min="16" max="16" width="17.7109375" customWidth="1"/>
    <col min="17" max="17" width="1.7109375" style="7" customWidth="1"/>
    <col min="18" max="18" width="17.7109375" customWidth="1"/>
  </cols>
  <sheetData>
    <row r="1" spans="1:27" s="38" customFormat="1" ht="15.75">
      <c r="A1" s="366" t="s">
        <v>134</v>
      </c>
      <c r="B1" s="366"/>
      <c r="C1" s="366"/>
      <c r="D1" s="366"/>
      <c r="E1" s="366"/>
      <c r="F1" s="366"/>
      <c r="G1" s="366"/>
      <c r="H1" s="366"/>
      <c r="I1" s="366"/>
      <c r="J1" s="366"/>
      <c r="K1" s="366"/>
      <c r="L1" s="366"/>
      <c r="M1" s="366"/>
      <c r="N1" s="366"/>
      <c r="O1" s="366"/>
      <c r="P1" s="366"/>
      <c r="Q1" s="366"/>
      <c r="R1" s="366"/>
      <c r="W1" s="39"/>
    </row>
    <row r="2" spans="1:27" s="38" customFormat="1" ht="15.75">
      <c r="A2" s="366" t="s">
        <v>1238</v>
      </c>
      <c r="B2" s="367"/>
      <c r="C2" s="367"/>
      <c r="D2" s="367"/>
      <c r="E2" s="367"/>
      <c r="F2" s="367"/>
      <c r="G2" s="367"/>
      <c r="H2" s="367"/>
      <c r="I2" s="367"/>
      <c r="J2" s="367"/>
      <c r="K2" s="367"/>
      <c r="L2" s="367"/>
      <c r="M2" s="367"/>
      <c r="N2" s="367"/>
      <c r="O2" s="367"/>
      <c r="P2" s="367"/>
      <c r="Q2" s="367"/>
      <c r="R2" s="367"/>
      <c r="W2" s="39"/>
    </row>
    <row r="3" spans="1:27">
      <c r="A3" s="357" t="str">
        <f>'Summary - Cost - PG 1 (Fin)'!A3:N3</f>
        <v>MARCH 2012</v>
      </c>
      <c r="B3" s="357"/>
      <c r="C3" s="357"/>
      <c r="D3" s="357"/>
      <c r="E3" s="357"/>
      <c r="F3" s="357"/>
      <c r="G3" s="357"/>
      <c r="H3" s="357"/>
      <c r="I3" s="357"/>
      <c r="J3" s="357"/>
      <c r="K3" s="357"/>
      <c r="L3" s="357"/>
      <c r="M3" s="357"/>
      <c r="N3" s="357"/>
      <c r="O3" s="357"/>
      <c r="P3" s="357"/>
      <c r="Q3" s="357"/>
      <c r="R3" s="357"/>
      <c r="S3" s="40"/>
      <c r="T3" s="40"/>
      <c r="U3" s="40"/>
      <c r="V3" s="40"/>
      <c r="W3" s="40"/>
      <c r="X3" s="40"/>
      <c r="Y3" s="40"/>
      <c r="Z3" s="40"/>
      <c r="AA3" s="40"/>
    </row>
    <row r="4" spans="1:27">
      <c r="A4" s="30"/>
      <c r="B4" s="30"/>
      <c r="C4" s="53"/>
      <c r="D4" s="30"/>
      <c r="E4" s="53"/>
      <c r="F4" s="30"/>
      <c r="G4" s="53"/>
      <c r="H4" s="30"/>
      <c r="I4" s="53"/>
      <c r="J4" s="30"/>
      <c r="K4" s="53"/>
      <c r="L4" s="30"/>
      <c r="M4" s="53"/>
      <c r="N4" s="30"/>
      <c r="O4" s="53"/>
      <c r="P4" s="30"/>
      <c r="Q4" s="53"/>
      <c r="R4" s="30"/>
      <c r="S4" s="40"/>
      <c r="T4" s="40"/>
      <c r="U4" s="40"/>
      <c r="V4" s="40"/>
      <c r="W4" s="40"/>
      <c r="X4" s="40"/>
      <c r="Y4" s="40"/>
      <c r="Z4" s="40"/>
      <c r="AA4" s="40"/>
    </row>
    <row r="6" spans="1:27">
      <c r="B6" s="41" t="s">
        <v>25</v>
      </c>
      <c r="D6" s="45"/>
      <c r="F6" s="45"/>
      <c r="H6" s="41" t="s">
        <v>612</v>
      </c>
      <c r="I6" s="54"/>
      <c r="J6" s="41" t="s">
        <v>28</v>
      </c>
      <c r="K6" s="54"/>
      <c r="L6" s="54" t="s">
        <v>37</v>
      </c>
      <c r="P6" s="41" t="s">
        <v>39</v>
      </c>
      <c r="Q6" s="54"/>
      <c r="R6" s="41" t="s">
        <v>26</v>
      </c>
      <c r="S6" s="41"/>
      <c r="U6" s="41"/>
    </row>
    <row r="7" spans="1:27">
      <c r="B7" s="42" t="s">
        <v>27</v>
      </c>
      <c r="D7" s="42" t="s">
        <v>954</v>
      </c>
      <c r="F7" s="42" t="s">
        <v>108</v>
      </c>
      <c r="H7" s="42" t="s">
        <v>613</v>
      </c>
      <c r="I7" s="54"/>
      <c r="J7" s="42" t="s">
        <v>29</v>
      </c>
      <c r="K7" s="54"/>
      <c r="L7" s="42" t="s">
        <v>38</v>
      </c>
      <c r="M7" s="54"/>
      <c r="N7" s="42" t="s">
        <v>955</v>
      </c>
      <c r="O7" s="54"/>
      <c r="P7" s="42" t="s">
        <v>105</v>
      </c>
      <c r="Q7" s="54"/>
      <c r="R7" s="42" t="s">
        <v>27</v>
      </c>
    </row>
    <row r="9" spans="1:27">
      <c r="A9" s="3" t="s">
        <v>113</v>
      </c>
      <c r="B9" s="4"/>
      <c r="C9" s="55"/>
      <c r="D9" s="4"/>
      <c r="E9" s="55"/>
      <c r="F9" s="4"/>
      <c r="G9" s="55"/>
      <c r="H9" s="4"/>
      <c r="I9" s="55"/>
      <c r="J9" s="4"/>
      <c r="K9" s="55"/>
      <c r="L9" s="4"/>
      <c r="M9" s="55"/>
      <c r="N9" s="4"/>
      <c r="O9" s="55"/>
      <c r="P9" s="4"/>
      <c r="Q9" s="55"/>
      <c r="R9" s="4"/>
    </row>
    <row r="10" spans="1:27">
      <c r="A10" t="s">
        <v>818</v>
      </c>
      <c r="B10" s="48">
        <v>0</v>
      </c>
      <c r="C10" s="52"/>
      <c r="D10" s="48">
        <v>0</v>
      </c>
      <c r="E10" s="52"/>
      <c r="F10" s="48">
        <v>0</v>
      </c>
      <c r="G10" s="52"/>
      <c r="H10" s="48">
        <v>0</v>
      </c>
      <c r="I10" s="52"/>
      <c r="J10" s="48">
        <v>0</v>
      </c>
      <c r="K10" s="52"/>
      <c r="L10" s="48">
        <v>0</v>
      </c>
      <c r="M10" s="52"/>
      <c r="N10" s="48">
        <v>0</v>
      </c>
      <c r="O10" s="52"/>
      <c r="P10" s="48">
        <v>0</v>
      </c>
      <c r="Q10" s="52"/>
      <c r="R10" s="48">
        <f>SUM(B10:P10)</f>
        <v>0</v>
      </c>
      <c r="S10" s="45"/>
      <c r="T10" s="45"/>
      <c r="U10" s="45"/>
    </row>
    <row r="11" spans="1:27">
      <c r="B11" s="52">
        <f>SUM(B10:B10)</f>
        <v>0</v>
      </c>
      <c r="C11" s="52"/>
      <c r="D11" s="52">
        <f>SUM(D10:D10)</f>
        <v>0</v>
      </c>
      <c r="E11" s="52"/>
      <c r="F11" s="52">
        <f>SUM(F10:F10)</f>
        <v>0</v>
      </c>
      <c r="G11" s="52"/>
      <c r="H11" s="52">
        <f>SUM(H10:H10)</f>
        <v>0</v>
      </c>
      <c r="I11" s="52"/>
      <c r="J11" s="52">
        <f>SUM(J10:J10)</f>
        <v>0</v>
      </c>
      <c r="K11" s="52"/>
      <c r="L11" s="52">
        <f>SUM(L10:L10)</f>
        <v>0</v>
      </c>
      <c r="M11" s="52"/>
      <c r="N11" s="52">
        <f>SUM(N10:N10)</f>
        <v>0</v>
      </c>
      <c r="O11" s="52"/>
      <c r="P11" s="52">
        <f>SUM(P10:P10)</f>
        <v>0</v>
      </c>
      <c r="Q11" s="52"/>
      <c r="R11" s="52">
        <f>SUM(R10:R10)</f>
        <v>0</v>
      </c>
      <c r="S11" s="45"/>
      <c r="T11" s="45"/>
      <c r="U11" s="45"/>
    </row>
    <row r="12" spans="1:27">
      <c r="B12" s="52"/>
      <c r="C12" s="52"/>
      <c r="D12" s="52"/>
      <c r="E12" s="52"/>
      <c r="F12" s="52"/>
      <c r="G12" s="52"/>
      <c r="H12" s="52"/>
      <c r="I12" s="52"/>
      <c r="J12" s="52"/>
      <c r="K12" s="52"/>
      <c r="L12" s="52"/>
      <c r="M12" s="52"/>
      <c r="N12" s="52"/>
      <c r="O12" s="52"/>
      <c r="P12" s="52"/>
      <c r="Q12" s="52"/>
      <c r="R12" s="52"/>
      <c r="S12" s="45"/>
      <c r="T12" s="45"/>
      <c r="U12" s="45"/>
    </row>
    <row r="13" spans="1:27">
      <c r="B13" s="52"/>
      <c r="C13" s="52"/>
      <c r="D13" s="52"/>
      <c r="E13" s="52"/>
      <c r="F13" s="52"/>
      <c r="G13" s="52"/>
      <c r="H13" s="52"/>
      <c r="I13" s="52"/>
      <c r="J13" s="52"/>
      <c r="K13" s="52"/>
      <c r="L13" s="52"/>
      <c r="M13" s="52"/>
      <c r="N13" s="52"/>
      <c r="O13" s="52"/>
      <c r="P13" s="52"/>
      <c r="Q13" s="52"/>
      <c r="R13" s="52"/>
      <c r="S13" s="52"/>
      <c r="T13" s="45"/>
      <c r="U13" s="45"/>
    </row>
    <row r="14" spans="1:27">
      <c r="A14" s="3" t="s">
        <v>119</v>
      </c>
      <c r="B14" s="45"/>
      <c r="C14" s="52"/>
      <c r="D14" s="45"/>
      <c r="E14" s="52"/>
      <c r="F14" s="45"/>
      <c r="G14" s="52"/>
      <c r="H14" s="45"/>
      <c r="I14" s="52"/>
      <c r="J14" s="45"/>
      <c r="K14" s="52"/>
      <c r="L14" s="45"/>
      <c r="M14" s="52"/>
      <c r="N14" s="45"/>
      <c r="O14" s="52"/>
      <c r="P14" s="45"/>
      <c r="Q14" s="52"/>
      <c r="R14" s="45"/>
      <c r="S14" s="45"/>
      <c r="T14" s="45"/>
      <c r="U14" s="45"/>
    </row>
    <row r="15" spans="1:27">
      <c r="A15" t="s">
        <v>820</v>
      </c>
      <c r="B15" s="45">
        <v>-279653.05</v>
      </c>
      <c r="C15" s="52"/>
      <c r="D15" s="45">
        <f>-1519.33-1519.33-1519.33</f>
        <v>-4557.99</v>
      </c>
      <c r="E15" s="52"/>
      <c r="F15" s="325">
        <v>0</v>
      </c>
      <c r="G15" s="52"/>
      <c r="H15" s="325">
        <v>0</v>
      </c>
      <c r="I15" s="52"/>
      <c r="J15" s="325">
        <v>0</v>
      </c>
      <c r="K15" s="52"/>
      <c r="L15" s="325">
        <v>0</v>
      </c>
      <c r="M15" s="52"/>
      <c r="N15" s="325">
        <v>0</v>
      </c>
      <c r="O15" s="52"/>
      <c r="P15" s="325">
        <v>0</v>
      </c>
      <c r="Q15" s="52"/>
      <c r="R15" s="52">
        <f t="shared" ref="R15:R21" si="0">SUM(B15:P15)</f>
        <v>-284211.03999999998</v>
      </c>
      <c r="S15" s="45"/>
      <c r="T15" s="45"/>
      <c r="U15" s="45"/>
    </row>
    <row r="16" spans="1:27">
      <c r="A16" t="s">
        <v>139</v>
      </c>
      <c r="B16" s="45">
        <v>0</v>
      </c>
      <c r="C16" s="52"/>
      <c r="D16" s="182">
        <v>0</v>
      </c>
      <c r="E16" s="52"/>
      <c r="F16" s="325">
        <v>0</v>
      </c>
      <c r="G16" s="52"/>
      <c r="H16" s="325">
        <v>0</v>
      </c>
      <c r="I16" s="52"/>
      <c r="J16" s="325">
        <v>0</v>
      </c>
      <c r="K16" s="52"/>
      <c r="L16" s="325">
        <v>0</v>
      </c>
      <c r="M16" s="52"/>
      <c r="N16" s="325">
        <v>0</v>
      </c>
      <c r="O16" s="52"/>
      <c r="P16" s="325">
        <v>0</v>
      </c>
      <c r="Q16" s="52"/>
      <c r="R16" s="52">
        <f t="shared" si="0"/>
        <v>0</v>
      </c>
      <c r="S16" s="45"/>
      <c r="T16" s="45"/>
      <c r="U16" s="45"/>
    </row>
    <row r="17" spans="1:21">
      <c r="A17" t="s">
        <v>822</v>
      </c>
      <c r="B17" s="45">
        <v>-223954.77000000002</v>
      </c>
      <c r="C17" s="52"/>
      <c r="D17" s="45">
        <f>-330.24-330.24-330.24</f>
        <v>-990.72</v>
      </c>
      <c r="E17" s="52"/>
      <c r="F17" s="325">
        <v>0</v>
      </c>
      <c r="G17" s="52"/>
      <c r="H17" s="325">
        <v>0</v>
      </c>
      <c r="I17" s="52"/>
      <c r="J17" s="325">
        <v>0</v>
      </c>
      <c r="K17" s="52"/>
      <c r="L17" s="325">
        <v>0</v>
      </c>
      <c r="M17" s="52"/>
      <c r="N17" s="325">
        <v>0</v>
      </c>
      <c r="O17" s="52"/>
      <c r="P17" s="325">
        <v>0</v>
      </c>
      <c r="Q17" s="52"/>
      <c r="R17" s="52">
        <f t="shared" si="0"/>
        <v>-224945.49000000002</v>
      </c>
      <c r="S17" s="45"/>
      <c r="T17" s="45"/>
      <c r="U17" s="45"/>
    </row>
    <row r="18" spans="1:21">
      <c r="A18" t="s">
        <v>207</v>
      </c>
      <c r="B18" s="45">
        <v>-7271016.6200000001</v>
      </c>
      <c r="C18" s="52"/>
      <c r="D18" s="45">
        <f>-12184.65-12184.91-12185.17</f>
        <v>-36554.729999999996</v>
      </c>
      <c r="E18" s="52"/>
      <c r="F18" s="325">
        <v>0</v>
      </c>
      <c r="G18" s="52"/>
      <c r="H18" s="325">
        <v>0</v>
      </c>
      <c r="I18" s="52"/>
      <c r="J18" s="325">
        <v>0</v>
      </c>
      <c r="K18" s="52"/>
      <c r="L18" s="325">
        <v>0</v>
      </c>
      <c r="M18" s="52"/>
      <c r="N18" s="325">
        <v>0</v>
      </c>
      <c r="O18" s="52"/>
      <c r="P18" s="325">
        <v>0</v>
      </c>
      <c r="Q18" s="52"/>
      <c r="R18" s="52">
        <f t="shared" si="0"/>
        <v>-7307571.3500000006</v>
      </c>
      <c r="S18" s="45"/>
      <c r="T18" s="45"/>
      <c r="U18" s="45"/>
    </row>
    <row r="19" spans="1:21">
      <c r="A19" t="s">
        <v>209</v>
      </c>
      <c r="B19" s="45">
        <v>-4565289.6000000006</v>
      </c>
      <c r="C19" s="52"/>
      <c r="D19" s="45">
        <f>-6870.5-6870.5-6870.5</f>
        <v>-20611.5</v>
      </c>
      <c r="E19" s="52"/>
      <c r="F19" s="325">
        <v>0</v>
      </c>
      <c r="G19" s="52"/>
      <c r="H19" s="325">
        <v>0</v>
      </c>
      <c r="I19" s="52"/>
      <c r="J19" s="325">
        <v>0</v>
      </c>
      <c r="K19" s="52"/>
      <c r="L19" s="325">
        <v>0</v>
      </c>
      <c r="M19" s="52"/>
      <c r="N19" s="325">
        <v>0</v>
      </c>
      <c r="O19" s="52"/>
      <c r="P19" s="325">
        <v>0</v>
      </c>
      <c r="Q19" s="52"/>
      <c r="R19" s="52">
        <f t="shared" si="0"/>
        <v>-4585901.1000000006</v>
      </c>
      <c r="S19" s="45"/>
      <c r="T19" s="45"/>
      <c r="U19" s="45"/>
    </row>
    <row r="20" spans="1:21">
      <c r="A20" t="s">
        <v>994</v>
      </c>
      <c r="B20" s="45">
        <v>-1001194.6700000002</v>
      </c>
      <c r="C20" s="52"/>
      <c r="D20" s="45">
        <f>-4941.07-4941.07-4941.07</f>
        <v>-14823.21</v>
      </c>
      <c r="E20" s="52"/>
      <c r="F20" s="325">
        <v>0</v>
      </c>
      <c r="G20" s="52"/>
      <c r="H20" s="325">
        <v>0</v>
      </c>
      <c r="I20" s="52"/>
      <c r="J20" s="325">
        <v>0</v>
      </c>
      <c r="K20" s="52"/>
      <c r="L20" s="325">
        <v>0</v>
      </c>
      <c r="M20" s="52"/>
      <c r="N20" s="325">
        <v>0</v>
      </c>
      <c r="O20" s="52"/>
      <c r="P20" s="325">
        <v>0</v>
      </c>
      <c r="Q20" s="52"/>
      <c r="R20" s="52">
        <f t="shared" si="0"/>
        <v>-1016017.8800000001</v>
      </c>
      <c r="S20" s="45"/>
      <c r="T20" s="45"/>
      <c r="U20" s="45"/>
    </row>
    <row r="21" spans="1:21">
      <c r="A21" t="s">
        <v>617</v>
      </c>
      <c r="B21" s="48">
        <v>-2936076.83</v>
      </c>
      <c r="C21" s="52"/>
      <c r="D21" s="48">
        <f>-7289.61-7289.61-7289.61</f>
        <v>-21868.829999999998</v>
      </c>
      <c r="E21" s="52"/>
      <c r="F21" s="327">
        <v>0</v>
      </c>
      <c r="G21" s="52"/>
      <c r="H21" s="327">
        <v>0</v>
      </c>
      <c r="I21" s="52"/>
      <c r="J21" s="327">
        <v>0</v>
      </c>
      <c r="K21" s="52"/>
      <c r="L21" s="327">
        <v>0</v>
      </c>
      <c r="M21" s="52"/>
      <c r="N21" s="327">
        <v>0</v>
      </c>
      <c r="O21" s="52"/>
      <c r="P21" s="327">
        <v>0</v>
      </c>
      <c r="Q21" s="52"/>
      <c r="R21" s="48">
        <f t="shared" si="0"/>
        <v>-2957945.66</v>
      </c>
      <c r="S21" s="45"/>
      <c r="T21" s="45"/>
      <c r="U21" s="45"/>
    </row>
    <row r="22" spans="1:21">
      <c r="B22" s="52">
        <f>SUM(B15:B21)</f>
        <v>-16277185.540000001</v>
      </c>
      <c r="C22" s="52"/>
      <c r="D22" s="52">
        <f>SUM(D15:D21)</f>
        <v>-99406.98</v>
      </c>
      <c r="E22" s="52"/>
      <c r="F22" s="52">
        <f>SUM(F15:F21)</f>
        <v>0</v>
      </c>
      <c r="G22" s="52"/>
      <c r="H22" s="52">
        <f>SUM(H15:H21)</f>
        <v>0</v>
      </c>
      <c r="I22" s="52"/>
      <c r="J22" s="52">
        <f>SUM(J15:J21)</f>
        <v>0</v>
      </c>
      <c r="K22" s="52"/>
      <c r="L22" s="52">
        <f>SUM(L15:L21)</f>
        <v>0</v>
      </c>
      <c r="M22" s="52"/>
      <c r="N22" s="52">
        <f>SUM(N15:N21)</f>
        <v>0</v>
      </c>
      <c r="O22" s="52"/>
      <c r="P22" s="52">
        <f>SUM(P15:P21)</f>
        <v>0</v>
      </c>
      <c r="Q22" s="52"/>
      <c r="R22" s="52">
        <f>SUM(R15:R21)</f>
        <v>-16376592.520000001</v>
      </c>
      <c r="S22" s="52"/>
      <c r="T22" s="45"/>
      <c r="U22" s="45"/>
    </row>
    <row r="23" spans="1:21">
      <c r="B23" s="52"/>
      <c r="C23" s="52"/>
      <c r="D23" s="52"/>
      <c r="E23" s="52"/>
      <c r="F23" s="52"/>
      <c r="G23" s="52"/>
      <c r="H23" s="52"/>
      <c r="I23" s="52"/>
      <c r="J23" s="52"/>
      <c r="K23" s="52"/>
      <c r="L23" s="52"/>
      <c r="M23" s="52"/>
      <c r="N23" s="52"/>
      <c r="O23" s="52"/>
      <c r="P23" s="52"/>
      <c r="Q23" s="52"/>
      <c r="R23" s="52"/>
      <c r="S23" s="52"/>
      <c r="T23" s="45"/>
      <c r="U23" s="45"/>
    </row>
    <row r="24" spans="1:21">
      <c r="B24" s="45"/>
      <c r="C24" s="52"/>
      <c r="D24" s="45"/>
      <c r="E24" s="52"/>
      <c r="F24" s="45"/>
      <c r="G24" s="52"/>
      <c r="H24" s="45"/>
      <c r="I24" s="52"/>
      <c r="J24" s="45"/>
      <c r="K24" s="52"/>
      <c r="L24" s="45"/>
      <c r="M24" s="52"/>
      <c r="N24" s="45"/>
      <c r="O24" s="52"/>
      <c r="P24" s="45"/>
      <c r="Q24" s="52"/>
      <c r="R24" s="45"/>
      <c r="S24" s="45"/>
      <c r="T24" s="45"/>
      <c r="U24" s="45"/>
    </row>
    <row r="25" spans="1:21" ht="13.5" thickBot="1">
      <c r="A25" s="3" t="s">
        <v>42</v>
      </c>
      <c r="B25" s="46">
        <f>B22+B11</f>
        <v>-16277185.540000001</v>
      </c>
      <c r="C25" s="52"/>
      <c r="D25" s="46">
        <f>D22+D11</f>
        <v>-99406.98</v>
      </c>
      <c r="E25" s="52"/>
      <c r="F25" s="46">
        <f>F22+F11</f>
        <v>0</v>
      </c>
      <c r="G25" s="52"/>
      <c r="H25" s="46">
        <f>H22+H11</f>
        <v>0</v>
      </c>
      <c r="I25" s="52"/>
      <c r="J25" s="46">
        <f>J22+J11</f>
        <v>0</v>
      </c>
      <c r="K25" s="52"/>
      <c r="L25" s="46">
        <f>L22+L11</f>
        <v>0</v>
      </c>
      <c r="M25" s="52"/>
      <c r="N25" s="46">
        <f>N22+N11</f>
        <v>0</v>
      </c>
      <c r="O25" s="52"/>
      <c r="P25" s="46">
        <f>P22+P11</f>
        <v>0</v>
      </c>
      <c r="Q25" s="52"/>
      <c r="R25" s="46">
        <f>R22+R11</f>
        <v>-16376592.520000001</v>
      </c>
      <c r="S25" s="45"/>
      <c r="T25" s="45"/>
      <c r="U25" s="45"/>
    </row>
    <row r="26" spans="1:21" ht="13.5" thickTop="1">
      <c r="B26" s="4"/>
      <c r="C26" s="55"/>
      <c r="D26" s="4"/>
      <c r="E26" s="55"/>
      <c r="F26" s="4"/>
      <c r="G26" s="55"/>
      <c r="H26" s="4"/>
      <c r="I26" s="55"/>
      <c r="J26" s="4"/>
      <c r="K26" s="55"/>
      <c r="L26" s="4"/>
      <c r="M26" s="55"/>
      <c r="N26" s="4"/>
      <c r="O26" s="55"/>
      <c r="P26" s="4"/>
      <c r="Q26" s="55"/>
      <c r="R26" s="4"/>
    </row>
    <row r="28" spans="1:21">
      <c r="A28" s="3" t="s">
        <v>124</v>
      </c>
      <c r="B28" s="52"/>
      <c r="C28" s="52"/>
      <c r="D28" s="52"/>
      <c r="E28" s="52"/>
      <c r="F28" s="52"/>
      <c r="G28" s="52"/>
      <c r="H28" s="52"/>
      <c r="I28" s="52"/>
      <c r="J28" s="52"/>
      <c r="K28" s="52"/>
      <c r="L28" s="52"/>
      <c r="M28" s="52"/>
      <c r="N28" s="52"/>
      <c r="O28" s="52"/>
      <c r="P28" s="52"/>
      <c r="Q28" s="52"/>
      <c r="R28" s="52"/>
      <c r="S28" s="7"/>
      <c r="T28" s="7"/>
      <c r="U28" s="7"/>
    </row>
    <row r="29" spans="1:21">
      <c r="A29" t="s">
        <v>619</v>
      </c>
      <c r="B29" s="52">
        <v>-72259.89</v>
      </c>
      <c r="C29" s="52"/>
      <c r="D29" s="52">
        <f>-393.18-393.18-393.18</f>
        <v>-1179.54</v>
      </c>
      <c r="E29" s="52"/>
      <c r="F29" s="326">
        <v>0</v>
      </c>
      <c r="G29" s="52"/>
      <c r="H29" s="326">
        <v>0</v>
      </c>
      <c r="I29" s="52"/>
      <c r="J29" s="326">
        <v>0</v>
      </c>
      <c r="K29" s="52"/>
      <c r="L29" s="326">
        <v>0</v>
      </c>
      <c r="M29" s="52"/>
      <c r="N29" s="326">
        <v>0</v>
      </c>
      <c r="O29" s="52"/>
      <c r="P29" s="326">
        <v>0</v>
      </c>
      <c r="Q29" s="52"/>
      <c r="R29" s="45">
        <f t="shared" ref="R29:R35" si="1">SUM(B29:P29)</f>
        <v>-73439.429999999993</v>
      </c>
      <c r="S29" s="7"/>
      <c r="T29" s="7"/>
      <c r="U29" s="7"/>
    </row>
    <row r="30" spans="1:21">
      <c r="A30" t="s">
        <v>621</v>
      </c>
      <c r="B30" s="52">
        <v>-282885.73000000004</v>
      </c>
      <c r="C30" s="52"/>
      <c r="D30" s="52">
        <f>-156.82-193.57-193.57</f>
        <v>-543.96</v>
      </c>
      <c r="E30" s="52"/>
      <c r="F30" s="326">
        <v>0</v>
      </c>
      <c r="G30" s="52"/>
      <c r="H30" s="326">
        <v>0</v>
      </c>
      <c r="I30" s="52"/>
      <c r="J30" s="326">
        <v>0</v>
      </c>
      <c r="K30" s="52"/>
      <c r="L30" s="326">
        <v>0</v>
      </c>
      <c r="M30" s="52"/>
      <c r="N30" s="326">
        <v>0</v>
      </c>
      <c r="O30" s="52"/>
      <c r="P30" s="326">
        <v>0</v>
      </c>
      <c r="Q30" s="52"/>
      <c r="R30" s="45">
        <f t="shared" si="1"/>
        <v>-283429.69000000006</v>
      </c>
      <c r="S30" s="7"/>
      <c r="T30" s="7"/>
      <c r="U30" s="7"/>
    </row>
    <row r="31" spans="1:21">
      <c r="A31" t="s">
        <v>999</v>
      </c>
      <c r="B31" s="52">
        <v>-205967.80999999997</v>
      </c>
      <c r="C31" s="52"/>
      <c r="D31" s="52">
        <f>-3816.44+518.42-6312.43+857.47-6299.75+855.75</f>
        <v>-14196.980000000001</v>
      </c>
      <c r="E31" s="52"/>
      <c r="F31" s="326">
        <v>0</v>
      </c>
      <c r="G31" s="52"/>
      <c r="H31" s="326">
        <v>0</v>
      </c>
      <c r="I31" s="52"/>
      <c r="J31" s="326">
        <v>0</v>
      </c>
      <c r="K31" s="52"/>
      <c r="L31" s="326">
        <v>0</v>
      </c>
      <c r="M31" s="52"/>
      <c r="N31" s="326">
        <v>0</v>
      </c>
      <c r="O31" s="52"/>
      <c r="P31" s="326">
        <v>0</v>
      </c>
      <c r="Q31" s="52"/>
      <c r="R31" s="45">
        <f t="shared" si="1"/>
        <v>-220164.78999999998</v>
      </c>
      <c r="S31" s="7"/>
      <c r="T31" s="7"/>
      <c r="U31" s="7"/>
    </row>
    <row r="32" spans="1:21">
      <c r="A32" t="s">
        <v>1091</v>
      </c>
      <c r="B32" s="52">
        <v>-12385.910000000011</v>
      </c>
      <c r="C32" s="52"/>
      <c r="D32" s="52">
        <f>-3744.23-5418.55-5418.55</f>
        <v>-14581.330000000002</v>
      </c>
      <c r="E32" s="52"/>
      <c r="F32" s="326">
        <v>0</v>
      </c>
      <c r="G32" s="52"/>
      <c r="H32" s="326">
        <v>0</v>
      </c>
      <c r="I32" s="52"/>
      <c r="J32" s="326">
        <v>0</v>
      </c>
      <c r="K32" s="52"/>
      <c r="L32" s="326">
        <v>0</v>
      </c>
      <c r="M32" s="52"/>
      <c r="N32" s="326">
        <v>0</v>
      </c>
      <c r="O32" s="52"/>
      <c r="P32" s="326">
        <v>0</v>
      </c>
      <c r="Q32" s="52"/>
      <c r="R32" s="182">
        <f t="shared" si="1"/>
        <v>-26967.240000000013</v>
      </c>
      <c r="S32" s="7"/>
      <c r="T32" s="7"/>
      <c r="U32" s="7"/>
    </row>
    <row r="33" spans="1:21">
      <c r="A33" t="s">
        <v>1001</v>
      </c>
      <c r="B33" s="52">
        <v>-527769.69999999995</v>
      </c>
      <c r="C33" s="52"/>
      <c r="D33" s="52">
        <f>-2236.66-2459.33-2541.99</f>
        <v>-7237.98</v>
      </c>
      <c r="E33" s="52"/>
      <c r="F33" s="326">
        <v>3491.15</v>
      </c>
      <c r="G33" s="52"/>
      <c r="H33" s="326">
        <v>0</v>
      </c>
      <c r="I33" s="52"/>
      <c r="J33" s="326">
        <v>0</v>
      </c>
      <c r="K33" s="52"/>
      <c r="L33" s="326">
        <v>0</v>
      </c>
      <c r="M33" s="52"/>
      <c r="N33" s="326">
        <v>0</v>
      </c>
      <c r="O33" s="52"/>
      <c r="P33" s="326">
        <v>0</v>
      </c>
      <c r="Q33" s="52"/>
      <c r="R33" s="45">
        <f>SUM(B33:P33)</f>
        <v>-531516.52999999991</v>
      </c>
      <c r="S33" s="7"/>
      <c r="T33" s="7"/>
      <c r="U33" s="7"/>
    </row>
    <row r="34" spans="1:21">
      <c r="A34" t="s">
        <v>22</v>
      </c>
      <c r="B34" s="52">
        <v>0</v>
      </c>
      <c r="C34" s="52"/>
      <c r="D34" s="52">
        <v>0</v>
      </c>
      <c r="E34" s="52"/>
      <c r="F34" s="326">
        <v>0</v>
      </c>
      <c r="G34" s="52"/>
      <c r="H34" s="326">
        <v>0</v>
      </c>
      <c r="I34" s="52"/>
      <c r="J34" s="326">
        <v>0</v>
      </c>
      <c r="K34" s="52"/>
      <c r="L34" s="326">
        <v>0</v>
      </c>
      <c r="M34" s="52"/>
      <c r="N34" s="326">
        <v>0</v>
      </c>
      <c r="O34" s="52"/>
      <c r="P34" s="326">
        <v>0</v>
      </c>
      <c r="Q34" s="52"/>
      <c r="R34" s="45">
        <f t="shared" si="1"/>
        <v>0</v>
      </c>
      <c r="S34" s="7"/>
      <c r="T34" s="7"/>
      <c r="U34" s="7"/>
    </row>
    <row r="35" spans="1:21">
      <c r="A35" t="s">
        <v>1003</v>
      </c>
      <c r="B35" s="48">
        <v>-52168.11</v>
      </c>
      <c r="C35" s="52"/>
      <c r="D35" s="48">
        <f>-804.69-804.69-804.69</f>
        <v>-2414.0700000000002</v>
      </c>
      <c r="E35" s="52"/>
      <c r="F35" s="327">
        <v>0</v>
      </c>
      <c r="G35" s="52"/>
      <c r="H35" s="327">
        <v>0</v>
      </c>
      <c r="I35" s="52"/>
      <c r="J35" s="327">
        <v>0</v>
      </c>
      <c r="K35" s="52"/>
      <c r="L35" s="327">
        <v>0</v>
      </c>
      <c r="M35" s="52"/>
      <c r="N35" s="327">
        <v>0</v>
      </c>
      <c r="O35" s="52"/>
      <c r="P35" s="327">
        <v>0</v>
      </c>
      <c r="Q35" s="52"/>
      <c r="R35" s="48">
        <f t="shared" si="1"/>
        <v>-54582.18</v>
      </c>
      <c r="S35" s="7"/>
      <c r="T35" s="7"/>
      <c r="U35" s="7"/>
    </row>
    <row r="36" spans="1:21">
      <c r="B36" s="89">
        <f>SUM(B29:B35)</f>
        <v>-1153437.1500000001</v>
      </c>
      <c r="D36" s="89">
        <f>SUM(D29:D35)</f>
        <v>-40153.860000000008</v>
      </c>
      <c r="F36" s="89">
        <f>SUM(F29:F35)</f>
        <v>3491.15</v>
      </c>
      <c r="H36" s="89">
        <f>SUM(H29:H35)</f>
        <v>0</v>
      </c>
      <c r="J36" s="89">
        <f>SUM(J29:J35)</f>
        <v>0</v>
      </c>
      <c r="L36" s="89">
        <f>SUM(L29:L35)</f>
        <v>0</v>
      </c>
      <c r="N36" s="89">
        <f>SUM(N29:N35)</f>
        <v>0</v>
      </c>
      <c r="P36" s="89">
        <f>SUM(P29:P35)</f>
        <v>0</v>
      </c>
      <c r="R36" s="89">
        <f>SUM(R29:R35)</f>
        <v>-1190099.8599999999</v>
      </c>
    </row>
    <row r="39" spans="1:21" ht="13.5" thickBot="1">
      <c r="A39" s="3" t="s">
        <v>40</v>
      </c>
      <c r="B39" s="46">
        <f>B36+B24</f>
        <v>-1153437.1500000001</v>
      </c>
      <c r="C39" s="52"/>
      <c r="D39" s="46">
        <f>D36+D24</f>
        <v>-40153.860000000008</v>
      </c>
      <c r="E39" s="52"/>
      <c r="F39" s="46">
        <f>F36+F24</f>
        <v>3491.15</v>
      </c>
      <c r="G39" s="52"/>
      <c r="H39" s="46">
        <f>H36+H24</f>
        <v>0</v>
      </c>
      <c r="I39" s="52"/>
      <c r="J39" s="46">
        <f>J36+J24</f>
        <v>0</v>
      </c>
      <c r="K39" s="52"/>
      <c r="L39" s="46">
        <f>L36+L24</f>
        <v>0</v>
      </c>
      <c r="M39" s="52"/>
      <c r="N39" s="46">
        <f>N36+N24</f>
        <v>0</v>
      </c>
      <c r="O39" s="52"/>
      <c r="P39" s="46">
        <f>P36+P24</f>
        <v>0</v>
      </c>
      <c r="Q39" s="52"/>
      <c r="R39" s="46">
        <f>R36+R24</f>
        <v>-1190099.8599999999</v>
      </c>
      <c r="S39" s="45"/>
      <c r="T39" s="45"/>
      <c r="U39" s="45"/>
    </row>
    <row r="40" spans="1:21" ht="13.5" thickTop="1"/>
    <row r="42" spans="1:21" s="10" customFormat="1">
      <c r="A42" s="12" t="s">
        <v>455</v>
      </c>
      <c r="C42" s="71"/>
      <c r="E42" s="71"/>
      <c r="G42" s="71"/>
      <c r="I42" s="71"/>
      <c r="K42" s="71"/>
      <c r="M42" s="71"/>
      <c r="O42" s="71"/>
      <c r="Q42" s="71"/>
    </row>
    <row r="43" spans="1:21" s="10" customFormat="1">
      <c r="A43" s="10" t="s">
        <v>816</v>
      </c>
      <c r="B43" s="64">
        <v>-610285.80000000005</v>
      </c>
      <c r="C43" s="65"/>
      <c r="D43" s="64">
        <f>-7735.55-7735.55-7735.55</f>
        <v>-23206.65</v>
      </c>
      <c r="E43" s="65"/>
      <c r="F43" s="64">
        <v>0</v>
      </c>
      <c r="G43" s="65"/>
      <c r="H43" s="64">
        <v>0</v>
      </c>
      <c r="I43" s="65"/>
      <c r="J43" s="64">
        <v>0</v>
      </c>
      <c r="K43" s="65"/>
      <c r="L43" s="64">
        <v>0</v>
      </c>
      <c r="M43" s="65"/>
      <c r="N43" s="64">
        <v>0</v>
      </c>
      <c r="O43" s="65"/>
      <c r="P43" s="64">
        <v>0</v>
      </c>
      <c r="Q43" s="65"/>
      <c r="R43" s="64">
        <f>SUM(B43:P43)</f>
        <v>-633492.45000000007</v>
      </c>
      <c r="S43" s="64"/>
    </row>
    <row r="44" spans="1:21" s="10" customFormat="1">
      <c r="B44" s="65"/>
      <c r="C44" s="65"/>
      <c r="D44" s="65"/>
      <c r="E44" s="65"/>
      <c r="F44" s="65"/>
      <c r="G44" s="65"/>
      <c r="H44" s="65"/>
      <c r="I44" s="65"/>
      <c r="J44" s="65"/>
      <c r="K44" s="65"/>
      <c r="L44" s="65"/>
      <c r="M44" s="65"/>
      <c r="N44" s="65"/>
      <c r="O44" s="65"/>
      <c r="P44" s="65"/>
      <c r="Q44" s="65"/>
      <c r="R44" s="65"/>
      <c r="S44" s="64"/>
    </row>
    <row r="45" spans="1:21" s="10" customFormat="1">
      <c r="B45" s="64"/>
      <c r="C45" s="65"/>
      <c r="D45" s="64"/>
      <c r="E45" s="65"/>
      <c r="F45" s="64"/>
      <c r="G45" s="65"/>
      <c r="H45" s="64"/>
      <c r="I45" s="65"/>
      <c r="J45" s="64"/>
      <c r="K45" s="65"/>
      <c r="L45" s="64"/>
      <c r="M45" s="65"/>
      <c r="N45" s="64"/>
      <c r="O45" s="65"/>
      <c r="P45" s="64"/>
      <c r="Q45" s="65"/>
      <c r="R45" s="64"/>
      <c r="S45" s="64"/>
    </row>
    <row r="46" spans="1:21" s="10" customFormat="1" ht="13.5" thickBot="1">
      <c r="A46" s="12" t="s">
        <v>44</v>
      </c>
      <c r="B46" s="91">
        <f>B43</f>
        <v>-610285.80000000005</v>
      </c>
      <c r="C46" s="65"/>
      <c r="D46" s="91">
        <f>D43</f>
        <v>-23206.65</v>
      </c>
      <c r="E46" s="65"/>
      <c r="F46" s="91">
        <f>F43</f>
        <v>0</v>
      </c>
      <c r="G46" s="65"/>
      <c r="H46" s="91">
        <f>H43</f>
        <v>0</v>
      </c>
      <c r="I46" s="65"/>
      <c r="J46" s="91">
        <f>J43</f>
        <v>0</v>
      </c>
      <c r="K46" s="65"/>
      <c r="L46" s="91">
        <f>L43</f>
        <v>0</v>
      </c>
      <c r="M46" s="65"/>
      <c r="N46" s="91">
        <f>N43</f>
        <v>0</v>
      </c>
      <c r="O46" s="65"/>
      <c r="P46" s="91">
        <f>P43</f>
        <v>0</v>
      </c>
      <c r="Q46" s="65"/>
      <c r="R46" s="91">
        <f>R43</f>
        <v>-633492.45000000007</v>
      </c>
      <c r="S46" s="64"/>
    </row>
    <row r="47" spans="1:21" ht="13.5" thickTop="1"/>
    <row r="50" spans="1:18" ht="13.5" thickBot="1">
      <c r="A50" s="3" t="s">
        <v>142</v>
      </c>
      <c r="B50" s="92">
        <f>B39+B25+B46</f>
        <v>-18040908.490000002</v>
      </c>
      <c r="D50" s="92">
        <f>D39+D25+D46</f>
        <v>-162767.49</v>
      </c>
      <c r="F50" s="92">
        <f>F39+F25+F46</f>
        <v>3491.15</v>
      </c>
      <c r="H50" s="92">
        <f>H39+H25+H46</f>
        <v>0</v>
      </c>
      <c r="J50" s="92">
        <f>J39+J25+J46</f>
        <v>0</v>
      </c>
      <c r="L50" s="92">
        <f>L39+L25+L46</f>
        <v>0</v>
      </c>
      <c r="N50" s="92">
        <f>N39+N25+N46</f>
        <v>0</v>
      </c>
      <c r="P50" s="92">
        <f>P39+P25+P46</f>
        <v>0</v>
      </c>
      <c r="R50" s="92">
        <f>R39+R25+R46</f>
        <v>-18200184.830000002</v>
      </c>
    </row>
    <row r="51" spans="1:18" ht="13.5" thickTop="1"/>
  </sheetData>
  <customSheetViews>
    <customSheetView guid="{6B74E52F-9552-408A-8775-25AFF24E6639}" scale="75" showPageBreaks="1" fitToPage="1" showRuler="0">
      <selection activeCell="A5" sqref="A5"/>
      <pageMargins left="0.75" right="0.75" top="1" bottom="1" header="0.5" footer="0.5"/>
      <pageSetup scale="57" fitToHeight="2" orientation="landscape" r:id="rId1"/>
      <headerFooter alignWithMargins="0">
        <oddFooter>&amp;L&amp;Z
&amp;F&amp;C&amp;A&amp;R29.&amp;P</oddFooter>
      </headerFooter>
    </customSheetView>
  </customSheetViews>
  <mergeCells count="3">
    <mergeCell ref="A1:R1"/>
    <mergeCell ref="A2:R2"/>
    <mergeCell ref="A3:R3"/>
  </mergeCells>
  <phoneticPr fontId="4" type="noConversion"/>
  <pageMargins left="0.75" right="0.75" top="1" bottom="1" header="0.5" footer="0.5"/>
  <pageSetup scale="57" fitToHeight="2" orientation="landscape" r:id="rId2"/>
  <headerFooter alignWithMargins="0">
    <oddFooter>&amp;L&amp;Z
&amp;F&amp;C&amp;A&amp;R30.&amp;P</oddFooter>
  </headerFooter>
</worksheet>
</file>

<file path=xl/worksheets/sheet117.xml><?xml version="1.0" encoding="utf-8"?>
<worksheet xmlns="http://schemas.openxmlformats.org/spreadsheetml/2006/main" xmlns:r="http://schemas.openxmlformats.org/officeDocument/2006/relationships">
  <sheetPr codeName="Sheet120"/>
  <dimension ref="A1:Y131"/>
  <sheetViews>
    <sheetView zoomScaleNormal="100" workbookViewId="0">
      <pane xSplit="3" ySplit="9" topLeftCell="D10" activePane="bottomRight" state="frozen"/>
      <selection pane="topRight" activeCell="D1" sqref="D1"/>
      <selection pane="bottomLeft" activeCell="A10" sqref="A10"/>
      <selection pane="bottomRight" activeCell="D10" sqref="D10"/>
    </sheetView>
  </sheetViews>
  <sheetFormatPr defaultRowHeight="12.75"/>
  <cols>
    <col min="1" max="1" width="5" style="32" customWidth="1"/>
    <col min="2" max="2" width="8.140625" style="58" customWidth="1"/>
    <col min="3" max="3" width="29" style="10" customWidth="1"/>
    <col min="4" max="4" width="17.7109375" style="10" customWidth="1"/>
    <col min="5" max="5" width="1.7109375" style="10" customWidth="1"/>
    <col min="6" max="6" width="17.7109375" style="10" customWidth="1"/>
    <col min="7" max="7" width="1.7109375" style="10" customWidth="1"/>
    <col min="8" max="8" width="17.7109375" style="10" customWidth="1"/>
    <col min="9" max="9" width="1.7109375" style="10" customWidth="1"/>
    <col min="10" max="10" width="17.7109375" style="10" customWidth="1"/>
    <col min="11" max="11" width="1.7109375" style="10" customWidth="1"/>
    <col min="12" max="12" width="17.7109375" style="10" customWidth="1"/>
    <col min="13" max="13" width="1.7109375" style="10" customWidth="1"/>
    <col min="14" max="14" width="19.28515625" style="10" customWidth="1"/>
    <col min="15" max="15" width="20.7109375" style="163" customWidth="1"/>
    <col min="16" max="16" width="12.85546875" style="10" bestFit="1" customWidth="1"/>
    <col min="17" max="16384" width="9.140625" style="10"/>
  </cols>
  <sheetData>
    <row r="1" spans="1:25">
      <c r="A1" s="359" t="s">
        <v>134</v>
      </c>
      <c r="B1" s="359"/>
      <c r="C1" s="359"/>
      <c r="D1" s="359"/>
      <c r="E1" s="359"/>
      <c r="F1" s="359"/>
      <c r="G1" s="359"/>
      <c r="H1" s="359"/>
      <c r="I1" s="359"/>
      <c r="J1" s="359"/>
      <c r="K1" s="359"/>
      <c r="L1" s="359"/>
      <c r="M1" s="359"/>
      <c r="N1" s="359"/>
    </row>
    <row r="2" spans="1:25">
      <c r="A2" s="359" t="s">
        <v>1148</v>
      </c>
      <c r="B2" s="359"/>
      <c r="C2" s="359"/>
      <c r="D2" s="359"/>
      <c r="E2" s="359"/>
      <c r="F2" s="359"/>
      <c r="G2" s="359"/>
      <c r="H2" s="359"/>
      <c r="I2" s="359"/>
      <c r="J2" s="359"/>
      <c r="K2" s="359"/>
      <c r="L2" s="359"/>
      <c r="M2" s="359"/>
      <c r="N2" s="359"/>
    </row>
    <row r="3" spans="1:25">
      <c r="A3" s="360" t="str">
        <f>+'Summary - Cost - PG 1 (Tot)'!A3:N3</f>
        <v>MARCH 2012</v>
      </c>
      <c r="B3" s="361"/>
      <c r="C3" s="361"/>
      <c r="D3" s="361"/>
      <c r="E3" s="361"/>
      <c r="F3" s="361"/>
      <c r="G3" s="361"/>
      <c r="H3" s="361"/>
      <c r="I3" s="361"/>
      <c r="J3" s="361"/>
      <c r="K3" s="361"/>
      <c r="L3" s="361"/>
      <c r="M3" s="361"/>
      <c r="N3" s="361"/>
    </row>
    <row r="4" spans="1:25">
      <c r="A4" s="31"/>
      <c r="B4" s="57"/>
      <c r="C4" s="9"/>
      <c r="D4" s="9"/>
      <c r="E4" s="9"/>
      <c r="F4" s="9"/>
      <c r="G4" s="9"/>
      <c r="H4" s="9"/>
      <c r="I4" s="9"/>
      <c r="J4" s="9"/>
      <c r="K4" s="9"/>
      <c r="L4" s="9"/>
      <c r="M4" s="9"/>
      <c r="N4" s="9"/>
    </row>
    <row r="5" spans="1:25">
      <c r="A5" s="31"/>
      <c r="B5" s="57"/>
      <c r="C5" s="9"/>
      <c r="D5" s="9"/>
      <c r="E5" s="9"/>
      <c r="F5" s="9"/>
      <c r="G5" s="9"/>
      <c r="H5" s="9"/>
      <c r="I5" s="9"/>
      <c r="J5" s="9"/>
      <c r="K5" s="9"/>
      <c r="L5" s="9"/>
      <c r="M5" s="9"/>
      <c r="N5" s="9"/>
    </row>
    <row r="6" spans="1:25">
      <c r="A6" s="31"/>
      <c r="B6" s="57"/>
      <c r="C6" s="9"/>
      <c r="D6" s="41" t="s">
        <v>25</v>
      </c>
      <c r="E6" s="22"/>
      <c r="F6" s="22"/>
      <c r="G6" s="22"/>
      <c r="H6" s="22"/>
      <c r="I6" s="22"/>
      <c r="J6" s="41" t="s">
        <v>612</v>
      </c>
      <c r="K6" s="22"/>
      <c r="L6" s="22"/>
      <c r="M6" s="22"/>
      <c r="N6" s="84" t="s">
        <v>26</v>
      </c>
    </row>
    <row r="7" spans="1:25" s="12" customFormat="1">
      <c r="A7" s="59"/>
      <c r="D7" s="42" t="s">
        <v>27</v>
      </c>
      <c r="E7" s="23"/>
      <c r="F7" s="42" t="s">
        <v>107</v>
      </c>
      <c r="G7" s="23"/>
      <c r="H7" s="42" t="s">
        <v>108</v>
      </c>
      <c r="I7" s="23"/>
      <c r="J7" s="42" t="s">
        <v>613</v>
      </c>
      <c r="K7" s="23"/>
      <c r="L7" s="43" t="s">
        <v>109</v>
      </c>
      <c r="M7" s="23"/>
      <c r="N7" s="43" t="s">
        <v>27</v>
      </c>
      <c r="O7" s="163"/>
      <c r="P7" s="10"/>
      <c r="Q7" s="10"/>
      <c r="R7" s="10"/>
      <c r="S7" s="10"/>
      <c r="T7" s="10"/>
      <c r="U7" s="10"/>
      <c r="V7" s="10"/>
      <c r="W7" s="10"/>
      <c r="X7" s="10"/>
      <c r="Y7" s="10"/>
    </row>
    <row r="8" spans="1:25">
      <c r="A8" s="32">
        <v>101</v>
      </c>
      <c r="B8" s="12" t="s">
        <v>610</v>
      </c>
    </row>
    <row r="9" spans="1:25">
      <c r="B9" s="58" t="s">
        <v>652</v>
      </c>
    </row>
    <row r="10" spans="1:25">
      <c r="C10" s="10" t="s">
        <v>455</v>
      </c>
      <c r="D10" s="24">
        <v>-63080088.950000018</v>
      </c>
      <c r="E10" s="24"/>
      <c r="F10" s="24">
        <v>0</v>
      </c>
      <c r="G10" s="24"/>
      <c r="H10" s="24">
        <f>76572.99+89205.91-18613.36</f>
        <v>147165.54000000004</v>
      </c>
      <c r="I10" s="24"/>
      <c r="J10" s="24">
        <v>0</v>
      </c>
      <c r="K10" s="24"/>
      <c r="L10" s="24">
        <f>F10+H10+J10</f>
        <v>147165.54000000004</v>
      </c>
      <c r="M10" s="24"/>
      <c r="N10" s="24">
        <f>D10+L10</f>
        <v>-62932923.410000019</v>
      </c>
      <c r="O10" s="84"/>
    </row>
    <row r="11" spans="1:25">
      <c r="C11" s="10" t="s">
        <v>111</v>
      </c>
      <c r="D11" s="28">
        <v>-11365684.449999999</v>
      </c>
      <c r="E11" s="27"/>
      <c r="F11" s="28">
        <v>0</v>
      </c>
      <c r="G11" s="27"/>
      <c r="H11" s="28">
        <v>793063.15</v>
      </c>
      <c r="I11" s="27"/>
      <c r="J11" s="28">
        <v>0</v>
      </c>
      <c r="K11" s="27"/>
      <c r="L11" s="28">
        <f>F11+H11+J11</f>
        <v>793063.15</v>
      </c>
      <c r="M11" s="27"/>
      <c r="N11" s="28">
        <f>D11+L11</f>
        <v>-10572621.299999999</v>
      </c>
      <c r="O11" s="85"/>
    </row>
    <row r="12" spans="1:25">
      <c r="C12" s="11"/>
      <c r="D12" s="27">
        <f>D10+D11</f>
        <v>-74445773.400000021</v>
      </c>
      <c r="E12" s="27"/>
      <c r="F12" s="27">
        <f>F10+F11</f>
        <v>0</v>
      </c>
      <c r="G12" s="27"/>
      <c r="H12" s="27">
        <f>H10+H11</f>
        <v>940228.69000000006</v>
      </c>
      <c r="I12" s="27"/>
      <c r="J12" s="27">
        <f>J10+J11</f>
        <v>0</v>
      </c>
      <c r="K12" s="27"/>
      <c r="L12" s="27">
        <f>L10+L11</f>
        <v>940228.69000000006</v>
      </c>
      <c r="M12" s="27"/>
      <c r="N12" s="27">
        <f>N10+N11</f>
        <v>-73505544.710000023</v>
      </c>
      <c r="O12" s="85"/>
    </row>
    <row r="13" spans="1:25">
      <c r="B13" s="12"/>
      <c r="D13" s="27"/>
      <c r="E13" s="27"/>
      <c r="F13" s="27"/>
      <c r="G13" s="27"/>
      <c r="H13" s="27"/>
      <c r="I13" s="27"/>
      <c r="J13" s="27"/>
      <c r="K13" s="27"/>
      <c r="L13" s="27"/>
      <c r="M13" s="27"/>
      <c r="N13" s="27"/>
      <c r="O13" s="85"/>
    </row>
    <row r="14" spans="1:25">
      <c r="B14" s="58" t="s">
        <v>112</v>
      </c>
      <c r="D14" s="27"/>
      <c r="E14" s="27"/>
      <c r="F14" s="27"/>
      <c r="G14" s="27"/>
      <c r="H14" s="27"/>
      <c r="I14" s="27"/>
      <c r="J14" s="27"/>
      <c r="K14" s="27"/>
      <c r="L14" s="27"/>
      <c r="M14" s="27"/>
      <c r="N14" s="27"/>
      <c r="O14" s="85"/>
    </row>
    <row r="15" spans="1:25">
      <c r="C15" s="10" t="s">
        <v>113</v>
      </c>
      <c r="D15" s="27">
        <v>-271480094.50999999</v>
      </c>
      <c r="E15" s="27"/>
      <c r="F15" s="27">
        <f>-9410.67-294.19</f>
        <v>-9704.86</v>
      </c>
      <c r="G15" s="27"/>
      <c r="H15" s="27">
        <f>119965.26+98878.32+108.83+770.66+686.79+891.91+1166.78+77.23+1821.03+365.81+62717.74+298688.57</f>
        <v>586138.93000000005</v>
      </c>
      <c r="I15" s="27"/>
      <c r="J15" s="27">
        <v>0</v>
      </c>
      <c r="K15" s="27"/>
      <c r="L15" s="27">
        <f t="shared" ref="L15:L21" si="0">F15+H15+J15</f>
        <v>576434.07000000007</v>
      </c>
      <c r="M15" s="27"/>
      <c r="N15" s="27">
        <f t="shared" ref="N15:N21" si="1">D15+L15</f>
        <v>-270903660.44</v>
      </c>
      <c r="O15" s="85"/>
    </row>
    <row r="16" spans="1:25">
      <c r="C16" s="10" t="s">
        <v>114</v>
      </c>
      <c r="D16" s="27">
        <v>-10825272.689999999</v>
      </c>
      <c r="E16" s="27"/>
      <c r="F16" s="27">
        <v>0</v>
      </c>
      <c r="G16" s="27"/>
      <c r="H16" s="27">
        <v>39209.64</v>
      </c>
      <c r="I16" s="27"/>
      <c r="J16" s="27">
        <v>0</v>
      </c>
      <c r="K16" s="27"/>
      <c r="L16" s="27">
        <f t="shared" si="0"/>
        <v>39209.64</v>
      </c>
      <c r="M16" s="27"/>
      <c r="N16" s="27">
        <f t="shared" si="1"/>
        <v>-10786063.049999999</v>
      </c>
      <c r="O16" s="85"/>
    </row>
    <row r="17" spans="2:15">
      <c r="C17" s="10" t="s">
        <v>115</v>
      </c>
      <c r="D17" s="27">
        <v>-9521332.4499999993</v>
      </c>
      <c r="E17" s="27"/>
      <c r="F17" s="27">
        <v>0</v>
      </c>
      <c r="G17" s="27"/>
      <c r="H17" s="27">
        <v>526.02</v>
      </c>
      <c r="I17" s="27"/>
      <c r="J17" s="27">
        <v>0</v>
      </c>
      <c r="K17" s="27"/>
      <c r="L17" s="27">
        <f t="shared" si="0"/>
        <v>526.02</v>
      </c>
      <c r="M17" s="27"/>
      <c r="N17" s="27">
        <f t="shared" si="1"/>
        <v>-9520806.4299999997</v>
      </c>
      <c r="O17" s="85"/>
    </row>
    <row r="18" spans="2:15">
      <c r="C18" s="10" t="s">
        <v>116</v>
      </c>
      <c r="D18" s="27">
        <v>0</v>
      </c>
      <c r="E18" s="27"/>
      <c r="F18" s="27">
        <v>0</v>
      </c>
      <c r="G18" s="27"/>
      <c r="H18" s="27">
        <v>0</v>
      </c>
      <c r="I18" s="27"/>
      <c r="J18" s="27">
        <v>0</v>
      </c>
      <c r="K18" s="27"/>
      <c r="L18" s="27">
        <f t="shared" si="0"/>
        <v>0</v>
      </c>
      <c r="M18" s="27"/>
      <c r="N18" s="27">
        <f t="shared" si="1"/>
        <v>0</v>
      </c>
      <c r="O18" s="85"/>
    </row>
    <row r="19" spans="2:15">
      <c r="C19" s="10" t="s">
        <v>117</v>
      </c>
      <c r="D19" s="27">
        <v>-58644445.899999999</v>
      </c>
      <c r="E19" s="27"/>
      <c r="F19" s="27">
        <v>0</v>
      </c>
      <c r="G19" s="27"/>
      <c r="H19" s="27">
        <v>194624.59</v>
      </c>
      <c r="I19" s="27"/>
      <c r="J19" s="27">
        <v>0</v>
      </c>
      <c r="K19" s="27"/>
      <c r="L19" s="27">
        <f t="shared" si="0"/>
        <v>194624.59</v>
      </c>
      <c r="M19" s="27"/>
      <c r="N19" s="27">
        <f t="shared" si="1"/>
        <v>-58449821.309999995</v>
      </c>
      <c r="O19" s="85"/>
    </row>
    <row r="20" spans="2:15">
      <c r="C20" s="10" t="s">
        <v>118</v>
      </c>
      <c r="D20" s="27">
        <v>-1008320418.9500002</v>
      </c>
      <c r="E20" s="27"/>
      <c r="F20" s="27">
        <v>-16378.43</v>
      </c>
      <c r="G20" s="27"/>
      <c r="H20" s="27">
        <f>310223.66-126392.63-43217.62+2911796.94-1752601.98-820564.37-83846.25-83968.75-768733.14+422070.04</f>
        <v>-35234.099999999919</v>
      </c>
      <c r="I20" s="27"/>
      <c r="J20" s="27">
        <v>0</v>
      </c>
      <c r="K20" s="27"/>
      <c r="L20" s="27">
        <f t="shared" si="0"/>
        <v>-51612.529999999919</v>
      </c>
      <c r="M20" s="27"/>
      <c r="N20" s="27">
        <f t="shared" si="1"/>
        <v>-1008372031.4800001</v>
      </c>
      <c r="O20" s="85"/>
    </row>
    <row r="21" spans="2:15">
      <c r="C21" s="10" t="s">
        <v>119</v>
      </c>
      <c r="D21" s="28">
        <v>-117393208.42999999</v>
      </c>
      <c r="E21" s="27"/>
      <c r="F21" s="28">
        <v>0</v>
      </c>
      <c r="G21" s="27"/>
      <c r="H21" s="28">
        <f>105847.41+967337.49+9949.3+2573.16+45495.28+36056.8</f>
        <v>1167259.44</v>
      </c>
      <c r="I21" s="27"/>
      <c r="J21" s="28">
        <v>0</v>
      </c>
      <c r="K21" s="27"/>
      <c r="L21" s="28">
        <f t="shared" si="0"/>
        <v>1167259.44</v>
      </c>
      <c r="M21" s="27"/>
      <c r="N21" s="28">
        <f t="shared" si="1"/>
        <v>-116225948.98999999</v>
      </c>
      <c r="O21" s="85"/>
    </row>
    <row r="22" spans="2:15">
      <c r="C22" s="11"/>
      <c r="D22" s="27">
        <f>SUM(D15:D21)</f>
        <v>-1476184772.9300001</v>
      </c>
      <c r="E22" s="27"/>
      <c r="F22" s="27">
        <f>SUM(F15:F21)</f>
        <v>-26083.29</v>
      </c>
      <c r="G22" s="27"/>
      <c r="H22" s="27">
        <f>SUM(H15:H21)</f>
        <v>1952524.52</v>
      </c>
      <c r="I22" s="27"/>
      <c r="J22" s="27">
        <f>SUM(J15:J21)</f>
        <v>0</v>
      </c>
      <c r="K22" s="27"/>
      <c r="L22" s="27">
        <f>SUM(L15:L21)</f>
        <v>1926441.23</v>
      </c>
      <c r="M22" s="27"/>
      <c r="N22" s="27">
        <f>SUM(N15:N21)</f>
        <v>-1474258331.7</v>
      </c>
      <c r="O22" s="85"/>
    </row>
    <row r="23" spans="2:15">
      <c r="B23" s="12"/>
      <c r="D23" s="27"/>
      <c r="E23" s="27"/>
      <c r="F23" s="27"/>
      <c r="G23" s="27"/>
      <c r="H23" s="27"/>
      <c r="I23" s="27"/>
      <c r="J23" s="27"/>
      <c r="K23" s="27"/>
      <c r="L23" s="27"/>
      <c r="M23" s="27"/>
      <c r="N23" s="27"/>
      <c r="O23" s="85"/>
    </row>
    <row r="24" spans="2:15">
      <c r="B24" s="58" t="s">
        <v>120</v>
      </c>
      <c r="D24" s="24"/>
      <c r="E24" s="24"/>
      <c r="F24" s="24"/>
      <c r="G24" s="24"/>
      <c r="H24" s="24"/>
      <c r="I24" s="24"/>
      <c r="J24" s="24"/>
      <c r="K24" s="24"/>
      <c r="L24" s="24"/>
      <c r="M24" s="24"/>
      <c r="N24" s="24"/>
      <c r="O24" s="84"/>
    </row>
    <row r="25" spans="2:15">
      <c r="C25" s="10" t="s">
        <v>121</v>
      </c>
      <c r="D25" s="24">
        <v>-123187246.26000002</v>
      </c>
      <c r="E25" s="24"/>
      <c r="F25" s="24">
        <v>-7461.85</v>
      </c>
      <c r="G25" s="24"/>
      <c r="H25" s="24">
        <f>12419.91+2066.17</f>
        <v>14486.08</v>
      </c>
      <c r="I25" s="24"/>
      <c r="J25" s="24">
        <v>0</v>
      </c>
      <c r="K25" s="24"/>
      <c r="L25" s="24">
        <f>F25+H25+J25</f>
        <v>7024.23</v>
      </c>
      <c r="M25" s="24"/>
      <c r="N25" s="24">
        <f>D25+L25</f>
        <v>-123180222.03000002</v>
      </c>
      <c r="O25" s="84"/>
    </row>
    <row r="26" spans="2:15">
      <c r="C26" s="10" t="s">
        <v>122</v>
      </c>
      <c r="D26" s="24">
        <v>-4712961.29</v>
      </c>
      <c r="E26" s="24"/>
      <c r="F26" s="24">
        <v>-6119.8</v>
      </c>
      <c r="G26" s="24"/>
      <c r="H26" s="24">
        <v>0</v>
      </c>
      <c r="I26" s="24"/>
      <c r="J26" s="24">
        <v>0</v>
      </c>
      <c r="K26" s="24"/>
      <c r="L26" s="24">
        <f>F26+H26+J26</f>
        <v>-6119.8</v>
      </c>
      <c r="M26" s="24"/>
      <c r="N26" s="24">
        <f>D26+L26</f>
        <v>-4719081.09</v>
      </c>
      <c r="O26" s="84"/>
    </row>
    <row r="27" spans="2:15">
      <c r="C27" s="10" t="s">
        <v>123</v>
      </c>
      <c r="D27" s="24">
        <v>-119.15999999999997</v>
      </c>
      <c r="E27" s="24"/>
      <c r="F27" s="24">
        <v>0</v>
      </c>
      <c r="G27" s="24"/>
      <c r="H27" s="24">
        <v>0</v>
      </c>
      <c r="I27" s="24"/>
      <c r="J27" s="24">
        <v>0</v>
      </c>
      <c r="K27" s="24"/>
      <c r="L27" s="24">
        <f>F27+H27+J27</f>
        <v>0</v>
      </c>
      <c r="M27" s="24"/>
      <c r="N27" s="24">
        <f>D27+L27</f>
        <v>-119.15999999999997</v>
      </c>
      <c r="O27" s="84"/>
    </row>
    <row r="28" spans="2:15">
      <c r="C28" s="10" t="s">
        <v>124</v>
      </c>
      <c r="D28" s="24">
        <v>-31462521.509999998</v>
      </c>
      <c r="E28" s="24"/>
      <c r="F28" s="24">
        <v>0</v>
      </c>
      <c r="G28" s="24"/>
      <c r="H28" s="24">
        <f>29633.91+9432.34</f>
        <v>39066.25</v>
      </c>
      <c r="I28" s="24"/>
      <c r="J28" s="24">
        <v>0</v>
      </c>
      <c r="K28" s="24"/>
      <c r="L28" s="24">
        <f>F28+H28+J28</f>
        <v>39066.25</v>
      </c>
      <c r="M28" s="24"/>
      <c r="N28" s="24">
        <f>D28+L28</f>
        <v>-31423455.259999998</v>
      </c>
      <c r="O28" s="84"/>
    </row>
    <row r="29" spans="2:15">
      <c r="C29" s="10" t="s">
        <v>125</v>
      </c>
      <c r="D29" s="28">
        <v>-9426614.1399999987</v>
      </c>
      <c r="E29" s="24"/>
      <c r="F29" s="28">
        <v>0</v>
      </c>
      <c r="G29" s="24"/>
      <c r="H29" s="28">
        <v>698.24</v>
      </c>
      <c r="I29" s="24"/>
      <c r="J29" s="28">
        <v>0</v>
      </c>
      <c r="K29" s="24"/>
      <c r="L29" s="28">
        <f>F29+H29+J29</f>
        <v>698.24</v>
      </c>
      <c r="M29" s="24"/>
      <c r="N29" s="28">
        <f>D29+L29</f>
        <v>-9425915.8999999985</v>
      </c>
      <c r="O29" s="84"/>
    </row>
    <row r="30" spans="2:15">
      <c r="C30" s="11"/>
      <c r="D30" s="27">
        <f>SUM(D25:D29)</f>
        <v>-168789462.36000001</v>
      </c>
      <c r="E30" s="27"/>
      <c r="F30" s="27">
        <f>SUM(F25:F29)</f>
        <v>-13581.650000000001</v>
      </c>
      <c r="G30" s="27"/>
      <c r="H30" s="27">
        <f>SUM(H25:H29)</f>
        <v>54250.57</v>
      </c>
      <c r="I30" s="27"/>
      <c r="J30" s="27">
        <f>SUM(J25:J29)</f>
        <v>0</v>
      </c>
      <c r="K30" s="27"/>
      <c r="L30" s="27">
        <f>SUM(L25:L29)</f>
        <v>40668.92</v>
      </c>
      <c r="M30" s="27"/>
      <c r="N30" s="27">
        <f>SUM(N25:N29)</f>
        <v>-168748793.44000003</v>
      </c>
      <c r="O30" s="84"/>
    </row>
    <row r="31" spans="2:15">
      <c r="D31" s="24"/>
      <c r="E31" s="24"/>
      <c r="F31" s="24"/>
      <c r="G31" s="24"/>
      <c r="H31" s="24"/>
      <c r="I31" s="24"/>
      <c r="J31" s="24"/>
      <c r="K31" s="24"/>
      <c r="L31" s="24"/>
      <c r="M31" s="24"/>
      <c r="N31" s="24"/>
      <c r="O31" s="84"/>
    </row>
    <row r="32" spans="2:15">
      <c r="C32" s="12" t="s">
        <v>126</v>
      </c>
      <c r="D32" s="25">
        <f>D12+D22+D30</f>
        <v>-1719420008.6900001</v>
      </c>
      <c r="E32" s="24"/>
      <c r="F32" s="25">
        <f>F12+F22+F30</f>
        <v>-39664.94</v>
      </c>
      <c r="G32" s="24"/>
      <c r="H32" s="25">
        <f>H12+H22+H30</f>
        <v>2947003.78</v>
      </c>
      <c r="I32" s="24"/>
      <c r="J32" s="25">
        <f>J12+J22+J30</f>
        <v>0</v>
      </c>
      <c r="K32" s="24"/>
      <c r="L32" s="25">
        <f>L12+L22+L30</f>
        <v>2907338.84</v>
      </c>
      <c r="M32" s="24"/>
      <c r="N32" s="25">
        <f>N12+N22+N30</f>
        <v>-1716512669.8500001</v>
      </c>
      <c r="O32" s="84"/>
    </row>
    <row r="33" spans="1:15">
      <c r="C33" s="12"/>
      <c r="D33" s="27"/>
      <c r="E33" s="24"/>
      <c r="F33" s="27"/>
      <c r="G33" s="24"/>
      <c r="H33" s="27"/>
      <c r="I33" s="24"/>
      <c r="J33" s="27"/>
      <c r="K33" s="24"/>
      <c r="L33" s="27"/>
      <c r="M33" s="24"/>
      <c r="N33" s="27"/>
      <c r="O33" s="84"/>
    </row>
    <row r="34" spans="1:15">
      <c r="D34" s="24"/>
      <c r="E34" s="24"/>
      <c r="F34" s="24"/>
      <c r="G34" s="24"/>
      <c r="H34" s="24"/>
      <c r="I34" s="24"/>
      <c r="J34" s="24"/>
      <c r="K34" s="24"/>
      <c r="L34" s="24"/>
      <c r="M34" s="24"/>
      <c r="N34" s="24"/>
      <c r="O34" s="84"/>
    </row>
    <row r="35" spans="1:15">
      <c r="A35" s="32">
        <v>101.1</v>
      </c>
      <c r="B35" s="12" t="s">
        <v>106</v>
      </c>
      <c r="D35" s="24"/>
      <c r="E35" s="24"/>
      <c r="F35" s="24"/>
      <c r="G35" s="24"/>
      <c r="H35" s="24"/>
      <c r="I35" s="24"/>
      <c r="J35" s="24"/>
      <c r="K35" s="24"/>
      <c r="L35" s="24"/>
      <c r="M35" s="24"/>
      <c r="N35" s="24"/>
      <c r="O35" s="84"/>
    </row>
    <row r="36" spans="1:15">
      <c r="B36" s="58" t="s">
        <v>112</v>
      </c>
      <c r="C36" s="10" t="s">
        <v>135</v>
      </c>
      <c r="D36" s="24"/>
      <c r="E36" s="24"/>
      <c r="F36" s="24"/>
      <c r="G36" s="24"/>
      <c r="H36" s="24"/>
      <c r="I36" s="24"/>
      <c r="J36" s="24"/>
      <c r="K36" s="24"/>
      <c r="L36" s="24"/>
      <c r="M36" s="24"/>
      <c r="N36" s="24"/>
      <c r="O36" s="84"/>
    </row>
    <row r="37" spans="1:15">
      <c r="C37" s="10" t="s">
        <v>118</v>
      </c>
      <c r="D37" s="28"/>
      <c r="E37" s="24"/>
      <c r="F37" s="28"/>
      <c r="G37" s="24"/>
      <c r="H37" s="28"/>
      <c r="I37" s="24"/>
      <c r="J37" s="28"/>
      <c r="K37" s="24"/>
      <c r="L37" s="28">
        <f>F37+H37+J37</f>
        <v>0</v>
      </c>
      <c r="M37" s="24"/>
      <c r="N37" s="28">
        <f>D37+L37</f>
        <v>0</v>
      </c>
      <c r="O37" s="84"/>
    </row>
    <row r="38" spans="1:15">
      <c r="C38" s="11"/>
      <c r="D38" s="27">
        <f>SUM(D37)</f>
        <v>0</v>
      </c>
      <c r="E38" s="27"/>
      <c r="F38" s="27">
        <f>SUM(F37)</f>
        <v>0</v>
      </c>
      <c r="G38" s="27"/>
      <c r="H38" s="27">
        <f>SUM(H37)</f>
        <v>0</v>
      </c>
      <c r="I38" s="27"/>
      <c r="J38" s="27">
        <f>SUM(J37)</f>
        <v>0</v>
      </c>
      <c r="K38" s="27"/>
      <c r="L38" s="27">
        <f>SUM(L37)</f>
        <v>0</v>
      </c>
      <c r="M38" s="27"/>
      <c r="N38" s="27">
        <f>SUM(N37)</f>
        <v>0</v>
      </c>
      <c r="O38" s="84"/>
    </row>
    <row r="39" spans="1:15">
      <c r="D39" s="24"/>
      <c r="E39" s="24"/>
      <c r="F39" s="24"/>
      <c r="G39" s="24"/>
      <c r="H39" s="24"/>
      <c r="I39" s="24"/>
      <c r="J39" s="24"/>
      <c r="K39" s="24"/>
      <c r="L39" s="24"/>
      <c r="M39" s="24"/>
      <c r="N39" s="24"/>
      <c r="O39" s="84"/>
    </row>
    <row r="40" spans="1:15">
      <c r="C40" s="12" t="s">
        <v>127</v>
      </c>
      <c r="D40" s="25">
        <f>D38</f>
        <v>0</v>
      </c>
      <c r="E40" s="24"/>
      <c r="F40" s="25">
        <f>F38</f>
        <v>0</v>
      </c>
      <c r="G40" s="24"/>
      <c r="H40" s="25">
        <f>H38</f>
        <v>0</v>
      </c>
      <c r="I40" s="24"/>
      <c r="J40" s="25">
        <f>J38</f>
        <v>0</v>
      </c>
      <c r="K40" s="24"/>
      <c r="L40" s="25">
        <f>L38</f>
        <v>0</v>
      </c>
      <c r="M40" s="24"/>
      <c r="N40" s="25">
        <f>N38</f>
        <v>0</v>
      </c>
      <c r="O40" s="84"/>
    </row>
    <row r="41" spans="1:15">
      <c r="D41" s="24"/>
      <c r="E41" s="24"/>
      <c r="F41" s="24"/>
      <c r="G41" s="24"/>
      <c r="H41" s="24"/>
      <c r="I41" s="24"/>
      <c r="J41" s="24"/>
      <c r="K41" s="24"/>
      <c r="L41" s="24"/>
      <c r="M41" s="24"/>
      <c r="N41" s="24"/>
      <c r="O41" s="84"/>
    </row>
    <row r="42" spans="1:15">
      <c r="D42" s="24"/>
      <c r="E42" s="24"/>
      <c r="F42" s="24"/>
      <c r="G42" s="24"/>
      <c r="H42" s="24"/>
      <c r="I42" s="24"/>
      <c r="J42" s="24"/>
      <c r="K42" s="24"/>
      <c r="L42" s="24"/>
      <c r="M42" s="24"/>
      <c r="N42" s="24"/>
      <c r="O42" s="84"/>
    </row>
    <row r="43" spans="1:15">
      <c r="A43" s="32">
        <v>102</v>
      </c>
      <c r="B43" s="12" t="s">
        <v>501</v>
      </c>
      <c r="D43" s="24"/>
      <c r="E43" s="24"/>
      <c r="F43" s="24"/>
      <c r="G43" s="24"/>
      <c r="H43" s="24"/>
      <c r="I43" s="24"/>
      <c r="J43" s="24"/>
      <c r="K43" s="24"/>
      <c r="L43" s="24"/>
      <c r="M43" s="24"/>
      <c r="N43" s="24"/>
      <c r="O43" s="84"/>
    </row>
    <row r="44" spans="1:15">
      <c r="B44" s="58" t="s">
        <v>112</v>
      </c>
      <c r="D44" s="24"/>
      <c r="E44" s="24"/>
      <c r="F44" s="24"/>
      <c r="G44" s="24"/>
      <c r="H44" s="24"/>
      <c r="I44" s="24"/>
      <c r="J44" s="24"/>
      <c r="K44" s="24"/>
      <c r="L44" s="24"/>
      <c r="M44" s="24"/>
      <c r="N44" s="24"/>
      <c r="O44" s="84"/>
    </row>
    <row r="45" spans="1:15">
      <c r="C45" s="10" t="s">
        <v>118</v>
      </c>
      <c r="D45" s="28"/>
      <c r="E45" s="27"/>
      <c r="F45" s="28"/>
      <c r="G45" s="27"/>
      <c r="H45" s="28"/>
      <c r="I45" s="27"/>
      <c r="J45" s="28"/>
      <c r="K45" s="27"/>
      <c r="L45" s="28">
        <f>F45+H45+J45</f>
        <v>0</v>
      </c>
      <c r="M45" s="27"/>
      <c r="N45" s="28">
        <f>D45+L45</f>
        <v>0</v>
      </c>
      <c r="O45" s="84"/>
    </row>
    <row r="46" spans="1:15">
      <c r="C46" s="11"/>
      <c r="D46" s="27">
        <f>SUM(D45:D45)</f>
        <v>0</v>
      </c>
      <c r="E46" s="27"/>
      <c r="F46" s="27">
        <f>SUM(F45)</f>
        <v>0</v>
      </c>
      <c r="G46" s="27"/>
      <c r="H46" s="27">
        <f>SUM(H45)</f>
        <v>0</v>
      </c>
      <c r="I46" s="27"/>
      <c r="J46" s="27">
        <f>SUM(J45)</f>
        <v>0</v>
      </c>
      <c r="K46" s="27"/>
      <c r="L46" s="27">
        <f>SUM(L45)</f>
        <v>0</v>
      </c>
      <c r="M46" s="27"/>
      <c r="N46" s="27">
        <f>SUM(N45:N45)</f>
        <v>0</v>
      </c>
      <c r="O46" s="84"/>
    </row>
    <row r="47" spans="1:15">
      <c r="D47" s="24"/>
      <c r="E47" s="24"/>
      <c r="F47" s="24"/>
      <c r="G47" s="24"/>
      <c r="H47" s="24"/>
      <c r="I47" s="24"/>
      <c r="J47" s="24"/>
      <c r="K47" s="24"/>
      <c r="L47" s="24"/>
      <c r="M47" s="24"/>
      <c r="N47" s="24"/>
      <c r="O47" s="84"/>
    </row>
    <row r="48" spans="1:15">
      <c r="C48" s="12" t="s">
        <v>1261</v>
      </c>
      <c r="D48" s="25">
        <f>D46</f>
        <v>0</v>
      </c>
      <c r="E48" s="24"/>
      <c r="F48" s="25">
        <f>F46</f>
        <v>0</v>
      </c>
      <c r="G48" s="24"/>
      <c r="H48" s="25">
        <f>H46</f>
        <v>0</v>
      </c>
      <c r="I48" s="24"/>
      <c r="J48" s="25">
        <f>J46</f>
        <v>0</v>
      </c>
      <c r="K48" s="24"/>
      <c r="L48" s="25">
        <f>L46</f>
        <v>0</v>
      </c>
      <c r="M48" s="24"/>
      <c r="N48" s="25">
        <f>N46</f>
        <v>0</v>
      </c>
      <c r="O48" s="84"/>
    </row>
    <row r="49" spans="1:15">
      <c r="C49" s="12"/>
      <c r="D49" s="27"/>
      <c r="E49" s="24"/>
      <c r="F49" s="27"/>
      <c r="G49" s="24"/>
      <c r="H49" s="27"/>
      <c r="I49" s="24"/>
      <c r="J49" s="27"/>
      <c r="K49" s="24"/>
      <c r="L49" s="27"/>
      <c r="M49" s="24"/>
      <c r="N49" s="27"/>
      <c r="O49" s="84"/>
    </row>
    <row r="50" spans="1:15">
      <c r="C50" s="12"/>
      <c r="D50" s="27"/>
      <c r="E50" s="24"/>
      <c r="F50" s="27"/>
      <c r="G50" s="24"/>
      <c r="H50" s="27"/>
      <c r="I50" s="24"/>
      <c r="J50" s="27"/>
      <c r="K50" s="24"/>
      <c r="L50" s="27"/>
      <c r="M50" s="24"/>
      <c r="N50" s="27">
        <f>+N32+N45</f>
        <v>-1716512669.8500001</v>
      </c>
      <c r="O50" s="84"/>
    </row>
    <row r="51" spans="1:15">
      <c r="A51" s="32">
        <v>105</v>
      </c>
      <c r="B51" s="12" t="s">
        <v>611</v>
      </c>
      <c r="D51" s="24"/>
      <c r="E51" s="24"/>
      <c r="F51" s="24"/>
      <c r="G51" s="24"/>
      <c r="H51" s="24"/>
      <c r="I51" s="24"/>
      <c r="J51" s="24"/>
      <c r="K51" s="24"/>
      <c r="L51" s="24"/>
      <c r="M51" s="24"/>
      <c r="N51" s="24"/>
      <c r="O51" s="84"/>
    </row>
    <row r="52" spans="1:15">
      <c r="B52" s="58" t="s">
        <v>112</v>
      </c>
      <c r="D52" s="24"/>
      <c r="E52" s="24"/>
      <c r="F52" s="24"/>
      <c r="G52" s="24"/>
      <c r="H52" s="24"/>
      <c r="I52" s="24"/>
      <c r="J52" s="24"/>
      <c r="K52" s="24"/>
      <c r="L52" s="24"/>
      <c r="M52" s="24"/>
      <c r="N52" s="24"/>
      <c r="O52" s="84"/>
    </row>
    <row r="53" spans="1:15">
      <c r="C53" s="10" t="s">
        <v>113</v>
      </c>
      <c r="D53" s="24">
        <v>0</v>
      </c>
      <c r="E53" s="24"/>
      <c r="F53" s="24">
        <v>0</v>
      </c>
      <c r="G53" s="24"/>
      <c r="H53" s="24">
        <v>0</v>
      </c>
      <c r="I53" s="24"/>
      <c r="J53" s="24">
        <v>0</v>
      </c>
      <c r="K53" s="24"/>
      <c r="L53" s="27">
        <f>F53+H53+J53</f>
        <v>0</v>
      </c>
      <c r="M53" s="24"/>
      <c r="N53" s="27">
        <f>D53+L53</f>
        <v>0</v>
      </c>
      <c r="O53" s="84"/>
    </row>
    <row r="54" spans="1:15">
      <c r="C54" s="10" t="s">
        <v>118</v>
      </c>
      <c r="D54" s="28">
        <v>0</v>
      </c>
      <c r="E54" s="27"/>
      <c r="F54" s="28">
        <v>0</v>
      </c>
      <c r="G54" s="27"/>
      <c r="H54" s="28">
        <v>0</v>
      </c>
      <c r="I54" s="27"/>
      <c r="J54" s="28">
        <v>0</v>
      </c>
      <c r="K54" s="27"/>
      <c r="L54" s="28">
        <f>F54+H54+J54</f>
        <v>0</v>
      </c>
      <c r="M54" s="27"/>
      <c r="N54" s="28">
        <f>D54+L54</f>
        <v>0</v>
      </c>
      <c r="O54" s="84"/>
    </row>
    <row r="55" spans="1:15">
      <c r="C55" s="11"/>
      <c r="D55" s="27">
        <f>SUM(D53:D54)</f>
        <v>0</v>
      </c>
      <c r="E55" s="27"/>
      <c r="F55" s="27">
        <f>SUM(F54)</f>
        <v>0</v>
      </c>
      <c r="G55" s="27"/>
      <c r="H55" s="27">
        <f>SUM(H54)</f>
        <v>0</v>
      </c>
      <c r="I55" s="27"/>
      <c r="J55" s="27">
        <f>SUM(J54)</f>
        <v>0</v>
      </c>
      <c r="K55" s="27"/>
      <c r="L55" s="27">
        <f>SUM(L54)</f>
        <v>0</v>
      </c>
      <c r="M55" s="27"/>
      <c r="N55" s="27">
        <f>SUM(N53:N54)</f>
        <v>0</v>
      </c>
      <c r="O55" s="84"/>
    </row>
    <row r="56" spans="1:15">
      <c r="D56" s="24"/>
      <c r="E56" s="24"/>
      <c r="F56" s="24"/>
      <c r="G56" s="24"/>
      <c r="H56" s="24"/>
      <c r="I56" s="24"/>
      <c r="J56" s="24"/>
      <c r="K56" s="24"/>
      <c r="L56" s="24"/>
      <c r="M56" s="24"/>
      <c r="N56" s="24"/>
      <c r="O56" s="84"/>
    </row>
    <row r="57" spans="1:15">
      <c r="C57" s="12" t="s">
        <v>128</v>
      </c>
      <c r="D57" s="25">
        <f>D55</f>
        <v>0</v>
      </c>
      <c r="E57" s="24"/>
      <c r="F57" s="25">
        <f>F55</f>
        <v>0</v>
      </c>
      <c r="G57" s="24"/>
      <c r="H57" s="25">
        <f>H55</f>
        <v>0</v>
      </c>
      <c r="I57" s="24"/>
      <c r="J57" s="25">
        <f>J55</f>
        <v>0</v>
      </c>
      <c r="K57" s="24"/>
      <c r="L57" s="25">
        <f>L55</f>
        <v>0</v>
      </c>
      <c r="M57" s="24"/>
      <c r="N57" s="25">
        <f>N55</f>
        <v>0</v>
      </c>
      <c r="O57" s="84"/>
    </row>
    <row r="58" spans="1:15">
      <c r="D58" s="24"/>
      <c r="E58" s="24"/>
      <c r="F58" s="24"/>
      <c r="G58" s="24"/>
      <c r="H58" s="24"/>
      <c r="I58" s="24"/>
      <c r="J58" s="24"/>
      <c r="K58" s="24"/>
      <c r="L58" s="24"/>
      <c r="M58" s="24"/>
      <c r="N58" s="24"/>
      <c r="O58" s="84"/>
    </row>
    <row r="59" spans="1:15">
      <c r="D59" s="24"/>
      <c r="E59" s="24"/>
      <c r="F59" s="24"/>
      <c r="G59" s="24"/>
      <c r="H59" s="24"/>
      <c r="I59" s="24"/>
      <c r="J59" s="24"/>
      <c r="K59" s="24"/>
      <c r="L59" s="24"/>
      <c r="M59" s="24"/>
      <c r="N59" s="24"/>
      <c r="O59" s="84"/>
    </row>
    <row r="60" spans="1:15">
      <c r="A60" s="32">
        <v>106</v>
      </c>
      <c r="B60" s="12" t="s">
        <v>450</v>
      </c>
      <c r="D60" s="24"/>
      <c r="E60" s="24"/>
      <c r="F60" s="24"/>
      <c r="G60" s="24"/>
      <c r="H60" s="24"/>
      <c r="I60" s="24"/>
      <c r="J60" s="24"/>
      <c r="K60" s="24"/>
      <c r="L60" s="24"/>
      <c r="M60" s="24"/>
      <c r="N60" s="24"/>
      <c r="O60" s="84"/>
    </row>
    <row r="61" spans="1:15">
      <c r="B61" s="58" t="s">
        <v>652</v>
      </c>
      <c r="D61" s="24"/>
      <c r="E61" s="24"/>
      <c r="F61" s="24"/>
      <c r="G61" s="24"/>
      <c r="H61" s="24"/>
      <c r="I61" s="24"/>
      <c r="J61" s="24"/>
      <c r="K61" s="24"/>
      <c r="L61" s="24"/>
      <c r="M61" s="24"/>
      <c r="N61" s="24"/>
      <c r="O61" s="84"/>
    </row>
    <row r="62" spans="1:15">
      <c r="C62" s="10" t="s">
        <v>455</v>
      </c>
      <c r="D62" s="24">
        <v>0</v>
      </c>
      <c r="E62" s="24"/>
      <c r="F62" s="24">
        <v>0</v>
      </c>
      <c r="G62" s="24"/>
      <c r="H62" s="24">
        <v>0</v>
      </c>
      <c r="I62" s="24"/>
      <c r="J62" s="24">
        <v>0</v>
      </c>
      <c r="K62" s="24"/>
      <c r="L62" s="24">
        <f>F62+H62+J62</f>
        <v>0</v>
      </c>
      <c r="M62" s="24"/>
      <c r="N62" s="24">
        <f>D62+L62</f>
        <v>0</v>
      </c>
      <c r="O62" s="84"/>
    </row>
    <row r="63" spans="1:15">
      <c r="C63" s="10" t="s">
        <v>111</v>
      </c>
      <c r="D63" s="28">
        <v>0</v>
      </c>
      <c r="E63" s="27"/>
      <c r="F63" s="28">
        <v>0</v>
      </c>
      <c r="G63" s="27"/>
      <c r="H63" s="28">
        <v>0</v>
      </c>
      <c r="I63" s="27"/>
      <c r="J63" s="28">
        <v>0</v>
      </c>
      <c r="K63" s="27"/>
      <c r="L63" s="28">
        <f>F63+H63+J63</f>
        <v>0</v>
      </c>
      <c r="M63" s="27"/>
      <c r="N63" s="28">
        <f>D63+L63</f>
        <v>0</v>
      </c>
      <c r="O63" s="85"/>
    </row>
    <row r="64" spans="1:15">
      <c r="C64" s="11"/>
      <c r="D64" s="27">
        <f>D62+D63</f>
        <v>0</v>
      </c>
      <c r="E64" s="27"/>
      <c r="F64" s="27">
        <f>F62+F63</f>
        <v>0</v>
      </c>
      <c r="G64" s="27"/>
      <c r="H64" s="27">
        <f>H62+H63</f>
        <v>0</v>
      </c>
      <c r="I64" s="27"/>
      <c r="J64" s="27">
        <f>J62+J63</f>
        <v>0</v>
      </c>
      <c r="K64" s="27"/>
      <c r="L64" s="27">
        <f>L62+L63</f>
        <v>0</v>
      </c>
      <c r="M64" s="27"/>
      <c r="N64" s="27">
        <f>N62+N63</f>
        <v>0</v>
      </c>
      <c r="O64" s="85"/>
    </row>
    <row r="65" spans="2:15">
      <c r="B65" s="12"/>
      <c r="D65" s="27"/>
      <c r="E65" s="27"/>
      <c r="F65" s="27"/>
      <c r="G65" s="27"/>
      <c r="H65" s="27"/>
      <c r="I65" s="27"/>
      <c r="J65" s="27"/>
      <c r="K65" s="27"/>
      <c r="L65" s="27"/>
      <c r="M65" s="27"/>
      <c r="N65" s="27"/>
      <c r="O65" s="85"/>
    </row>
    <row r="66" spans="2:15">
      <c r="B66" s="58" t="s">
        <v>112</v>
      </c>
      <c r="D66" s="27"/>
      <c r="E66" s="27"/>
      <c r="F66" s="27"/>
      <c r="G66" s="27"/>
      <c r="H66" s="27"/>
      <c r="I66" s="27"/>
      <c r="J66" s="27"/>
      <c r="K66" s="27"/>
      <c r="L66" s="27"/>
      <c r="M66" s="27"/>
      <c r="N66" s="27"/>
      <c r="O66" s="85"/>
    </row>
    <row r="67" spans="2:15">
      <c r="C67" s="10" t="s">
        <v>113</v>
      </c>
      <c r="D67" s="27">
        <v>-18137.169999999998</v>
      </c>
      <c r="E67" s="27"/>
      <c r="F67" s="27">
        <f>9410.67+294.19</f>
        <v>9704.86</v>
      </c>
      <c r="G67" s="27"/>
      <c r="H67" s="27">
        <v>0</v>
      </c>
      <c r="I67" s="27"/>
      <c r="J67" s="27">
        <v>0</v>
      </c>
      <c r="K67" s="27"/>
      <c r="L67" s="27">
        <f t="shared" ref="L67:L73" si="2">F67+H67+J67</f>
        <v>9704.86</v>
      </c>
      <c r="M67" s="27"/>
      <c r="N67" s="27">
        <f t="shared" ref="N67:N73" si="3">D67+L67</f>
        <v>-8432.3099999999977</v>
      </c>
      <c r="O67" s="85"/>
    </row>
    <row r="68" spans="2:15">
      <c r="C68" s="10" t="s">
        <v>114</v>
      </c>
      <c r="D68" s="27">
        <v>0</v>
      </c>
      <c r="E68" s="27"/>
      <c r="F68" s="27">
        <v>0</v>
      </c>
      <c r="G68" s="27"/>
      <c r="H68" s="27">
        <v>0</v>
      </c>
      <c r="I68" s="27"/>
      <c r="J68" s="27">
        <v>0</v>
      </c>
      <c r="K68" s="27"/>
      <c r="L68" s="27">
        <f t="shared" si="2"/>
        <v>0</v>
      </c>
      <c r="M68" s="27"/>
      <c r="N68" s="27">
        <f t="shared" si="3"/>
        <v>0</v>
      </c>
      <c r="O68" s="85"/>
    </row>
    <row r="69" spans="2:15">
      <c r="C69" s="10" t="s">
        <v>115</v>
      </c>
      <c r="D69" s="27">
        <v>0</v>
      </c>
      <c r="E69" s="27"/>
      <c r="F69" s="27">
        <v>0</v>
      </c>
      <c r="G69" s="27"/>
      <c r="H69" s="27">
        <v>0</v>
      </c>
      <c r="I69" s="27"/>
      <c r="J69" s="27">
        <v>0</v>
      </c>
      <c r="K69" s="27"/>
      <c r="L69" s="27">
        <f t="shared" si="2"/>
        <v>0</v>
      </c>
      <c r="M69" s="27"/>
      <c r="N69" s="27">
        <f t="shared" si="3"/>
        <v>0</v>
      </c>
      <c r="O69" s="85"/>
    </row>
    <row r="70" spans="2:15">
      <c r="C70" s="10" t="s">
        <v>116</v>
      </c>
      <c r="D70" s="27">
        <v>0</v>
      </c>
      <c r="E70" s="27"/>
      <c r="F70" s="27">
        <v>0</v>
      </c>
      <c r="G70" s="27"/>
      <c r="H70" s="27">
        <v>0</v>
      </c>
      <c r="I70" s="27"/>
      <c r="J70" s="27">
        <v>0</v>
      </c>
      <c r="K70" s="27"/>
      <c r="L70" s="27">
        <f t="shared" si="2"/>
        <v>0</v>
      </c>
      <c r="M70" s="27"/>
      <c r="N70" s="27">
        <f t="shared" si="3"/>
        <v>0</v>
      </c>
      <c r="O70" s="85"/>
    </row>
    <row r="71" spans="2:15">
      <c r="C71" s="10" t="s">
        <v>117</v>
      </c>
      <c r="D71" s="27">
        <v>0</v>
      </c>
      <c r="E71" s="27"/>
      <c r="F71" s="27">
        <v>0</v>
      </c>
      <c r="G71" s="27"/>
      <c r="H71" s="27">
        <v>0</v>
      </c>
      <c r="I71" s="27"/>
      <c r="J71" s="27">
        <v>0</v>
      </c>
      <c r="K71" s="27"/>
      <c r="L71" s="27">
        <f t="shared" si="2"/>
        <v>0</v>
      </c>
      <c r="M71" s="27"/>
      <c r="N71" s="27">
        <f t="shared" si="3"/>
        <v>0</v>
      </c>
      <c r="O71" s="85"/>
    </row>
    <row r="72" spans="2:15">
      <c r="C72" s="10" t="s">
        <v>118</v>
      </c>
      <c r="D72" s="27">
        <v>-34851.389999999985</v>
      </c>
      <c r="E72" s="27"/>
      <c r="F72" s="27">
        <v>16378.43</v>
      </c>
      <c r="G72" s="27"/>
      <c r="H72" s="27">
        <v>0</v>
      </c>
      <c r="I72" s="27"/>
      <c r="J72" s="27">
        <v>0</v>
      </c>
      <c r="K72" s="27"/>
      <c r="L72" s="27">
        <f t="shared" si="2"/>
        <v>16378.43</v>
      </c>
      <c r="M72" s="27"/>
      <c r="N72" s="27">
        <f t="shared" si="3"/>
        <v>-18472.959999999985</v>
      </c>
      <c r="O72" s="85"/>
    </row>
    <row r="73" spans="2:15">
      <c r="C73" s="10" t="s">
        <v>119</v>
      </c>
      <c r="D73" s="28">
        <v>-185555.67</v>
      </c>
      <c r="E73" s="27"/>
      <c r="F73" s="28">
        <v>0</v>
      </c>
      <c r="G73" s="27"/>
      <c r="H73" s="28">
        <v>0</v>
      </c>
      <c r="I73" s="27"/>
      <c r="J73" s="28">
        <v>0</v>
      </c>
      <c r="K73" s="27"/>
      <c r="L73" s="28">
        <f t="shared" si="2"/>
        <v>0</v>
      </c>
      <c r="M73" s="27"/>
      <c r="N73" s="28">
        <f t="shared" si="3"/>
        <v>-185555.67</v>
      </c>
      <c r="O73" s="85"/>
    </row>
    <row r="74" spans="2:15">
      <c r="C74" s="11"/>
      <c r="D74" s="27">
        <f>SUM(D67:D73)</f>
        <v>-238544.22999999998</v>
      </c>
      <c r="E74" s="27"/>
      <c r="F74" s="27">
        <f>SUM(F67:F73)</f>
        <v>26083.29</v>
      </c>
      <c r="G74" s="27"/>
      <c r="H74" s="27">
        <f>SUM(H67:H73)</f>
        <v>0</v>
      </c>
      <c r="I74" s="27"/>
      <c r="J74" s="27">
        <f>SUM(J67:J73)</f>
        <v>0</v>
      </c>
      <c r="K74" s="27"/>
      <c r="L74" s="27">
        <f>SUM(L67:L73)</f>
        <v>26083.29</v>
      </c>
      <c r="M74" s="27"/>
      <c r="N74" s="27">
        <f>SUM(N67:N73)</f>
        <v>-212460.94</v>
      </c>
      <c r="O74" s="85"/>
    </row>
    <row r="75" spans="2:15">
      <c r="B75" s="12"/>
      <c r="D75" s="27"/>
      <c r="E75" s="27"/>
      <c r="F75" s="27"/>
      <c r="G75" s="27"/>
      <c r="H75" s="27"/>
      <c r="I75" s="27"/>
      <c r="J75" s="27"/>
      <c r="K75" s="27"/>
      <c r="L75" s="27"/>
      <c r="M75" s="27"/>
      <c r="N75" s="27"/>
      <c r="O75" s="85"/>
    </row>
    <row r="76" spans="2:15">
      <c r="B76" s="58" t="s">
        <v>120</v>
      </c>
      <c r="D76" s="27"/>
      <c r="E76" s="27"/>
      <c r="F76" s="27"/>
      <c r="G76" s="27"/>
      <c r="H76" s="27"/>
      <c r="I76" s="27"/>
      <c r="J76" s="27"/>
      <c r="K76" s="27"/>
      <c r="L76" s="27"/>
      <c r="M76" s="27"/>
      <c r="N76" s="27"/>
      <c r="O76" s="85"/>
    </row>
    <row r="77" spans="2:15">
      <c r="C77" s="10" t="s">
        <v>121</v>
      </c>
      <c r="D77" s="24">
        <v>-8200.3299999999581</v>
      </c>
      <c r="E77" s="24"/>
      <c r="F77" s="24">
        <v>7461.85</v>
      </c>
      <c r="G77" s="24"/>
      <c r="H77" s="24">
        <v>0</v>
      </c>
      <c r="I77" s="24"/>
      <c r="J77" s="24">
        <v>0</v>
      </c>
      <c r="K77" s="24"/>
      <c r="L77" s="24">
        <f>F77+H77+J77</f>
        <v>7461.85</v>
      </c>
      <c r="M77" s="24"/>
      <c r="N77" s="24">
        <f>D77+L77</f>
        <v>-738.47999999995773</v>
      </c>
      <c r="O77" s="84"/>
    </row>
    <row r="78" spans="2:15">
      <c r="C78" s="10" t="s">
        <v>122</v>
      </c>
      <c r="D78" s="24">
        <v>-6119.8</v>
      </c>
      <c r="E78" s="24"/>
      <c r="F78" s="24">
        <v>6119.8</v>
      </c>
      <c r="G78" s="24"/>
      <c r="H78" s="24">
        <v>0</v>
      </c>
      <c r="I78" s="24"/>
      <c r="J78" s="24">
        <v>0</v>
      </c>
      <c r="K78" s="24"/>
      <c r="L78" s="24">
        <f>F78+H78+J78</f>
        <v>6119.8</v>
      </c>
      <c r="M78" s="24"/>
      <c r="N78" s="24">
        <f>D78+L78</f>
        <v>0</v>
      </c>
      <c r="O78" s="84"/>
    </row>
    <row r="79" spans="2:15">
      <c r="C79" s="10" t="s">
        <v>123</v>
      </c>
      <c r="D79" s="24">
        <v>0</v>
      </c>
      <c r="E79" s="24"/>
      <c r="F79" s="24">
        <v>0</v>
      </c>
      <c r="G79" s="24"/>
      <c r="H79" s="24">
        <v>0</v>
      </c>
      <c r="I79" s="24"/>
      <c r="J79" s="24">
        <v>0</v>
      </c>
      <c r="K79" s="24"/>
      <c r="L79" s="24">
        <f>F79+H79+J79</f>
        <v>0</v>
      </c>
      <c r="M79" s="24"/>
      <c r="N79" s="24">
        <f>D79+L79</f>
        <v>0</v>
      </c>
      <c r="O79" s="84"/>
    </row>
    <row r="80" spans="2:15">
      <c r="C80" s="10" t="s">
        <v>124</v>
      </c>
      <c r="D80" s="24">
        <v>-2082.9099999999962</v>
      </c>
      <c r="E80" s="24"/>
      <c r="F80" s="24">
        <v>0</v>
      </c>
      <c r="G80" s="24"/>
      <c r="H80" s="24">
        <v>0</v>
      </c>
      <c r="I80" s="24"/>
      <c r="J80" s="24">
        <v>0</v>
      </c>
      <c r="K80" s="24"/>
      <c r="L80" s="24">
        <f>F80+H80+J80</f>
        <v>0</v>
      </c>
      <c r="M80" s="24"/>
      <c r="N80" s="24">
        <f>D80+L80</f>
        <v>-2082.9099999999962</v>
      </c>
      <c r="O80" s="84"/>
    </row>
    <row r="81" spans="1:15">
      <c r="C81" s="10" t="s">
        <v>125</v>
      </c>
      <c r="D81" s="28">
        <v>0</v>
      </c>
      <c r="E81" s="24"/>
      <c r="F81" s="28">
        <v>0</v>
      </c>
      <c r="G81" s="24"/>
      <c r="H81" s="28">
        <v>0</v>
      </c>
      <c r="I81" s="24"/>
      <c r="J81" s="28">
        <v>0</v>
      </c>
      <c r="K81" s="24"/>
      <c r="L81" s="28">
        <f>F81+H81+J81</f>
        <v>0</v>
      </c>
      <c r="M81" s="24"/>
      <c r="N81" s="28">
        <f>D81+L81</f>
        <v>0</v>
      </c>
      <c r="O81" s="84"/>
    </row>
    <row r="82" spans="1:15">
      <c r="C82" s="11"/>
      <c r="D82" s="27">
        <f>SUM(D77:D81)</f>
        <v>-16403.039999999954</v>
      </c>
      <c r="E82" s="27"/>
      <c r="F82" s="27">
        <f>SUM(F77:F81)</f>
        <v>13581.650000000001</v>
      </c>
      <c r="G82" s="27"/>
      <c r="H82" s="27">
        <f>SUM(H77:H81)</f>
        <v>0</v>
      </c>
      <c r="I82" s="27"/>
      <c r="J82" s="27">
        <f>SUM(J77:J81)</f>
        <v>0</v>
      </c>
      <c r="K82" s="27"/>
      <c r="L82" s="27">
        <f>SUM(L77:L81)</f>
        <v>13581.650000000001</v>
      </c>
      <c r="M82" s="27"/>
      <c r="N82" s="27">
        <f>SUM(N77:N81)</f>
        <v>-2821.3899999999539</v>
      </c>
      <c r="O82" s="84"/>
    </row>
    <row r="83" spans="1:15">
      <c r="D83" s="24"/>
      <c r="E83" s="24"/>
      <c r="F83" s="24"/>
      <c r="G83" s="24"/>
      <c r="H83" s="24"/>
      <c r="I83" s="24"/>
      <c r="J83" s="24"/>
      <c r="K83" s="24"/>
      <c r="L83" s="24"/>
      <c r="M83" s="24"/>
      <c r="N83" s="24"/>
      <c r="O83" s="84"/>
    </row>
    <row r="84" spans="1:15">
      <c r="C84" s="12" t="s">
        <v>136</v>
      </c>
      <c r="D84" s="25">
        <f>D64+D74+D82</f>
        <v>-254947.26999999993</v>
      </c>
      <c r="E84" s="24"/>
      <c r="F84" s="25">
        <f>F64+F74+F82</f>
        <v>39664.94</v>
      </c>
      <c r="G84" s="24"/>
      <c r="H84" s="25">
        <f>H64+H74+H82</f>
        <v>0</v>
      </c>
      <c r="I84" s="24"/>
      <c r="J84" s="25">
        <f>J64+J74+J82</f>
        <v>0</v>
      </c>
      <c r="K84" s="24"/>
      <c r="L84" s="25">
        <f>L64+L74+L82</f>
        <v>39664.94</v>
      </c>
      <c r="M84" s="24"/>
      <c r="N84" s="25">
        <f>N64+N74+N82</f>
        <v>-215282.32999999996</v>
      </c>
      <c r="O84" s="84"/>
    </row>
    <row r="85" spans="1:15">
      <c r="D85" s="24"/>
      <c r="E85" s="24"/>
      <c r="F85" s="24"/>
      <c r="G85" s="24"/>
      <c r="H85" s="24"/>
      <c r="I85" s="24"/>
      <c r="J85" s="24"/>
      <c r="K85" s="24"/>
      <c r="L85" s="24"/>
      <c r="M85" s="24"/>
      <c r="N85" s="24"/>
      <c r="O85" s="84"/>
    </row>
    <row r="86" spans="1:15">
      <c r="D86" s="24"/>
      <c r="E86" s="24"/>
      <c r="F86" s="24"/>
      <c r="G86" s="24"/>
      <c r="H86" s="24"/>
      <c r="I86" s="24"/>
      <c r="J86" s="24"/>
      <c r="K86" s="24"/>
      <c r="L86" s="24"/>
      <c r="M86" s="24"/>
      <c r="N86" s="24">
        <f>+N32+N84</f>
        <v>-1716727952.1800001</v>
      </c>
      <c r="O86" s="84"/>
    </row>
    <row r="87" spans="1:15">
      <c r="A87" s="32">
        <v>117</v>
      </c>
      <c r="B87" s="12" t="s">
        <v>453</v>
      </c>
      <c r="D87" s="24"/>
      <c r="E87" s="24"/>
      <c r="F87" s="24"/>
      <c r="G87" s="24"/>
      <c r="H87" s="24"/>
      <c r="I87" s="24"/>
      <c r="J87" s="24"/>
      <c r="K87" s="24"/>
      <c r="L87" s="24"/>
      <c r="M87" s="24"/>
      <c r="N87" s="24"/>
      <c r="O87" s="84"/>
    </row>
    <row r="88" spans="1:15">
      <c r="B88" s="58" t="s">
        <v>120</v>
      </c>
      <c r="D88" s="24"/>
      <c r="E88" s="24"/>
      <c r="F88" s="24"/>
      <c r="G88" s="24"/>
      <c r="H88" s="24"/>
      <c r="I88" s="24"/>
      <c r="J88" s="24"/>
      <c r="K88" s="24"/>
      <c r="L88" s="24"/>
      <c r="M88" s="24"/>
      <c r="N88" s="24"/>
      <c r="O88" s="84"/>
    </row>
    <row r="89" spans="1:15">
      <c r="C89" s="10" t="s">
        <v>129</v>
      </c>
      <c r="D89" s="28"/>
      <c r="E89" s="27"/>
      <c r="F89" s="28"/>
      <c r="G89" s="27"/>
      <c r="H89" s="28"/>
      <c r="I89" s="27"/>
      <c r="J89" s="28"/>
      <c r="K89" s="27"/>
      <c r="L89" s="28">
        <f>F89+H89+J89</f>
        <v>0</v>
      </c>
      <c r="M89" s="27"/>
      <c r="N89" s="28">
        <f>D89+L89</f>
        <v>0</v>
      </c>
      <c r="O89" s="84"/>
    </row>
    <row r="90" spans="1:15">
      <c r="C90" s="11"/>
      <c r="D90" s="27">
        <f>SUM(D89)</f>
        <v>0</v>
      </c>
      <c r="E90" s="27"/>
      <c r="F90" s="27">
        <f>SUM(F89)</f>
        <v>0</v>
      </c>
      <c r="G90" s="27"/>
      <c r="H90" s="27">
        <f>SUM(H89)</f>
        <v>0</v>
      </c>
      <c r="I90" s="27"/>
      <c r="J90" s="27">
        <f>SUM(J89)</f>
        <v>0</v>
      </c>
      <c r="K90" s="27"/>
      <c r="L90" s="27">
        <f>SUM(L89)</f>
        <v>0</v>
      </c>
      <c r="M90" s="27"/>
      <c r="N90" s="27">
        <f>SUM(N89)</f>
        <v>0</v>
      </c>
      <c r="O90" s="84"/>
    </row>
    <row r="91" spans="1:15">
      <c r="D91" s="24"/>
      <c r="E91" s="24"/>
      <c r="F91" s="24"/>
      <c r="G91" s="24"/>
      <c r="H91" s="24"/>
      <c r="I91" s="24"/>
      <c r="J91" s="24"/>
      <c r="K91" s="24"/>
      <c r="L91" s="24"/>
      <c r="M91" s="24"/>
      <c r="N91" s="24"/>
      <c r="O91" s="84"/>
    </row>
    <row r="92" spans="1:15">
      <c r="C92" s="12" t="s">
        <v>130</v>
      </c>
      <c r="D92" s="25">
        <f>D90</f>
        <v>0</v>
      </c>
      <c r="E92" s="24"/>
      <c r="F92" s="25">
        <f>F90</f>
        <v>0</v>
      </c>
      <c r="G92" s="24"/>
      <c r="H92" s="25">
        <f>H90</f>
        <v>0</v>
      </c>
      <c r="I92" s="24"/>
      <c r="J92" s="25">
        <f>J90</f>
        <v>0</v>
      </c>
      <c r="K92" s="24"/>
      <c r="L92" s="25">
        <f>L90</f>
        <v>0</v>
      </c>
      <c r="M92" s="24"/>
      <c r="N92" s="25">
        <f>N90</f>
        <v>0</v>
      </c>
      <c r="O92" s="84"/>
    </row>
    <row r="93" spans="1:15">
      <c r="D93" s="24"/>
      <c r="E93" s="24"/>
      <c r="F93" s="24"/>
      <c r="G93" s="24"/>
      <c r="H93" s="24"/>
      <c r="I93" s="24"/>
      <c r="J93" s="24"/>
      <c r="K93" s="24"/>
      <c r="L93" s="24"/>
      <c r="M93" s="24"/>
      <c r="N93" s="24"/>
      <c r="O93" s="84"/>
    </row>
    <row r="94" spans="1:15">
      <c r="D94" s="24"/>
      <c r="E94" s="24"/>
      <c r="F94" s="24"/>
      <c r="G94" s="24"/>
      <c r="H94" s="24"/>
      <c r="I94" s="24"/>
      <c r="J94" s="24"/>
      <c r="K94" s="24"/>
      <c r="L94" s="24"/>
      <c r="M94" s="24"/>
      <c r="N94" s="24"/>
      <c r="O94" s="84"/>
    </row>
    <row r="95" spans="1:15">
      <c r="A95" s="32">
        <v>121</v>
      </c>
      <c r="B95" s="12" t="s">
        <v>451</v>
      </c>
      <c r="D95" s="24"/>
      <c r="E95" s="24"/>
      <c r="F95" s="24"/>
      <c r="G95" s="24"/>
      <c r="H95" s="24"/>
      <c r="I95" s="24"/>
      <c r="J95" s="24"/>
      <c r="K95" s="24"/>
      <c r="L95" s="24"/>
      <c r="M95" s="24"/>
      <c r="N95" s="24"/>
      <c r="O95" s="84"/>
    </row>
    <row r="96" spans="1:15">
      <c r="B96" s="58" t="s">
        <v>652</v>
      </c>
      <c r="D96" s="24"/>
      <c r="E96" s="24"/>
      <c r="F96" s="24"/>
      <c r="G96" s="24"/>
      <c r="H96" s="24"/>
      <c r="I96" s="24"/>
      <c r="J96" s="24"/>
      <c r="K96" s="24"/>
      <c r="L96" s="24"/>
      <c r="M96" s="24"/>
      <c r="N96" s="24"/>
      <c r="O96" s="84"/>
    </row>
    <row r="97" spans="1:16">
      <c r="C97" s="10" t="s">
        <v>131</v>
      </c>
      <c r="D97" s="28">
        <v>-63360.36</v>
      </c>
      <c r="E97" s="24"/>
      <c r="F97" s="28">
        <f>+'Non Utility Property P27 (PA)'!D14</f>
        <v>0</v>
      </c>
      <c r="G97" s="24"/>
      <c r="H97" s="28">
        <f>+'Non Utility Property P27 (PA)'!F14</f>
        <v>0</v>
      </c>
      <c r="I97" s="24"/>
      <c r="J97" s="28">
        <f>+'Non Utility Property P27 (PA)'!H14</f>
        <v>0</v>
      </c>
      <c r="K97" s="24"/>
      <c r="L97" s="28">
        <f>F97+H97+J97</f>
        <v>0</v>
      </c>
      <c r="M97" s="24"/>
      <c r="N97" s="28">
        <f>D97+L97</f>
        <v>-63360.36</v>
      </c>
      <c r="O97" s="84"/>
    </row>
    <row r="98" spans="1:16">
      <c r="C98" s="11"/>
      <c r="D98" s="27">
        <f>SUM(D97)</f>
        <v>-63360.36</v>
      </c>
      <c r="E98" s="27"/>
      <c r="F98" s="27">
        <f>SUM(F97)</f>
        <v>0</v>
      </c>
      <c r="G98" s="27"/>
      <c r="H98" s="27">
        <f>SUM(H97)</f>
        <v>0</v>
      </c>
      <c r="I98" s="27"/>
      <c r="J98" s="27">
        <f>SUM(J97)</f>
        <v>0</v>
      </c>
      <c r="K98" s="27"/>
      <c r="L98" s="27">
        <f>SUM(L97)</f>
        <v>0</v>
      </c>
      <c r="M98" s="27"/>
      <c r="N98" s="27">
        <f>SUM(N97)</f>
        <v>-63360.36</v>
      </c>
      <c r="O98" s="84"/>
    </row>
    <row r="99" spans="1:16">
      <c r="D99" s="24"/>
      <c r="E99" s="24"/>
      <c r="F99" s="24"/>
      <c r="G99" s="24"/>
      <c r="H99" s="24"/>
      <c r="I99" s="24"/>
      <c r="J99" s="24"/>
      <c r="K99" s="24"/>
      <c r="L99" s="24"/>
      <c r="M99" s="24"/>
      <c r="N99" s="24"/>
      <c r="O99" s="84"/>
    </row>
    <row r="100" spans="1:16">
      <c r="C100" s="12" t="s">
        <v>132</v>
      </c>
      <c r="D100" s="25">
        <f>D98</f>
        <v>-63360.36</v>
      </c>
      <c r="E100" s="24"/>
      <c r="F100" s="25">
        <f>F98</f>
        <v>0</v>
      </c>
      <c r="G100" s="24"/>
      <c r="H100" s="25">
        <f>H98</f>
        <v>0</v>
      </c>
      <c r="I100" s="24"/>
      <c r="J100" s="25">
        <f>J98</f>
        <v>0</v>
      </c>
      <c r="K100" s="24"/>
      <c r="L100" s="25">
        <f>L98</f>
        <v>0</v>
      </c>
      <c r="M100" s="24"/>
      <c r="N100" s="25">
        <f>N98</f>
        <v>-63360.36</v>
      </c>
      <c r="O100" s="84"/>
    </row>
    <row r="101" spans="1:16">
      <c r="D101" s="24"/>
      <c r="E101" s="24"/>
      <c r="F101" s="24"/>
      <c r="G101" s="24"/>
      <c r="H101" s="24"/>
      <c r="I101" s="24"/>
      <c r="J101" s="24"/>
      <c r="K101" s="24"/>
      <c r="L101" s="24"/>
      <c r="M101" s="24"/>
      <c r="N101" s="24"/>
      <c r="O101" s="84"/>
    </row>
    <row r="102" spans="1:16">
      <c r="D102" s="24"/>
      <c r="E102" s="24"/>
      <c r="F102" s="24"/>
      <c r="G102" s="24"/>
      <c r="H102" s="24"/>
      <c r="I102" s="24"/>
      <c r="J102" s="24"/>
      <c r="K102" s="24"/>
      <c r="L102" s="24"/>
      <c r="M102" s="24"/>
      <c r="N102" s="24"/>
      <c r="O102" s="84"/>
    </row>
    <row r="103" spans="1:16">
      <c r="A103" s="32">
        <v>107</v>
      </c>
      <c r="B103" s="12" t="s">
        <v>452</v>
      </c>
      <c r="D103" s="24"/>
      <c r="E103" s="24"/>
      <c r="F103" s="24"/>
      <c r="G103" s="24"/>
      <c r="H103" s="24"/>
      <c r="I103" s="24"/>
      <c r="J103" s="24"/>
      <c r="K103" s="24"/>
      <c r="L103" s="24"/>
      <c r="M103" s="24"/>
      <c r="N103" s="24"/>
      <c r="O103" s="84"/>
    </row>
    <row r="104" spans="1:16">
      <c r="B104" s="58" t="s">
        <v>133</v>
      </c>
      <c r="D104" s="24"/>
      <c r="E104" s="24"/>
      <c r="F104" s="24"/>
      <c r="G104" s="24"/>
      <c r="H104" s="24"/>
      <c r="I104" s="24"/>
      <c r="J104" s="24"/>
      <c r="K104" s="24"/>
      <c r="L104" s="24"/>
      <c r="M104" s="24"/>
      <c r="N104" s="24"/>
      <c r="O104" s="84"/>
    </row>
    <row r="105" spans="1:16">
      <c r="D105" s="24"/>
      <c r="E105" s="24"/>
      <c r="F105" s="24"/>
      <c r="G105" s="24"/>
      <c r="H105" s="24"/>
      <c r="I105" s="24"/>
      <c r="J105" s="24"/>
      <c r="K105" s="24"/>
      <c r="L105" s="24"/>
      <c r="M105" s="24"/>
      <c r="N105" s="24"/>
      <c r="O105" s="84"/>
    </row>
    <row r="106" spans="1:16">
      <c r="C106" s="10" t="s">
        <v>652</v>
      </c>
      <c r="D106" s="24">
        <v>0</v>
      </c>
      <c r="E106" s="24"/>
      <c r="F106" s="24">
        <v>0</v>
      </c>
      <c r="G106" s="24"/>
      <c r="H106" s="24">
        <v>0</v>
      </c>
      <c r="I106" s="24"/>
      <c r="J106" s="24">
        <v>0</v>
      </c>
      <c r="K106" s="24"/>
      <c r="L106" s="24">
        <f>F106+H106+J106</f>
        <v>0</v>
      </c>
      <c r="M106" s="24"/>
      <c r="N106" s="24">
        <f>D106+L106</f>
        <v>0</v>
      </c>
      <c r="O106" s="84"/>
      <c r="P106" s="21"/>
    </row>
    <row r="107" spans="1:16">
      <c r="C107" s="10" t="s">
        <v>112</v>
      </c>
      <c r="D107" s="24">
        <v>0.01</v>
      </c>
      <c r="E107" s="24"/>
      <c r="F107" s="24">
        <v>0</v>
      </c>
      <c r="G107" s="24"/>
      <c r="H107" s="24">
        <v>0</v>
      </c>
      <c r="I107" s="24"/>
      <c r="J107" s="24">
        <v>0</v>
      </c>
      <c r="K107" s="24"/>
      <c r="L107" s="24">
        <f>F107+H107+J107</f>
        <v>0</v>
      </c>
      <c r="M107" s="24"/>
      <c r="N107" s="24">
        <f>D107+L107</f>
        <v>0.01</v>
      </c>
      <c r="O107" s="84"/>
      <c r="P107" s="21"/>
    </row>
    <row r="108" spans="1:16">
      <c r="C108" s="10" t="s">
        <v>120</v>
      </c>
      <c r="D108" s="28">
        <v>0</v>
      </c>
      <c r="E108" s="24"/>
      <c r="F108" s="28">
        <v>0</v>
      </c>
      <c r="G108" s="24"/>
      <c r="H108" s="28">
        <v>0</v>
      </c>
      <c r="I108" s="24"/>
      <c r="J108" s="28">
        <v>0</v>
      </c>
      <c r="K108" s="24"/>
      <c r="L108" s="28">
        <f>F108+H108+J108</f>
        <v>0</v>
      </c>
      <c r="M108" s="24"/>
      <c r="N108" s="28">
        <f>D108+L108</f>
        <v>0</v>
      </c>
      <c r="O108" s="84"/>
      <c r="P108" s="21"/>
    </row>
    <row r="109" spans="1:16">
      <c r="C109" s="11"/>
      <c r="D109" s="27">
        <f>SUM(D106:D108)</f>
        <v>0.01</v>
      </c>
      <c r="E109" s="27"/>
      <c r="F109" s="27">
        <f>SUM(F106:F108)</f>
        <v>0</v>
      </c>
      <c r="G109" s="27"/>
      <c r="H109" s="27">
        <f>SUM(H106:H108)</f>
        <v>0</v>
      </c>
      <c r="I109" s="27"/>
      <c r="J109" s="27">
        <f>SUM(J106:J108)</f>
        <v>0</v>
      </c>
      <c r="K109" s="27"/>
      <c r="L109" s="27">
        <f>SUM(L106:L108)</f>
        <v>0</v>
      </c>
      <c r="M109" s="27"/>
      <c r="N109" s="27">
        <f>SUM(N106:N108)</f>
        <v>0.01</v>
      </c>
      <c r="O109" s="84"/>
    </row>
    <row r="110" spans="1:16">
      <c r="C110" s="11"/>
      <c r="D110" s="27"/>
      <c r="E110" s="24"/>
      <c r="F110" s="27"/>
      <c r="G110" s="24"/>
      <c r="H110" s="27"/>
      <c r="I110" s="24"/>
      <c r="J110" s="27"/>
      <c r="K110" s="24"/>
      <c r="L110" s="27"/>
      <c r="M110" s="24"/>
      <c r="N110" s="27"/>
      <c r="O110" s="84"/>
    </row>
    <row r="111" spans="1:16">
      <c r="C111" s="11"/>
      <c r="D111" s="27"/>
      <c r="E111" s="24"/>
      <c r="F111" s="27"/>
      <c r="G111" s="24"/>
      <c r="H111" s="27"/>
      <c r="I111" s="24"/>
      <c r="J111" s="27"/>
      <c r="K111" s="24"/>
      <c r="L111" s="27"/>
      <c r="M111" s="24"/>
      <c r="N111" s="27"/>
      <c r="O111" s="84"/>
    </row>
    <row r="112" spans="1:16">
      <c r="D112" s="24"/>
      <c r="E112" s="24"/>
      <c r="F112" s="24"/>
      <c r="G112" s="24"/>
      <c r="H112" s="24"/>
      <c r="I112" s="24"/>
      <c r="J112" s="24"/>
      <c r="K112" s="24"/>
      <c r="L112" s="24"/>
      <c r="M112" s="24"/>
      <c r="N112" s="24"/>
      <c r="O112" s="84"/>
    </row>
    <row r="113" spans="2:15" ht="13.5" thickBot="1">
      <c r="B113" s="58" t="s">
        <v>408</v>
      </c>
      <c r="D113" s="56">
        <f>D100+D92+D57+D40+D32+D84+D48</f>
        <v>-1719738316.3199999</v>
      </c>
      <c r="E113" s="24"/>
      <c r="F113" s="56">
        <f>F100+F92+F57+F40+F32+F84+F48</f>
        <v>0</v>
      </c>
      <c r="G113" s="24"/>
      <c r="H113" s="56">
        <f>H100+H92+H57+H40+H32+H84+H48</f>
        <v>2947003.78</v>
      </c>
      <c r="I113" s="24"/>
      <c r="J113" s="56">
        <f>J100+J92+J57+J40+J32+J84+J48</f>
        <v>0</v>
      </c>
      <c r="K113" s="24"/>
      <c r="L113" s="56">
        <f>L100+L92+L57+L40+L32+L84+L48</f>
        <v>2947003.78</v>
      </c>
      <c r="M113" s="24"/>
      <c r="N113" s="56">
        <f>N100+N92+N57+N40+N32+N84+N48</f>
        <v>-1716791312.54</v>
      </c>
      <c r="O113" s="84"/>
    </row>
    <row r="114" spans="2:15" ht="13.5" thickTop="1">
      <c r="D114" s="27"/>
      <c r="E114" s="24"/>
      <c r="F114" s="27"/>
      <c r="G114" s="24"/>
      <c r="H114" s="27"/>
      <c r="I114" s="24"/>
      <c r="J114" s="27"/>
      <c r="K114" s="24"/>
      <c r="L114" s="27"/>
      <c r="M114" s="24"/>
      <c r="N114" s="27"/>
      <c r="O114" s="84"/>
    </row>
    <row r="115" spans="2:15">
      <c r="D115" s="24"/>
      <c r="E115" s="24"/>
      <c r="F115" s="24"/>
      <c r="G115" s="24"/>
      <c r="H115" s="24"/>
      <c r="I115" s="24"/>
      <c r="J115" s="24"/>
      <c r="K115" s="24"/>
      <c r="L115" s="24"/>
      <c r="M115" s="24"/>
      <c r="N115" s="24"/>
      <c r="O115" s="84"/>
    </row>
    <row r="116" spans="2:15" ht="13.5" thickBot="1">
      <c r="B116" s="58" t="s">
        <v>409</v>
      </c>
      <c r="D116" s="56">
        <f>D109+D113</f>
        <v>-1719738316.3099999</v>
      </c>
      <c r="E116" s="24"/>
      <c r="F116" s="56">
        <f>F109+F113</f>
        <v>0</v>
      </c>
      <c r="G116" s="24"/>
      <c r="H116" s="56">
        <f>H109+H113</f>
        <v>2947003.78</v>
      </c>
      <c r="I116" s="24"/>
      <c r="J116" s="56">
        <f>J109+J113</f>
        <v>0</v>
      </c>
      <c r="K116" s="24"/>
      <c r="L116" s="56">
        <f>L109+L113</f>
        <v>2947003.78</v>
      </c>
      <c r="M116" s="24"/>
      <c r="N116" s="56">
        <f>D116+L116</f>
        <v>-1716791312.53</v>
      </c>
      <c r="O116" s="84"/>
    </row>
    <row r="117" spans="2:15" ht="13.5" thickTop="1">
      <c r="D117" s="27"/>
      <c r="E117" s="24"/>
      <c r="F117" s="27"/>
      <c r="G117" s="24"/>
      <c r="H117" s="27"/>
      <c r="I117" s="24"/>
      <c r="J117" s="27"/>
      <c r="K117" s="24"/>
      <c r="L117" s="27"/>
      <c r="M117" s="24"/>
      <c r="N117" s="27"/>
      <c r="O117" s="84"/>
    </row>
    <row r="118" spans="2:15">
      <c r="D118" s="27"/>
      <c r="E118" s="24"/>
      <c r="F118" s="27"/>
      <c r="G118" s="24"/>
      <c r="H118" s="27"/>
      <c r="I118" s="24"/>
      <c r="J118" s="27"/>
      <c r="K118" s="24"/>
      <c r="L118" s="27"/>
      <c r="M118" s="24"/>
      <c r="N118" s="27"/>
      <c r="O118" s="84"/>
    </row>
    <row r="119" spans="2:15" ht="13.5" thickBot="1">
      <c r="B119" s="12" t="s">
        <v>454</v>
      </c>
      <c r="D119" s="56">
        <f>D116-D100</f>
        <v>-1719674955.95</v>
      </c>
      <c r="E119" s="24"/>
      <c r="F119" s="56">
        <f>F116-F100</f>
        <v>0</v>
      </c>
      <c r="G119" s="24"/>
      <c r="H119" s="56">
        <f>H116-H100</f>
        <v>2947003.78</v>
      </c>
      <c r="I119" s="24"/>
      <c r="J119" s="56">
        <f>J116-J100</f>
        <v>0</v>
      </c>
      <c r="K119" s="24"/>
      <c r="L119" s="56">
        <f>L116-L100</f>
        <v>2947003.78</v>
      </c>
      <c r="M119" s="24"/>
      <c r="N119" s="56">
        <f>N116-N100</f>
        <v>-1716727952.1700001</v>
      </c>
      <c r="O119" s="84"/>
    </row>
    <row r="120" spans="2:15" ht="13.5" thickTop="1">
      <c r="D120" s="27"/>
      <c r="E120" s="24"/>
      <c r="F120" s="27"/>
      <c r="G120" s="24"/>
      <c r="H120" s="27"/>
      <c r="I120" s="24"/>
      <c r="J120" s="27"/>
      <c r="K120" s="24"/>
      <c r="L120" s="27"/>
      <c r="M120" s="24"/>
      <c r="N120" s="27"/>
      <c r="O120" s="84"/>
    </row>
    <row r="121" spans="2:15">
      <c r="D121" s="24"/>
      <c r="E121" s="24"/>
      <c r="F121" s="24"/>
      <c r="G121" s="24"/>
      <c r="H121" s="24"/>
      <c r="I121" s="24"/>
      <c r="J121" s="24"/>
      <c r="K121" s="24"/>
      <c r="L121" s="24"/>
      <c r="M121" s="24"/>
      <c r="N121" s="24"/>
      <c r="O121" s="84"/>
    </row>
    <row r="122" spans="2:15" ht="14.25">
      <c r="C122" s="13"/>
      <c r="D122" s="26"/>
      <c r="E122" s="24"/>
      <c r="F122" s="24"/>
      <c r="G122" s="24"/>
      <c r="H122" s="24"/>
      <c r="I122" s="24"/>
      <c r="J122" s="24"/>
      <c r="K122" s="24"/>
      <c r="L122" s="24"/>
      <c r="M122" s="24"/>
      <c r="N122" s="69"/>
      <c r="O122" s="84"/>
    </row>
    <row r="123" spans="2:15">
      <c r="C123" s="13"/>
      <c r="D123" s="26"/>
      <c r="E123" s="24"/>
      <c r="F123" s="24"/>
      <c r="G123" s="24"/>
      <c r="H123" s="24"/>
      <c r="I123" s="24"/>
      <c r="J123" s="24"/>
      <c r="K123" s="24"/>
      <c r="L123" s="24"/>
      <c r="M123" s="24"/>
      <c r="N123" s="24"/>
      <c r="O123" s="84"/>
    </row>
    <row r="124" spans="2:15">
      <c r="C124" s="13"/>
      <c r="D124" s="26"/>
      <c r="E124" s="24"/>
      <c r="F124" s="24"/>
      <c r="G124" s="24"/>
      <c r="H124" s="24"/>
      <c r="I124" s="24"/>
      <c r="J124" s="24"/>
      <c r="K124" s="24"/>
      <c r="L124" s="24"/>
      <c r="M124" s="24"/>
      <c r="N124" s="24"/>
      <c r="O124" s="84"/>
    </row>
    <row r="125" spans="2:15">
      <c r="D125" s="24"/>
      <c r="E125" s="24"/>
      <c r="F125" s="24"/>
      <c r="G125" s="24"/>
      <c r="H125" s="24"/>
      <c r="I125" s="24"/>
      <c r="J125" s="24"/>
      <c r="K125" s="24"/>
      <c r="L125" s="24"/>
      <c r="M125" s="24"/>
      <c r="N125" s="24"/>
      <c r="O125" s="84"/>
    </row>
    <row r="126" spans="2:15">
      <c r="D126" s="24"/>
      <c r="E126" s="24"/>
      <c r="F126" s="24"/>
      <c r="G126" s="24"/>
      <c r="H126" s="24"/>
      <c r="I126" s="24"/>
      <c r="J126" s="24"/>
      <c r="K126" s="24"/>
      <c r="L126" s="24"/>
      <c r="M126" s="24"/>
      <c r="N126" s="24"/>
      <c r="O126" s="84"/>
    </row>
    <row r="127" spans="2:15">
      <c r="D127" s="24"/>
      <c r="E127" s="24"/>
      <c r="F127" s="24"/>
      <c r="G127" s="24"/>
      <c r="H127" s="24"/>
      <c r="I127" s="24"/>
      <c r="J127" s="24"/>
      <c r="K127" s="24"/>
      <c r="L127" s="24"/>
      <c r="M127" s="24"/>
      <c r="N127" s="24"/>
      <c r="O127" s="84"/>
    </row>
    <row r="128" spans="2:15">
      <c r="D128" s="8"/>
      <c r="E128" s="8"/>
      <c r="F128" s="8"/>
      <c r="G128" s="8"/>
      <c r="H128" s="8"/>
      <c r="I128" s="8"/>
      <c r="J128" s="8"/>
      <c r="K128" s="8"/>
      <c r="L128" s="8"/>
      <c r="M128" s="8"/>
      <c r="N128" s="8"/>
    </row>
    <row r="129" spans="4:14">
      <c r="D129" s="8"/>
      <c r="E129" s="8"/>
      <c r="F129" s="8"/>
      <c r="G129" s="8"/>
      <c r="H129" s="8"/>
      <c r="I129" s="8"/>
      <c r="J129" s="8"/>
      <c r="K129" s="8"/>
      <c r="L129" s="8"/>
      <c r="M129" s="8"/>
      <c r="N129" s="8"/>
    </row>
    <row r="130" spans="4:14">
      <c r="D130" s="8"/>
      <c r="E130" s="8"/>
      <c r="F130" s="8"/>
      <c r="G130" s="8"/>
      <c r="H130" s="8"/>
      <c r="I130" s="8"/>
      <c r="J130" s="8"/>
      <c r="K130" s="8"/>
      <c r="L130" s="8"/>
      <c r="M130" s="8"/>
      <c r="N130" s="8"/>
    </row>
    <row r="131" spans="4:14">
      <c r="D131" s="8"/>
      <c r="E131" s="8"/>
      <c r="F131" s="8"/>
      <c r="G131" s="8"/>
      <c r="H131" s="8"/>
      <c r="I131" s="8"/>
      <c r="J131" s="8"/>
      <c r="K131" s="8"/>
      <c r="L131" s="8"/>
      <c r="M131" s="8"/>
      <c r="N131" s="8"/>
    </row>
  </sheetData>
  <mergeCells count="3">
    <mergeCell ref="A1:N1"/>
    <mergeCell ref="A2:N2"/>
    <mergeCell ref="A3:N3"/>
  </mergeCells>
  <pageMargins left="0.75" right="0.75" top="1" bottom="1" header="0.5" footer="0.5"/>
  <pageSetup scale="58" fitToHeight="2" orientation="landscape" r:id="rId1"/>
  <headerFooter alignWithMargins="0">
    <oddFooter>&amp;L&amp;Z
&amp;F&amp;C&amp;A&amp;R1.&amp;P</oddFooter>
  </headerFooter>
  <rowBreaks count="1" manualBreakCount="1">
    <brk id="64" max="13" man="1"/>
  </rowBreaks>
</worksheet>
</file>

<file path=xl/worksheets/sheet118.xml><?xml version="1.0" encoding="utf-8"?>
<worksheet xmlns="http://schemas.openxmlformats.org/spreadsheetml/2006/main" xmlns:r="http://schemas.openxmlformats.org/officeDocument/2006/relationships">
  <sheetPr codeName="Sheet121">
    <pageSetUpPr fitToPage="1"/>
  </sheetPr>
  <dimension ref="A1:Y328"/>
  <sheetViews>
    <sheetView zoomScale="90" zoomScaleNormal="90" workbookViewId="0">
      <pane xSplit="2" ySplit="8" topLeftCell="C9" activePane="bottomRight" state="frozen"/>
      <selection activeCell="C38" sqref="C38"/>
      <selection pane="topRight" activeCell="C38" sqref="C38"/>
      <selection pane="bottomLeft" activeCell="C38" sqref="C38"/>
      <selection pane="bottomRight" activeCell="C9" sqref="C9"/>
    </sheetView>
  </sheetViews>
  <sheetFormatPr defaultRowHeight="12.75"/>
  <cols>
    <col min="1" max="1" width="8.140625" style="10" customWidth="1"/>
    <col min="2" max="2" width="38.140625" style="10" customWidth="1"/>
    <col min="3" max="3" width="17.7109375" style="10" customWidth="1"/>
    <col min="4" max="4" width="1.7109375" style="10" customWidth="1"/>
    <col min="5" max="5" width="17.7109375" style="10" customWidth="1"/>
    <col min="6" max="6" width="1.7109375" style="10" customWidth="1"/>
    <col min="7" max="7" width="17.7109375" style="10" customWidth="1"/>
    <col min="8" max="8" width="1.7109375" style="10" customWidth="1"/>
    <col min="9" max="9" width="17.7109375" style="10" customWidth="1"/>
    <col min="10" max="10" width="1.7109375" style="10" customWidth="1"/>
    <col min="11" max="11" width="17.7109375" style="10" customWidth="1"/>
    <col min="12" max="12" width="1.7109375" style="10" customWidth="1"/>
    <col min="13" max="13" width="17.7109375" style="10" customWidth="1"/>
    <col min="14" max="14" width="1.7109375" style="10" customWidth="1"/>
    <col min="15" max="15" width="17.7109375" style="10" customWidth="1"/>
    <col min="16" max="16" width="1.7109375" style="10" customWidth="1"/>
    <col min="17" max="17" width="17.7109375" style="10" customWidth="1"/>
    <col min="18" max="18" width="1.7109375" style="10" customWidth="1"/>
    <col min="19" max="19" width="17.7109375" style="10" customWidth="1"/>
    <col min="20" max="20" width="15.5703125" style="10" bestFit="1" customWidth="1"/>
    <col min="21" max="21" width="12.85546875" style="10" bestFit="1" customWidth="1"/>
    <col min="22" max="22" width="14.5703125" style="10" bestFit="1" customWidth="1"/>
    <col min="23" max="23" width="15.5703125" style="10" bestFit="1" customWidth="1"/>
    <col min="24" max="16384" width="9.140625" style="10"/>
  </cols>
  <sheetData>
    <row r="1" spans="1:19">
      <c r="A1" s="359" t="s">
        <v>134</v>
      </c>
      <c r="B1" s="359"/>
      <c r="C1" s="359"/>
      <c r="D1" s="359"/>
      <c r="E1" s="359"/>
      <c r="F1" s="359"/>
      <c r="G1" s="359"/>
      <c r="H1" s="359"/>
      <c r="I1" s="359"/>
      <c r="J1" s="359"/>
      <c r="K1" s="359"/>
      <c r="L1" s="359"/>
      <c r="M1" s="359"/>
      <c r="N1" s="359"/>
      <c r="O1" s="359"/>
      <c r="P1" s="359"/>
      <c r="Q1" s="359"/>
      <c r="R1" s="359"/>
      <c r="S1" s="359"/>
    </row>
    <row r="2" spans="1:19">
      <c r="A2" s="359" t="s">
        <v>1149</v>
      </c>
      <c r="B2" s="359"/>
      <c r="C2" s="359"/>
      <c r="D2" s="359"/>
      <c r="E2" s="359"/>
      <c r="F2" s="359"/>
      <c r="G2" s="359"/>
      <c r="H2" s="359"/>
      <c r="I2" s="359"/>
      <c r="J2" s="359"/>
      <c r="K2" s="359"/>
      <c r="L2" s="359"/>
      <c r="M2" s="359"/>
      <c r="N2" s="359"/>
      <c r="O2" s="359"/>
      <c r="P2" s="359"/>
      <c r="Q2" s="359"/>
      <c r="R2" s="359"/>
      <c r="S2" s="359"/>
    </row>
    <row r="3" spans="1:19">
      <c r="A3" s="361" t="str">
        <f>'Summary - Cost - PG 1 (PA)'!A3:N3</f>
        <v>MARCH 2012</v>
      </c>
      <c r="B3" s="361"/>
      <c r="C3" s="361"/>
      <c r="D3" s="361"/>
      <c r="E3" s="361"/>
      <c r="F3" s="361"/>
      <c r="G3" s="361"/>
      <c r="H3" s="361"/>
      <c r="I3" s="361"/>
      <c r="J3" s="361"/>
      <c r="K3" s="361"/>
      <c r="L3" s="361"/>
      <c r="M3" s="361"/>
      <c r="N3" s="361"/>
      <c r="O3" s="361"/>
      <c r="P3" s="361"/>
      <c r="Q3" s="361"/>
      <c r="R3" s="361"/>
      <c r="S3" s="361"/>
    </row>
    <row r="4" spans="1:19">
      <c r="A4" s="191"/>
      <c r="B4" s="191"/>
      <c r="C4" s="191"/>
      <c r="D4" s="191"/>
      <c r="E4" s="191"/>
      <c r="F4" s="191"/>
      <c r="G4" s="191"/>
      <c r="H4" s="191"/>
      <c r="I4" s="191"/>
      <c r="J4" s="191"/>
      <c r="K4" s="191"/>
      <c r="L4" s="191"/>
      <c r="M4" s="191"/>
      <c r="N4" s="191"/>
      <c r="O4" s="191"/>
      <c r="P4" s="191"/>
      <c r="Q4" s="191"/>
      <c r="R4" s="191"/>
      <c r="S4" s="191"/>
    </row>
    <row r="6" spans="1:19">
      <c r="C6" s="84" t="s">
        <v>25</v>
      </c>
      <c r="E6" s="24"/>
      <c r="G6" s="24"/>
      <c r="I6" s="84" t="s">
        <v>612</v>
      </c>
      <c r="K6" s="84" t="s">
        <v>28</v>
      </c>
      <c r="M6" s="85" t="s">
        <v>37</v>
      </c>
      <c r="O6" s="84"/>
      <c r="Q6" s="84" t="s">
        <v>39</v>
      </c>
      <c r="S6" s="84" t="s">
        <v>26</v>
      </c>
    </row>
    <row r="7" spans="1:19">
      <c r="C7" s="43" t="s">
        <v>27</v>
      </c>
      <c r="E7" s="43" t="s">
        <v>954</v>
      </c>
      <c r="G7" s="43" t="s">
        <v>108</v>
      </c>
      <c r="I7" s="43" t="s">
        <v>613</v>
      </c>
      <c r="K7" s="43" t="s">
        <v>29</v>
      </c>
      <c r="M7" s="43" t="s">
        <v>38</v>
      </c>
      <c r="O7" s="43" t="s">
        <v>955</v>
      </c>
      <c r="Q7" s="43" t="s">
        <v>105</v>
      </c>
      <c r="S7" s="43" t="s">
        <v>27</v>
      </c>
    </row>
    <row r="8" spans="1:19">
      <c r="C8" s="85"/>
      <c r="E8" s="85"/>
      <c r="G8" s="85"/>
      <c r="I8" s="85"/>
      <c r="K8" s="85"/>
      <c r="M8" s="85"/>
      <c r="O8" s="85"/>
      <c r="Q8" s="85"/>
      <c r="S8" s="85"/>
    </row>
    <row r="9" spans="1:19">
      <c r="A9" s="12" t="s">
        <v>137</v>
      </c>
      <c r="C9" s="22"/>
      <c r="D9" s="22"/>
      <c r="E9" s="22"/>
      <c r="F9" s="22"/>
      <c r="G9" s="22"/>
      <c r="H9" s="22"/>
      <c r="I9" s="22"/>
      <c r="J9" s="22"/>
      <c r="K9" s="22"/>
      <c r="L9" s="22"/>
      <c r="M9" s="22"/>
      <c r="N9" s="22"/>
      <c r="O9" s="22"/>
      <c r="P9" s="22"/>
      <c r="Q9" s="22"/>
      <c r="R9" s="22"/>
      <c r="S9" s="22"/>
    </row>
    <row r="10" spans="1:19">
      <c r="B10" s="10" t="s">
        <v>455</v>
      </c>
      <c r="C10" s="24">
        <v>63178428.180000015</v>
      </c>
      <c r="D10" s="24"/>
      <c r="E10" s="24">
        <v>0</v>
      </c>
      <c r="F10" s="24"/>
      <c r="G10" s="24">
        <f>-76572.99-89205.91+18613.36</f>
        <v>-147165.54000000004</v>
      </c>
      <c r="H10" s="24"/>
      <c r="I10" s="24">
        <v>0</v>
      </c>
      <c r="J10" s="24"/>
      <c r="K10" s="24">
        <v>0</v>
      </c>
      <c r="L10" s="24"/>
      <c r="M10" s="24">
        <v>0</v>
      </c>
      <c r="N10" s="24"/>
      <c r="O10" s="24">
        <v>0</v>
      </c>
      <c r="P10" s="24"/>
      <c r="Q10" s="24">
        <v>0</v>
      </c>
      <c r="R10" s="24"/>
      <c r="S10" s="24">
        <f t="shared" ref="S10:S31" si="0">Q10+O10+M10+K10+I10+G10+E10+C10</f>
        <v>63031262.640000015</v>
      </c>
    </row>
    <row r="11" spans="1:19">
      <c r="B11" s="10" t="s">
        <v>851</v>
      </c>
      <c r="C11" s="24">
        <v>0</v>
      </c>
      <c r="D11" s="24"/>
      <c r="E11" s="24">
        <v>0</v>
      </c>
      <c r="F11" s="24"/>
      <c r="G11" s="24">
        <v>0</v>
      </c>
      <c r="H11" s="24"/>
      <c r="I11" s="24">
        <v>0</v>
      </c>
      <c r="J11" s="24"/>
      <c r="K11" s="24">
        <v>0</v>
      </c>
      <c r="L11" s="24"/>
      <c r="M11" s="24">
        <v>0</v>
      </c>
      <c r="N11" s="24"/>
      <c r="O11" s="24">
        <v>0</v>
      </c>
      <c r="P11" s="24"/>
      <c r="Q11" s="24">
        <v>0</v>
      </c>
      <c r="R11" s="24"/>
      <c r="S11" s="24">
        <f t="shared" si="0"/>
        <v>0</v>
      </c>
    </row>
    <row r="12" spans="1:19">
      <c r="B12" s="10" t="s">
        <v>113</v>
      </c>
      <c r="C12" s="24">
        <v>271498277.91999996</v>
      </c>
      <c r="D12" s="24"/>
      <c r="E12" s="24">
        <v>0</v>
      </c>
      <c r="F12" s="24"/>
      <c r="G12" s="24">
        <f>-119965.26-98878.32-108.83-770.66-686.79-891.91-1166.78-77.23-1821.03-365.81-62717.74-298688.57</f>
        <v>-586138.93000000005</v>
      </c>
      <c r="H12" s="24"/>
      <c r="I12" s="24">
        <v>0</v>
      </c>
      <c r="J12" s="24"/>
      <c r="K12" s="24">
        <v>0</v>
      </c>
      <c r="L12" s="24"/>
      <c r="M12" s="24">
        <v>0</v>
      </c>
      <c r="N12" s="24"/>
      <c r="O12" s="24">
        <v>0</v>
      </c>
      <c r="P12" s="24"/>
      <c r="Q12" s="24">
        <v>0</v>
      </c>
      <c r="R12" s="24"/>
      <c r="S12" s="24">
        <f t="shared" si="0"/>
        <v>270912138.98999995</v>
      </c>
    </row>
    <row r="13" spans="1:19">
      <c r="B13" s="10" t="s">
        <v>852</v>
      </c>
      <c r="C13" s="24">
        <v>0</v>
      </c>
      <c r="D13" s="24"/>
      <c r="E13" s="24">
        <v>0</v>
      </c>
      <c r="F13" s="24"/>
      <c r="G13" s="24">
        <v>0</v>
      </c>
      <c r="H13" s="24"/>
      <c r="I13" s="24">
        <v>0</v>
      </c>
      <c r="J13" s="24"/>
      <c r="K13" s="24">
        <v>0</v>
      </c>
      <c r="L13" s="24"/>
      <c r="M13" s="24">
        <v>0</v>
      </c>
      <c r="N13" s="24"/>
      <c r="O13" s="24">
        <v>0</v>
      </c>
      <c r="P13" s="24"/>
      <c r="Q13" s="24">
        <v>0</v>
      </c>
      <c r="R13" s="24"/>
      <c r="S13" s="24">
        <f t="shared" si="0"/>
        <v>0</v>
      </c>
    </row>
    <row r="14" spans="1:19">
      <c r="B14" s="10" t="s">
        <v>114</v>
      </c>
      <c r="C14" s="24">
        <v>10825272.689999999</v>
      </c>
      <c r="D14" s="24"/>
      <c r="E14" s="24">
        <v>0</v>
      </c>
      <c r="F14" s="24"/>
      <c r="G14" s="24">
        <v>-39209.64</v>
      </c>
      <c r="H14" s="24"/>
      <c r="I14" s="24">
        <v>0</v>
      </c>
      <c r="J14" s="24"/>
      <c r="K14" s="24">
        <v>0</v>
      </c>
      <c r="L14" s="24"/>
      <c r="M14" s="24">
        <v>0</v>
      </c>
      <c r="N14" s="24"/>
      <c r="O14" s="24">
        <v>0</v>
      </c>
      <c r="P14" s="24"/>
      <c r="Q14" s="24">
        <v>0</v>
      </c>
      <c r="R14" s="24"/>
      <c r="S14" s="24">
        <f t="shared" si="0"/>
        <v>10786063.049999999</v>
      </c>
    </row>
    <row r="15" spans="1:19">
      <c r="B15" s="10" t="s">
        <v>115</v>
      </c>
      <c r="C15" s="24">
        <v>9521332.4499999993</v>
      </c>
      <c r="D15" s="24"/>
      <c r="E15" s="24">
        <v>0</v>
      </c>
      <c r="F15" s="24"/>
      <c r="G15" s="24">
        <v>-526.02</v>
      </c>
      <c r="H15" s="24"/>
      <c r="I15" s="24">
        <v>0</v>
      </c>
      <c r="J15" s="24"/>
      <c r="K15" s="24">
        <v>0</v>
      </c>
      <c r="L15" s="24"/>
      <c r="M15" s="24">
        <v>0</v>
      </c>
      <c r="N15" s="24"/>
      <c r="O15" s="24">
        <v>0</v>
      </c>
      <c r="P15" s="24"/>
      <c r="Q15" s="24">
        <v>0</v>
      </c>
      <c r="R15" s="24"/>
      <c r="S15" s="24">
        <f t="shared" si="0"/>
        <v>9520806.4299999997</v>
      </c>
    </row>
    <row r="16" spans="1:19">
      <c r="B16" s="10" t="s">
        <v>853</v>
      </c>
      <c r="C16" s="24">
        <v>0</v>
      </c>
      <c r="D16" s="24"/>
      <c r="E16" s="24">
        <v>0</v>
      </c>
      <c r="F16" s="24"/>
      <c r="G16" s="24">
        <v>0</v>
      </c>
      <c r="H16" s="24"/>
      <c r="I16" s="24">
        <v>0</v>
      </c>
      <c r="J16" s="24"/>
      <c r="K16" s="24">
        <v>0</v>
      </c>
      <c r="L16" s="24"/>
      <c r="M16" s="24">
        <v>0</v>
      </c>
      <c r="N16" s="24"/>
      <c r="O16" s="24">
        <v>0</v>
      </c>
      <c r="P16" s="24"/>
      <c r="Q16" s="24">
        <v>0</v>
      </c>
      <c r="R16" s="24"/>
      <c r="S16" s="24">
        <f t="shared" si="0"/>
        <v>0</v>
      </c>
    </row>
    <row r="17" spans="2:19">
      <c r="B17" s="10" t="s">
        <v>117</v>
      </c>
      <c r="C17" s="24">
        <v>58643031.120000005</v>
      </c>
      <c r="D17" s="24"/>
      <c r="E17" s="24">
        <v>0</v>
      </c>
      <c r="F17" s="24"/>
      <c r="G17" s="24">
        <v>-194624.59</v>
      </c>
      <c r="H17" s="24"/>
      <c r="I17" s="24">
        <v>0</v>
      </c>
      <c r="J17" s="24"/>
      <c r="K17" s="24">
        <v>0</v>
      </c>
      <c r="L17" s="24"/>
      <c r="M17" s="24">
        <v>0</v>
      </c>
      <c r="N17" s="24"/>
      <c r="O17" s="24">
        <v>0</v>
      </c>
      <c r="P17" s="24"/>
      <c r="Q17" s="24">
        <v>0</v>
      </c>
      <c r="R17" s="24"/>
      <c r="S17" s="24">
        <f t="shared" si="0"/>
        <v>58448406.530000001</v>
      </c>
    </row>
    <row r="18" spans="2:19">
      <c r="B18" s="10" t="s">
        <v>953</v>
      </c>
      <c r="C18" s="24">
        <v>0</v>
      </c>
      <c r="D18" s="24"/>
      <c r="E18" s="24">
        <v>0</v>
      </c>
      <c r="F18" s="24"/>
      <c r="G18" s="24">
        <v>0</v>
      </c>
      <c r="H18" s="24"/>
      <c r="I18" s="24">
        <v>0</v>
      </c>
      <c r="J18" s="24"/>
      <c r="K18" s="24">
        <v>0</v>
      </c>
      <c r="L18" s="24"/>
      <c r="M18" s="24">
        <v>0</v>
      </c>
      <c r="N18" s="24"/>
      <c r="O18" s="24">
        <v>0</v>
      </c>
      <c r="P18" s="24"/>
      <c r="Q18" s="24">
        <v>0</v>
      </c>
      <c r="R18" s="24"/>
      <c r="S18" s="24">
        <f>Q18+O18+M18+K18+I18+G18+E18+C18</f>
        <v>0</v>
      </c>
    </row>
    <row r="19" spans="2:19">
      <c r="B19" s="10" t="s">
        <v>118</v>
      </c>
      <c r="C19" s="24">
        <v>1008356685.1099999</v>
      </c>
      <c r="D19" s="24"/>
      <c r="E19" s="24">
        <v>0</v>
      </c>
      <c r="F19" s="24"/>
      <c r="G19" s="24">
        <f>-310223.66+126392.63+43217.62-2911796.94+1752601.98+820564.37+83846.25+83968.75+768733.14-422070.04</f>
        <v>35234.099999999919</v>
      </c>
      <c r="H19" s="24"/>
      <c r="I19" s="24">
        <v>0</v>
      </c>
      <c r="J19" s="24"/>
      <c r="K19" s="24">
        <v>0</v>
      </c>
      <c r="L19" s="24"/>
      <c r="M19" s="24">
        <v>0</v>
      </c>
      <c r="N19" s="24"/>
      <c r="O19" s="24">
        <v>0</v>
      </c>
      <c r="P19" s="24"/>
      <c r="Q19" s="24">
        <v>0</v>
      </c>
      <c r="R19" s="24"/>
      <c r="S19" s="24">
        <f t="shared" si="0"/>
        <v>1008391919.2099999</v>
      </c>
    </row>
    <row r="20" spans="2:19">
      <c r="B20" s="10" t="s">
        <v>949</v>
      </c>
      <c r="C20" s="24">
        <v>0</v>
      </c>
      <c r="D20" s="24"/>
      <c r="E20" s="24">
        <v>0</v>
      </c>
      <c r="F20" s="24"/>
      <c r="G20" s="24">
        <v>0</v>
      </c>
      <c r="H20" s="24"/>
      <c r="I20" s="24">
        <v>0</v>
      </c>
      <c r="J20" s="24"/>
      <c r="K20" s="24">
        <v>0</v>
      </c>
      <c r="L20" s="24"/>
      <c r="M20" s="24">
        <v>0</v>
      </c>
      <c r="N20" s="24"/>
      <c r="O20" s="24">
        <v>0</v>
      </c>
      <c r="P20" s="24"/>
      <c r="Q20" s="24">
        <v>0</v>
      </c>
      <c r="R20" s="24"/>
      <c r="S20" s="24">
        <f t="shared" si="0"/>
        <v>0</v>
      </c>
    </row>
    <row r="21" spans="2:19">
      <c r="B21" s="10" t="s">
        <v>119</v>
      </c>
      <c r="C21" s="24">
        <v>117578314.66</v>
      </c>
      <c r="D21" s="24"/>
      <c r="E21" s="24">
        <v>0</v>
      </c>
      <c r="F21" s="24"/>
      <c r="G21" s="24">
        <f>-105847.41-967337.49-9949.3-2573.16-45495.28-36056.8</f>
        <v>-1167259.44</v>
      </c>
      <c r="H21" s="24"/>
      <c r="I21" s="24">
        <v>0</v>
      </c>
      <c r="J21" s="24"/>
      <c r="K21" s="24">
        <v>0</v>
      </c>
      <c r="L21" s="24"/>
      <c r="M21" s="24">
        <v>0</v>
      </c>
      <c r="N21" s="24"/>
      <c r="O21" s="24">
        <v>0</v>
      </c>
      <c r="P21" s="24"/>
      <c r="Q21" s="24">
        <v>0</v>
      </c>
      <c r="R21" s="24"/>
      <c r="S21" s="24">
        <f t="shared" si="0"/>
        <v>116411055.22</v>
      </c>
    </row>
    <row r="22" spans="2:19">
      <c r="B22" s="10" t="s">
        <v>950</v>
      </c>
      <c r="C22" s="24">
        <v>0</v>
      </c>
      <c r="D22" s="24"/>
      <c r="E22" s="24">
        <v>0</v>
      </c>
      <c r="F22" s="24"/>
      <c r="G22" s="24">
        <v>0</v>
      </c>
      <c r="H22" s="24"/>
      <c r="I22" s="24">
        <v>0</v>
      </c>
      <c r="J22" s="24"/>
      <c r="K22" s="24">
        <v>0</v>
      </c>
      <c r="L22" s="24"/>
      <c r="M22" s="24">
        <v>0</v>
      </c>
      <c r="N22" s="24"/>
      <c r="O22" s="24">
        <v>0</v>
      </c>
      <c r="P22" s="24"/>
      <c r="Q22" s="24">
        <v>0</v>
      </c>
      <c r="R22" s="24"/>
      <c r="S22" s="24">
        <f t="shared" si="0"/>
        <v>0</v>
      </c>
    </row>
    <row r="23" spans="2:19">
      <c r="B23" s="10" t="s">
        <v>121</v>
      </c>
      <c r="C23" s="24">
        <v>123194782.14000002</v>
      </c>
      <c r="D23" s="24"/>
      <c r="E23" s="24">
        <v>0</v>
      </c>
      <c r="F23" s="24"/>
      <c r="G23" s="24">
        <f>-12419.91-2066.17</f>
        <v>-14486.08</v>
      </c>
      <c r="H23" s="24"/>
      <c r="I23" s="24">
        <v>0</v>
      </c>
      <c r="J23" s="24"/>
      <c r="K23" s="24">
        <v>0</v>
      </c>
      <c r="L23" s="24"/>
      <c r="M23" s="24">
        <v>0</v>
      </c>
      <c r="N23" s="24"/>
      <c r="O23" s="24">
        <v>0</v>
      </c>
      <c r="P23" s="24"/>
      <c r="Q23" s="24">
        <v>0</v>
      </c>
      <c r="R23" s="24"/>
      <c r="S23" s="24">
        <f t="shared" si="0"/>
        <v>123180296.06000002</v>
      </c>
    </row>
    <row r="24" spans="2:19">
      <c r="B24" s="10" t="s">
        <v>951</v>
      </c>
      <c r="C24" s="24">
        <v>0</v>
      </c>
      <c r="D24" s="24"/>
      <c r="E24" s="24">
        <v>0</v>
      </c>
      <c r="F24" s="24"/>
      <c r="G24" s="24">
        <v>0</v>
      </c>
      <c r="H24" s="24"/>
      <c r="I24" s="24">
        <v>0</v>
      </c>
      <c r="J24" s="24"/>
      <c r="K24" s="24">
        <v>0</v>
      </c>
      <c r="L24" s="24"/>
      <c r="M24" s="24">
        <v>0</v>
      </c>
      <c r="N24" s="24"/>
      <c r="O24" s="24">
        <v>0</v>
      </c>
      <c r="P24" s="24"/>
      <c r="Q24" s="24">
        <v>0</v>
      </c>
      <c r="R24" s="24"/>
      <c r="S24" s="24">
        <f t="shared" si="0"/>
        <v>0</v>
      </c>
    </row>
    <row r="25" spans="2:19">
      <c r="B25" s="10" t="s">
        <v>122</v>
      </c>
      <c r="C25" s="24">
        <v>4714350.2300000004</v>
      </c>
      <c r="D25" s="24"/>
      <c r="E25" s="24">
        <v>0</v>
      </c>
      <c r="F25" s="24"/>
      <c r="G25" s="24">
        <v>0</v>
      </c>
      <c r="H25" s="24"/>
      <c r="I25" s="24">
        <v>0</v>
      </c>
      <c r="J25" s="24"/>
      <c r="K25" s="24">
        <v>0</v>
      </c>
      <c r="L25" s="24"/>
      <c r="M25" s="24">
        <v>0</v>
      </c>
      <c r="N25" s="24"/>
      <c r="O25" s="24">
        <v>0</v>
      </c>
      <c r="P25" s="24"/>
      <c r="Q25" s="24">
        <v>0</v>
      </c>
      <c r="R25" s="24"/>
      <c r="S25" s="24">
        <f t="shared" si="0"/>
        <v>4714350.2300000004</v>
      </c>
    </row>
    <row r="26" spans="2:19">
      <c r="B26" s="10" t="s">
        <v>124</v>
      </c>
      <c r="C26" s="24">
        <v>31469454.919999998</v>
      </c>
      <c r="D26" s="24"/>
      <c r="E26" s="24">
        <v>0</v>
      </c>
      <c r="F26" s="24"/>
      <c r="G26" s="24">
        <f>-29633.91-9432.34</f>
        <v>-39066.25</v>
      </c>
      <c r="H26" s="24"/>
      <c r="I26" s="24">
        <v>0</v>
      </c>
      <c r="J26" s="24"/>
      <c r="K26" s="24">
        <v>0</v>
      </c>
      <c r="L26" s="24"/>
      <c r="M26" s="24">
        <v>0</v>
      </c>
      <c r="N26" s="24"/>
      <c r="O26" s="24">
        <v>0</v>
      </c>
      <c r="P26" s="24"/>
      <c r="Q26" s="24">
        <v>0</v>
      </c>
      <c r="R26" s="24"/>
      <c r="S26" s="24">
        <f t="shared" si="0"/>
        <v>31430388.669999998</v>
      </c>
    </row>
    <row r="27" spans="2:19">
      <c r="B27" s="10" t="s">
        <v>952</v>
      </c>
      <c r="C27" s="24">
        <v>0</v>
      </c>
      <c r="D27" s="24"/>
      <c r="E27" s="24">
        <v>0</v>
      </c>
      <c r="F27" s="24"/>
      <c r="G27" s="24">
        <v>0</v>
      </c>
      <c r="H27" s="24"/>
      <c r="I27" s="24">
        <v>0</v>
      </c>
      <c r="J27" s="24"/>
      <c r="K27" s="24">
        <v>0</v>
      </c>
      <c r="L27" s="24"/>
      <c r="M27" s="24">
        <v>0</v>
      </c>
      <c r="N27" s="24"/>
      <c r="O27" s="24">
        <v>0</v>
      </c>
      <c r="P27" s="24"/>
      <c r="Q27" s="24">
        <v>0</v>
      </c>
      <c r="R27" s="24"/>
      <c r="S27" s="24">
        <f t="shared" si="0"/>
        <v>0</v>
      </c>
    </row>
    <row r="28" spans="2:19">
      <c r="B28" s="10" t="s">
        <v>129</v>
      </c>
      <c r="C28" s="24">
        <v>0</v>
      </c>
      <c r="D28" s="24"/>
      <c r="E28" s="24">
        <v>0</v>
      </c>
      <c r="F28" s="24"/>
      <c r="G28" s="24">
        <v>0</v>
      </c>
      <c r="H28" s="24"/>
      <c r="I28" s="24">
        <v>0</v>
      </c>
      <c r="J28" s="24"/>
      <c r="K28" s="24">
        <v>0</v>
      </c>
      <c r="L28" s="24"/>
      <c r="M28" s="24">
        <v>0</v>
      </c>
      <c r="N28" s="24"/>
      <c r="O28" s="24">
        <v>0</v>
      </c>
      <c r="P28" s="24"/>
      <c r="Q28" s="24">
        <v>0</v>
      </c>
      <c r="R28" s="24"/>
      <c r="S28" s="24">
        <f t="shared" si="0"/>
        <v>0</v>
      </c>
    </row>
    <row r="29" spans="2:19">
      <c r="B29" s="10" t="s">
        <v>125</v>
      </c>
      <c r="C29" s="27">
        <v>9426614.1399999987</v>
      </c>
      <c r="D29" s="27"/>
      <c r="E29" s="27">
        <v>0</v>
      </c>
      <c r="F29" s="27"/>
      <c r="G29" s="27">
        <v>-698.24</v>
      </c>
      <c r="H29" s="27"/>
      <c r="I29" s="27">
        <v>0</v>
      </c>
      <c r="J29" s="27"/>
      <c r="K29" s="27">
        <v>0</v>
      </c>
      <c r="L29" s="27"/>
      <c r="M29" s="27">
        <v>0</v>
      </c>
      <c r="N29" s="27"/>
      <c r="O29" s="27">
        <v>0</v>
      </c>
      <c r="P29" s="27"/>
      <c r="Q29" s="27">
        <v>0</v>
      </c>
      <c r="R29" s="27"/>
      <c r="S29" s="27">
        <f t="shared" si="0"/>
        <v>9425915.8999999985</v>
      </c>
    </row>
    <row r="30" spans="2:19">
      <c r="B30" s="10" t="s">
        <v>1443</v>
      </c>
      <c r="C30" s="27">
        <v>0</v>
      </c>
      <c r="D30" s="27"/>
      <c r="E30" s="27">
        <v>0</v>
      </c>
      <c r="F30" s="27"/>
      <c r="G30" s="27">
        <v>0</v>
      </c>
      <c r="H30" s="27"/>
      <c r="I30" s="27">
        <v>0</v>
      </c>
      <c r="J30" s="27"/>
      <c r="K30" s="27">
        <v>0</v>
      </c>
      <c r="L30" s="27"/>
      <c r="M30" s="27">
        <v>0</v>
      </c>
      <c r="N30" s="27"/>
      <c r="O30" s="27">
        <v>0</v>
      </c>
      <c r="P30" s="27"/>
      <c r="Q30" s="27">
        <v>0</v>
      </c>
      <c r="R30" s="27"/>
      <c r="S30" s="27">
        <f t="shared" si="0"/>
        <v>0</v>
      </c>
    </row>
    <row r="31" spans="2:19">
      <c r="B31" s="10" t="s">
        <v>131</v>
      </c>
      <c r="C31" s="28">
        <v>63360.36</v>
      </c>
      <c r="D31" s="27"/>
      <c r="E31" s="28">
        <v>0</v>
      </c>
      <c r="F31" s="27"/>
      <c r="G31" s="28">
        <v>0</v>
      </c>
      <c r="H31" s="27"/>
      <c r="I31" s="28">
        <v>0</v>
      </c>
      <c r="J31" s="27"/>
      <c r="K31" s="28">
        <v>0</v>
      </c>
      <c r="L31" s="27"/>
      <c r="M31" s="28">
        <v>0</v>
      </c>
      <c r="N31" s="27"/>
      <c r="O31" s="28">
        <v>0</v>
      </c>
      <c r="P31" s="27"/>
      <c r="Q31" s="28">
        <v>0</v>
      </c>
      <c r="R31" s="27"/>
      <c r="S31" s="28">
        <f t="shared" si="0"/>
        <v>63360.36</v>
      </c>
    </row>
    <row r="32" spans="2:19">
      <c r="B32" s="11"/>
      <c r="C32" s="27">
        <f>SUM(C10:C31)</f>
        <v>1708469903.9200001</v>
      </c>
      <c r="D32" s="27"/>
      <c r="E32" s="27">
        <f>SUM(E10:E31)</f>
        <v>0</v>
      </c>
      <c r="F32" s="27"/>
      <c r="G32" s="27">
        <f>SUM(G10:G31)</f>
        <v>-2153940.6300000004</v>
      </c>
      <c r="H32" s="27"/>
      <c r="I32" s="27">
        <f>SUM(I10:I31)</f>
        <v>0</v>
      </c>
      <c r="J32" s="27"/>
      <c r="K32" s="27">
        <f>SUM(K10:K31)</f>
        <v>0</v>
      </c>
      <c r="L32" s="27"/>
      <c r="M32" s="27">
        <f>SUM(M10:M31)</f>
        <v>0</v>
      </c>
      <c r="N32" s="27"/>
      <c r="O32" s="27">
        <f>SUM(O10:O31)</f>
        <v>0</v>
      </c>
      <c r="P32" s="27"/>
      <c r="Q32" s="27">
        <f>SUM(Q10:Q31)</f>
        <v>0</v>
      </c>
      <c r="R32" s="27"/>
      <c r="S32" s="27">
        <f>SUM(S10:S31)</f>
        <v>1706315963.29</v>
      </c>
    </row>
    <row r="33" spans="1:19">
      <c r="C33" s="71"/>
      <c r="D33" s="71"/>
      <c r="E33" s="71"/>
      <c r="F33" s="71"/>
      <c r="G33" s="71"/>
      <c r="H33" s="71"/>
      <c r="I33" s="86"/>
      <c r="J33" s="71"/>
      <c r="K33" s="71"/>
      <c r="L33" s="71"/>
      <c r="M33" s="71"/>
      <c r="N33" s="71"/>
      <c r="O33" s="71"/>
      <c r="P33" s="71"/>
      <c r="Q33" s="71"/>
      <c r="R33" s="71"/>
      <c r="S33" s="71"/>
    </row>
    <row r="34" spans="1:19" ht="15">
      <c r="A34" s="12" t="s">
        <v>653</v>
      </c>
      <c r="C34" s="87"/>
      <c r="D34" s="74"/>
      <c r="E34" s="87"/>
      <c r="F34" s="74"/>
      <c r="G34" s="87"/>
      <c r="H34" s="74"/>
      <c r="I34" s="87"/>
      <c r="J34" s="74"/>
      <c r="K34" s="87"/>
      <c r="L34" s="74"/>
      <c r="M34" s="87"/>
      <c r="N34" s="74"/>
      <c r="O34" s="87"/>
      <c r="P34" s="74"/>
      <c r="Q34" s="87"/>
      <c r="R34" s="74"/>
      <c r="S34" s="87"/>
    </row>
    <row r="35" spans="1:19">
      <c r="B35" s="10" t="s">
        <v>455</v>
      </c>
      <c r="C35" s="27">
        <v>0</v>
      </c>
      <c r="D35" s="27"/>
      <c r="E35" s="27">
        <v>0</v>
      </c>
      <c r="F35" s="27"/>
      <c r="G35" s="27">
        <v>0</v>
      </c>
      <c r="H35" s="27"/>
      <c r="I35" s="27">
        <v>0</v>
      </c>
      <c r="J35" s="27"/>
      <c r="K35" s="27">
        <v>0</v>
      </c>
      <c r="L35" s="27"/>
      <c r="M35" s="27">
        <v>0</v>
      </c>
      <c r="N35" s="27"/>
      <c r="O35" s="27">
        <v>0</v>
      </c>
      <c r="P35" s="27"/>
      <c r="Q35" s="27">
        <v>0</v>
      </c>
      <c r="R35" s="27"/>
      <c r="S35" s="27">
        <f t="shared" ref="S35:S47" si="1">Q35+O35+M35+K35+I35+G35+E35+C35</f>
        <v>0</v>
      </c>
    </row>
    <row r="36" spans="1:19">
      <c r="B36" s="10" t="s">
        <v>113</v>
      </c>
      <c r="C36" s="27">
        <v>0</v>
      </c>
      <c r="D36" s="27"/>
      <c r="E36" s="27">
        <v>0</v>
      </c>
      <c r="F36" s="27"/>
      <c r="G36" s="27">
        <v>0</v>
      </c>
      <c r="H36" s="27"/>
      <c r="I36" s="27">
        <v>0</v>
      </c>
      <c r="J36" s="27"/>
      <c r="K36" s="27">
        <v>0</v>
      </c>
      <c r="L36" s="27"/>
      <c r="M36" s="27">
        <v>0</v>
      </c>
      <c r="N36" s="27"/>
      <c r="O36" s="27">
        <v>0</v>
      </c>
      <c r="P36" s="27"/>
      <c r="Q36" s="27">
        <v>0</v>
      </c>
      <c r="R36" s="27"/>
      <c r="S36" s="27">
        <f t="shared" si="1"/>
        <v>0</v>
      </c>
    </row>
    <row r="37" spans="1:19">
      <c r="B37" s="10" t="s">
        <v>114</v>
      </c>
      <c r="C37" s="27">
        <v>0</v>
      </c>
      <c r="D37" s="27"/>
      <c r="E37" s="27">
        <v>0</v>
      </c>
      <c r="F37" s="27"/>
      <c r="G37" s="27">
        <v>0</v>
      </c>
      <c r="H37" s="27"/>
      <c r="I37" s="27">
        <v>0</v>
      </c>
      <c r="J37" s="27"/>
      <c r="K37" s="27">
        <v>0</v>
      </c>
      <c r="L37" s="27"/>
      <c r="M37" s="27">
        <v>0</v>
      </c>
      <c r="N37" s="27"/>
      <c r="O37" s="27">
        <v>0</v>
      </c>
      <c r="P37" s="27"/>
      <c r="Q37" s="27">
        <v>0</v>
      </c>
      <c r="R37" s="27"/>
      <c r="S37" s="27">
        <f t="shared" si="1"/>
        <v>0</v>
      </c>
    </row>
    <row r="38" spans="1:19">
      <c r="B38" s="10" t="s">
        <v>115</v>
      </c>
      <c r="C38" s="27">
        <v>0</v>
      </c>
      <c r="D38" s="27"/>
      <c r="E38" s="27">
        <v>0</v>
      </c>
      <c r="F38" s="27"/>
      <c r="G38" s="27">
        <v>0</v>
      </c>
      <c r="H38" s="27"/>
      <c r="I38" s="27">
        <v>0</v>
      </c>
      <c r="J38" s="27"/>
      <c r="K38" s="27">
        <v>0</v>
      </c>
      <c r="L38" s="27"/>
      <c r="M38" s="27">
        <v>0</v>
      </c>
      <c r="N38" s="27"/>
      <c r="O38" s="27">
        <v>0</v>
      </c>
      <c r="P38" s="27"/>
      <c r="Q38" s="27">
        <v>0</v>
      </c>
      <c r="R38" s="27"/>
      <c r="S38" s="27">
        <f t="shared" si="1"/>
        <v>0</v>
      </c>
    </row>
    <row r="39" spans="1:19">
      <c r="B39" s="10" t="s">
        <v>117</v>
      </c>
      <c r="C39" s="27">
        <v>0</v>
      </c>
      <c r="D39" s="27"/>
      <c r="E39" s="27">
        <v>0</v>
      </c>
      <c r="F39" s="27"/>
      <c r="G39" s="27">
        <v>0</v>
      </c>
      <c r="H39" s="27"/>
      <c r="I39" s="27">
        <v>0</v>
      </c>
      <c r="J39" s="27"/>
      <c r="K39" s="27">
        <v>0</v>
      </c>
      <c r="L39" s="27"/>
      <c r="M39" s="27">
        <v>0</v>
      </c>
      <c r="N39" s="27"/>
      <c r="O39" s="27">
        <v>0</v>
      </c>
      <c r="P39" s="27"/>
      <c r="Q39" s="27">
        <v>0</v>
      </c>
      <c r="R39" s="27"/>
      <c r="S39" s="27">
        <f t="shared" si="1"/>
        <v>0</v>
      </c>
    </row>
    <row r="40" spans="1:19">
      <c r="B40" s="10" t="s">
        <v>118</v>
      </c>
      <c r="C40" s="27">
        <v>0</v>
      </c>
      <c r="D40" s="27"/>
      <c r="E40" s="27">
        <v>0</v>
      </c>
      <c r="F40" s="27"/>
      <c r="G40" s="27">
        <v>0</v>
      </c>
      <c r="H40" s="27"/>
      <c r="I40" s="27">
        <v>0</v>
      </c>
      <c r="J40" s="27"/>
      <c r="K40" s="27">
        <v>0</v>
      </c>
      <c r="L40" s="27"/>
      <c r="M40" s="27">
        <v>0</v>
      </c>
      <c r="N40" s="27"/>
      <c r="O40" s="27">
        <v>0</v>
      </c>
      <c r="P40" s="27"/>
      <c r="Q40" s="27">
        <v>0</v>
      </c>
      <c r="R40" s="27"/>
      <c r="S40" s="27">
        <f t="shared" si="1"/>
        <v>0</v>
      </c>
    </row>
    <row r="41" spans="1:19">
      <c r="B41" s="10" t="s">
        <v>119</v>
      </c>
      <c r="C41" s="27">
        <v>0</v>
      </c>
      <c r="D41" s="27"/>
      <c r="E41" s="27">
        <v>0</v>
      </c>
      <c r="F41" s="27"/>
      <c r="G41" s="27">
        <v>0</v>
      </c>
      <c r="H41" s="27"/>
      <c r="I41" s="27">
        <v>0</v>
      </c>
      <c r="J41" s="27"/>
      <c r="K41" s="27">
        <v>0</v>
      </c>
      <c r="L41" s="27"/>
      <c r="M41" s="27">
        <v>0</v>
      </c>
      <c r="N41" s="27"/>
      <c r="O41" s="27">
        <v>0</v>
      </c>
      <c r="P41" s="27"/>
      <c r="Q41" s="27">
        <v>0</v>
      </c>
      <c r="R41" s="27"/>
      <c r="S41" s="27">
        <f t="shared" si="1"/>
        <v>0</v>
      </c>
    </row>
    <row r="42" spans="1:19">
      <c r="B42" s="10" t="s">
        <v>121</v>
      </c>
      <c r="C42" s="27">
        <v>0</v>
      </c>
      <c r="D42" s="27"/>
      <c r="E42" s="27">
        <v>0</v>
      </c>
      <c r="F42" s="27"/>
      <c r="G42" s="27">
        <v>0</v>
      </c>
      <c r="H42" s="27"/>
      <c r="I42" s="27">
        <v>0</v>
      </c>
      <c r="J42" s="27"/>
      <c r="K42" s="27">
        <v>0</v>
      </c>
      <c r="L42" s="27"/>
      <c r="M42" s="27">
        <v>0</v>
      </c>
      <c r="N42" s="27"/>
      <c r="O42" s="27">
        <v>0</v>
      </c>
      <c r="P42" s="27"/>
      <c r="Q42" s="27">
        <v>0</v>
      </c>
      <c r="R42" s="27"/>
      <c r="S42" s="27">
        <f t="shared" si="1"/>
        <v>0</v>
      </c>
    </row>
    <row r="43" spans="1:19">
      <c r="B43" s="10" t="s">
        <v>122</v>
      </c>
      <c r="C43" s="27">
        <v>0</v>
      </c>
      <c r="D43" s="27"/>
      <c r="E43" s="27">
        <v>0</v>
      </c>
      <c r="F43" s="27"/>
      <c r="G43" s="27">
        <v>0</v>
      </c>
      <c r="H43" s="27"/>
      <c r="I43" s="27">
        <v>0</v>
      </c>
      <c r="J43" s="27"/>
      <c r="K43" s="27">
        <v>0</v>
      </c>
      <c r="L43" s="27"/>
      <c r="M43" s="27">
        <v>0</v>
      </c>
      <c r="N43" s="27"/>
      <c r="O43" s="27">
        <v>0</v>
      </c>
      <c r="P43" s="27"/>
      <c r="Q43" s="27">
        <v>0</v>
      </c>
      <c r="R43" s="27"/>
      <c r="S43" s="27">
        <f t="shared" si="1"/>
        <v>0</v>
      </c>
    </row>
    <row r="44" spans="1:19">
      <c r="B44" s="10" t="s">
        <v>124</v>
      </c>
      <c r="C44" s="27">
        <v>0</v>
      </c>
      <c r="D44" s="27"/>
      <c r="E44" s="27">
        <v>0</v>
      </c>
      <c r="F44" s="27"/>
      <c r="G44" s="27">
        <v>0</v>
      </c>
      <c r="H44" s="27"/>
      <c r="I44" s="27">
        <v>0</v>
      </c>
      <c r="J44" s="27"/>
      <c r="K44" s="27">
        <v>0</v>
      </c>
      <c r="L44" s="27"/>
      <c r="M44" s="27">
        <v>0</v>
      </c>
      <c r="N44" s="27"/>
      <c r="O44" s="27">
        <v>0</v>
      </c>
      <c r="P44" s="27"/>
      <c r="Q44" s="27">
        <v>0</v>
      </c>
      <c r="R44" s="27"/>
      <c r="S44" s="27">
        <f t="shared" si="1"/>
        <v>0</v>
      </c>
    </row>
    <row r="45" spans="1:19">
      <c r="B45" s="10" t="s">
        <v>129</v>
      </c>
      <c r="C45" s="27">
        <v>0</v>
      </c>
      <c r="D45" s="27"/>
      <c r="E45" s="27">
        <v>0</v>
      </c>
      <c r="F45" s="27"/>
      <c r="G45" s="27">
        <v>0</v>
      </c>
      <c r="H45" s="27"/>
      <c r="I45" s="27">
        <v>0</v>
      </c>
      <c r="J45" s="27"/>
      <c r="K45" s="27">
        <v>0</v>
      </c>
      <c r="L45" s="27"/>
      <c r="M45" s="27">
        <v>0</v>
      </c>
      <c r="N45" s="27"/>
      <c r="O45" s="27">
        <v>0</v>
      </c>
      <c r="P45" s="27"/>
      <c r="Q45" s="27">
        <v>0</v>
      </c>
      <c r="R45" s="27"/>
      <c r="S45" s="27">
        <f t="shared" si="1"/>
        <v>0</v>
      </c>
    </row>
    <row r="46" spans="1:19">
      <c r="B46" s="10" t="s">
        <v>125</v>
      </c>
      <c r="C46" s="27">
        <v>0</v>
      </c>
      <c r="D46" s="27"/>
      <c r="E46" s="27">
        <v>0</v>
      </c>
      <c r="F46" s="27"/>
      <c r="G46" s="27">
        <v>0</v>
      </c>
      <c r="H46" s="27"/>
      <c r="I46" s="27">
        <v>0</v>
      </c>
      <c r="J46" s="27"/>
      <c r="K46" s="27">
        <v>0</v>
      </c>
      <c r="L46" s="27"/>
      <c r="M46" s="27">
        <v>0</v>
      </c>
      <c r="N46" s="27"/>
      <c r="O46" s="27">
        <v>0</v>
      </c>
      <c r="P46" s="27"/>
      <c r="Q46" s="27">
        <v>0</v>
      </c>
      <c r="R46" s="27"/>
      <c r="S46" s="27">
        <f t="shared" si="1"/>
        <v>0</v>
      </c>
    </row>
    <row r="47" spans="1:19">
      <c r="B47" s="10" t="s">
        <v>131</v>
      </c>
      <c r="C47" s="28">
        <v>0</v>
      </c>
      <c r="D47" s="27"/>
      <c r="E47" s="28">
        <v>0</v>
      </c>
      <c r="F47" s="27"/>
      <c r="G47" s="28">
        <v>0</v>
      </c>
      <c r="H47" s="27"/>
      <c r="I47" s="28">
        <v>0</v>
      </c>
      <c r="J47" s="27"/>
      <c r="K47" s="28">
        <v>0</v>
      </c>
      <c r="L47" s="27"/>
      <c r="M47" s="28">
        <v>0</v>
      </c>
      <c r="N47" s="27"/>
      <c r="O47" s="28">
        <v>0</v>
      </c>
      <c r="P47" s="27"/>
      <c r="Q47" s="28">
        <v>0</v>
      </c>
      <c r="R47" s="27"/>
      <c r="S47" s="28">
        <f t="shared" si="1"/>
        <v>0</v>
      </c>
    </row>
    <row r="48" spans="1:19">
      <c r="B48" s="11"/>
      <c r="C48" s="27">
        <f>SUM(C35:C47)</f>
        <v>0</v>
      </c>
      <c r="D48" s="27"/>
      <c r="E48" s="27">
        <f>SUM(E35:E47)</f>
        <v>0</v>
      </c>
      <c r="F48" s="27"/>
      <c r="G48" s="27">
        <f>SUM(G35:G47)</f>
        <v>0</v>
      </c>
      <c r="H48" s="27"/>
      <c r="I48" s="27">
        <f>SUM(I35:I47)</f>
        <v>0</v>
      </c>
      <c r="J48" s="27"/>
      <c r="K48" s="27">
        <f>SUM(K35:K47)</f>
        <v>0</v>
      </c>
      <c r="L48" s="27"/>
      <c r="M48" s="27">
        <f>SUM(M35:M47)</f>
        <v>0</v>
      </c>
      <c r="N48" s="27"/>
      <c r="O48" s="27">
        <f>SUM(O35:O47)</f>
        <v>0</v>
      </c>
      <c r="P48" s="27"/>
      <c r="Q48" s="27">
        <f>SUM(Q35:Q47)</f>
        <v>0</v>
      </c>
      <c r="R48" s="27"/>
      <c r="S48" s="27">
        <f>SUM(S35:S47)</f>
        <v>0</v>
      </c>
    </row>
    <row r="49" spans="1:19">
      <c r="C49" s="71"/>
      <c r="D49" s="71"/>
      <c r="E49" s="71"/>
      <c r="F49" s="71"/>
      <c r="G49" s="71"/>
      <c r="H49" s="71"/>
      <c r="I49" s="71"/>
      <c r="J49" s="71"/>
      <c r="K49" s="71"/>
      <c r="L49" s="71"/>
      <c r="M49" s="71"/>
      <c r="N49" s="71"/>
      <c r="O49" s="71"/>
      <c r="P49" s="71"/>
      <c r="Q49" s="71"/>
      <c r="R49" s="71"/>
      <c r="S49" s="71"/>
    </row>
    <row r="50" spans="1:19" ht="15">
      <c r="A50" s="12" t="s">
        <v>654</v>
      </c>
      <c r="C50" s="87"/>
      <c r="D50" s="74"/>
      <c r="E50" s="87"/>
      <c r="F50" s="74"/>
      <c r="G50" s="87"/>
      <c r="H50" s="74"/>
      <c r="I50" s="87"/>
      <c r="J50" s="74"/>
      <c r="K50" s="87"/>
      <c r="L50" s="74"/>
      <c r="M50" s="87"/>
      <c r="N50" s="74"/>
      <c r="O50" s="87"/>
      <c r="P50" s="74"/>
      <c r="Q50" s="87"/>
      <c r="R50" s="74"/>
      <c r="S50" s="87"/>
    </row>
    <row r="51" spans="1:19">
      <c r="B51" s="10" t="s">
        <v>455</v>
      </c>
      <c r="C51" s="27">
        <v>0</v>
      </c>
      <c r="D51" s="27"/>
      <c r="E51" s="27">
        <v>0</v>
      </c>
      <c r="F51" s="27"/>
      <c r="G51" s="27">
        <v>0</v>
      </c>
      <c r="H51" s="27"/>
      <c r="I51" s="27">
        <v>0</v>
      </c>
      <c r="J51" s="27"/>
      <c r="K51" s="27">
        <v>0</v>
      </c>
      <c r="L51" s="27"/>
      <c r="M51" s="27">
        <v>0</v>
      </c>
      <c r="N51" s="27"/>
      <c r="O51" s="27">
        <v>0</v>
      </c>
      <c r="P51" s="27"/>
      <c r="Q51" s="27">
        <v>0</v>
      </c>
      <c r="R51" s="27"/>
      <c r="S51" s="27">
        <f t="shared" ref="S51:S63" si="2">Q51+O51+M51+K51+I51+G51+E51+C51</f>
        <v>0</v>
      </c>
    </row>
    <row r="52" spans="1:19">
      <c r="B52" s="10" t="s">
        <v>113</v>
      </c>
      <c r="C52" s="27">
        <v>0</v>
      </c>
      <c r="D52" s="27"/>
      <c r="E52" s="27">
        <v>0</v>
      </c>
      <c r="F52" s="27"/>
      <c r="G52" s="27">
        <v>0</v>
      </c>
      <c r="H52" s="27"/>
      <c r="I52" s="27">
        <v>0</v>
      </c>
      <c r="J52" s="27"/>
      <c r="K52" s="27">
        <v>0</v>
      </c>
      <c r="L52" s="27"/>
      <c r="M52" s="27">
        <v>0</v>
      </c>
      <c r="N52" s="27"/>
      <c r="O52" s="27">
        <v>0</v>
      </c>
      <c r="P52" s="27"/>
      <c r="Q52" s="27">
        <v>0</v>
      </c>
      <c r="R52" s="27"/>
      <c r="S52" s="27">
        <f t="shared" si="2"/>
        <v>0</v>
      </c>
    </row>
    <row r="53" spans="1:19">
      <c r="B53" s="10" t="s">
        <v>114</v>
      </c>
      <c r="C53" s="27">
        <v>0</v>
      </c>
      <c r="D53" s="27"/>
      <c r="E53" s="27">
        <v>0</v>
      </c>
      <c r="F53" s="27"/>
      <c r="G53" s="27">
        <v>0</v>
      </c>
      <c r="H53" s="27"/>
      <c r="I53" s="27">
        <v>0</v>
      </c>
      <c r="J53" s="27"/>
      <c r="K53" s="27">
        <v>0</v>
      </c>
      <c r="L53" s="27"/>
      <c r="M53" s="27">
        <v>0</v>
      </c>
      <c r="N53" s="27"/>
      <c r="O53" s="27">
        <v>0</v>
      </c>
      <c r="P53" s="27"/>
      <c r="Q53" s="27">
        <v>0</v>
      </c>
      <c r="R53" s="27"/>
      <c r="S53" s="27">
        <f t="shared" si="2"/>
        <v>0</v>
      </c>
    </row>
    <row r="54" spans="1:19">
      <c r="B54" s="10" t="s">
        <v>115</v>
      </c>
      <c r="C54" s="27">
        <v>0</v>
      </c>
      <c r="D54" s="27"/>
      <c r="E54" s="27">
        <v>0</v>
      </c>
      <c r="F54" s="27"/>
      <c r="G54" s="27">
        <v>0</v>
      </c>
      <c r="H54" s="27"/>
      <c r="I54" s="27">
        <v>0</v>
      </c>
      <c r="J54" s="27"/>
      <c r="K54" s="27">
        <v>0</v>
      </c>
      <c r="L54" s="27"/>
      <c r="M54" s="27">
        <v>0</v>
      </c>
      <c r="N54" s="27"/>
      <c r="O54" s="27">
        <v>0</v>
      </c>
      <c r="P54" s="27"/>
      <c r="Q54" s="27">
        <v>0</v>
      </c>
      <c r="R54" s="27"/>
      <c r="S54" s="27">
        <f t="shared" si="2"/>
        <v>0</v>
      </c>
    </row>
    <row r="55" spans="1:19">
      <c r="B55" s="10" t="s">
        <v>117</v>
      </c>
      <c r="C55" s="27">
        <v>0</v>
      </c>
      <c r="D55" s="27"/>
      <c r="E55" s="27">
        <v>0</v>
      </c>
      <c r="F55" s="27"/>
      <c r="G55" s="27">
        <v>0</v>
      </c>
      <c r="H55" s="27"/>
      <c r="I55" s="27">
        <v>0</v>
      </c>
      <c r="J55" s="27"/>
      <c r="K55" s="27">
        <v>0</v>
      </c>
      <c r="L55" s="27"/>
      <c r="M55" s="27">
        <v>0</v>
      </c>
      <c r="N55" s="27"/>
      <c r="O55" s="27">
        <v>0</v>
      </c>
      <c r="P55" s="27"/>
      <c r="Q55" s="27">
        <v>0</v>
      </c>
      <c r="R55" s="27"/>
      <c r="S55" s="27">
        <f t="shared" si="2"/>
        <v>0</v>
      </c>
    </row>
    <row r="56" spans="1:19">
      <c r="B56" s="10" t="s">
        <v>118</v>
      </c>
      <c r="C56" s="27">
        <v>0</v>
      </c>
      <c r="D56" s="27"/>
      <c r="E56" s="27">
        <v>0</v>
      </c>
      <c r="F56" s="27"/>
      <c r="G56" s="27">
        <v>0</v>
      </c>
      <c r="H56" s="27"/>
      <c r="I56" s="27">
        <v>0</v>
      </c>
      <c r="J56" s="27"/>
      <c r="K56" s="27">
        <v>0</v>
      </c>
      <c r="L56" s="27"/>
      <c r="M56" s="27">
        <v>0</v>
      </c>
      <c r="N56" s="27"/>
      <c r="O56" s="27">
        <v>0</v>
      </c>
      <c r="P56" s="27"/>
      <c r="Q56" s="27">
        <v>0</v>
      </c>
      <c r="R56" s="27"/>
      <c r="S56" s="27">
        <f t="shared" si="2"/>
        <v>0</v>
      </c>
    </row>
    <row r="57" spans="1:19">
      <c r="B57" s="10" t="s">
        <v>119</v>
      </c>
      <c r="C57" s="27">
        <v>0</v>
      </c>
      <c r="D57" s="27"/>
      <c r="E57" s="27">
        <v>0</v>
      </c>
      <c r="F57" s="27"/>
      <c r="G57" s="27">
        <v>0</v>
      </c>
      <c r="H57" s="27"/>
      <c r="I57" s="27">
        <v>0</v>
      </c>
      <c r="J57" s="27"/>
      <c r="K57" s="27">
        <v>0</v>
      </c>
      <c r="L57" s="27"/>
      <c r="M57" s="27">
        <v>0</v>
      </c>
      <c r="N57" s="27"/>
      <c r="O57" s="27">
        <v>0</v>
      </c>
      <c r="P57" s="27"/>
      <c r="Q57" s="27">
        <v>0</v>
      </c>
      <c r="R57" s="27"/>
      <c r="S57" s="27">
        <f t="shared" si="2"/>
        <v>0</v>
      </c>
    </row>
    <row r="58" spans="1:19">
      <c r="B58" s="10" t="s">
        <v>121</v>
      </c>
      <c r="C58" s="27">
        <v>0</v>
      </c>
      <c r="D58" s="27"/>
      <c r="E58" s="27">
        <v>0</v>
      </c>
      <c r="F58" s="27"/>
      <c r="G58" s="27">
        <v>0</v>
      </c>
      <c r="H58" s="27"/>
      <c r="I58" s="27">
        <v>0</v>
      </c>
      <c r="J58" s="27"/>
      <c r="K58" s="27">
        <v>0</v>
      </c>
      <c r="L58" s="27"/>
      <c r="M58" s="27">
        <v>0</v>
      </c>
      <c r="N58" s="27"/>
      <c r="O58" s="27">
        <v>0</v>
      </c>
      <c r="P58" s="27"/>
      <c r="Q58" s="27">
        <v>0</v>
      </c>
      <c r="R58" s="27"/>
      <c r="S58" s="27">
        <f t="shared" si="2"/>
        <v>0</v>
      </c>
    </row>
    <row r="59" spans="1:19">
      <c r="B59" s="10" t="s">
        <v>122</v>
      </c>
      <c r="C59" s="27">
        <v>0</v>
      </c>
      <c r="D59" s="27"/>
      <c r="E59" s="27">
        <v>0</v>
      </c>
      <c r="F59" s="27"/>
      <c r="G59" s="27">
        <v>0</v>
      </c>
      <c r="H59" s="27"/>
      <c r="I59" s="27">
        <v>0</v>
      </c>
      <c r="J59" s="27"/>
      <c r="K59" s="27">
        <v>0</v>
      </c>
      <c r="L59" s="27"/>
      <c r="M59" s="27">
        <v>0</v>
      </c>
      <c r="N59" s="27"/>
      <c r="O59" s="27">
        <v>0</v>
      </c>
      <c r="P59" s="27"/>
      <c r="Q59" s="27">
        <v>0</v>
      </c>
      <c r="R59" s="27"/>
      <c r="S59" s="27">
        <f t="shared" si="2"/>
        <v>0</v>
      </c>
    </row>
    <row r="60" spans="1:19">
      <c r="B60" s="10" t="s">
        <v>124</v>
      </c>
      <c r="C60" s="27">
        <v>0</v>
      </c>
      <c r="D60" s="27"/>
      <c r="E60" s="27">
        <v>0</v>
      </c>
      <c r="F60" s="27"/>
      <c r="G60" s="27">
        <v>0</v>
      </c>
      <c r="H60" s="27"/>
      <c r="I60" s="27">
        <v>0</v>
      </c>
      <c r="J60" s="27"/>
      <c r="K60" s="27">
        <v>0</v>
      </c>
      <c r="L60" s="27"/>
      <c r="M60" s="27">
        <v>0</v>
      </c>
      <c r="N60" s="27"/>
      <c r="O60" s="27">
        <v>0</v>
      </c>
      <c r="P60" s="27"/>
      <c r="Q60" s="27">
        <v>0</v>
      </c>
      <c r="R60" s="27"/>
      <c r="S60" s="27">
        <f t="shared" si="2"/>
        <v>0</v>
      </c>
    </row>
    <row r="61" spans="1:19">
      <c r="B61" s="10" t="s">
        <v>129</v>
      </c>
      <c r="C61" s="27">
        <v>0</v>
      </c>
      <c r="D61" s="27"/>
      <c r="E61" s="27">
        <v>0</v>
      </c>
      <c r="F61" s="27"/>
      <c r="G61" s="27">
        <v>0</v>
      </c>
      <c r="H61" s="27"/>
      <c r="I61" s="27">
        <v>0</v>
      </c>
      <c r="J61" s="27"/>
      <c r="K61" s="27">
        <v>0</v>
      </c>
      <c r="L61" s="27"/>
      <c r="M61" s="27">
        <v>0</v>
      </c>
      <c r="N61" s="27"/>
      <c r="O61" s="27">
        <v>0</v>
      </c>
      <c r="P61" s="27"/>
      <c r="Q61" s="27">
        <v>0</v>
      </c>
      <c r="R61" s="27"/>
      <c r="S61" s="27">
        <f t="shared" si="2"/>
        <v>0</v>
      </c>
    </row>
    <row r="62" spans="1:19">
      <c r="B62" s="10" t="s">
        <v>125</v>
      </c>
      <c r="C62" s="27">
        <v>0</v>
      </c>
      <c r="D62" s="27"/>
      <c r="E62" s="27">
        <v>0</v>
      </c>
      <c r="F62" s="27"/>
      <c r="G62" s="27">
        <v>0</v>
      </c>
      <c r="H62" s="27"/>
      <c r="I62" s="27">
        <v>0</v>
      </c>
      <c r="J62" s="27"/>
      <c r="K62" s="27">
        <v>0</v>
      </c>
      <c r="L62" s="27"/>
      <c r="M62" s="27">
        <v>0</v>
      </c>
      <c r="N62" s="27"/>
      <c r="O62" s="27">
        <v>0</v>
      </c>
      <c r="P62" s="27"/>
      <c r="Q62" s="27">
        <v>0</v>
      </c>
      <c r="R62" s="27"/>
      <c r="S62" s="27">
        <f t="shared" si="2"/>
        <v>0</v>
      </c>
    </row>
    <row r="63" spans="1:19">
      <c r="B63" s="10" t="s">
        <v>131</v>
      </c>
      <c r="C63" s="28">
        <v>0</v>
      </c>
      <c r="D63" s="27"/>
      <c r="E63" s="28">
        <v>0</v>
      </c>
      <c r="F63" s="27"/>
      <c r="G63" s="28">
        <v>0</v>
      </c>
      <c r="H63" s="27"/>
      <c r="I63" s="28">
        <v>0</v>
      </c>
      <c r="J63" s="27"/>
      <c r="K63" s="28">
        <v>0</v>
      </c>
      <c r="L63" s="27"/>
      <c r="M63" s="28">
        <v>0</v>
      </c>
      <c r="N63" s="27"/>
      <c r="O63" s="28">
        <v>0</v>
      </c>
      <c r="P63" s="27"/>
      <c r="Q63" s="28">
        <v>0</v>
      </c>
      <c r="R63" s="27"/>
      <c r="S63" s="28">
        <f t="shared" si="2"/>
        <v>0</v>
      </c>
    </row>
    <row r="64" spans="1:19">
      <c r="B64" s="11"/>
      <c r="C64" s="27">
        <f>SUM(C51:C63)</f>
        <v>0</v>
      </c>
      <c r="D64" s="27"/>
      <c r="E64" s="27">
        <f>SUM(E51:E63)</f>
        <v>0</v>
      </c>
      <c r="F64" s="27"/>
      <c r="G64" s="27">
        <f>SUM(G51:G63)</f>
        <v>0</v>
      </c>
      <c r="H64" s="27"/>
      <c r="I64" s="27">
        <f>SUM(I51:I63)</f>
        <v>0</v>
      </c>
      <c r="J64" s="27"/>
      <c r="K64" s="27">
        <f>SUM(K51:K63)</f>
        <v>0</v>
      </c>
      <c r="L64" s="27"/>
      <c r="M64" s="27">
        <f>SUM(M51:M63)</f>
        <v>0</v>
      </c>
      <c r="N64" s="27"/>
      <c r="O64" s="27">
        <f>SUM(O51:O63)</f>
        <v>0</v>
      </c>
      <c r="P64" s="27"/>
      <c r="Q64" s="27">
        <f>SUM(Q51:Q63)</f>
        <v>0</v>
      </c>
      <c r="R64" s="27"/>
      <c r="S64" s="27">
        <f>SUM(S51:S63)</f>
        <v>0</v>
      </c>
    </row>
    <row r="65" spans="1:25">
      <c r="C65" s="27"/>
      <c r="D65" s="27"/>
      <c r="E65" s="27"/>
      <c r="F65" s="27"/>
      <c r="G65" s="27"/>
      <c r="H65" s="27"/>
      <c r="I65" s="27"/>
      <c r="J65" s="27"/>
      <c r="K65" s="27"/>
      <c r="L65" s="27"/>
      <c r="M65" s="27"/>
      <c r="N65" s="27"/>
      <c r="O65" s="27"/>
      <c r="P65" s="27"/>
      <c r="Q65" s="27"/>
      <c r="R65" s="27"/>
      <c r="S65" s="27"/>
    </row>
    <row r="66" spans="1:25">
      <c r="A66" s="12" t="s">
        <v>655</v>
      </c>
      <c r="C66" s="24"/>
      <c r="D66" s="24"/>
      <c r="E66" s="24"/>
      <c r="F66" s="24"/>
      <c r="G66" s="24"/>
      <c r="H66" s="24"/>
      <c r="I66" s="24"/>
      <c r="J66" s="24"/>
      <c r="K66" s="24"/>
      <c r="L66" s="24"/>
      <c r="M66" s="24"/>
      <c r="N66" s="24"/>
      <c r="O66" s="24"/>
      <c r="P66" s="24"/>
      <c r="Q66" s="24"/>
      <c r="R66" s="24"/>
      <c r="S66" s="24"/>
    </row>
    <row r="67" spans="1:25">
      <c r="B67" s="10" t="s">
        <v>652</v>
      </c>
      <c r="C67" s="24">
        <f>C51+C35+C10+C11+C63+C47+C31</f>
        <v>63241788.540000014</v>
      </c>
      <c r="D67" s="24"/>
      <c r="E67" s="24">
        <f>E51+E35+E10+E11+E63+E47+E31</f>
        <v>0</v>
      </c>
      <c r="F67" s="24"/>
      <c r="G67" s="24">
        <f>G51+G35+G10+G11+G63+G47+G31</f>
        <v>-147165.54000000004</v>
      </c>
      <c r="H67" s="24"/>
      <c r="I67" s="24">
        <f>I51+I35+I10+I11+I63+I47+I31</f>
        <v>0</v>
      </c>
      <c r="J67" s="24"/>
      <c r="K67" s="24">
        <f>K51+K35+K10+K11+K63+K47+K31</f>
        <v>0</v>
      </c>
      <c r="L67" s="24"/>
      <c r="M67" s="24">
        <f>M51+M35+M10+M11+M63+M47+M31</f>
        <v>0</v>
      </c>
      <c r="N67" s="24"/>
      <c r="O67" s="24">
        <f>O51+O35+O10+O11+O63+O47+O31</f>
        <v>0</v>
      </c>
      <c r="P67" s="24"/>
      <c r="Q67" s="24">
        <f>Q51+Q35+Q10+Q11+Q63+Q47+Q31</f>
        <v>0</v>
      </c>
      <c r="R67" s="24"/>
      <c r="S67" s="24">
        <f>S51+S35+S10+S11+S63+S47+S31</f>
        <v>63094623.000000015</v>
      </c>
    </row>
    <row r="68" spans="1:25">
      <c r="B68" s="10" t="s">
        <v>112</v>
      </c>
      <c r="C68" s="27">
        <f>C52+C53+C54+C55+C56+C57+C36+C37+C38+C39+C40+C41+C12+C13+C14+C15+C16+C17+C18+C19+C20+C21+C22</f>
        <v>1476422913.95</v>
      </c>
      <c r="D68" s="27"/>
      <c r="E68" s="27">
        <f>E52+E53+E54+E55+E56+E57+E36+E37+E38+E39+E40+E41+E12+E13+E14+E15+E16+E17+E18+E19+E20+E21+E22</f>
        <v>0</v>
      </c>
      <c r="F68" s="27"/>
      <c r="G68" s="27">
        <f>G52+G53+G54+G55+G56+G57+G36+G37+G38+G39+G40+G41+G12+G13+G14+G15+G16+G17+G18+G19+G20+G21+G22</f>
        <v>-1952524.52</v>
      </c>
      <c r="H68" s="27"/>
      <c r="I68" s="27">
        <f>I52+I53+I54+I55+I56+I57+I36+I37+I38+I39+I40+I41+I12+I13+I14+I15+I16+I17+I18+I19+I20+I21+I22</f>
        <v>0</v>
      </c>
      <c r="J68" s="27"/>
      <c r="K68" s="27">
        <f>K52+K53+K54+K55+K56+K57+K36+K37+K38+K39+K40+K41+K12+K13+K14+K15+K16+K17+K18+K19+K20+K21+K22</f>
        <v>0</v>
      </c>
      <c r="L68" s="27"/>
      <c r="M68" s="27">
        <f>M52+M53+M54+M55+M56+M57+M36+M37+M38+M39+M40+M41+M12+M13+M14+M15+M16+M17+M18+M19+M20+M21+M22</f>
        <v>0</v>
      </c>
      <c r="N68" s="27"/>
      <c r="O68" s="27">
        <f>O52+O53+O54+O55+O56+O57+O36+O37+O38+O39+O40+O41+O12+O13+O14+O15+O16+O17+O18+O19+O20+O21+O22</f>
        <v>0</v>
      </c>
      <c r="P68" s="27"/>
      <c r="Q68" s="27">
        <f>Q52+Q53+Q54+Q55+Q56+Q57+Q36+Q37+Q38+Q39+Q40+Q41+Q12+Q13+Q14+Q15+Q16+Q17+Q18+Q19+Q20+Q21+Q22</f>
        <v>0</v>
      </c>
      <c r="R68" s="27"/>
      <c r="S68" s="27">
        <f>S52+S53+S54+S55+S56+S57+S36+S37+S38+S39+S40+S41+S12+S13+S14+S15+S16+S17+S18+S19+S20+S21+S22</f>
        <v>1474470389.4300001</v>
      </c>
    </row>
    <row r="69" spans="1:25">
      <c r="B69" s="10" t="s">
        <v>120</v>
      </c>
      <c r="C69" s="28">
        <f>C58+C59+C60+C61+C62+C42+C43+C44+C45+C46+C23+C24+C25+C26+C27+C28+C29</f>
        <v>168805201.43000001</v>
      </c>
      <c r="D69" s="27"/>
      <c r="E69" s="28">
        <f>E58+E59+E60+E61+E62+E42+E43+E44+E45+E46+E23+E24+E25+E26+E27+E28+E29</f>
        <v>0</v>
      </c>
      <c r="F69" s="27"/>
      <c r="G69" s="28">
        <f>G58+G59+G60+G61+G62+G42+G43+G44+G45+G46+G23+G24+G25+G26+G27+G28+G29</f>
        <v>-54250.57</v>
      </c>
      <c r="H69" s="27"/>
      <c r="I69" s="28">
        <f>I58+I59+I60+I61+I62+I42+I43+I44+I45+I46+I23+I24+I25+I26+I27+I28+I29</f>
        <v>0</v>
      </c>
      <c r="J69" s="27"/>
      <c r="K69" s="28">
        <f>K58+K59+K60+K61+K62+K42+K43+K44+K45+K46+K23+K24+K25+K26+K27+K28+K29</f>
        <v>0</v>
      </c>
      <c r="L69" s="27"/>
      <c r="M69" s="28">
        <f>M58+M59+M60+M61+M62+M42+M43+M44+M45+M46+M23+M24+M25+M26+M27+M28+M29</f>
        <v>0</v>
      </c>
      <c r="N69" s="27"/>
      <c r="O69" s="28">
        <f>O58+O59+O60+O61+O62+O42+O43+O44+O45+O46+O23+O24+O25+O26+O27+O28+O29</f>
        <v>0</v>
      </c>
      <c r="P69" s="27"/>
      <c r="Q69" s="28">
        <f>Q58+Q59+Q60+Q61+Q62+Q42+Q43+Q44+Q45+Q46+Q23+Q24+Q25+Q26+Q27+Q28+Q29</f>
        <v>0</v>
      </c>
      <c r="R69" s="27"/>
      <c r="S69" s="28">
        <f>S58+S59+S60+S61+S62+S42+S43+S44+S45+S46+S23+S24+S25+S26+S27+S28+S29</f>
        <v>168750950.86000001</v>
      </c>
      <c r="T69" s="71"/>
      <c r="U69" s="71"/>
      <c r="V69" s="71"/>
      <c r="W69" s="71"/>
      <c r="X69" s="71"/>
      <c r="Y69" s="71"/>
    </row>
    <row r="70" spans="1:25">
      <c r="B70" s="11"/>
      <c r="C70" s="27">
        <f>SUM(C67:C69)</f>
        <v>1708469903.9200001</v>
      </c>
      <c r="D70" s="27"/>
      <c r="E70" s="27">
        <f>SUM(E67:E69)</f>
        <v>0</v>
      </c>
      <c r="F70" s="27"/>
      <c r="G70" s="27">
        <f>SUM(G67:G69)</f>
        <v>-2153940.63</v>
      </c>
      <c r="H70" s="27"/>
      <c r="I70" s="27">
        <f>SUM(I67:I69)</f>
        <v>0</v>
      </c>
      <c r="J70" s="27"/>
      <c r="K70" s="27">
        <f>SUM(K67:K69)</f>
        <v>0</v>
      </c>
      <c r="L70" s="27"/>
      <c r="M70" s="27">
        <f>SUM(M67:M69)</f>
        <v>0</v>
      </c>
      <c r="N70" s="27"/>
      <c r="O70" s="27">
        <f>SUM(O67:O69)</f>
        <v>0</v>
      </c>
      <c r="P70" s="27"/>
      <c r="Q70" s="27">
        <f>SUM(Q67:Q69)</f>
        <v>0</v>
      </c>
      <c r="R70" s="27"/>
      <c r="S70" s="27">
        <f>SUM(S67:S69)</f>
        <v>1706315963.29</v>
      </c>
      <c r="T70" s="71"/>
      <c r="U70" s="71"/>
      <c r="V70" s="71"/>
      <c r="W70" s="71"/>
      <c r="X70" s="71"/>
      <c r="Y70" s="71"/>
    </row>
    <row r="71" spans="1:25">
      <c r="C71" s="27"/>
      <c r="D71" s="27"/>
      <c r="E71" s="27"/>
      <c r="F71" s="27"/>
      <c r="G71" s="27"/>
      <c r="H71" s="27"/>
      <c r="I71" s="27"/>
      <c r="J71" s="27"/>
      <c r="K71" s="27"/>
      <c r="L71" s="27"/>
      <c r="M71" s="27"/>
      <c r="N71" s="27"/>
      <c r="O71" s="27"/>
      <c r="P71" s="27"/>
      <c r="Q71" s="27"/>
      <c r="R71" s="27"/>
      <c r="S71" s="27"/>
      <c r="T71" s="71"/>
      <c r="U71" s="71"/>
      <c r="V71" s="71"/>
      <c r="W71" s="71"/>
      <c r="X71" s="71"/>
      <c r="Y71" s="71"/>
    </row>
    <row r="72" spans="1:25">
      <c r="A72" s="12" t="s">
        <v>656</v>
      </c>
      <c r="C72" s="24"/>
      <c r="D72" s="24"/>
      <c r="E72" s="24"/>
      <c r="F72" s="24"/>
      <c r="G72" s="24"/>
      <c r="H72" s="24"/>
      <c r="I72" s="24"/>
      <c r="J72" s="24"/>
      <c r="K72" s="24"/>
      <c r="L72" s="24"/>
      <c r="M72" s="24"/>
      <c r="N72" s="24"/>
      <c r="O72" s="24"/>
      <c r="P72" s="24"/>
      <c r="Q72" s="24"/>
      <c r="R72" s="24"/>
      <c r="S72" s="24"/>
      <c r="T72" s="71"/>
      <c r="U72" s="71"/>
      <c r="V72" s="71"/>
      <c r="W72" s="71"/>
      <c r="X72" s="71"/>
      <c r="Y72" s="71"/>
    </row>
    <row r="73" spans="1:25">
      <c r="B73" s="10" t="s">
        <v>652</v>
      </c>
      <c r="C73" s="24">
        <v>0</v>
      </c>
      <c r="D73" s="24"/>
      <c r="E73" s="24">
        <v>0</v>
      </c>
      <c r="F73" s="24"/>
      <c r="G73" s="24">
        <v>0</v>
      </c>
      <c r="H73" s="24"/>
      <c r="I73" s="24">
        <v>0</v>
      </c>
      <c r="J73" s="24"/>
      <c r="K73" s="24">
        <v>0</v>
      </c>
      <c r="L73" s="24"/>
      <c r="M73" s="24">
        <v>0</v>
      </c>
      <c r="N73" s="24"/>
      <c r="O73" s="24">
        <v>0</v>
      </c>
      <c r="P73" s="24"/>
      <c r="Q73" s="24">
        <v>0</v>
      </c>
      <c r="R73" s="24"/>
      <c r="S73" s="24">
        <f>Q73+O73+M73+K73+I73+G73+E73+C73</f>
        <v>0</v>
      </c>
      <c r="T73" s="82"/>
      <c r="U73" s="71"/>
      <c r="V73" s="82"/>
      <c r="W73" s="82"/>
      <c r="X73" s="71"/>
      <c r="Y73" s="71"/>
    </row>
    <row r="74" spans="1:25">
      <c r="B74" s="10" t="s">
        <v>112</v>
      </c>
      <c r="C74" s="24">
        <v>0</v>
      </c>
      <c r="D74" s="24"/>
      <c r="E74" s="24">
        <v>0</v>
      </c>
      <c r="F74" s="24"/>
      <c r="G74" s="24">
        <v>0</v>
      </c>
      <c r="H74" s="24"/>
      <c r="I74" s="24">
        <v>0</v>
      </c>
      <c r="J74" s="24"/>
      <c r="K74" s="24">
        <v>0</v>
      </c>
      <c r="L74" s="24"/>
      <c r="M74" s="24">
        <v>0</v>
      </c>
      <c r="N74" s="24"/>
      <c r="O74" s="24">
        <v>0</v>
      </c>
      <c r="P74" s="24"/>
      <c r="Q74" s="24">
        <v>0</v>
      </c>
      <c r="R74" s="24"/>
      <c r="S74" s="24">
        <f>Q74+O74+M74+K74+I74+G74+E74+C74</f>
        <v>0</v>
      </c>
      <c r="T74" s="82"/>
      <c r="U74" s="71"/>
      <c r="V74" s="82"/>
      <c r="W74" s="82"/>
      <c r="X74" s="71"/>
      <c r="Y74" s="71"/>
    </row>
    <row r="75" spans="1:25">
      <c r="B75" s="10" t="s">
        <v>120</v>
      </c>
      <c r="C75" s="24">
        <v>0</v>
      </c>
      <c r="D75" s="24"/>
      <c r="E75" s="24">
        <v>0</v>
      </c>
      <c r="F75" s="24"/>
      <c r="G75" s="24">
        <v>0</v>
      </c>
      <c r="H75" s="24"/>
      <c r="I75" s="24">
        <v>0</v>
      </c>
      <c r="J75" s="24"/>
      <c r="K75" s="24">
        <v>0</v>
      </c>
      <c r="L75" s="24"/>
      <c r="M75" s="24">
        <v>0</v>
      </c>
      <c r="N75" s="24"/>
      <c r="O75" s="24">
        <v>0</v>
      </c>
      <c r="P75" s="24"/>
      <c r="Q75" s="24">
        <v>0</v>
      </c>
      <c r="R75" s="24"/>
      <c r="S75" s="24">
        <f>Q75+O75+M75+K75+I75+G75+E75+C75</f>
        <v>0</v>
      </c>
      <c r="T75" s="82"/>
      <c r="U75" s="71"/>
      <c r="V75" s="82"/>
      <c r="W75" s="82"/>
      <c r="X75" s="71"/>
      <c r="Y75" s="71"/>
    </row>
    <row r="76" spans="1:25">
      <c r="B76" s="11"/>
      <c r="C76" s="25">
        <f>SUM(C73:C75)</f>
        <v>0</v>
      </c>
      <c r="D76" s="24"/>
      <c r="E76" s="25">
        <f>SUM(E73:E75)</f>
        <v>0</v>
      </c>
      <c r="F76" s="24"/>
      <c r="G76" s="25">
        <f>SUM(G73:G75)</f>
        <v>0</v>
      </c>
      <c r="H76" s="24"/>
      <c r="I76" s="25">
        <f>SUM(I73:I75)</f>
        <v>0</v>
      </c>
      <c r="J76" s="24"/>
      <c r="K76" s="25">
        <f>SUM(K73:K75)</f>
        <v>0</v>
      </c>
      <c r="L76" s="24"/>
      <c r="M76" s="25">
        <f>SUM(M73:M75)</f>
        <v>0</v>
      </c>
      <c r="N76" s="24"/>
      <c r="O76" s="25">
        <f>SUM(O73:O75)</f>
        <v>0</v>
      </c>
      <c r="P76" s="24"/>
      <c r="Q76" s="25">
        <f>SUM(Q73:Q75)</f>
        <v>0</v>
      </c>
      <c r="R76" s="24"/>
      <c r="S76" s="25">
        <f>SUM(S73:S75)</f>
        <v>0</v>
      </c>
      <c r="T76" s="27"/>
      <c r="U76" s="27"/>
      <c r="V76" s="82"/>
      <c r="W76" s="118"/>
      <c r="X76" s="71"/>
      <c r="Y76" s="71"/>
    </row>
    <row r="77" spans="1:25">
      <c r="C77" s="24"/>
      <c r="D77" s="24"/>
      <c r="E77" s="24"/>
      <c r="F77" s="24"/>
      <c r="G77" s="24"/>
      <c r="H77" s="24"/>
      <c r="I77" s="24"/>
      <c r="J77" s="24"/>
      <c r="K77" s="24"/>
      <c r="L77" s="24"/>
      <c r="M77" s="24"/>
      <c r="N77" s="24"/>
      <c r="O77" s="24"/>
      <c r="P77" s="24"/>
      <c r="Q77" s="24"/>
      <c r="R77" s="24"/>
      <c r="S77" s="24"/>
      <c r="T77" s="82"/>
      <c r="U77" s="71"/>
      <c r="V77" s="71"/>
      <c r="W77" s="71"/>
      <c r="X77" s="71"/>
      <c r="Y77" s="71"/>
    </row>
    <row r="78" spans="1:25">
      <c r="B78" s="11" t="s">
        <v>657</v>
      </c>
      <c r="C78" s="28">
        <f>C70+C76</f>
        <v>1708469903.9200001</v>
      </c>
      <c r="D78" s="24"/>
      <c r="E78" s="28">
        <f>E70+E76</f>
        <v>0</v>
      </c>
      <c r="F78" s="24"/>
      <c r="G78" s="28">
        <f>G70+G76</f>
        <v>-2153940.63</v>
      </c>
      <c r="H78" s="24"/>
      <c r="I78" s="28">
        <f>I70+I76</f>
        <v>0</v>
      </c>
      <c r="J78" s="24"/>
      <c r="K78" s="28">
        <f>K70+K76</f>
        <v>0</v>
      </c>
      <c r="L78" s="24"/>
      <c r="M78" s="28">
        <f>M70+M76</f>
        <v>0</v>
      </c>
      <c r="N78" s="24"/>
      <c r="O78" s="28">
        <f>O70+O76</f>
        <v>0</v>
      </c>
      <c r="P78" s="24"/>
      <c r="Q78" s="28">
        <f>Q70+Q76</f>
        <v>0</v>
      </c>
      <c r="R78" s="24"/>
      <c r="S78" s="28">
        <f>S70+S76</f>
        <v>1706315963.29</v>
      </c>
      <c r="T78" s="21"/>
    </row>
    <row r="79" spans="1:25">
      <c r="C79" s="24"/>
      <c r="D79" s="24"/>
      <c r="E79" s="24"/>
      <c r="F79" s="24"/>
      <c r="G79" s="24"/>
      <c r="H79" s="24"/>
      <c r="I79" s="24"/>
      <c r="J79" s="24"/>
      <c r="K79" s="24"/>
      <c r="L79" s="24"/>
      <c r="M79" s="24"/>
      <c r="N79" s="24"/>
      <c r="O79" s="24"/>
      <c r="P79" s="24"/>
      <c r="Q79" s="24"/>
      <c r="R79" s="24"/>
      <c r="S79" s="24"/>
      <c r="T79" s="21"/>
    </row>
    <row r="80" spans="1:25">
      <c r="A80" s="12" t="s">
        <v>658</v>
      </c>
      <c r="C80" s="24"/>
      <c r="D80" s="24"/>
      <c r="E80" s="24"/>
      <c r="F80" s="24"/>
      <c r="G80" s="24"/>
      <c r="H80" s="24"/>
      <c r="I80" s="24"/>
      <c r="J80" s="24"/>
      <c r="K80" s="24"/>
      <c r="L80" s="24"/>
      <c r="M80" s="24"/>
      <c r="N80" s="24"/>
      <c r="O80" s="24"/>
      <c r="P80" s="24"/>
      <c r="Q80" s="24"/>
      <c r="R80" s="24"/>
      <c r="S80" s="24"/>
      <c r="T80" s="21"/>
    </row>
    <row r="81" spans="1:23">
      <c r="B81" s="10" t="s">
        <v>652</v>
      </c>
      <c r="C81" s="24">
        <v>11268293.23</v>
      </c>
      <c r="D81" s="24"/>
      <c r="E81" s="24">
        <v>0</v>
      </c>
      <c r="F81" s="24"/>
      <c r="G81" s="24">
        <v>-793063.15</v>
      </c>
      <c r="H81" s="24"/>
      <c r="I81" s="24">
        <v>0</v>
      </c>
      <c r="J81" s="24"/>
      <c r="K81" s="24">
        <v>0</v>
      </c>
      <c r="L81" s="24"/>
      <c r="M81" s="24">
        <v>0</v>
      </c>
      <c r="N81" s="24"/>
      <c r="O81" s="24">
        <v>0</v>
      </c>
      <c r="P81" s="24"/>
      <c r="Q81" s="24">
        <v>0</v>
      </c>
      <c r="R81" s="24"/>
      <c r="S81" s="24">
        <f>Q81+O81+M81+K81+I81+G81+E81+C81</f>
        <v>10475230.08</v>
      </c>
      <c r="T81" s="21"/>
    </row>
    <row r="82" spans="1:23">
      <c r="B82" s="10" t="s">
        <v>112</v>
      </c>
      <c r="C82" s="24">
        <v>0</v>
      </c>
      <c r="D82" s="24"/>
      <c r="E82" s="24">
        <v>0</v>
      </c>
      <c r="F82" s="24"/>
      <c r="G82" s="24">
        <v>0</v>
      </c>
      <c r="H82" s="24"/>
      <c r="I82" s="24">
        <v>0</v>
      </c>
      <c r="J82" s="24"/>
      <c r="K82" s="24">
        <v>0</v>
      </c>
      <c r="L82" s="24"/>
      <c r="M82" s="24">
        <v>0</v>
      </c>
      <c r="N82" s="24"/>
      <c r="O82" s="24">
        <v>0</v>
      </c>
      <c r="P82" s="24"/>
      <c r="Q82" s="24">
        <v>0</v>
      </c>
      <c r="R82" s="24"/>
      <c r="S82" s="24">
        <f>Q82+O82+M82+K82+I82+G82+E82+C82</f>
        <v>0</v>
      </c>
      <c r="T82" s="21"/>
      <c r="W82" s="72"/>
    </row>
    <row r="83" spans="1:23">
      <c r="B83" s="10" t="s">
        <v>120</v>
      </c>
      <c r="C83" s="28">
        <v>119.15999999999997</v>
      </c>
      <c r="D83" s="24"/>
      <c r="E83" s="28">
        <v>0</v>
      </c>
      <c r="F83" s="24"/>
      <c r="G83" s="28">
        <v>0</v>
      </c>
      <c r="H83" s="24"/>
      <c r="I83" s="28">
        <v>0</v>
      </c>
      <c r="J83" s="24"/>
      <c r="K83" s="28">
        <v>0</v>
      </c>
      <c r="L83" s="24"/>
      <c r="M83" s="28">
        <v>0</v>
      </c>
      <c r="N83" s="24"/>
      <c r="O83" s="28">
        <v>0</v>
      </c>
      <c r="P83" s="24"/>
      <c r="Q83" s="28">
        <v>0</v>
      </c>
      <c r="R83" s="24"/>
      <c r="S83" s="28">
        <f>Q83+O83+M83+K83+I83+G83+E83+C83</f>
        <v>119.15999999999997</v>
      </c>
      <c r="T83" s="21"/>
    </row>
    <row r="84" spans="1:23">
      <c r="B84" s="11" t="s">
        <v>659</v>
      </c>
      <c r="C84" s="27">
        <f>SUM(C81:C83)</f>
        <v>11268412.390000001</v>
      </c>
      <c r="D84" s="27"/>
      <c r="E84" s="27">
        <f>SUM(E81:E83)</f>
        <v>0</v>
      </c>
      <c r="F84" s="27"/>
      <c r="G84" s="27">
        <f>SUM(G81:G83)</f>
        <v>-793063.15</v>
      </c>
      <c r="H84" s="27"/>
      <c r="I84" s="27">
        <f>SUM(I81:I83)</f>
        <v>0</v>
      </c>
      <c r="J84" s="27"/>
      <c r="K84" s="27">
        <f>SUM(K81:K83)</f>
        <v>0</v>
      </c>
      <c r="L84" s="27"/>
      <c r="M84" s="27">
        <f>SUM(M81:M83)</f>
        <v>0</v>
      </c>
      <c r="N84" s="27"/>
      <c r="O84" s="27">
        <f>SUM(O81:O83)</f>
        <v>0</v>
      </c>
      <c r="P84" s="27"/>
      <c r="Q84" s="27">
        <f>SUM(Q81:Q83)</f>
        <v>0</v>
      </c>
      <c r="R84" s="27"/>
      <c r="S84" s="27">
        <f>SUM(S81:S83)</f>
        <v>10475349.24</v>
      </c>
      <c r="T84" s="82"/>
    </row>
    <row r="85" spans="1:23">
      <c r="B85" s="11"/>
      <c r="C85" s="27"/>
      <c r="D85" s="24"/>
      <c r="E85" s="27"/>
      <c r="F85" s="24"/>
      <c r="G85" s="27"/>
      <c r="H85" s="24"/>
      <c r="I85" s="27"/>
      <c r="J85" s="24"/>
      <c r="K85" s="27"/>
      <c r="L85" s="24"/>
      <c r="M85" s="27"/>
      <c r="N85" s="24"/>
      <c r="O85" s="27"/>
      <c r="P85" s="24"/>
      <c r="Q85" s="27"/>
      <c r="R85" s="24"/>
      <c r="S85" s="27"/>
      <c r="T85" s="21"/>
    </row>
    <row r="86" spans="1:23">
      <c r="C86" s="24"/>
      <c r="D86" s="24"/>
      <c r="E86" s="24"/>
      <c r="F86" s="24"/>
      <c r="G86" s="24"/>
      <c r="H86" s="24"/>
      <c r="I86" s="24"/>
      <c r="J86" s="24"/>
      <c r="K86" s="24"/>
      <c r="L86" s="24"/>
      <c r="M86" s="24"/>
      <c r="N86" s="24"/>
      <c r="O86" s="24"/>
      <c r="P86" s="24"/>
      <c r="Q86" s="24"/>
      <c r="R86" s="24"/>
      <c r="S86" s="24"/>
      <c r="T86" s="21"/>
    </row>
    <row r="87" spans="1:23" ht="13.5" thickBot="1">
      <c r="B87" s="11" t="s">
        <v>660</v>
      </c>
      <c r="C87" s="73">
        <f>C78+C84</f>
        <v>1719738316.3100002</v>
      </c>
      <c r="D87" s="24"/>
      <c r="E87" s="73">
        <f>E78+E84</f>
        <v>0</v>
      </c>
      <c r="F87" s="24"/>
      <c r="G87" s="73">
        <f>G78+G84</f>
        <v>-2947003.78</v>
      </c>
      <c r="H87" s="24"/>
      <c r="I87" s="73">
        <f>I78+I84</f>
        <v>0</v>
      </c>
      <c r="J87" s="24"/>
      <c r="K87" s="73">
        <f>K78+K84</f>
        <v>0</v>
      </c>
      <c r="L87" s="24"/>
      <c r="M87" s="73">
        <f>M78+M84</f>
        <v>0</v>
      </c>
      <c r="N87" s="24"/>
      <c r="O87" s="73">
        <f>O78+O84</f>
        <v>0</v>
      </c>
      <c r="P87" s="24"/>
      <c r="Q87" s="73">
        <f>Q78+Q84</f>
        <v>0</v>
      </c>
      <c r="R87" s="24"/>
      <c r="S87" s="73">
        <f>S78+S84</f>
        <v>1716791312.53</v>
      </c>
      <c r="T87" s="21"/>
    </row>
    <row r="88" spans="1:23" ht="13.5" thickTop="1">
      <c r="B88" s="11"/>
      <c r="C88" s="27"/>
      <c r="D88" s="24"/>
      <c r="E88" s="27"/>
      <c r="F88" s="24"/>
      <c r="G88" s="27"/>
      <c r="H88" s="24"/>
      <c r="I88" s="27"/>
      <c r="J88" s="24"/>
      <c r="K88" s="27"/>
      <c r="L88" s="24"/>
      <c r="M88" s="27"/>
      <c r="N88" s="24"/>
      <c r="O88" s="27"/>
      <c r="P88" s="24"/>
      <c r="Q88" s="27"/>
      <c r="R88" s="24"/>
      <c r="S88" s="27"/>
      <c r="T88" s="21"/>
    </row>
    <row r="89" spans="1:23" ht="13.5" thickBot="1">
      <c r="B89" s="11" t="s">
        <v>974</v>
      </c>
      <c r="C89" s="27"/>
      <c r="D89" s="24"/>
      <c r="E89" s="27"/>
      <c r="F89" s="24"/>
      <c r="G89" s="27"/>
      <c r="H89" s="24"/>
      <c r="I89" s="27"/>
      <c r="J89" s="24"/>
      <c r="K89" s="27"/>
      <c r="L89" s="24"/>
      <c r="M89" s="27"/>
      <c r="N89" s="24"/>
      <c r="O89" s="27"/>
      <c r="P89" s="24"/>
      <c r="Q89" s="27"/>
      <c r="R89" s="24"/>
      <c r="S89" s="56">
        <f>S87-S31</f>
        <v>1716727952.1700001</v>
      </c>
      <c r="T89" s="21"/>
    </row>
    <row r="90" spans="1:23" ht="13.5" thickTop="1">
      <c r="C90" s="24"/>
      <c r="D90" s="24"/>
      <c r="E90" s="24"/>
      <c r="F90" s="24"/>
      <c r="G90" s="24"/>
      <c r="H90" s="24"/>
      <c r="I90" s="24"/>
      <c r="J90" s="24"/>
      <c r="K90" s="24"/>
      <c r="L90" s="24"/>
      <c r="M90" s="24"/>
      <c r="N90" s="24"/>
      <c r="O90" s="24"/>
      <c r="P90" s="24"/>
      <c r="Q90" s="24"/>
      <c r="R90" s="24"/>
      <c r="S90" s="24"/>
      <c r="T90" s="21"/>
    </row>
    <row r="91" spans="1:23">
      <c r="A91" s="12" t="s">
        <v>614</v>
      </c>
      <c r="C91" s="24"/>
      <c r="D91" s="24"/>
      <c r="E91" s="24"/>
      <c r="F91" s="24"/>
      <c r="G91" s="24"/>
      <c r="H91" s="24"/>
      <c r="I91" s="24"/>
      <c r="J91" s="24"/>
      <c r="K91" s="24"/>
      <c r="L91" s="24"/>
      <c r="M91" s="24"/>
      <c r="N91" s="24"/>
      <c r="O91" s="24"/>
      <c r="P91" s="24"/>
      <c r="Q91" s="24"/>
      <c r="R91" s="24"/>
      <c r="S91" s="24"/>
      <c r="T91" s="21"/>
    </row>
    <row r="92" spans="1:23" ht="13.5" thickBot="1">
      <c r="A92" s="12" t="s">
        <v>615</v>
      </c>
      <c r="C92" s="73">
        <f>'Summary - Cost - PG 1 (PA)'!D119+C87-C31</f>
        <v>1.3351382222026587E-7</v>
      </c>
      <c r="D92" s="24"/>
      <c r="E92" s="24"/>
      <c r="F92" s="24"/>
      <c r="G92" s="24"/>
      <c r="H92" s="24"/>
      <c r="I92" s="24"/>
      <c r="J92" s="24"/>
      <c r="K92" s="24"/>
      <c r="L92" s="24"/>
      <c r="M92" s="24"/>
      <c r="N92" s="24"/>
      <c r="O92" s="24"/>
      <c r="P92" s="24"/>
      <c r="Q92" s="24"/>
      <c r="R92" s="24"/>
      <c r="S92" s="73">
        <f>'Summary - Cost - PG 1 (PA)'!N119+'Summary - Reserve - PG 2 (PA)'!S87-S31</f>
        <v>-1.0490475688129663E-7</v>
      </c>
      <c r="T92" s="21"/>
    </row>
    <row r="93" spans="1:23" ht="13.5" thickTop="1">
      <c r="C93" s="24"/>
      <c r="D93" s="24"/>
      <c r="E93" s="24"/>
      <c r="F93" s="24"/>
      <c r="G93" s="24"/>
      <c r="H93" s="24"/>
      <c r="I93" s="24"/>
      <c r="J93" s="24"/>
      <c r="L93" s="24"/>
      <c r="M93" s="24"/>
      <c r="N93" s="24"/>
      <c r="O93" s="24"/>
      <c r="P93" s="24"/>
      <c r="Q93" s="24"/>
      <c r="R93" s="24"/>
      <c r="S93" s="24"/>
      <c r="T93" s="21"/>
    </row>
    <row r="94" spans="1:23">
      <c r="C94" s="24"/>
      <c r="D94" s="24"/>
      <c r="E94" s="24"/>
      <c r="F94" s="24"/>
      <c r="G94" s="24"/>
      <c r="H94" s="24"/>
      <c r="I94" s="24"/>
      <c r="J94" s="24"/>
      <c r="K94" s="24"/>
      <c r="L94" s="24"/>
      <c r="M94" s="24"/>
      <c r="N94" s="24"/>
      <c r="O94" s="24"/>
      <c r="P94" s="24"/>
      <c r="Q94" s="24"/>
      <c r="R94" s="24"/>
      <c r="S94" s="24"/>
      <c r="T94" s="21"/>
    </row>
    <row r="95" spans="1:23">
      <c r="C95" s="24"/>
      <c r="D95" s="24"/>
      <c r="E95" s="24"/>
      <c r="F95" s="24"/>
      <c r="G95" s="24"/>
      <c r="H95" s="24"/>
      <c r="I95" s="24"/>
      <c r="J95" s="24"/>
      <c r="K95" s="24"/>
      <c r="L95" s="24"/>
      <c r="M95" s="24"/>
      <c r="N95" s="24"/>
      <c r="O95" s="24"/>
      <c r="P95" s="24"/>
      <c r="Q95" s="24"/>
      <c r="R95" s="24"/>
      <c r="S95" s="24"/>
      <c r="T95" s="21"/>
    </row>
    <row r="96" spans="1:23">
      <c r="C96" s="24"/>
      <c r="D96" s="24"/>
      <c r="E96" s="24"/>
      <c r="F96" s="24"/>
      <c r="G96" s="24"/>
      <c r="H96" s="24"/>
      <c r="I96" s="24"/>
      <c r="J96" s="24"/>
      <c r="K96" s="24"/>
      <c r="L96" s="24"/>
      <c r="M96" s="24"/>
      <c r="N96" s="24"/>
      <c r="O96" s="24"/>
      <c r="P96" s="24"/>
      <c r="Q96" s="24"/>
      <c r="R96" s="24"/>
      <c r="S96" s="24"/>
      <c r="T96" s="21"/>
    </row>
    <row r="97" spans="3:20">
      <c r="C97" s="24"/>
      <c r="D97" s="24"/>
      <c r="E97" s="24"/>
      <c r="F97" s="24"/>
      <c r="G97" s="24"/>
      <c r="H97" s="24"/>
      <c r="I97" s="24"/>
      <c r="J97" s="24"/>
      <c r="K97" s="24"/>
      <c r="L97" s="24"/>
      <c r="M97" s="24"/>
      <c r="N97" s="24"/>
      <c r="O97" s="24"/>
      <c r="P97" s="24"/>
      <c r="Q97" s="24"/>
      <c r="R97" s="24"/>
      <c r="S97" s="24"/>
      <c r="T97" s="21"/>
    </row>
    <row r="98" spans="3:20">
      <c r="C98" s="24"/>
      <c r="D98" s="24"/>
      <c r="E98" s="24"/>
      <c r="F98" s="24"/>
      <c r="G98" s="24"/>
      <c r="H98" s="24"/>
      <c r="I98" s="24"/>
      <c r="J98" s="24"/>
      <c r="K98" s="24"/>
      <c r="L98" s="24"/>
      <c r="M98" s="24"/>
      <c r="N98" s="24"/>
      <c r="O98" s="24"/>
      <c r="P98" s="24"/>
      <c r="Q98" s="24"/>
      <c r="R98" s="24"/>
      <c r="S98" s="24"/>
      <c r="T98" s="21"/>
    </row>
    <row r="99" spans="3:20">
      <c r="C99" s="24"/>
      <c r="D99" s="24"/>
      <c r="E99" s="24"/>
      <c r="F99" s="24"/>
      <c r="G99" s="24"/>
      <c r="H99" s="24"/>
      <c r="I99" s="24"/>
      <c r="J99" s="24"/>
      <c r="K99" s="24"/>
      <c r="L99" s="24"/>
      <c r="M99" s="24"/>
      <c r="N99" s="24"/>
      <c r="O99" s="24"/>
      <c r="P99" s="24"/>
      <c r="Q99" s="24"/>
      <c r="R99" s="24"/>
      <c r="S99" s="24"/>
      <c r="T99" s="21"/>
    </row>
    <row r="100" spans="3:20">
      <c r="C100" s="21"/>
      <c r="D100" s="21"/>
      <c r="E100" s="21"/>
      <c r="F100" s="21"/>
      <c r="G100" s="21"/>
      <c r="H100" s="21"/>
      <c r="I100" s="21"/>
      <c r="J100" s="21"/>
      <c r="K100" s="21"/>
      <c r="L100" s="21"/>
      <c r="M100" s="21"/>
      <c r="N100" s="21"/>
      <c r="O100" s="21"/>
      <c r="P100" s="21"/>
      <c r="Q100" s="21"/>
      <c r="R100" s="21"/>
      <c r="S100" s="21"/>
      <c r="T100" s="21"/>
    </row>
    <row r="101" spans="3:20">
      <c r="C101" s="21"/>
      <c r="D101" s="21"/>
      <c r="E101" s="21"/>
      <c r="F101" s="21"/>
      <c r="G101" s="21"/>
      <c r="H101" s="21"/>
      <c r="I101" s="21"/>
      <c r="J101" s="21"/>
      <c r="K101" s="21"/>
      <c r="L101" s="21"/>
      <c r="M101" s="21"/>
      <c r="N101" s="21"/>
      <c r="O101" s="21"/>
      <c r="P101" s="21"/>
      <c r="Q101" s="21"/>
      <c r="R101" s="21"/>
      <c r="S101" s="21"/>
      <c r="T101" s="21"/>
    </row>
    <row r="102" spans="3:20">
      <c r="C102" s="21"/>
      <c r="D102" s="21"/>
      <c r="E102" s="21"/>
      <c r="F102" s="21"/>
      <c r="G102" s="21"/>
      <c r="H102" s="21"/>
      <c r="I102" s="21"/>
      <c r="J102" s="21"/>
      <c r="K102" s="21"/>
      <c r="L102" s="21"/>
      <c r="M102" s="21"/>
      <c r="N102" s="21"/>
      <c r="O102" s="21"/>
      <c r="P102" s="21"/>
      <c r="Q102" s="21"/>
      <c r="R102" s="21"/>
      <c r="S102" s="21"/>
      <c r="T102" s="21"/>
    </row>
    <row r="103" spans="3:20">
      <c r="C103" s="21"/>
      <c r="D103" s="21"/>
      <c r="E103" s="21"/>
      <c r="F103" s="21"/>
      <c r="G103" s="21"/>
      <c r="H103" s="21"/>
      <c r="I103" s="21"/>
      <c r="J103" s="21"/>
      <c r="K103" s="21"/>
      <c r="L103" s="21"/>
      <c r="M103" s="21"/>
      <c r="N103" s="21"/>
      <c r="O103" s="21"/>
      <c r="P103" s="21"/>
      <c r="Q103" s="21"/>
      <c r="R103" s="21"/>
      <c r="S103" s="21"/>
      <c r="T103" s="21"/>
    </row>
    <row r="104" spans="3:20">
      <c r="C104" s="21"/>
      <c r="D104" s="21"/>
      <c r="E104" s="21"/>
      <c r="F104" s="21"/>
      <c r="G104" s="21"/>
      <c r="H104" s="21"/>
      <c r="I104" s="21"/>
      <c r="J104" s="21"/>
      <c r="K104" s="21"/>
      <c r="L104" s="21"/>
      <c r="M104" s="21"/>
      <c r="N104" s="21"/>
      <c r="O104" s="21"/>
      <c r="P104" s="21"/>
      <c r="Q104" s="21"/>
      <c r="R104" s="21"/>
      <c r="S104" s="21"/>
      <c r="T104" s="21"/>
    </row>
    <row r="105" spans="3:20">
      <c r="C105" s="21"/>
      <c r="D105" s="21"/>
      <c r="E105" s="21"/>
      <c r="F105" s="21"/>
      <c r="G105" s="21"/>
      <c r="H105" s="21"/>
      <c r="I105" s="21"/>
      <c r="J105" s="21"/>
      <c r="K105" s="21"/>
      <c r="L105" s="21"/>
      <c r="M105" s="21"/>
      <c r="N105" s="21"/>
      <c r="O105" s="21"/>
      <c r="P105" s="21"/>
      <c r="Q105" s="21"/>
      <c r="R105" s="21"/>
      <c r="S105" s="21"/>
      <c r="T105" s="21"/>
    </row>
    <row r="106" spans="3:20">
      <c r="C106" s="21"/>
      <c r="D106" s="21"/>
      <c r="E106" s="21"/>
      <c r="F106" s="21"/>
      <c r="G106" s="21"/>
      <c r="H106" s="21"/>
      <c r="I106" s="21"/>
      <c r="J106" s="21"/>
      <c r="K106" s="21"/>
      <c r="L106" s="21"/>
      <c r="M106" s="21"/>
      <c r="N106" s="21"/>
      <c r="O106" s="21"/>
      <c r="P106" s="21"/>
      <c r="Q106" s="21"/>
      <c r="R106" s="21"/>
      <c r="S106" s="21"/>
      <c r="T106" s="21"/>
    </row>
    <row r="107" spans="3:20">
      <c r="C107" s="21"/>
      <c r="D107" s="21"/>
      <c r="E107" s="21"/>
      <c r="F107" s="21"/>
      <c r="G107" s="21"/>
      <c r="H107" s="21"/>
      <c r="I107" s="21"/>
      <c r="J107" s="21"/>
      <c r="K107" s="21"/>
      <c r="L107" s="21"/>
      <c r="M107" s="21"/>
      <c r="N107" s="21"/>
      <c r="O107" s="21"/>
      <c r="P107" s="21"/>
      <c r="Q107" s="21"/>
      <c r="R107" s="21"/>
      <c r="S107" s="21"/>
      <c r="T107" s="21"/>
    </row>
    <row r="108" spans="3:20">
      <c r="C108" s="21"/>
      <c r="D108" s="21"/>
      <c r="E108" s="21"/>
      <c r="F108" s="21"/>
      <c r="G108" s="21"/>
      <c r="H108" s="21"/>
      <c r="I108" s="21"/>
      <c r="J108" s="21"/>
      <c r="K108" s="21"/>
      <c r="L108" s="21"/>
      <c r="M108" s="21"/>
      <c r="N108" s="21"/>
      <c r="O108" s="21"/>
      <c r="P108" s="21"/>
      <c r="Q108" s="21"/>
      <c r="R108" s="21"/>
      <c r="S108" s="21"/>
      <c r="T108" s="21"/>
    </row>
    <row r="109" spans="3:20">
      <c r="C109" s="21"/>
      <c r="D109" s="21"/>
      <c r="E109" s="21"/>
      <c r="F109" s="21"/>
      <c r="G109" s="21"/>
      <c r="H109" s="21"/>
      <c r="I109" s="21"/>
      <c r="J109" s="21"/>
      <c r="K109" s="21"/>
      <c r="L109" s="21"/>
      <c r="M109" s="21"/>
      <c r="N109" s="21"/>
      <c r="O109" s="21"/>
      <c r="P109" s="21"/>
      <c r="Q109" s="21"/>
      <c r="R109" s="21"/>
      <c r="S109" s="21"/>
      <c r="T109" s="21"/>
    </row>
    <row r="110" spans="3:20">
      <c r="C110" s="21"/>
      <c r="D110" s="21"/>
      <c r="E110" s="21"/>
      <c r="F110" s="21"/>
      <c r="G110" s="21"/>
      <c r="H110" s="21"/>
      <c r="I110" s="21"/>
      <c r="J110" s="21"/>
      <c r="K110" s="21"/>
      <c r="L110" s="21"/>
      <c r="M110" s="21"/>
      <c r="N110" s="21"/>
      <c r="O110" s="21"/>
      <c r="P110" s="21"/>
      <c r="Q110" s="21"/>
      <c r="R110" s="21"/>
      <c r="S110" s="21"/>
      <c r="T110" s="21"/>
    </row>
    <row r="111" spans="3:20">
      <c r="C111" s="21"/>
      <c r="D111" s="21"/>
      <c r="E111" s="21"/>
      <c r="F111" s="21"/>
      <c r="G111" s="21"/>
      <c r="H111" s="21"/>
      <c r="I111" s="21"/>
      <c r="J111" s="21"/>
      <c r="K111" s="21"/>
      <c r="L111" s="21"/>
      <c r="M111" s="21"/>
      <c r="N111" s="21"/>
      <c r="O111" s="21"/>
      <c r="P111" s="21"/>
      <c r="Q111" s="21"/>
      <c r="R111" s="21"/>
      <c r="S111" s="21"/>
      <c r="T111" s="21"/>
    </row>
    <row r="112" spans="3:20">
      <c r="C112" s="21"/>
      <c r="D112" s="21"/>
      <c r="E112" s="21"/>
      <c r="F112" s="21"/>
      <c r="G112" s="21"/>
      <c r="H112" s="21"/>
      <c r="I112" s="21"/>
      <c r="J112" s="21"/>
      <c r="K112" s="21"/>
      <c r="L112" s="21"/>
      <c r="M112" s="21"/>
      <c r="N112" s="21"/>
      <c r="O112" s="21"/>
      <c r="P112" s="21"/>
      <c r="Q112" s="21"/>
      <c r="R112" s="21"/>
      <c r="S112" s="21"/>
      <c r="T112" s="21"/>
    </row>
    <row r="113" spans="3:20">
      <c r="C113" s="21"/>
      <c r="D113" s="21"/>
      <c r="E113" s="21"/>
      <c r="F113" s="21"/>
      <c r="G113" s="21"/>
      <c r="H113" s="21"/>
      <c r="I113" s="21"/>
      <c r="J113" s="21"/>
      <c r="K113" s="21"/>
      <c r="L113" s="21"/>
      <c r="M113" s="21"/>
      <c r="N113" s="21"/>
      <c r="O113" s="21"/>
      <c r="P113" s="21"/>
      <c r="Q113" s="21"/>
      <c r="R113" s="21"/>
      <c r="S113" s="21"/>
      <c r="T113" s="21"/>
    </row>
    <row r="114" spans="3:20">
      <c r="C114" s="21"/>
      <c r="D114" s="21"/>
      <c r="E114" s="21"/>
      <c r="F114" s="21"/>
      <c r="G114" s="21"/>
      <c r="H114" s="21"/>
      <c r="I114" s="21"/>
      <c r="J114" s="21"/>
      <c r="K114" s="21"/>
      <c r="L114" s="21"/>
      <c r="M114" s="21"/>
      <c r="N114" s="21"/>
      <c r="O114" s="21"/>
      <c r="P114" s="21"/>
      <c r="Q114" s="21"/>
      <c r="R114" s="21"/>
      <c r="S114" s="21"/>
      <c r="T114" s="21"/>
    </row>
    <row r="115" spans="3:20">
      <c r="C115" s="21"/>
      <c r="D115" s="21"/>
      <c r="E115" s="21"/>
      <c r="F115" s="21"/>
      <c r="G115" s="21"/>
      <c r="H115" s="21"/>
      <c r="I115" s="21"/>
      <c r="J115" s="21"/>
      <c r="K115" s="21"/>
      <c r="L115" s="21"/>
      <c r="M115" s="21"/>
      <c r="N115" s="21"/>
      <c r="O115" s="21"/>
      <c r="P115" s="21"/>
      <c r="Q115" s="21"/>
      <c r="R115" s="21"/>
      <c r="S115" s="21"/>
      <c r="T115" s="21"/>
    </row>
    <row r="116" spans="3:20">
      <c r="C116" s="21"/>
      <c r="D116" s="21"/>
      <c r="E116" s="21"/>
      <c r="F116" s="21"/>
      <c r="G116" s="21"/>
      <c r="H116" s="21"/>
      <c r="I116" s="21"/>
      <c r="J116" s="21"/>
      <c r="K116" s="21"/>
      <c r="L116" s="21"/>
      <c r="M116" s="21"/>
      <c r="N116" s="21"/>
      <c r="O116" s="21"/>
      <c r="P116" s="21"/>
      <c r="Q116" s="21"/>
      <c r="R116" s="21"/>
      <c r="S116" s="21"/>
      <c r="T116" s="21"/>
    </row>
    <row r="117" spans="3:20">
      <c r="C117" s="21"/>
      <c r="D117" s="21"/>
      <c r="E117" s="21"/>
      <c r="F117" s="21"/>
      <c r="G117" s="21"/>
      <c r="H117" s="21"/>
      <c r="I117" s="21"/>
      <c r="J117" s="21"/>
      <c r="K117" s="21"/>
      <c r="L117" s="21"/>
      <c r="M117" s="21"/>
      <c r="N117" s="21"/>
      <c r="O117" s="21"/>
      <c r="P117" s="21"/>
      <c r="Q117" s="21"/>
      <c r="R117" s="21"/>
      <c r="S117" s="21"/>
      <c r="T117" s="21"/>
    </row>
    <row r="118" spans="3:20">
      <c r="C118" s="21"/>
      <c r="D118" s="21"/>
      <c r="E118" s="21"/>
      <c r="F118" s="21"/>
      <c r="G118" s="21"/>
      <c r="H118" s="21"/>
      <c r="I118" s="21"/>
      <c r="J118" s="21"/>
      <c r="K118" s="21"/>
      <c r="L118" s="21"/>
      <c r="M118" s="21"/>
      <c r="N118" s="21"/>
      <c r="O118" s="21"/>
      <c r="P118" s="21"/>
      <c r="Q118" s="21"/>
      <c r="R118" s="21"/>
      <c r="S118" s="21"/>
      <c r="T118" s="21"/>
    </row>
    <row r="119" spans="3:20">
      <c r="C119" s="21"/>
      <c r="D119" s="21"/>
      <c r="E119" s="21"/>
      <c r="F119" s="21"/>
      <c r="G119" s="21"/>
      <c r="H119" s="21"/>
      <c r="I119" s="21"/>
      <c r="J119" s="21"/>
      <c r="K119" s="21"/>
      <c r="L119" s="21"/>
      <c r="M119" s="21"/>
      <c r="N119" s="21"/>
      <c r="O119" s="21"/>
      <c r="P119" s="21"/>
      <c r="Q119" s="21"/>
      <c r="R119" s="21"/>
      <c r="S119" s="21"/>
      <c r="T119" s="21"/>
    </row>
    <row r="120" spans="3:20">
      <c r="C120" s="21"/>
      <c r="D120" s="21"/>
      <c r="E120" s="21"/>
      <c r="F120" s="21"/>
      <c r="G120" s="21"/>
      <c r="H120" s="21"/>
      <c r="I120" s="21"/>
      <c r="J120" s="21"/>
      <c r="K120" s="21"/>
      <c r="L120" s="21"/>
      <c r="M120" s="21"/>
      <c r="N120" s="21"/>
      <c r="O120" s="21"/>
      <c r="P120" s="21"/>
      <c r="Q120" s="21"/>
      <c r="R120" s="21"/>
      <c r="S120" s="21"/>
      <c r="T120" s="21"/>
    </row>
    <row r="121" spans="3:20">
      <c r="C121" s="21"/>
      <c r="D121" s="21"/>
      <c r="E121" s="21"/>
      <c r="F121" s="21"/>
      <c r="G121" s="21"/>
      <c r="H121" s="21"/>
      <c r="I121" s="21"/>
      <c r="J121" s="21"/>
      <c r="K121" s="21"/>
      <c r="L121" s="21"/>
      <c r="M121" s="21"/>
      <c r="N121" s="21"/>
      <c r="O121" s="21"/>
      <c r="P121" s="21"/>
      <c r="Q121" s="21"/>
      <c r="R121" s="21"/>
      <c r="S121" s="21"/>
      <c r="T121" s="21"/>
    </row>
    <row r="122" spans="3:20">
      <c r="C122" s="21"/>
      <c r="D122" s="21"/>
      <c r="E122" s="21"/>
      <c r="F122" s="21"/>
      <c r="G122" s="21"/>
      <c r="H122" s="21"/>
      <c r="I122" s="21"/>
      <c r="J122" s="21"/>
      <c r="K122" s="21"/>
      <c r="L122" s="21"/>
      <c r="M122" s="21"/>
      <c r="N122" s="21"/>
      <c r="O122" s="21"/>
      <c r="P122" s="21"/>
      <c r="Q122" s="21"/>
      <c r="R122" s="21"/>
      <c r="S122" s="21"/>
      <c r="T122" s="21"/>
    </row>
    <row r="123" spans="3:20">
      <c r="C123" s="21"/>
      <c r="D123" s="21"/>
      <c r="E123" s="21"/>
      <c r="F123" s="21"/>
      <c r="G123" s="21"/>
      <c r="H123" s="21"/>
      <c r="I123" s="21"/>
      <c r="J123" s="21"/>
      <c r="K123" s="21"/>
      <c r="L123" s="21"/>
      <c r="M123" s="21"/>
      <c r="N123" s="21"/>
      <c r="O123" s="21"/>
      <c r="P123" s="21"/>
      <c r="Q123" s="21"/>
      <c r="R123" s="21"/>
      <c r="S123" s="21"/>
      <c r="T123" s="21"/>
    </row>
    <row r="124" spans="3:20">
      <c r="C124" s="21"/>
      <c r="D124" s="21"/>
      <c r="E124" s="21"/>
      <c r="F124" s="21"/>
      <c r="G124" s="21"/>
      <c r="H124" s="21"/>
      <c r="I124" s="21"/>
      <c r="J124" s="21"/>
      <c r="K124" s="21"/>
      <c r="L124" s="21"/>
      <c r="M124" s="21"/>
      <c r="N124" s="21"/>
      <c r="O124" s="21"/>
      <c r="P124" s="21"/>
      <c r="Q124" s="21"/>
      <c r="R124" s="21"/>
      <c r="S124" s="21"/>
      <c r="T124" s="21"/>
    </row>
    <row r="125" spans="3:20">
      <c r="C125" s="21"/>
      <c r="D125" s="21"/>
      <c r="E125" s="21"/>
      <c r="F125" s="21"/>
      <c r="G125" s="21"/>
      <c r="H125" s="21"/>
      <c r="I125" s="21"/>
      <c r="J125" s="21"/>
      <c r="K125" s="21"/>
      <c r="L125" s="21"/>
      <c r="M125" s="21"/>
      <c r="N125" s="21"/>
      <c r="O125" s="21"/>
      <c r="P125" s="21"/>
      <c r="Q125" s="21"/>
      <c r="R125" s="21"/>
      <c r="S125" s="21"/>
      <c r="T125" s="21"/>
    </row>
    <row r="126" spans="3:20">
      <c r="C126" s="21"/>
      <c r="D126" s="21"/>
      <c r="E126" s="21"/>
      <c r="F126" s="21"/>
      <c r="G126" s="21"/>
      <c r="H126" s="21"/>
      <c r="I126" s="21"/>
      <c r="J126" s="21"/>
      <c r="K126" s="21"/>
      <c r="L126" s="21"/>
      <c r="M126" s="21"/>
      <c r="N126" s="21"/>
      <c r="O126" s="21"/>
      <c r="P126" s="21"/>
      <c r="Q126" s="21"/>
      <c r="R126" s="21"/>
      <c r="S126" s="21"/>
      <c r="T126" s="21"/>
    </row>
    <row r="127" spans="3:20">
      <c r="C127" s="21"/>
      <c r="D127" s="21"/>
      <c r="E127" s="21"/>
      <c r="F127" s="21"/>
      <c r="G127" s="21"/>
      <c r="H127" s="21"/>
      <c r="I127" s="21"/>
      <c r="J127" s="21"/>
      <c r="K127" s="21"/>
      <c r="L127" s="21"/>
      <c r="M127" s="21"/>
      <c r="N127" s="21"/>
      <c r="O127" s="21"/>
      <c r="P127" s="21"/>
      <c r="Q127" s="21"/>
      <c r="R127" s="21"/>
      <c r="S127" s="21"/>
      <c r="T127" s="21"/>
    </row>
    <row r="128" spans="3:20">
      <c r="C128" s="21"/>
      <c r="D128" s="21"/>
      <c r="E128" s="21"/>
      <c r="F128" s="21"/>
      <c r="G128" s="21"/>
      <c r="H128" s="21"/>
      <c r="I128" s="21"/>
      <c r="J128" s="21"/>
      <c r="K128" s="21"/>
      <c r="L128" s="21"/>
      <c r="M128" s="21"/>
      <c r="N128" s="21"/>
      <c r="O128" s="21"/>
      <c r="P128" s="21"/>
      <c r="Q128" s="21"/>
      <c r="R128" s="21"/>
      <c r="S128" s="21"/>
      <c r="T128" s="21"/>
    </row>
    <row r="129" spans="3:20">
      <c r="C129" s="21"/>
      <c r="D129" s="21"/>
      <c r="E129" s="21"/>
      <c r="F129" s="21"/>
      <c r="G129" s="21"/>
      <c r="H129" s="21"/>
      <c r="I129" s="21"/>
      <c r="J129" s="21"/>
      <c r="K129" s="21"/>
      <c r="L129" s="21"/>
      <c r="M129" s="21"/>
      <c r="N129" s="21"/>
      <c r="O129" s="21"/>
      <c r="P129" s="21"/>
      <c r="Q129" s="21"/>
      <c r="R129" s="21"/>
      <c r="S129" s="21"/>
      <c r="T129" s="21"/>
    </row>
    <row r="130" spans="3:20">
      <c r="C130" s="21"/>
      <c r="D130" s="21"/>
      <c r="E130" s="21"/>
      <c r="F130" s="21"/>
      <c r="G130" s="21"/>
      <c r="H130" s="21"/>
      <c r="I130" s="21"/>
      <c r="J130" s="21"/>
      <c r="K130" s="21"/>
      <c r="L130" s="21"/>
      <c r="M130" s="21"/>
      <c r="N130" s="21"/>
      <c r="O130" s="21"/>
      <c r="P130" s="21"/>
      <c r="Q130" s="21"/>
      <c r="R130" s="21"/>
      <c r="S130" s="21"/>
      <c r="T130" s="21"/>
    </row>
    <row r="131" spans="3:20">
      <c r="C131" s="21"/>
      <c r="D131" s="21"/>
      <c r="E131" s="21"/>
      <c r="F131" s="21"/>
      <c r="G131" s="21"/>
      <c r="H131" s="21"/>
      <c r="I131" s="21"/>
      <c r="J131" s="21"/>
      <c r="K131" s="21"/>
      <c r="L131" s="21"/>
      <c r="M131" s="21"/>
      <c r="N131" s="21"/>
      <c r="O131" s="21"/>
      <c r="P131" s="21"/>
      <c r="Q131" s="21"/>
      <c r="R131" s="21"/>
      <c r="S131" s="21"/>
      <c r="T131" s="21"/>
    </row>
    <row r="132" spans="3:20">
      <c r="C132" s="21"/>
      <c r="D132" s="21"/>
      <c r="E132" s="21"/>
      <c r="F132" s="21"/>
      <c r="G132" s="21"/>
      <c r="H132" s="21"/>
      <c r="I132" s="21"/>
      <c r="J132" s="21"/>
      <c r="K132" s="21"/>
      <c r="L132" s="21"/>
      <c r="M132" s="21"/>
      <c r="N132" s="21"/>
      <c r="O132" s="21"/>
      <c r="P132" s="21"/>
      <c r="Q132" s="21"/>
      <c r="R132" s="21"/>
      <c r="S132" s="21"/>
      <c r="T132" s="21"/>
    </row>
    <row r="133" spans="3:20">
      <c r="C133" s="21"/>
      <c r="D133" s="21"/>
      <c r="E133" s="21"/>
      <c r="F133" s="21"/>
      <c r="G133" s="21"/>
      <c r="H133" s="21"/>
      <c r="I133" s="21"/>
      <c r="J133" s="21"/>
      <c r="K133" s="21"/>
      <c r="L133" s="21"/>
      <c r="M133" s="21"/>
      <c r="N133" s="21"/>
      <c r="O133" s="21"/>
      <c r="P133" s="21"/>
      <c r="Q133" s="21"/>
      <c r="R133" s="21"/>
      <c r="S133" s="21"/>
      <c r="T133" s="21"/>
    </row>
    <row r="134" spans="3:20">
      <c r="C134" s="21"/>
      <c r="D134" s="21"/>
      <c r="E134" s="21"/>
      <c r="F134" s="21"/>
      <c r="G134" s="21"/>
      <c r="H134" s="21"/>
      <c r="I134" s="21"/>
      <c r="J134" s="21"/>
      <c r="K134" s="21"/>
      <c r="L134" s="21"/>
      <c r="M134" s="21"/>
      <c r="N134" s="21"/>
      <c r="O134" s="21"/>
      <c r="P134" s="21"/>
      <c r="Q134" s="21"/>
      <c r="R134" s="21"/>
      <c r="S134" s="21"/>
      <c r="T134" s="21"/>
    </row>
    <row r="135" spans="3:20">
      <c r="C135" s="21"/>
      <c r="D135" s="21"/>
      <c r="E135" s="21"/>
      <c r="F135" s="21"/>
      <c r="G135" s="21"/>
      <c r="H135" s="21"/>
      <c r="I135" s="21"/>
      <c r="J135" s="21"/>
      <c r="K135" s="21"/>
      <c r="L135" s="21"/>
      <c r="M135" s="21"/>
      <c r="N135" s="21"/>
      <c r="O135" s="21"/>
      <c r="P135" s="21"/>
      <c r="Q135" s="21"/>
      <c r="R135" s="21"/>
      <c r="S135" s="21"/>
      <c r="T135" s="21"/>
    </row>
    <row r="136" spans="3:20">
      <c r="C136" s="21"/>
      <c r="D136" s="21"/>
      <c r="E136" s="21"/>
      <c r="F136" s="21"/>
      <c r="G136" s="21"/>
      <c r="H136" s="21"/>
      <c r="I136" s="21"/>
      <c r="J136" s="21"/>
      <c r="K136" s="21"/>
      <c r="L136" s="21"/>
      <c r="M136" s="21"/>
      <c r="N136" s="21"/>
      <c r="O136" s="21"/>
      <c r="P136" s="21"/>
      <c r="Q136" s="21"/>
      <c r="R136" s="21"/>
      <c r="S136" s="21"/>
      <c r="T136" s="21"/>
    </row>
    <row r="137" spans="3:20">
      <c r="C137" s="21"/>
      <c r="D137" s="21"/>
      <c r="E137" s="21"/>
      <c r="F137" s="21"/>
      <c r="G137" s="21"/>
      <c r="H137" s="21"/>
      <c r="I137" s="21"/>
      <c r="J137" s="21"/>
      <c r="K137" s="21"/>
      <c r="L137" s="21"/>
      <c r="M137" s="21"/>
      <c r="N137" s="21"/>
      <c r="O137" s="21"/>
      <c r="P137" s="21"/>
      <c r="Q137" s="21"/>
      <c r="R137" s="21"/>
      <c r="S137" s="21"/>
      <c r="T137" s="21"/>
    </row>
    <row r="138" spans="3:20">
      <c r="C138" s="21"/>
      <c r="D138" s="21"/>
      <c r="E138" s="21"/>
      <c r="F138" s="21"/>
      <c r="G138" s="21"/>
      <c r="H138" s="21"/>
      <c r="I138" s="21"/>
      <c r="J138" s="21"/>
      <c r="K138" s="21"/>
      <c r="L138" s="21"/>
      <c r="M138" s="21"/>
      <c r="N138" s="21"/>
      <c r="O138" s="21"/>
      <c r="P138" s="21"/>
      <c r="Q138" s="21"/>
      <c r="R138" s="21"/>
      <c r="S138" s="21"/>
      <c r="T138" s="21"/>
    </row>
    <row r="139" spans="3:20">
      <c r="C139" s="21"/>
      <c r="D139" s="21"/>
      <c r="E139" s="21"/>
      <c r="F139" s="21"/>
      <c r="G139" s="21"/>
      <c r="H139" s="21"/>
      <c r="I139" s="21"/>
      <c r="J139" s="21"/>
      <c r="K139" s="21"/>
      <c r="L139" s="21"/>
      <c r="M139" s="21"/>
      <c r="N139" s="21"/>
      <c r="O139" s="21"/>
      <c r="P139" s="21"/>
      <c r="Q139" s="21"/>
      <c r="R139" s="21"/>
      <c r="S139" s="21"/>
      <c r="T139" s="21"/>
    </row>
    <row r="140" spans="3:20">
      <c r="C140" s="21"/>
      <c r="D140" s="21"/>
      <c r="E140" s="21"/>
      <c r="F140" s="21"/>
      <c r="G140" s="21"/>
      <c r="H140" s="21"/>
      <c r="I140" s="21"/>
      <c r="J140" s="21"/>
      <c r="K140" s="21"/>
      <c r="L140" s="21"/>
      <c r="M140" s="21"/>
      <c r="N140" s="21"/>
      <c r="O140" s="21"/>
      <c r="P140" s="21"/>
      <c r="Q140" s="21"/>
      <c r="R140" s="21"/>
      <c r="S140" s="21"/>
      <c r="T140" s="21"/>
    </row>
    <row r="141" spans="3:20">
      <c r="C141" s="21"/>
      <c r="D141" s="21"/>
      <c r="E141" s="21"/>
      <c r="F141" s="21"/>
      <c r="G141" s="21"/>
      <c r="H141" s="21"/>
      <c r="I141" s="21"/>
      <c r="J141" s="21"/>
      <c r="K141" s="21"/>
      <c r="L141" s="21"/>
      <c r="M141" s="21"/>
      <c r="N141" s="21"/>
      <c r="O141" s="21"/>
      <c r="P141" s="21"/>
      <c r="Q141" s="21"/>
      <c r="R141" s="21"/>
      <c r="S141" s="21"/>
      <c r="T141" s="21"/>
    </row>
    <row r="142" spans="3:20">
      <c r="C142" s="21"/>
      <c r="D142" s="21"/>
      <c r="E142" s="21"/>
      <c r="F142" s="21"/>
      <c r="G142" s="21"/>
      <c r="H142" s="21"/>
      <c r="I142" s="21"/>
      <c r="J142" s="21"/>
      <c r="K142" s="21"/>
      <c r="L142" s="21"/>
      <c r="M142" s="21"/>
      <c r="N142" s="21"/>
      <c r="O142" s="21"/>
      <c r="P142" s="21"/>
      <c r="Q142" s="21"/>
      <c r="R142" s="21"/>
      <c r="S142" s="21"/>
      <c r="T142" s="21"/>
    </row>
    <row r="143" spans="3:20">
      <c r="C143" s="21"/>
      <c r="D143" s="21"/>
      <c r="E143" s="21"/>
      <c r="F143" s="21"/>
      <c r="G143" s="21"/>
      <c r="H143" s="21"/>
      <c r="I143" s="21"/>
      <c r="J143" s="21"/>
      <c r="K143" s="21"/>
      <c r="L143" s="21"/>
      <c r="M143" s="21"/>
      <c r="N143" s="21"/>
      <c r="O143" s="21"/>
      <c r="P143" s="21"/>
      <c r="Q143" s="21"/>
      <c r="R143" s="21"/>
      <c r="S143" s="21"/>
      <c r="T143" s="21"/>
    </row>
    <row r="144" spans="3:20">
      <c r="C144" s="21"/>
      <c r="D144" s="21"/>
      <c r="E144" s="21"/>
      <c r="F144" s="21"/>
      <c r="G144" s="21"/>
      <c r="H144" s="21"/>
      <c r="I144" s="21"/>
      <c r="J144" s="21"/>
      <c r="K144" s="21"/>
      <c r="L144" s="21"/>
      <c r="M144" s="21"/>
      <c r="N144" s="21"/>
      <c r="O144" s="21"/>
      <c r="P144" s="21"/>
      <c r="Q144" s="21"/>
      <c r="R144" s="21"/>
      <c r="S144" s="21"/>
      <c r="T144" s="21"/>
    </row>
    <row r="145" spans="3:20">
      <c r="C145" s="21"/>
      <c r="D145" s="21"/>
      <c r="E145" s="21"/>
      <c r="F145" s="21"/>
      <c r="G145" s="21"/>
      <c r="H145" s="21"/>
      <c r="I145" s="21"/>
      <c r="J145" s="21"/>
      <c r="K145" s="21"/>
      <c r="L145" s="21"/>
      <c r="M145" s="21"/>
      <c r="N145" s="21"/>
      <c r="O145" s="21"/>
      <c r="P145" s="21"/>
      <c r="Q145" s="21"/>
      <c r="R145" s="21"/>
      <c r="S145" s="21"/>
      <c r="T145" s="21"/>
    </row>
    <row r="146" spans="3:20">
      <c r="C146" s="21"/>
      <c r="D146" s="21"/>
      <c r="E146" s="21"/>
      <c r="F146" s="21"/>
      <c r="G146" s="21"/>
      <c r="H146" s="21"/>
      <c r="I146" s="21"/>
      <c r="J146" s="21"/>
      <c r="K146" s="21"/>
      <c r="L146" s="21"/>
      <c r="M146" s="21"/>
      <c r="N146" s="21"/>
      <c r="O146" s="21"/>
      <c r="P146" s="21"/>
      <c r="Q146" s="21"/>
      <c r="R146" s="21"/>
      <c r="S146" s="21"/>
      <c r="T146" s="21"/>
    </row>
    <row r="147" spans="3:20">
      <c r="C147" s="21"/>
      <c r="D147" s="21"/>
      <c r="E147" s="21"/>
      <c r="F147" s="21"/>
      <c r="G147" s="21"/>
      <c r="H147" s="21"/>
      <c r="I147" s="21"/>
      <c r="J147" s="21"/>
      <c r="K147" s="21"/>
      <c r="L147" s="21"/>
      <c r="M147" s="21"/>
      <c r="N147" s="21"/>
      <c r="O147" s="21"/>
      <c r="P147" s="21"/>
      <c r="Q147" s="21"/>
      <c r="R147" s="21"/>
      <c r="S147" s="21"/>
      <c r="T147" s="21"/>
    </row>
    <row r="148" spans="3:20">
      <c r="C148" s="21"/>
      <c r="D148" s="21"/>
      <c r="E148" s="21"/>
      <c r="F148" s="21"/>
      <c r="G148" s="21"/>
      <c r="H148" s="21"/>
      <c r="I148" s="21"/>
      <c r="J148" s="21"/>
      <c r="K148" s="21"/>
      <c r="L148" s="21"/>
      <c r="M148" s="21"/>
      <c r="N148" s="21"/>
      <c r="O148" s="21"/>
      <c r="P148" s="21"/>
      <c r="Q148" s="21"/>
      <c r="R148" s="21"/>
      <c r="S148" s="21"/>
      <c r="T148" s="21"/>
    </row>
    <row r="149" spans="3:20">
      <c r="C149" s="21"/>
      <c r="D149" s="21"/>
      <c r="E149" s="21"/>
      <c r="F149" s="21"/>
      <c r="G149" s="21"/>
      <c r="H149" s="21"/>
      <c r="I149" s="21"/>
      <c r="J149" s="21"/>
      <c r="K149" s="21"/>
      <c r="L149" s="21"/>
      <c r="M149" s="21"/>
      <c r="N149" s="21"/>
      <c r="O149" s="21"/>
      <c r="P149" s="21"/>
      <c r="Q149" s="21"/>
      <c r="R149" s="21"/>
      <c r="S149" s="21"/>
      <c r="T149" s="21"/>
    </row>
    <row r="150" spans="3:20">
      <c r="C150" s="21"/>
      <c r="D150" s="21"/>
      <c r="E150" s="21"/>
      <c r="F150" s="21"/>
      <c r="G150" s="21"/>
      <c r="H150" s="21"/>
      <c r="I150" s="21"/>
      <c r="J150" s="21"/>
      <c r="K150" s="21"/>
      <c r="L150" s="21"/>
      <c r="M150" s="21"/>
      <c r="N150" s="21"/>
      <c r="O150" s="21"/>
      <c r="P150" s="21"/>
      <c r="Q150" s="21"/>
      <c r="R150" s="21"/>
      <c r="S150" s="21"/>
      <c r="T150" s="21"/>
    </row>
    <row r="151" spans="3:20">
      <c r="C151" s="21"/>
      <c r="D151" s="21"/>
      <c r="E151" s="21"/>
      <c r="F151" s="21"/>
      <c r="G151" s="21"/>
      <c r="H151" s="21"/>
      <c r="I151" s="21"/>
      <c r="J151" s="21"/>
      <c r="K151" s="21"/>
      <c r="L151" s="21"/>
      <c r="M151" s="21"/>
      <c r="N151" s="21"/>
      <c r="O151" s="21"/>
      <c r="P151" s="21"/>
      <c r="Q151" s="21"/>
      <c r="R151" s="21"/>
      <c r="S151" s="21"/>
      <c r="T151" s="21"/>
    </row>
    <row r="152" spans="3:20">
      <c r="C152" s="21"/>
      <c r="D152" s="21"/>
      <c r="E152" s="21"/>
      <c r="F152" s="21"/>
      <c r="G152" s="21"/>
      <c r="H152" s="21"/>
      <c r="I152" s="21"/>
      <c r="J152" s="21"/>
      <c r="K152" s="21"/>
      <c r="L152" s="21"/>
      <c r="M152" s="21"/>
      <c r="N152" s="21"/>
      <c r="O152" s="21"/>
      <c r="P152" s="21"/>
      <c r="Q152" s="21"/>
      <c r="R152" s="21"/>
      <c r="S152" s="21"/>
      <c r="T152" s="21"/>
    </row>
    <row r="153" spans="3:20">
      <c r="C153" s="21"/>
      <c r="D153" s="21"/>
      <c r="E153" s="21"/>
      <c r="F153" s="21"/>
      <c r="G153" s="21"/>
      <c r="H153" s="21"/>
      <c r="I153" s="21"/>
      <c r="J153" s="21"/>
      <c r="K153" s="21"/>
      <c r="L153" s="21"/>
      <c r="M153" s="21"/>
      <c r="N153" s="21"/>
      <c r="O153" s="21"/>
      <c r="P153" s="21"/>
      <c r="Q153" s="21"/>
      <c r="R153" s="21"/>
      <c r="S153" s="21"/>
      <c r="T153" s="21"/>
    </row>
    <row r="154" spans="3:20">
      <c r="C154" s="21"/>
      <c r="D154" s="21"/>
      <c r="E154" s="21"/>
      <c r="F154" s="21"/>
      <c r="G154" s="21"/>
      <c r="H154" s="21"/>
      <c r="I154" s="21"/>
      <c r="J154" s="21"/>
      <c r="K154" s="21"/>
      <c r="L154" s="21"/>
      <c r="M154" s="21"/>
      <c r="N154" s="21"/>
      <c r="O154" s="21"/>
      <c r="P154" s="21"/>
      <c r="Q154" s="21"/>
      <c r="R154" s="21"/>
      <c r="S154" s="21"/>
      <c r="T154" s="21"/>
    </row>
    <row r="155" spans="3:20">
      <c r="C155" s="21"/>
      <c r="D155" s="21"/>
      <c r="E155" s="21"/>
      <c r="F155" s="21"/>
      <c r="G155" s="21"/>
      <c r="H155" s="21"/>
      <c r="I155" s="21"/>
      <c r="J155" s="21"/>
      <c r="K155" s="21"/>
      <c r="L155" s="21"/>
      <c r="M155" s="21"/>
      <c r="N155" s="21"/>
      <c r="O155" s="21"/>
      <c r="P155" s="21"/>
      <c r="Q155" s="21"/>
      <c r="R155" s="21"/>
      <c r="S155" s="21"/>
      <c r="T155" s="21"/>
    </row>
    <row r="156" spans="3:20">
      <c r="C156" s="21"/>
      <c r="D156" s="21"/>
      <c r="E156" s="21"/>
      <c r="F156" s="21"/>
      <c r="G156" s="21"/>
      <c r="H156" s="21"/>
      <c r="I156" s="21"/>
      <c r="J156" s="21"/>
      <c r="K156" s="21"/>
      <c r="L156" s="21"/>
      <c r="M156" s="21"/>
      <c r="N156" s="21"/>
      <c r="O156" s="21"/>
      <c r="P156" s="21"/>
      <c r="Q156" s="21"/>
      <c r="R156" s="21"/>
      <c r="S156" s="21"/>
      <c r="T156" s="21"/>
    </row>
    <row r="157" spans="3:20">
      <c r="C157" s="21"/>
      <c r="D157" s="21"/>
      <c r="E157" s="21"/>
      <c r="F157" s="21"/>
      <c r="G157" s="21"/>
      <c r="H157" s="21"/>
      <c r="I157" s="21"/>
      <c r="J157" s="21"/>
      <c r="K157" s="21"/>
      <c r="L157" s="21"/>
      <c r="M157" s="21"/>
      <c r="N157" s="21"/>
      <c r="O157" s="21"/>
      <c r="P157" s="21"/>
      <c r="Q157" s="21"/>
      <c r="R157" s="21"/>
      <c r="S157" s="21"/>
      <c r="T157" s="21"/>
    </row>
    <row r="158" spans="3:20">
      <c r="C158" s="21"/>
      <c r="D158" s="21"/>
      <c r="E158" s="21"/>
      <c r="F158" s="21"/>
      <c r="G158" s="21"/>
      <c r="H158" s="21"/>
      <c r="I158" s="21"/>
      <c r="J158" s="21"/>
      <c r="K158" s="21"/>
      <c r="L158" s="21"/>
      <c r="M158" s="21"/>
      <c r="N158" s="21"/>
      <c r="O158" s="21"/>
      <c r="P158" s="21"/>
      <c r="Q158" s="21"/>
      <c r="R158" s="21"/>
      <c r="S158" s="21"/>
      <c r="T158" s="21"/>
    </row>
    <row r="159" spans="3:20">
      <c r="C159" s="21"/>
      <c r="D159" s="21"/>
      <c r="E159" s="21"/>
      <c r="F159" s="21"/>
      <c r="G159" s="21"/>
      <c r="H159" s="21"/>
      <c r="I159" s="21"/>
      <c r="J159" s="21"/>
      <c r="K159" s="21"/>
      <c r="L159" s="21"/>
      <c r="M159" s="21"/>
      <c r="N159" s="21"/>
      <c r="O159" s="21"/>
      <c r="P159" s="21"/>
      <c r="Q159" s="21"/>
      <c r="R159" s="21"/>
      <c r="S159" s="21"/>
      <c r="T159" s="21"/>
    </row>
    <row r="160" spans="3:20">
      <c r="C160" s="21"/>
      <c r="D160" s="21"/>
      <c r="E160" s="21"/>
      <c r="F160" s="21"/>
      <c r="G160" s="21"/>
      <c r="H160" s="21"/>
      <c r="I160" s="21"/>
      <c r="J160" s="21"/>
      <c r="K160" s="21"/>
      <c r="L160" s="21"/>
      <c r="M160" s="21"/>
      <c r="N160" s="21"/>
      <c r="O160" s="21"/>
      <c r="P160" s="21"/>
      <c r="Q160" s="21"/>
      <c r="R160" s="21"/>
      <c r="S160" s="21"/>
      <c r="T160" s="21"/>
    </row>
    <row r="161" spans="3:20">
      <c r="C161" s="21"/>
      <c r="D161" s="21"/>
      <c r="E161" s="21"/>
      <c r="F161" s="21"/>
      <c r="G161" s="21"/>
      <c r="H161" s="21"/>
      <c r="I161" s="21"/>
      <c r="J161" s="21"/>
      <c r="K161" s="21"/>
      <c r="L161" s="21"/>
      <c r="M161" s="21"/>
      <c r="N161" s="21"/>
      <c r="O161" s="21"/>
      <c r="P161" s="21"/>
      <c r="Q161" s="21"/>
      <c r="R161" s="21"/>
      <c r="S161" s="21"/>
      <c r="T161" s="21"/>
    </row>
    <row r="162" spans="3:20">
      <c r="C162" s="21"/>
      <c r="D162" s="21"/>
      <c r="E162" s="21"/>
      <c r="F162" s="21"/>
      <c r="G162" s="21"/>
      <c r="H162" s="21"/>
      <c r="I162" s="21"/>
      <c r="J162" s="21"/>
      <c r="K162" s="21"/>
      <c r="L162" s="21"/>
      <c r="M162" s="21"/>
      <c r="N162" s="21"/>
      <c r="O162" s="21"/>
      <c r="P162" s="21"/>
      <c r="Q162" s="21"/>
      <c r="R162" s="21"/>
      <c r="S162" s="21"/>
      <c r="T162" s="21"/>
    </row>
    <row r="163" spans="3:20">
      <c r="C163" s="21"/>
      <c r="D163" s="21"/>
      <c r="E163" s="21"/>
      <c r="F163" s="21"/>
      <c r="G163" s="21"/>
      <c r="H163" s="21"/>
      <c r="I163" s="21"/>
      <c r="J163" s="21"/>
      <c r="K163" s="21"/>
      <c r="L163" s="21"/>
      <c r="M163" s="21"/>
      <c r="N163" s="21"/>
      <c r="O163" s="21"/>
      <c r="P163" s="21"/>
      <c r="Q163" s="21"/>
      <c r="R163" s="21"/>
      <c r="S163" s="21"/>
      <c r="T163" s="21"/>
    </row>
    <row r="164" spans="3:20">
      <c r="C164" s="21"/>
      <c r="D164" s="21"/>
      <c r="E164" s="21"/>
      <c r="F164" s="21"/>
      <c r="G164" s="21"/>
      <c r="H164" s="21"/>
      <c r="I164" s="21"/>
      <c r="J164" s="21"/>
      <c r="K164" s="21"/>
      <c r="L164" s="21"/>
      <c r="M164" s="21"/>
      <c r="N164" s="21"/>
      <c r="O164" s="21"/>
      <c r="P164" s="21"/>
      <c r="Q164" s="21"/>
      <c r="R164" s="21"/>
      <c r="S164" s="21"/>
      <c r="T164" s="21"/>
    </row>
    <row r="165" spans="3:20">
      <c r="C165" s="21"/>
      <c r="D165" s="21"/>
      <c r="E165" s="21"/>
      <c r="F165" s="21"/>
      <c r="G165" s="21"/>
      <c r="H165" s="21"/>
      <c r="I165" s="21"/>
      <c r="J165" s="21"/>
      <c r="K165" s="21"/>
      <c r="L165" s="21"/>
      <c r="M165" s="21"/>
      <c r="N165" s="21"/>
      <c r="O165" s="21"/>
      <c r="P165" s="21"/>
      <c r="Q165" s="21"/>
      <c r="R165" s="21"/>
      <c r="S165" s="21"/>
      <c r="T165" s="21"/>
    </row>
    <row r="166" spans="3:20">
      <c r="C166" s="21"/>
      <c r="D166" s="21"/>
      <c r="E166" s="21"/>
      <c r="F166" s="21"/>
      <c r="G166" s="21"/>
      <c r="H166" s="21"/>
      <c r="I166" s="21"/>
      <c r="J166" s="21"/>
      <c r="K166" s="21"/>
      <c r="L166" s="21"/>
      <c r="M166" s="21"/>
      <c r="N166" s="21"/>
      <c r="O166" s="21"/>
      <c r="P166" s="21"/>
      <c r="Q166" s="21"/>
      <c r="R166" s="21"/>
      <c r="S166" s="21"/>
      <c r="T166" s="21"/>
    </row>
    <row r="167" spans="3:20">
      <c r="C167" s="21"/>
      <c r="D167" s="21"/>
      <c r="E167" s="21"/>
      <c r="F167" s="21"/>
      <c r="G167" s="21"/>
      <c r="H167" s="21"/>
      <c r="I167" s="21"/>
      <c r="J167" s="21"/>
      <c r="K167" s="21"/>
      <c r="L167" s="21"/>
      <c r="M167" s="21"/>
      <c r="N167" s="21"/>
      <c r="O167" s="21"/>
      <c r="P167" s="21"/>
      <c r="Q167" s="21"/>
      <c r="R167" s="21"/>
      <c r="S167" s="21"/>
      <c r="T167" s="21"/>
    </row>
    <row r="168" spans="3:20">
      <c r="C168" s="21"/>
      <c r="D168" s="21"/>
      <c r="E168" s="21"/>
      <c r="F168" s="21"/>
      <c r="G168" s="21"/>
      <c r="H168" s="21"/>
      <c r="I168" s="21"/>
      <c r="J168" s="21"/>
      <c r="K168" s="21"/>
      <c r="L168" s="21"/>
      <c r="M168" s="21"/>
      <c r="N168" s="21"/>
      <c r="O168" s="21"/>
      <c r="P168" s="21"/>
      <c r="Q168" s="21"/>
      <c r="R168" s="21"/>
      <c r="S168" s="21"/>
      <c r="T168" s="21"/>
    </row>
    <row r="169" spans="3:20">
      <c r="C169" s="21"/>
      <c r="D169" s="21"/>
      <c r="E169" s="21"/>
      <c r="F169" s="21"/>
      <c r="G169" s="21"/>
      <c r="H169" s="21"/>
      <c r="I169" s="21"/>
      <c r="J169" s="21"/>
      <c r="K169" s="21"/>
      <c r="L169" s="21"/>
      <c r="M169" s="21"/>
      <c r="N169" s="21"/>
      <c r="O169" s="21"/>
      <c r="P169" s="21"/>
      <c r="Q169" s="21"/>
      <c r="R169" s="21"/>
      <c r="S169" s="21"/>
      <c r="T169" s="21"/>
    </row>
    <row r="170" spans="3:20">
      <c r="C170" s="21"/>
      <c r="D170" s="21"/>
      <c r="E170" s="21"/>
      <c r="F170" s="21"/>
      <c r="G170" s="21"/>
      <c r="H170" s="21"/>
      <c r="I170" s="21"/>
      <c r="J170" s="21"/>
      <c r="K170" s="21"/>
      <c r="L170" s="21"/>
      <c r="M170" s="21"/>
      <c r="N170" s="21"/>
      <c r="O170" s="21"/>
      <c r="P170" s="21"/>
      <c r="Q170" s="21"/>
      <c r="R170" s="21"/>
      <c r="S170" s="21"/>
      <c r="T170" s="21"/>
    </row>
    <row r="171" spans="3:20">
      <c r="C171" s="21"/>
      <c r="D171" s="21"/>
      <c r="E171" s="21"/>
      <c r="F171" s="21"/>
      <c r="G171" s="21"/>
      <c r="H171" s="21"/>
      <c r="I171" s="21"/>
      <c r="J171" s="21"/>
      <c r="K171" s="21"/>
      <c r="L171" s="21"/>
      <c r="M171" s="21"/>
      <c r="N171" s="21"/>
      <c r="O171" s="21"/>
      <c r="P171" s="21"/>
      <c r="Q171" s="21"/>
      <c r="R171" s="21"/>
      <c r="S171" s="21"/>
      <c r="T171" s="21"/>
    </row>
    <row r="172" spans="3:20">
      <c r="C172" s="21"/>
      <c r="D172" s="21"/>
      <c r="E172" s="21"/>
      <c r="F172" s="21"/>
      <c r="G172" s="21"/>
      <c r="H172" s="21"/>
      <c r="I172" s="21"/>
      <c r="J172" s="21"/>
      <c r="K172" s="21"/>
      <c r="L172" s="21"/>
      <c r="M172" s="21"/>
      <c r="N172" s="21"/>
      <c r="O172" s="21"/>
      <c r="P172" s="21"/>
      <c r="Q172" s="21"/>
      <c r="R172" s="21"/>
      <c r="S172" s="21"/>
      <c r="T172" s="21"/>
    </row>
    <row r="173" spans="3:20">
      <c r="C173" s="21"/>
      <c r="D173" s="21"/>
      <c r="E173" s="21"/>
      <c r="F173" s="21"/>
      <c r="G173" s="21"/>
      <c r="H173" s="21"/>
      <c r="I173" s="21"/>
      <c r="J173" s="21"/>
      <c r="K173" s="21"/>
      <c r="L173" s="21"/>
      <c r="M173" s="21"/>
      <c r="N173" s="21"/>
      <c r="O173" s="21"/>
      <c r="P173" s="21"/>
      <c r="Q173" s="21"/>
      <c r="R173" s="21"/>
      <c r="S173" s="21"/>
      <c r="T173" s="21"/>
    </row>
    <row r="174" spans="3:20">
      <c r="C174" s="21"/>
      <c r="D174" s="21"/>
      <c r="E174" s="21"/>
      <c r="F174" s="21"/>
      <c r="G174" s="21"/>
      <c r="H174" s="21"/>
      <c r="I174" s="21"/>
      <c r="J174" s="21"/>
      <c r="K174" s="21"/>
      <c r="L174" s="21"/>
      <c r="M174" s="21"/>
      <c r="N174" s="21"/>
      <c r="O174" s="21"/>
      <c r="P174" s="21"/>
      <c r="Q174" s="21"/>
      <c r="R174" s="21"/>
      <c r="S174" s="21"/>
      <c r="T174" s="21"/>
    </row>
    <row r="175" spans="3:20">
      <c r="C175" s="21"/>
      <c r="D175" s="21"/>
      <c r="E175" s="21"/>
      <c r="F175" s="21"/>
      <c r="G175" s="21"/>
      <c r="H175" s="21"/>
      <c r="I175" s="21"/>
      <c r="J175" s="21"/>
      <c r="K175" s="21"/>
      <c r="L175" s="21"/>
      <c r="M175" s="21"/>
      <c r="N175" s="21"/>
      <c r="O175" s="21"/>
      <c r="P175" s="21"/>
      <c r="Q175" s="21"/>
      <c r="R175" s="21"/>
      <c r="S175" s="21"/>
      <c r="T175" s="21"/>
    </row>
    <row r="176" spans="3:20">
      <c r="C176" s="21"/>
      <c r="D176" s="21"/>
      <c r="E176" s="21"/>
      <c r="F176" s="21"/>
      <c r="G176" s="21"/>
      <c r="H176" s="21"/>
      <c r="I176" s="21"/>
      <c r="J176" s="21"/>
      <c r="K176" s="21"/>
      <c r="L176" s="21"/>
      <c r="M176" s="21"/>
      <c r="N176" s="21"/>
      <c r="O176" s="21"/>
      <c r="P176" s="21"/>
      <c r="Q176" s="21"/>
      <c r="R176" s="21"/>
      <c r="S176" s="21"/>
      <c r="T176" s="21"/>
    </row>
    <row r="177" spans="3:20">
      <c r="C177" s="21"/>
      <c r="D177" s="21"/>
      <c r="E177" s="21"/>
      <c r="F177" s="21"/>
      <c r="G177" s="21"/>
      <c r="H177" s="21"/>
      <c r="I177" s="21"/>
      <c r="J177" s="21"/>
      <c r="K177" s="21"/>
      <c r="L177" s="21"/>
      <c r="M177" s="21"/>
      <c r="N177" s="21"/>
      <c r="O177" s="21"/>
      <c r="P177" s="21"/>
      <c r="Q177" s="21"/>
      <c r="R177" s="21"/>
      <c r="S177" s="21"/>
      <c r="T177" s="21"/>
    </row>
    <row r="178" spans="3:20">
      <c r="C178" s="21"/>
      <c r="D178" s="21"/>
      <c r="E178" s="21"/>
      <c r="F178" s="21"/>
      <c r="G178" s="21"/>
      <c r="H178" s="21"/>
      <c r="I178" s="21"/>
      <c r="J178" s="21"/>
      <c r="K178" s="21"/>
      <c r="L178" s="21"/>
      <c r="M178" s="21"/>
      <c r="N178" s="21"/>
      <c r="O178" s="21"/>
      <c r="P178" s="21"/>
      <c r="Q178" s="21"/>
      <c r="R178" s="21"/>
      <c r="S178" s="21"/>
      <c r="T178" s="21"/>
    </row>
    <row r="179" spans="3:20">
      <c r="C179" s="21"/>
      <c r="D179" s="21"/>
      <c r="E179" s="21"/>
      <c r="F179" s="21"/>
      <c r="G179" s="21"/>
      <c r="H179" s="21"/>
      <c r="I179" s="21"/>
      <c r="J179" s="21"/>
      <c r="K179" s="21"/>
      <c r="L179" s="21"/>
      <c r="M179" s="21"/>
      <c r="N179" s="21"/>
      <c r="O179" s="21"/>
      <c r="P179" s="21"/>
      <c r="Q179" s="21"/>
      <c r="R179" s="21"/>
      <c r="S179" s="21"/>
      <c r="T179" s="21"/>
    </row>
    <row r="180" spans="3:20">
      <c r="C180" s="21"/>
      <c r="D180" s="21"/>
      <c r="E180" s="21"/>
      <c r="F180" s="21"/>
      <c r="G180" s="21"/>
      <c r="H180" s="21"/>
      <c r="I180" s="21"/>
      <c r="J180" s="21"/>
      <c r="K180" s="21"/>
      <c r="L180" s="21"/>
      <c r="M180" s="21"/>
      <c r="N180" s="21"/>
      <c r="O180" s="21"/>
      <c r="P180" s="21"/>
      <c r="Q180" s="21"/>
      <c r="R180" s="21"/>
      <c r="S180" s="21"/>
      <c r="T180" s="21"/>
    </row>
    <row r="181" spans="3:20">
      <c r="C181" s="21"/>
      <c r="D181" s="21"/>
      <c r="E181" s="21"/>
      <c r="F181" s="21"/>
      <c r="G181" s="21"/>
      <c r="H181" s="21"/>
      <c r="I181" s="21"/>
      <c r="J181" s="21"/>
      <c r="K181" s="21"/>
      <c r="L181" s="21"/>
      <c r="M181" s="21"/>
      <c r="N181" s="21"/>
      <c r="O181" s="21"/>
      <c r="P181" s="21"/>
      <c r="Q181" s="21"/>
      <c r="R181" s="21"/>
      <c r="S181" s="21"/>
      <c r="T181" s="21"/>
    </row>
    <row r="182" spans="3:20">
      <c r="C182" s="21"/>
      <c r="D182" s="21"/>
      <c r="E182" s="21"/>
      <c r="F182" s="21"/>
      <c r="G182" s="21"/>
      <c r="H182" s="21"/>
      <c r="I182" s="21"/>
      <c r="J182" s="21"/>
      <c r="K182" s="21"/>
      <c r="L182" s="21"/>
      <c r="M182" s="21"/>
      <c r="N182" s="21"/>
      <c r="O182" s="21"/>
      <c r="P182" s="21"/>
      <c r="Q182" s="21"/>
      <c r="R182" s="21"/>
      <c r="S182" s="21"/>
      <c r="T182" s="21"/>
    </row>
    <row r="183" spans="3:20">
      <c r="C183" s="21"/>
      <c r="D183" s="21"/>
      <c r="E183" s="21"/>
      <c r="F183" s="21"/>
      <c r="G183" s="21"/>
      <c r="H183" s="21"/>
      <c r="I183" s="21"/>
      <c r="J183" s="21"/>
      <c r="K183" s="21"/>
      <c r="L183" s="21"/>
      <c r="M183" s="21"/>
      <c r="N183" s="21"/>
      <c r="O183" s="21"/>
      <c r="P183" s="21"/>
      <c r="Q183" s="21"/>
      <c r="R183" s="21"/>
      <c r="S183" s="21"/>
      <c r="T183" s="21"/>
    </row>
    <row r="184" spans="3:20">
      <c r="C184" s="21"/>
      <c r="D184" s="21"/>
      <c r="E184" s="21"/>
      <c r="F184" s="21"/>
      <c r="G184" s="21"/>
      <c r="H184" s="21"/>
      <c r="I184" s="21"/>
      <c r="J184" s="21"/>
      <c r="K184" s="21"/>
      <c r="L184" s="21"/>
      <c r="M184" s="21"/>
      <c r="N184" s="21"/>
      <c r="O184" s="21"/>
      <c r="P184" s="21"/>
      <c r="Q184" s="21"/>
      <c r="R184" s="21"/>
      <c r="S184" s="21"/>
      <c r="T184" s="21"/>
    </row>
    <row r="185" spans="3:20">
      <c r="C185" s="21"/>
      <c r="D185" s="21"/>
      <c r="E185" s="21"/>
      <c r="F185" s="21"/>
      <c r="G185" s="21"/>
      <c r="H185" s="21"/>
      <c r="I185" s="21"/>
      <c r="J185" s="21"/>
      <c r="K185" s="21"/>
      <c r="L185" s="21"/>
      <c r="M185" s="21"/>
      <c r="N185" s="21"/>
      <c r="O185" s="21"/>
      <c r="P185" s="21"/>
      <c r="Q185" s="21"/>
      <c r="R185" s="21"/>
      <c r="S185" s="21"/>
      <c r="T185" s="21"/>
    </row>
    <row r="186" spans="3:20">
      <c r="C186" s="21"/>
      <c r="D186" s="21"/>
      <c r="E186" s="21"/>
      <c r="F186" s="21"/>
      <c r="G186" s="21"/>
      <c r="H186" s="21"/>
      <c r="I186" s="21"/>
      <c r="J186" s="21"/>
      <c r="K186" s="21"/>
      <c r="L186" s="21"/>
      <c r="M186" s="21"/>
      <c r="N186" s="21"/>
      <c r="O186" s="21"/>
      <c r="P186" s="21"/>
      <c r="Q186" s="21"/>
      <c r="R186" s="21"/>
      <c r="S186" s="21"/>
      <c r="T186" s="21"/>
    </row>
    <row r="187" spans="3:20">
      <c r="C187" s="21"/>
      <c r="D187" s="21"/>
      <c r="E187" s="21"/>
      <c r="F187" s="21"/>
      <c r="G187" s="21"/>
      <c r="H187" s="21"/>
      <c r="I187" s="21"/>
      <c r="J187" s="21"/>
      <c r="K187" s="21"/>
      <c r="L187" s="21"/>
      <c r="M187" s="21"/>
      <c r="N187" s="21"/>
      <c r="O187" s="21"/>
      <c r="P187" s="21"/>
      <c r="Q187" s="21"/>
      <c r="R187" s="21"/>
      <c r="S187" s="21"/>
      <c r="T187" s="21"/>
    </row>
    <row r="188" spans="3:20">
      <c r="C188" s="21"/>
      <c r="D188" s="21"/>
      <c r="E188" s="21"/>
      <c r="F188" s="21"/>
      <c r="G188" s="21"/>
      <c r="H188" s="21"/>
      <c r="I188" s="21"/>
      <c r="J188" s="21"/>
      <c r="K188" s="21"/>
      <c r="L188" s="21"/>
      <c r="M188" s="21"/>
      <c r="N188" s="21"/>
      <c r="O188" s="21"/>
      <c r="P188" s="21"/>
      <c r="Q188" s="21"/>
      <c r="R188" s="21"/>
      <c r="S188" s="21"/>
      <c r="T188" s="21"/>
    </row>
    <row r="189" spans="3:20">
      <c r="C189" s="21"/>
      <c r="D189" s="21"/>
      <c r="E189" s="21"/>
      <c r="F189" s="21"/>
      <c r="G189" s="21"/>
      <c r="H189" s="21"/>
      <c r="I189" s="21"/>
      <c r="J189" s="21"/>
      <c r="K189" s="21"/>
      <c r="L189" s="21"/>
      <c r="M189" s="21"/>
      <c r="N189" s="21"/>
      <c r="O189" s="21"/>
      <c r="P189" s="21"/>
      <c r="Q189" s="21"/>
      <c r="R189" s="21"/>
      <c r="S189" s="21"/>
      <c r="T189" s="21"/>
    </row>
    <row r="190" spans="3:20">
      <c r="C190" s="21"/>
      <c r="D190" s="21"/>
      <c r="E190" s="21"/>
      <c r="F190" s="21"/>
      <c r="G190" s="21"/>
      <c r="H190" s="21"/>
      <c r="I190" s="21"/>
      <c r="J190" s="21"/>
      <c r="K190" s="21"/>
      <c r="L190" s="21"/>
      <c r="M190" s="21"/>
      <c r="N190" s="21"/>
      <c r="O190" s="21"/>
      <c r="P190" s="21"/>
      <c r="Q190" s="21"/>
      <c r="R190" s="21"/>
      <c r="S190" s="21"/>
      <c r="T190" s="21"/>
    </row>
    <row r="191" spans="3:20">
      <c r="C191" s="21"/>
      <c r="D191" s="21"/>
      <c r="E191" s="21"/>
      <c r="F191" s="21"/>
      <c r="G191" s="21"/>
      <c r="H191" s="21"/>
      <c r="I191" s="21"/>
      <c r="J191" s="21"/>
      <c r="K191" s="21"/>
      <c r="L191" s="21"/>
      <c r="M191" s="21"/>
      <c r="N191" s="21"/>
      <c r="O191" s="21"/>
      <c r="P191" s="21"/>
      <c r="Q191" s="21"/>
      <c r="R191" s="21"/>
      <c r="S191" s="21"/>
      <c r="T191" s="21"/>
    </row>
    <row r="192" spans="3:20">
      <c r="C192" s="21"/>
      <c r="D192" s="21"/>
      <c r="E192" s="21"/>
      <c r="F192" s="21"/>
      <c r="G192" s="21"/>
      <c r="H192" s="21"/>
      <c r="I192" s="21"/>
      <c r="J192" s="21"/>
      <c r="K192" s="21"/>
      <c r="L192" s="21"/>
      <c r="M192" s="21"/>
      <c r="N192" s="21"/>
      <c r="O192" s="21"/>
      <c r="P192" s="21"/>
      <c r="Q192" s="21"/>
      <c r="R192" s="21"/>
      <c r="S192" s="21"/>
      <c r="T192" s="21"/>
    </row>
    <row r="193" spans="3:20">
      <c r="C193" s="21"/>
      <c r="D193" s="21"/>
      <c r="E193" s="21"/>
      <c r="F193" s="21"/>
      <c r="G193" s="21"/>
      <c r="H193" s="21"/>
      <c r="I193" s="21"/>
      <c r="J193" s="21"/>
      <c r="K193" s="21"/>
      <c r="L193" s="21"/>
      <c r="M193" s="21"/>
      <c r="N193" s="21"/>
      <c r="O193" s="21"/>
      <c r="P193" s="21"/>
      <c r="Q193" s="21"/>
      <c r="R193" s="21"/>
      <c r="S193" s="21"/>
      <c r="T193" s="21"/>
    </row>
    <row r="194" spans="3:20">
      <c r="C194" s="21"/>
      <c r="D194" s="21"/>
      <c r="E194" s="21"/>
      <c r="F194" s="21"/>
      <c r="G194" s="21"/>
      <c r="H194" s="21"/>
      <c r="I194" s="21"/>
      <c r="J194" s="21"/>
      <c r="K194" s="21"/>
      <c r="L194" s="21"/>
      <c r="M194" s="21"/>
      <c r="N194" s="21"/>
      <c r="O194" s="21"/>
      <c r="P194" s="21"/>
      <c r="Q194" s="21"/>
      <c r="R194" s="21"/>
      <c r="S194" s="21"/>
      <c r="T194" s="21"/>
    </row>
    <row r="195" spans="3:20">
      <c r="C195" s="21"/>
      <c r="D195" s="21"/>
      <c r="E195" s="21"/>
      <c r="F195" s="21"/>
      <c r="G195" s="21"/>
      <c r="H195" s="21"/>
      <c r="I195" s="21"/>
      <c r="J195" s="21"/>
      <c r="K195" s="21"/>
      <c r="L195" s="21"/>
      <c r="M195" s="21"/>
      <c r="N195" s="21"/>
      <c r="O195" s="21"/>
      <c r="P195" s="21"/>
      <c r="Q195" s="21"/>
      <c r="R195" s="21"/>
      <c r="S195" s="21"/>
      <c r="T195" s="21"/>
    </row>
    <row r="196" spans="3:20">
      <c r="C196" s="21"/>
      <c r="D196" s="21"/>
      <c r="E196" s="21"/>
      <c r="F196" s="21"/>
      <c r="G196" s="21"/>
      <c r="H196" s="21"/>
      <c r="I196" s="21"/>
      <c r="J196" s="21"/>
      <c r="K196" s="21"/>
      <c r="L196" s="21"/>
      <c r="M196" s="21"/>
      <c r="N196" s="21"/>
      <c r="O196" s="21"/>
      <c r="P196" s="21"/>
      <c r="Q196" s="21"/>
      <c r="R196" s="21"/>
      <c r="S196" s="21"/>
      <c r="T196" s="21"/>
    </row>
    <row r="197" spans="3:20">
      <c r="C197" s="21"/>
      <c r="D197" s="21"/>
      <c r="E197" s="21"/>
      <c r="F197" s="21"/>
      <c r="G197" s="21"/>
      <c r="H197" s="21"/>
      <c r="I197" s="21"/>
      <c r="J197" s="21"/>
      <c r="K197" s="21"/>
      <c r="L197" s="21"/>
      <c r="M197" s="21"/>
      <c r="N197" s="21"/>
      <c r="O197" s="21"/>
      <c r="P197" s="21"/>
      <c r="Q197" s="21"/>
      <c r="R197" s="21"/>
      <c r="S197" s="21"/>
      <c r="T197" s="21"/>
    </row>
    <row r="198" spans="3:20">
      <c r="C198" s="21"/>
      <c r="D198" s="21"/>
      <c r="E198" s="21"/>
      <c r="F198" s="21"/>
      <c r="G198" s="21"/>
      <c r="H198" s="21"/>
      <c r="I198" s="21"/>
      <c r="J198" s="21"/>
      <c r="K198" s="21"/>
      <c r="L198" s="21"/>
      <c r="M198" s="21"/>
      <c r="N198" s="21"/>
      <c r="O198" s="21"/>
      <c r="P198" s="21"/>
      <c r="Q198" s="21"/>
      <c r="R198" s="21"/>
      <c r="S198" s="21"/>
      <c r="T198" s="21"/>
    </row>
    <row r="199" spans="3:20">
      <c r="C199" s="21"/>
      <c r="D199" s="21"/>
      <c r="E199" s="21"/>
      <c r="F199" s="21"/>
      <c r="G199" s="21"/>
      <c r="H199" s="21"/>
      <c r="I199" s="21"/>
      <c r="J199" s="21"/>
      <c r="K199" s="21"/>
      <c r="L199" s="21"/>
      <c r="M199" s="21"/>
      <c r="N199" s="21"/>
      <c r="O199" s="21"/>
      <c r="P199" s="21"/>
      <c r="Q199" s="21"/>
      <c r="R199" s="21"/>
      <c r="S199" s="21"/>
      <c r="T199" s="21"/>
    </row>
    <row r="200" spans="3:20">
      <c r="C200" s="21"/>
      <c r="D200" s="21"/>
      <c r="E200" s="21"/>
      <c r="F200" s="21"/>
      <c r="G200" s="21"/>
      <c r="H200" s="21"/>
      <c r="I200" s="21"/>
      <c r="J200" s="21"/>
      <c r="K200" s="21"/>
      <c r="L200" s="21"/>
      <c r="M200" s="21"/>
      <c r="N200" s="21"/>
      <c r="O200" s="21"/>
      <c r="P200" s="21"/>
      <c r="Q200" s="21"/>
      <c r="R200" s="21"/>
      <c r="S200" s="21"/>
      <c r="T200" s="21"/>
    </row>
    <row r="201" spans="3:20">
      <c r="C201" s="21"/>
      <c r="D201" s="21"/>
      <c r="E201" s="21"/>
      <c r="F201" s="21"/>
      <c r="G201" s="21"/>
      <c r="H201" s="21"/>
      <c r="I201" s="21"/>
      <c r="J201" s="21"/>
      <c r="K201" s="21"/>
      <c r="L201" s="21"/>
      <c r="M201" s="21"/>
      <c r="N201" s="21"/>
      <c r="O201" s="21"/>
      <c r="P201" s="21"/>
      <c r="Q201" s="21"/>
      <c r="R201" s="21"/>
      <c r="S201" s="21"/>
      <c r="T201" s="21"/>
    </row>
    <row r="202" spans="3:20">
      <c r="C202" s="21"/>
      <c r="D202" s="21"/>
      <c r="E202" s="21"/>
      <c r="F202" s="21"/>
      <c r="G202" s="21"/>
      <c r="H202" s="21"/>
      <c r="I202" s="21"/>
      <c r="J202" s="21"/>
      <c r="K202" s="21"/>
      <c r="L202" s="21"/>
      <c r="M202" s="21"/>
      <c r="N202" s="21"/>
      <c r="O202" s="21"/>
      <c r="P202" s="21"/>
      <c r="Q202" s="21"/>
      <c r="R202" s="21"/>
      <c r="S202" s="21"/>
      <c r="T202" s="21"/>
    </row>
    <row r="203" spans="3:20">
      <c r="C203" s="21"/>
      <c r="D203" s="21"/>
      <c r="E203" s="21"/>
      <c r="F203" s="21"/>
      <c r="G203" s="21"/>
      <c r="H203" s="21"/>
      <c r="I203" s="21"/>
      <c r="J203" s="21"/>
      <c r="K203" s="21"/>
      <c r="L203" s="21"/>
      <c r="M203" s="21"/>
      <c r="N203" s="21"/>
      <c r="O203" s="21"/>
      <c r="P203" s="21"/>
      <c r="Q203" s="21"/>
      <c r="R203" s="21"/>
      <c r="S203" s="21"/>
      <c r="T203" s="21"/>
    </row>
    <row r="204" spans="3:20">
      <c r="C204" s="21"/>
      <c r="D204" s="21"/>
      <c r="E204" s="21"/>
      <c r="F204" s="21"/>
      <c r="G204" s="21"/>
      <c r="H204" s="21"/>
      <c r="I204" s="21"/>
      <c r="J204" s="21"/>
      <c r="K204" s="21"/>
      <c r="L204" s="21"/>
      <c r="M204" s="21"/>
      <c r="N204" s="21"/>
      <c r="O204" s="21"/>
      <c r="P204" s="21"/>
      <c r="Q204" s="21"/>
      <c r="R204" s="21"/>
      <c r="S204" s="21"/>
      <c r="T204" s="21"/>
    </row>
    <row r="205" spans="3:20">
      <c r="C205" s="21"/>
      <c r="D205" s="21"/>
      <c r="E205" s="21"/>
      <c r="F205" s="21"/>
      <c r="G205" s="21"/>
      <c r="H205" s="21"/>
      <c r="I205" s="21"/>
      <c r="J205" s="21"/>
      <c r="K205" s="21"/>
      <c r="L205" s="21"/>
      <c r="M205" s="21"/>
      <c r="N205" s="21"/>
      <c r="O205" s="21"/>
      <c r="P205" s="21"/>
      <c r="Q205" s="21"/>
      <c r="R205" s="21"/>
      <c r="S205" s="21"/>
      <c r="T205" s="21"/>
    </row>
    <row r="206" spans="3:20">
      <c r="C206" s="21"/>
      <c r="D206" s="21"/>
      <c r="E206" s="21"/>
      <c r="F206" s="21"/>
      <c r="G206" s="21"/>
      <c r="H206" s="21"/>
      <c r="I206" s="21"/>
      <c r="J206" s="21"/>
      <c r="K206" s="21"/>
      <c r="L206" s="21"/>
      <c r="M206" s="21"/>
      <c r="N206" s="21"/>
      <c r="O206" s="21"/>
      <c r="P206" s="21"/>
      <c r="Q206" s="21"/>
      <c r="R206" s="21"/>
      <c r="S206" s="21"/>
      <c r="T206" s="21"/>
    </row>
    <row r="207" spans="3:20">
      <c r="C207" s="21"/>
      <c r="D207" s="21"/>
      <c r="E207" s="21"/>
      <c r="F207" s="21"/>
      <c r="G207" s="21"/>
      <c r="H207" s="21"/>
      <c r="I207" s="21"/>
      <c r="J207" s="21"/>
      <c r="K207" s="21"/>
      <c r="L207" s="21"/>
      <c r="M207" s="21"/>
      <c r="N207" s="21"/>
      <c r="O207" s="21"/>
      <c r="P207" s="21"/>
      <c r="Q207" s="21"/>
      <c r="R207" s="21"/>
      <c r="S207" s="21"/>
      <c r="T207" s="21"/>
    </row>
    <row r="208" spans="3:20">
      <c r="C208" s="21"/>
      <c r="D208" s="21"/>
      <c r="E208" s="21"/>
      <c r="F208" s="21"/>
      <c r="G208" s="21"/>
      <c r="H208" s="21"/>
      <c r="I208" s="21"/>
      <c r="J208" s="21"/>
      <c r="K208" s="21"/>
      <c r="L208" s="21"/>
      <c r="M208" s="21"/>
      <c r="N208" s="21"/>
      <c r="O208" s="21"/>
      <c r="P208" s="21"/>
      <c r="Q208" s="21"/>
      <c r="R208" s="21"/>
      <c r="S208" s="21"/>
      <c r="T208" s="21"/>
    </row>
    <row r="209" spans="3:20">
      <c r="C209" s="21"/>
      <c r="D209" s="21"/>
      <c r="E209" s="21"/>
      <c r="F209" s="21"/>
      <c r="G209" s="21"/>
      <c r="H209" s="21"/>
      <c r="I209" s="21"/>
      <c r="J209" s="21"/>
      <c r="K209" s="21"/>
      <c r="L209" s="21"/>
      <c r="M209" s="21"/>
      <c r="N209" s="21"/>
      <c r="O209" s="21"/>
      <c r="P209" s="21"/>
      <c r="Q209" s="21"/>
      <c r="R209" s="21"/>
      <c r="S209" s="21"/>
      <c r="T209" s="21"/>
    </row>
    <row r="210" spans="3:20">
      <c r="C210" s="21"/>
      <c r="D210" s="21"/>
      <c r="E210" s="21"/>
      <c r="F210" s="21"/>
      <c r="G210" s="21"/>
      <c r="H210" s="21"/>
      <c r="I210" s="21"/>
      <c r="J210" s="21"/>
      <c r="K210" s="21"/>
      <c r="L210" s="21"/>
      <c r="M210" s="21"/>
      <c r="N210" s="21"/>
      <c r="O210" s="21"/>
      <c r="P210" s="21"/>
      <c r="Q210" s="21"/>
      <c r="R210" s="21"/>
      <c r="S210" s="21"/>
      <c r="T210" s="21"/>
    </row>
    <row r="211" spans="3:20">
      <c r="C211" s="21"/>
      <c r="D211" s="21"/>
      <c r="E211" s="21"/>
      <c r="F211" s="21"/>
      <c r="G211" s="21"/>
      <c r="H211" s="21"/>
      <c r="I211" s="21"/>
      <c r="J211" s="21"/>
      <c r="K211" s="21"/>
      <c r="L211" s="21"/>
      <c r="M211" s="21"/>
      <c r="N211" s="21"/>
      <c r="O211" s="21"/>
      <c r="P211" s="21"/>
      <c r="Q211" s="21"/>
      <c r="R211" s="21"/>
      <c r="S211" s="21"/>
      <c r="T211" s="21"/>
    </row>
    <row r="212" spans="3:20">
      <c r="C212" s="21"/>
      <c r="D212" s="21"/>
      <c r="E212" s="21"/>
      <c r="F212" s="21"/>
      <c r="G212" s="21"/>
      <c r="H212" s="21"/>
      <c r="I212" s="21"/>
      <c r="J212" s="21"/>
      <c r="K212" s="21"/>
      <c r="L212" s="21"/>
      <c r="M212" s="21"/>
      <c r="N212" s="21"/>
      <c r="O212" s="21"/>
      <c r="P212" s="21"/>
      <c r="Q212" s="21"/>
      <c r="R212" s="21"/>
      <c r="S212" s="21"/>
      <c r="T212" s="21"/>
    </row>
    <row r="213" spans="3:20">
      <c r="C213" s="21"/>
      <c r="D213" s="21"/>
      <c r="E213" s="21"/>
      <c r="F213" s="21"/>
      <c r="G213" s="21"/>
      <c r="H213" s="21"/>
      <c r="I213" s="21"/>
      <c r="J213" s="21"/>
      <c r="K213" s="21"/>
      <c r="L213" s="21"/>
      <c r="M213" s="21"/>
      <c r="N213" s="21"/>
      <c r="O213" s="21"/>
      <c r="P213" s="21"/>
      <c r="Q213" s="21"/>
      <c r="R213" s="21"/>
      <c r="S213" s="21"/>
      <c r="T213" s="21"/>
    </row>
    <row r="214" spans="3:20">
      <c r="C214" s="21"/>
      <c r="D214" s="21"/>
      <c r="E214" s="21"/>
      <c r="F214" s="21"/>
      <c r="G214" s="21"/>
      <c r="H214" s="21"/>
      <c r="I214" s="21"/>
      <c r="J214" s="21"/>
      <c r="K214" s="21"/>
      <c r="L214" s="21"/>
      <c r="M214" s="21"/>
      <c r="N214" s="21"/>
      <c r="O214" s="21"/>
      <c r="P214" s="21"/>
      <c r="Q214" s="21"/>
      <c r="R214" s="21"/>
      <c r="S214" s="21"/>
      <c r="T214" s="21"/>
    </row>
    <row r="215" spans="3:20">
      <c r="C215" s="21"/>
      <c r="D215" s="21"/>
      <c r="E215" s="21"/>
      <c r="F215" s="21"/>
      <c r="G215" s="21"/>
      <c r="H215" s="21"/>
      <c r="I215" s="21"/>
      <c r="J215" s="21"/>
      <c r="K215" s="21"/>
      <c r="L215" s="21"/>
      <c r="M215" s="21"/>
      <c r="N215" s="21"/>
      <c r="O215" s="21"/>
      <c r="P215" s="21"/>
      <c r="Q215" s="21"/>
      <c r="R215" s="21"/>
      <c r="S215" s="21"/>
      <c r="T215" s="21"/>
    </row>
    <row r="216" spans="3:20">
      <c r="C216" s="21"/>
      <c r="D216" s="21"/>
      <c r="E216" s="21"/>
      <c r="F216" s="21"/>
      <c r="G216" s="21"/>
      <c r="H216" s="21"/>
      <c r="I216" s="21"/>
      <c r="J216" s="21"/>
      <c r="K216" s="21"/>
      <c r="L216" s="21"/>
      <c r="M216" s="21"/>
      <c r="N216" s="21"/>
      <c r="O216" s="21"/>
      <c r="P216" s="21"/>
      <c r="Q216" s="21"/>
      <c r="R216" s="21"/>
      <c r="S216" s="21"/>
      <c r="T216" s="21"/>
    </row>
    <row r="217" spans="3:20">
      <c r="C217" s="21"/>
      <c r="D217" s="21"/>
      <c r="E217" s="21"/>
      <c r="F217" s="21"/>
      <c r="G217" s="21"/>
      <c r="H217" s="21"/>
      <c r="I217" s="21"/>
      <c r="J217" s="21"/>
      <c r="K217" s="21"/>
      <c r="L217" s="21"/>
      <c r="M217" s="21"/>
      <c r="N217" s="21"/>
      <c r="O217" s="21"/>
      <c r="P217" s="21"/>
      <c r="Q217" s="21"/>
      <c r="R217" s="21"/>
      <c r="S217" s="21"/>
      <c r="T217" s="21"/>
    </row>
    <row r="218" spans="3:20">
      <c r="C218" s="21"/>
      <c r="D218" s="21"/>
      <c r="E218" s="21"/>
      <c r="F218" s="21"/>
      <c r="G218" s="21"/>
      <c r="H218" s="21"/>
      <c r="I218" s="21"/>
      <c r="J218" s="21"/>
      <c r="K218" s="21"/>
      <c r="L218" s="21"/>
      <c r="M218" s="21"/>
      <c r="N218" s="21"/>
      <c r="O218" s="21"/>
      <c r="P218" s="21"/>
      <c r="Q218" s="21"/>
      <c r="R218" s="21"/>
      <c r="S218" s="21"/>
      <c r="T218" s="21"/>
    </row>
    <row r="219" spans="3:20">
      <c r="C219" s="21"/>
      <c r="D219" s="21"/>
      <c r="E219" s="21"/>
      <c r="F219" s="21"/>
      <c r="G219" s="21"/>
      <c r="H219" s="21"/>
      <c r="I219" s="21"/>
      <c r="J219" s="21"/>
      <c r="K219" s="21"/>
      <c r="L219" s="21"/>
      <c r="M219" s="21"/>
      <c r="N219" s="21"/>
      <c r="O219" s="21"/>
      <c r="P219" s="21"/>
      <c r="Q219" s="21"/>
      <c r="R219" s="21"/>
      <c r="S219" s="21"/>
      <c r="T219" s="21"/>
    </row>
    <row r="220" spans="3:20">
      <c r="C220" s="21"/>
      <c r="D220" s="21"/>
      <c r="E220" s="21"/>
      <c r="F220" s="21"/>
      <c r="G220" s="21"/>
      <c r="H220" s="21"/>
      <c r="I220" s="21"/>
      <c r="J220" s="21"/>
      <c r="K220" s="21"/>
      <c r="L220" s="21"/>
      <c r="M220" s="21"/>
      <c r="N220" s="21"/>
      <c r="O220" s="21"/>
      <c r="P220" s="21"/>
      <c r="Q220" s="21"/>
      <c r="R220" s="21"/>
      <c r="S220" s="21"/>
      <c r="T220" s="21"/>
    </row>
    <row r="221" spans="3:20">
      <c r="C221" s="21"/>
      <c r="D221" s="21"/>
      <c r="E221" s="21"/>
      <c r="F221" s="21"/>
      <c r="G221" s="21"/>
      <c r="H221" s="21"/>
      <c r="I221" s="21"/>
      <c r="J221" s="21"/>
      <c r="K221" s="21"/>
      <c r="L221" s="21"/>
      <c r="M221" s="21"/>
      <c r="N221" s="21"/>
      <c r="O221" s="21"/>
      <c r="P221" s="21"/>
      <c r="Q221" s="21"/>
      <c r="R221" s="21"/>
      <c r="S221" s="21"/>
      <c r="T221" s="21"/>
    </row>
    <row r="222" spans="3:20">
      <c r="C222" s="21"/>
      <c r="D222" s="21"/>
      <c r="E222" s="21"/>
      <c r="F222" s="21"/>
      <c r="G222" s="21"/>
      <c r="H222" s="21"/>
      <c r="I222" s="21"/>
      <c r="J222" s="21"/>
      <c r="K222" s="21"/>
      <c r="L222" s="21"/>
      <c r="M222" s="21"/>
      <c r="N222" s="21"/>
      <c r="O222" s="21"/>
      <c r="P222" s="21"/>
      <c r="Q222" s="21"/>
      <c r="R222" s="21"/>
      <c r="S222" s="21"/>
      <c r="T222" s="21"/>
    </row>
    <row r="223" spans="3:20">
      <c r="C223" s="21"/>
      <c r="D223" s="21"/>
      <c r="E223" s="21"/>
      <c r="F223" s="21"/>
      <c r="G223" s="21"/>
      <c r="H223" s="21"/>
      <c r="I223" s="21"/>
      <c r="J223" s="21"/>
      <c r="K223" s="21"/>
      <c r="L223" s="21"/>
      <c r="M223" s="21"/>
      <c r="N223" s="21"/>
      <c r="O223" s="21"/>
      <c r="P223" s="21"/>
      <c r="Q223" s="21"/>
      <c r="R223" s="21"/>
      <c r="S223" s="21"/>
      <c r="T223" s="21"/>
    </row>
    <row r="224" spans="3:20">
      <c r="C224" s="21"/>
      <c r="D224" s="21"/>
      <c r="E224" s="21"/>
      <c r="F224" s="21"/>
      <c r="G224" s="21"/>
      <c r="H224" s="21"/>
      <c r="I224" s="21"/>
      <c r="J224" s="21"/>
      <c r="K224" s="21"/>
      <c r="L224" s="21"/>
      <c r="M224" s="21"/>
      <c r="N224" s="21"/>
      <c r="O224" s="21"/>
      <c r="P224" s="21"/>
      <c r="Q224" s="21"/>
      <c r="R224" s="21"/>
      <c r="S224" s="21"/>
      <c r="T224" s="21"/>
    </row>
    <row r="225" spans="3:20">
      <c r="C225" s="21"/>
      <c r="D225" s="21"/>
      <c r="E225" s="21"/>
      <c r="F225" s="21"/>
      <c r="G225" s="21"/>
      <c r="H225" s="21"/>
      <c r="I225" s="21"/>
      <c r="J225" s="21"/>
      <c r="K225" s="21"/>
      <c r="L225" s="21"/>
      <c r="M225" s="21"/>
      <c r="N225" s="21"/>
      <c r="O225" s="21"/>
      <c r="P225" s="21"/>
      <c r="Q225" s="21"/>
      <c r="R225" s="21"/>
      <c r="S225" s="21"/>
      <c r="T225" s="21"/>
    </row>
    <row r="226" spans="3:20">
      <c r="C226" s="21"/>
      <c r="D226" s="21"/>
      <c r="E226" s="21"/>
      <c r="F226" s="21"/>
      <c r="G226" s="21"/>
      <c r="H226" s="21"/>
      <c r="I226" s="21"/>
      <c r="J226" s="21"/>
      <c r="K226" s="21"/>
      <c r="L226" s="21"/>
      <c r="M226" s="21"/>
      <c r="N226" s="21"/>
      <c r="O226" s="21"/>
      <c r="P226" s="21"/>
      <c r="Q226" s="21"/>
      <c r="R226" s="21"/>
      <c r="S226" s="21"/>
      <c r="T226" s="21"/>
    </row>
    <row r="227" spans="3:20">
      <c r="C227" s="21"/>
      <c r="D227" s="21"/>
      <c r="E227" s="21"/>
      <c r="F227" s="21"/>
      <c r="G227" s="21"/>
      <c r="H227" s="21"/>
      <c r="I227" s="21"/>
      <c r="J227" s="21"/>
      <c r="K227" s="21"/>
      <c r="L227" s="21"/>
      <c r="M227" s="21"/>
      <c r="N227" s="21"/>
      <c r="O227" s="21"/>
      <c r="P227" s="21"/>
      <c r="Q227" s="21"/>
      <c r="R227" s="21"/>
      <c r="S227" s="21"/>
      <c r="T227" s="21"/>
    </row>
    <row r="228" spans="3:20">
      <c r="C228" s="21"/>
      <c r="D228" s="21"/>
      <c r="E228" s="21"/>
      <c r="F228" s="21"/>
      <c r="G228" s="21"/>
      <c r="H228" s="21"/>
      <c r="I228" s="21"/>
      <c r="J228" s="21"/>
      <c r="K228" s="21"/>
      <c r="L228" s="21"/>
      <c r="M228" s="21"/>
      <c r="N228" s="21"/>
      <c r="O228" s="21"/>
      <c r="P228" s="21"/>
      <c r="Q228" s="21"/>
      <c r="R228" s="21"/>
      <c r="S228" s="21"/>
      <c r="T228" s="21"/>
    </row>
    <row r="229" spans="3:20">
      <c r="C229" s="21"/>
      <c r="D229" s="21"/>
      <c r="E229" s="21"/>
      <c r="F229" s="21"/>
      <c r="G229" s="21"/>
      <c r="H229" s="21"/>
      <c r="I229" s="21"/>
      <c r="J229" s="21"/>
      <c r="K229" s="21"/>
      <c r="L229" s="21"/>
      <c r="M229" s="21"/>
      <c r="N229" s="21"/>
      <c r="O229" s="21"/>
      <c r="P229" s="21"/>
      <c r="Q229" s="21"/>
      <c r="R229" s="21"/>
      <c r="S229" s="21"/>
      <c r="T229" s="21"/>
    </row>
    <row r="230" spans="3:20">
      <c r="C230" s="21"/>
      <c r="D230" s="21"/>
      <c r="E230" s="21"/>
      <c r="F230" s="21"/>
      <c r="G230" s="21"/>
      <c r="H230" s="21"/>
      <c r="I230" s="21"/>
      <c r="J230" s="21"/>
      <c r="K230" s="21"/>
      <c r="L230" s="21"/>
      <c r="M230" s="21"/>
      <c r="N230" s="21"/>
      <c r="O230" s="21"/>
      <c r="P230" s="21"/>
      <c r="Q230" s="21"/>
      <c r="R230" s="21"/>
      <c r="S230" s="21"/>
      <c r="T230" s="21"/>
    </row>
    <row r="231" spans="3:20">
      <c r="C231" s="21"/>
      <c r="D231" s="21"/>
      <c r="E231" s="21"/>
      <c r="F231" s="21"/>
      <c r="G231" s="21"/>
      <c r="H231" s="21"/>
      <c r="I231" s="21"/>
      <c r="J231" s="21"/>
      <c r="K231" s="21"/>
      <c r="L231" s="21"/>
      <c r="M231" s="21"/>
      <c r="N231" s="21"/>
      <c r="O231" s="21"/>
      <c r="P231" s="21"/>
      <c r="Q231" s="21"/>
      <c r="R231" s="21"/>
      <c r="S231" s="21"/>
      <c r="T231" s="21"/>
    </row>
    <row r="232" spans="3:20">
      <c r="C232" s="21"/>
      <c r="D232" s="21"/>
      <c r="E232" s="21"/>
      <c r="F232" s="21"/>
      <c r="G232" s="21"/>
      <c r="H232" s="21"/>
      <c r="I232" s="21"/>
      <c r="J232" s="21"/>
      <c r="K232" s="21"/>
      <c r="L232" s="21"/>
      <c r="M232" s="21"/>
      <c r="N232" s="21"/>
      <c r="O232" s="21"/>
      <c r="P232" s="21"/>
      <c r="Q232" s="21"/>
      <c r="R232" s="21"/>
      <c r="S232" s="21"/>
      <c r="T232" s="21"/>
    </row>
    <row r="233" spans="3:20">
      <c r="C233" s="21"/>
      <c r="D233" s="21"/>
      <c r="E233" s="21"/>
      <c r="F233" s="21"/>
      <c r="G233" s="21"/>
      <c r="H233" s="21"/>
      <c r="I233" s="21"/>
      <c r="J233" s="21"/>
      <c r="K233" s="21"/>
      <c r="L233" s="21"/>
      <c r="M233" s="21"/>
      <c r="N233" s="21"/>
      <c r="O233" s="21"/>
      <c r="P233" s="21"/>
      <c r="Q233" s="21"/>
      <c r="R233" s="21"/>
      <c r="S233" s="21"/>
      <c r="T233" s="21"/>
    </row>
    <row r="234" spans="3:20">
      <c r="C234" s="21"/>
      <c r="D234" s="21"/>
      <c r="E234" s="21"/>
      <c r="F234" s="21"/>
      <c r="G234" s="21"/>
      <c r="H234" s="21"/>
      <c r="I234" s="21"/>
      <c r="J234" s="21"/>
      <c r="K234" s="21"/>
      <c r="L234" s="21"/>
      <c r="M234" s="21"/>
      <c r="N234" s="21"/>
      <c r="O234" s="21"/>
      <c r="P234" s="21"/>
      <c r="Q234" s="21"/>
      <c r="R234" s="21"/>
      <c r="S234" s="21"/>
      <c r="T234" s="21"/>
    </row>
    <row r="235" spans="3:20">
      <c r="C235" s="21"/>
      <c r="D235" s="21"/>
      <c r="E235" s="21"/>
      <c r="F235" s="21"/>
      <c r="G235" s="21"/>
      <c r="H235" s="21"/>
      <c r="I235" s="21"/>
      <c r="J235" s="21"/>
      <c r="K235" s="21"/>
      <c r="L235" s="21"/>
      <c r="M235" s="21"/>
      <c r="N235" s="21"/>
      <c r="O235" s="21"/>
      <c r="P235" s="21"/>
      <c r="Q235" s="21"/>
      <c r="R235" s="21"/>
      <c r="S235" s="21"/>
      <c r="T235" s="21"/>
    </row>
    <row r="236" spans="3:20">
      <c r="C236" s="21"/>
      <c r="D236" s="21"/>
      <c r="E236" s="21"/>
      <c r="F236" s="21"/>
      <c r="G236" s="21"/>
      <c r="H236" s="21"/>
      <c r="I236" s="21"/>
      <c r="J236" s="21"/>
      <c r="K236" s="21"/>
      <c r="L236" s="21"/>
      <c r="M236" s="21"/>
      <c r="N236" s="21"/>
      <c r="O236" s="21"/>
      <c r="P236" s="21"/>
      <c r="Q236" s="21"/>
      <c r="R236" s="21"/>
      <c r="S236" s="21"/>
      <c r="T236" s="21"/>
    </row>
    <row r="237" spans="3:20">
      <c r="C237" s="21"/>
      <c r="D237" s="21"/>
      <c r="E237" s="21"/>
      <c r="F237" s="21"/>
      <c r="G237" s="21"/>
      <c r="H237" s="21"/>
      <c r="I237" s="21"/>
      <c r="J237" s="21"/>
      <c r="K237" s="21"/>
      <c r="L237" s="21"/>
      <c r="M237" s="21"/>
      <c r="N237" s="21"/>
      <c r="O237" s="21"/>
      <c r="P237" s="21"/>
      <c r="Q237" s="21"/>
      <c r="R237" s="21"/>
      <c r="S237" s="21"/>
      <c r="T237" s="21"/>
    </row>
    <row r="238" spans="3:20">
      <c r="C238" s="21"/>
      <c r="D238" s="21"/>
      <c r="E238" s="21"/>
      <c r="F238" s="21"/>
      <c r="G238" s="21"/>
      <c r="H238" s="21"/>
      <c r="I238" s="21"/>
      <c r="J238" s="21"/>
      <c r="K238" s="21"/>
      <c r="L238" s="21"/>
      <c r="M238" s="21"/>
      <c r="N238" s="21"/>
      <c r="O238" s="21"/>
      <c r="P238" s="21"/>
      <c r="Q238" s="21"/>
      <c r="R238" s="21"/>
      <c r="S238" s="21"/>
      <c r="T238" s="21"/>
    </row>
    <row r="239" spans="3:20">
      <c r="C239" s="21"/>
      <c r="D239" s="21"/>
      <c r="E239" s="21"/>
      <c r="F239" s="21"/>
      <c r="G239" s="21"/>
      <c r="H239" s="21"/>
      <c r="I239" s="21"/>
      <c r="J239" s="21"/>
      <c r="K239" s="21"/>
      <c r="L239" s="21"/>
      <c r="M239" s="21"/>
      <c r="N239" s="21"/>
      <c r="O239" s="21"/>
      <c r="P239" s="21"/>
      <c r="Q239" s="21"/>
      <c r="R239" s="21"/>
      <c r="S239" s="21"/>
      <c r="T239" s="21"/>
    </row>
    <row r="240" spans="3:20">
      <c r="C240" s="21"/>
      <c r="D240" s="21"/>
      <c r="E240" s="21"/>
      <c r="F240" s="21"/>
      <c r="G240" s="21"/>
      <c r="H240" s="21"/>
      <c r="I240" s="21"/>
      <c r="J240" s="21"/>
      <c r="K240" s="21"/>
      <c r="L240" s="21"/>
      <c r="M240" s="21"/>
      <c r="N240" s="21"/>
      <c r="O240" s="21"/>
      <c r="P240" s="21"/>
      <c r="Q240" s="21"/>
      <c r="R240" s="21"/>
      <c r="S240" s="21"/>
      <c r="T240" s="21"/>
    </row>
    <row r="241" spans="3:20">
      <c r="C241" s="21"/>
      <c r="D241" s="21"/>
      <c r="E241" s="21"/>
      <c r="F241" s="21"/>
      <c r="G241" s="21"/>
      <c r="H241" s="21"/>
      <c r="I241" s="21"/>
      <c r="J241" s="21"/>
      <c r="K241" s="21"/>
      <c r="L241" s="21"/>
      <c r="M241" s="21"/>
      <c r="N241" s="21"/>
      <c r="O241" s="21"/>
      <c r="P241" s="21"/>
      <c r="Q241" s="21"/>
      <c r="R241" s="21"/>
      <c r="S241" s="21"/>
      <c r="T241" s="21"/>
    </row>
    <row r="242" spans="3:20">
      <c r="C242" s="21"/>
      <c r="D242" s="21"/>
      <c r="E242" s="21"/>
      <c r="F242" s="21"/>
      <c r="G242" s="21"/>
      <c r="H242" s="21"/>
      <c r="I242" s="21"/>
      <c r="J242" s="21"/>
      <c r="K242" s="21"/>
      <c r="L242" s="21"/>
      <c r="M242" s="21"/>
      <c r="N242" s="21"/>
      <c r="O242" s="21"/>
      <c r="P242" s="21"/>
      <c r="Q242" s="21"/>
      <c r="R242" s="21"/>
      <c r="S242" s="21"/>
      <c r="T242" s="21"/>
    </row>
    <row r="243" spans="3:20">
      <c r="C243" s="21"/>
      <c r="D243" s="21"/>
      <c r="E243" s="21"/>
      <c r="F243" s="21"/>
      <c r="G243" s="21"/>
      <c r="H243" s="21"/>
      <c r="I243" s="21"/>
      <c r="J243" s="21"/>
      <c r="K243" s="21"/>
      <c r="L243" s="21"/>
      <c r="M243" s="21"/>
      <c r="N243" s="21"/>
      <c r="O243" s="21"/>
      <c r="P243" s="21"/>
      <c r="Q243" s="21"/>
      <c r="R243" s="21"/>
      <c r="S243" s="21"/>
      <c r="T243" s="21"/>
    </row>
    <row r="244" spans="3:20">
      <c r="C244" s="21"/>
      <c r="D244" s="21"/>
      <c r="E244" s="21"/>
      <c r="F244" s="21"/>
      <c r="G244" s="21"/>
      <c r="H244" s="21"/>
      <c r="I244" s="21"/>
      <c r="J244" s="21"/>
      <c r="K244" s="21"/>
      <c r="L244" s="21"/>
      <c r="M244" s="21"/>
      <c r="N244" s="21"/>
      <c r="O244" s="21"/>
      <c r="P244" s="21"/>
      <c r="Q244" s="21"/>
      <c r="R244" s="21"/>
      <c r="S244" s="21"/>
      <c r="T244" s="21"/>
    </row>
    <row r="245" spans="3:20">
      <c r="C245" s="21"/>
      <c r="D245" s="21"/>
      <c r="E245" s="21"/>
      <c r="F245" s="21"/>
      <c r="G245" s="21"/>
      <c r="H245" s="21"/>
      <c r="I245" s="21"/>
      <c r="J245" s="21"/>
      <c r="K245" s="21"/>
      <c r="L245" s="21"/>
      <c r="M245" s="21"/>
      <c r="N245" s="21"/>
      <c r="O245" s="21"/>
      <c r="P245" s="21"/>
      <c r="Q245" s="21"/>
      <c r="R245" s="21"/>
      <c r="S245" s="21"/>
      <c r="T245" s="21"/>
    </row>
    <row r="246" spans="3:20">
      <c r="C246" s="21"/>
      <c r="D246" s="21"/>
      <c r="E246" s="21"/>
      <c r="F246" s="21"/>
      <c r="G246" s="21"/>
      <c r="H246" s="21"/>
      <c r="I246" s="21"/>
      <c r="J246" s="21"/>
      <c r="K246" s="21"/>
      <c r="L246" s="21"/>
      <c r="M246" s="21"/>
      <c r="N246" s="21"/>
      <c r="O246" s="21"/>
      <c r="P246" s="21"/>
      <c r="Q246" s="21"/>
      <c r="R246" s="21"/>
      <c r="S246" s="21"/>
      <c r="T246" s="21"/>
    </row>
    <row r="247" spans="3:20">
      <c r="C247" s="21"/>
      <c r="D247" s="21"/>
      <c r="E247" s="21"/>
      <c r="F247" s="21"/>
      <c r="G247" s="21"/>
      <c r="H247" s="21"/>
      <c r="I247" s="21"/>
      <c r="J247" s="21"/>
      <c r="K247" s="21"/>
      <c r="L247" s="21"/>
      <c r="M247" s="21"/>
      <c r="N247" s="21"/>
      <c r="O247" s="21"/>
      <c r="P247" s="21"/>
      <c r="Q247" s="21"/>
      <c r="R247" s="21"/>
      <c r="S247" s="21"/>
      <c r="T247" s="21"/>
    </row>
    <row r="248" spans="3:20">
      <c r="C248" s="21"/>
      <c r="D248" s="21"/>
      <c r="E248" s="21"/>
      <c r="F248" s="21"/>
      <c r="G248" s="21"/>
      <c r="H248" s="21"/>
      <c r="I248" s="21"/>
      <c r="J248" s="21"/>
      <c r="K248" s="21"/>
      <c r="L248" s="21"/>
      <c r="M248" s="21"/>
      <c r="N248" s="21"/>
      <c r="O248" s="21"/>
      <c r="P248" s="21"/>
      <c r="Q248" s="21"/>
      <c r="R248" s="21"/>
      <c r="S248" s="21"/>
      <c r="T248" s="21"/>
    </row>
    <row r="249" spans="3:20">
      <c r="C249" s="21"/>
      <c r="D249" s="21"/>
      <c r="E249" s="21"/>
      <c r="F249" s="21"/>
      <c r="G249" s="21"/>
      <c r="H249" s="21"/>
      <c r="I249" s="21"/>
      <c r="J249" s="21"/>
      <c r="K249" s="21"/>
      <c r="L249" s="21"/>
      <c r="M249" s="21"/>
      <c r="N249" s="21"/>
      <c r="O249" s="21"/>
      <c r="P249" s="21"/>
      <c r="Q249" s="21"/>
      <c r="R249" s="21"/>
      <c r="S249" s="21"/>
      <c r="T249" s="21"/>
    </row>
    <row r="250" spans="3:20">
      <c r="C250" s="21"/>
      <c r="D250" s="21"/>
      <c r="E250" s="21"/>
      <c r="F250" s="21"/>
      <c r="G250" s="21"/>
      <c r="H250" s="21"/>
      <c r="I250" s="21"/>
      <c r="J250" s="21"/>
      <c r="K250" s="21"/>
      <c r="L250" s="21"/>
      <c r="M250" s="21"/>
      <c r="N250" s="21"/>
      <c r="O250" s="21"/>
      <c r="P250" s="21"/>
      <c r="Q250" s="21"/>
      <c r="R250" s="21"/>
      <c r="S250" s="21"/>
      <c r="T250" s="21"/>
    </row>
    <row r="251" spans="3:20">
      <c r="C251" s="21"/>
      <c r="D251" s="21"/>
      <c r="E251" s="21"/>
      <c r="F251" s="21"/>
      <c r="G251" s="21"/>
      <c r="H251" s="21"/>
      <c r="I251" s="21"/>
      <c r="J251" s="21"/>
      <c r="K251" s="21"/>
      <c r="L251" s="21"/>
      <c r="M251" s="21"/>
      <c r="N251" s="21"/>
      <c r="O251" s="21"/>
      <c r="P251" s="21"/>
      <c r="Q251" s="21"/>
      <c r="R251" s="21"/>
      <c r="S251" s="21"/>
      <c r="T251" s="21"/>
    </row>
    <row r="252" spans="3:20">
      <c r="C252" s="21"/>
      <c r="D252" s="21"/>
      <c r="E252" s="21"/>
      <c r="F252" s="21"/>
      <c r="G252" s="21"/>
      <c r="H252" s="21"/>
      <c r="I252" s="21"/>
      <c r="J252" s="21"/>
      <c r="K252" s="21"/>
      <c r="L252" s="21"/>
      <c r="M252" s="21"/>
      <c r="N252" s="21"/>
      <c r="O252" s="21"/>
      <c r="P252" s="21"/>
      <c r="Q252" s="21"/>
      <c r="R252" s="21"/>
      <c r="S252" s="21"/>
      <c r="T252" s="21"/>
    </row>
    <row r="253" spans="3:20">
      <c r="C253" s="21"/>
      <c r="D253" s="21"/>
      <c r="E253" s="21"/>
      <c r="F253" s="21"/>
      <c r="G253" s="21"/>
      <c r="H253" s="21"/>
      <c r="I253" s="21"/>
      <c r="J253" s="21"/>
      <c r="K253" s="21"/>
      <c r="L253" s="21"/>
      <c r="M253" s="21"/>
      <c r="N253" s="21"/>
      <c r="O253" s="21"/>
      <c r="P253" s="21"/>
      <c r="Q253" s="21"/>
      <c r="R253" s="21"/>
      <c r="S253" s="21"/>
      <c r="T253" s="21"/>
    </row>
    <row r="254" spans="3:20">
      <c r="C254" s="21"/>
      <c r="D254" s="21"/>
      <c r="E254" s="21"/>
      <c r="F254" s="21"/>
      <c r="G254" s="21"/>
      <c r="H254" s="21"/>
      <c r="I254" s="21"/>
      <c r="J254" s="21"/>
      <c r="K254" s="21"/>
      <c r="L254" s="21"/>
      <c r="M254" s="21"/>
      <c r="N254" s="21"/>
      <c r="O254" s="21"/>
      <c r="P254" s="21"/>
      <c r="Q254" s="21"/>
      <c r="R254" s="21"/>
      <c r="S254" s="21"/>
      <c r="T254" s="21"/>
    </row>
    <row r="255" spans="3:20">
      <c r="C255" s="21"/>
      <c r="D255" s="21"/>
      <c r="E255" s="21"/>
      <c r="F255" s="21"/>
      <c r="G255" s="21"/>
      <c r="H255" s="21"/>
      <c r="I255" s="21"/>
      <c r="J255" s="21"/>
      <c r="K255" s="21"/>
      <c r="L255" s="21"/>
      <c r="M255" s="21"/>
      <c r="N255" s="21"/>
      <c r="O255" s="21"/>
      <c r="P255" s="21"/>
      <c r="Q255" s="21"/>
      <c r="R255" s="21"/>
      <c r="S255" s="21"/>
      <c r="T255" s="21"/>
    </row>
    <row r="256" spans="3:20">
      <c r="C256" s="21"/>
      <c r="D256" s="21"/>
      <c r="E256" s="21"/>
      <c r="F256" s="21"/>
      <c r="G256" s="21"/>
      <c r="H256" s="21"/>
      <c r="I256" s="21"/>
      <c r="J256" s="21"/>
      <c r="K256" s="21"/>
      <c r="L256" s="21"/>
      <c r="M256" s="21"/>
      <c r="N256" s="21"/>
      <c r="O256" s="21"/>
      <c r="P256" s="21"/>
      <c r="Q256" s="21"/>
      <c r="R256" s="21"/>
      <c r="S256" s="21"/>
      <c r="T256" s="21"/>
    </row>
    <row r="257" spans="3:20">
      <c r="C257" s="21"/>
      <c r="D257" s="21"/>
      <c r="E257" s="21"/>
      <c r="F257" s="21"/>
      <c r="G257" s="21"/>
      <c r="H257" s="21"/>
      <c r="I257" s="21"/>
      <c r="J257" s="21"/>
      <c r="K257" s="21"/>
      <c r="L257" s="21"/>
      <c r="M257" s="21"/>
      <c r="N257" s="21"/>
      <c r="O257" s="21"/>
      <c r="P257" s="21"/>
      <c r="Q257" s="21"/>
      <c r="R257" s="21"/>
      <c r="S257" s="21"/>
      <c r="T257" s="21"/>
    </row>
    <row r="258" spans="3:20">
      <c r="C258" s="21"/>
      <c r="D258" s="21"/>
      <c r="E258" s="21"/>
      <c r="F258" s="21"/>
      <c r="G258" s="21"/>
      <c r="H258" s="21"/>
      <c r="I258" s="21"/>
      <c r="J258" s="21"/>
      <c r="K258" s="21"/>
      <c r="L258" s="21"/>
      <c r="M258" s="21"/>
      <c r="N258" s="21"/>
      <c r="O258" s="21"/>
      <c r="P258" s="21"/>
      <c r="Q258" s="21"/>
      <c r="R258" s="21"/>
      <c r="S258" s="21"/>
      <c r="T258" s="21"/>
    </row>
    <row r="259" spans="3:20">
      <c r="C259" s="21"/>
      <c r="D259" s="21"/>
      <c r="E259" s="21"/>
      <c r="F259" s="21"/>
      <c r="G259" s="21"/>
      <c r="H259" s="21"/>
      <c r="I259" s="21"/>
      <c r="J259" s="21"/>
      <c r="K259" s="21"/>
      <c r="L259" s="21"/>
      <c r="M259" s="21"/>
      <c r="N259" s="21"/>
      <c r="O259" s="21"/>
      <c r="P259" s="21"/>
      <c r="Q259" s="21"/>
      <c r="R259" s="21"/>
      <c r="S259" s="21"/>
      <c r="T259" s="21"/>
    </row>
    <row r="260" spans="3:20">
      <c r="C260" s="21"/>
      <c r="D260" s="21"/>
      <c r="E260" s="21"/>
      <c r="F260" s="21"/>
      <c r="G260" s="21"/>
      <c r="H260" s="21"/>
      <c r="I260" s="21"/>
      <c r="J260" s="21"/>
      <c r="K260" s="21"/>
      <c r="L260" s="21"/>
      <c r="M260" s="21"/>
      <c r="N260" s="21"/>
      <c r="O260" s="21"/>
      <c r="P260" s="21"/>
      <c r="Q260" s="21"/>
      <c r="R260" s="21"/>
      <c r="S260" s="21"/>
      <c r="T260" s="21"/>
    </row>
    <row r="261" spans="3:20">
      <c r="C261" s="21"/>
      <c r="D261" s="21"/>
      <c r="E261" s="21"/>
      <c r="F261" s="21"/>
      <c r="G261" s="21"/>
      <c r="H261" s="21"/>
      <c r="I261" s="21"/>
      <c r="J261" s="21"/>
      <c r="K261" s="21"/>
      <c r="L261" s="21"/>
      <c r="M261" s="21"/>
      <c r="N261" s="21"/>
      <c r="O261" s="21"/>
      <c r="P261" s="21"/>
      <c r="Q261" s="21"/>
      <c r="R261" s="21"/>
      <c r="S261" s="21"/>
      <c r="T261" s="21"/>
    </row>
    <row r="262" spans="3:20">
      <c r="C262" s="21"/>
      <c r="D262" s="21"/>
      <c r="E262" s="21"/>
      <c r="F262" s="21"/>
      <c r="G262" s="21"/>
      <c r="H262" s="21"/>
      <c r="I262" s="21"/>
      <c r="J262" s="21"/>
      <c r="K262" s="21"/>
      <c r="L262" s="21"/>
      <c r="M262" s="21"/>
      <c r="N262" s="21"/>
      <c r="O262" s="21"/>
      <c r="P262" s="21"/>
      <c r="Q262" s="21"/>
      <c r="R262" s="21"/>
      <c r="S262" s="21"/>
      <c r="T262" s="21"/>
    </row>
    <row r="263" spans="3:20">
      <c r="C263" s="21"/>
      <c r="D263" s="21"/>
      <c r="E263" s="21"/>
      <c r="F263" s="21"/>
      <c r="G263" s="21"/>
      <c r="H263" s="21"/>
      <c r="I263" s="21"/>
      <c r="J263" s="21"/>
      <c r="K263" s="21"/>
      <c r="L263" s="21"/>
      <c r="M263" s="21"/>
      <c r="N263" s="21"/>
      <c r="O263" s="21"/>
      <c r="P263" s="21"/>
      <c r="Q263" s="21"/>
      <c r="R263" s="21"/>
      <c r="S263" s="21"/>
      <c r="T263" s="21"/>
    </row>
    <row r="264" spans="3:20">
      <c r="C264" s="21"/>
      <c r="D264" s="21"/>
      <c r="E264" s="21"/>
      <c r="F264" s="21"/>
      <c r="G264" s="21"/>
      <c r="H264" s="21"/>
      <c r="I264" s="21"/>
      <c r="J264" s="21"/>
      <c r="K264" s="21"/>
      <c r="L264" s="21"/>
      <c r="M264" s="21"/>
      <c r="N264" s="21"/>
      <c r="O264" s="21"/>
      <c r="P264" s="21"/>
      <c r="Q264" s="21"/>
      <c r="R264" s="21"/>
      <c r="S264" s="21"/>
      <c r="T264" s="21"/>
    </row>
    <row r="265" spans="3:20">
      <c r="C265" s="21"/>
      <c r="D265" s="21"/>
      <c r="E265" s="21"/>
      <c r="F265" s="21"/>
      <c r="G265" s="21"/>
      <c r="H265" s="21"/>
      <c r="I265" s="21"/>
      <c r="J265" s="21"/>
      <c r="K265" s="21"/>
      <c r="L265" s="21"/>
      <c r="M265" s="21"/>
      <c r="N265" s="21"/>
      <c r="O265" s="21"/>
      <c r="P265" s="21"/>
      <c r="Q265" s="21"/>
      <c r="R265" s="21"/>
      <c r="S265" s="21"/>
      <c r="T265" s="21"/>
    </row>
    <row r="266" spans="3:20">
      <c r="C266" s="21"/>
      <c r="D266" s="21"/>
      <c r="E266" s="21"/>
      <c r="F266" s="21"/>
      <c r="G266" s="21"/>
      <c r="H266" s="21"/>
      <c r="I266" s="21"/>
      <c r="J266" s="21"/>
      <c r="K266" s="21"/>
      <c r="L266" s="21"/>
      <c r="M266" s="21"/>
      <c r="N266" s="21"/>
      <c r="O266" s="21"/>
      <c r="P266" s="21"/>
      <c r="Q266" s="21"/>
      <c r="R266" s="21"/>
      <c r="S266" s="21"/>
      <c r="T266" s="21"/>
    </row>
    <row r="267" spans="3:20">
      <c r="C267" s="21"/>
      <c r="D267" s="21"/>
      <c r="E267" s="21"/>
      <c r="F267" s="21"/>
      <c r="G267" s="21"/>
      <c r="H267" s="21"/>
      <c r="I267" s="21"/>
      <c r="J267" s="21"/>
      <c r="K267" s="21"/>
      <c r="L267" s="21"/>
      <c r="M267" s="21"/>
      <c r="N267" s="21"/>
      <c r="O267" s="21"/>
      <c r="P267" s="21"/>
      <c r="Q267" s="21"/>
      <c r="R267" s="21"/>
      <c r="S267" s="21"/>
      <c r="T267" s="21"/>
    </row>
    <row r="268" spans="3:20">
      <c r="C268" s="21"/>
      <c r="D268" s="21"/>
      <c r="E268" s="21"/>
      <c r="F268" s="21"/>
      <c r="G268" s="21"/>
      <c r="H268" s="21"/>
      <c r="I268" s="21"/>
      <c r="J268" s="21"/>
      <c r="K268" s="21"/>
      <c r="L268" s="21"/>
      <c r="M268" s="21"/>
      <c r="N268" s="21"/>
      <c r="O268" s="21"/>
      <c r="P268" s="21"/>
      <c r="Q268" s="21"/>
      <c r="R268" s="21"/>
      <c r="S268" s="21"/>
      <c r="T268" s="21"/>
    </row>
    <row r="269" spans="3:20">
      <c r="C269" s="21"/>
      <c r="D269" s="21"/>
      <c r="E269" s="21"/>
      <c r="F269" s="21"/>
      <c r="G269" s="21"/>
      <c r="H269" s="21"/>
      <c r="I269" s="21"/>
      <c r="J269" s="21"/>
      <c r="K269" s="21"/>
      <c r="L269" s="21"/>
      <c r="M269" s="21"/>
      <c r="N269" s="21"/>
      <c r="O269" s="21"/>
      <c r="P269" s="21"/>
      <c r="Q269" s="21"/>
      <c r="R269" s="21"/>
      <c r="S269" s="21"/>
      <c r="T269" s="21"/>
    </row>
    <row r="270" spans="3:20">
      <c r="C270" s="21"/>
      <c r="D270" s="21"/>
      <c r="E270" s="21"/>
      <c r="F270" s="21"/>
      <c r="G270" s="21"/>
      <c r="H270" s="21"/>
      <c r="I270" s="21"/>
      <c r="J270" s="21"/>
      <c r="K270" s="21"/>
      <c r="L270" s="21"/>
      <c r="M270" s="21"/>
      <c r="N270" s="21"/>
      <c r="O270" s="21"/>
      <c r="P270" s="21"/>
      <c r="Q270" s="21"/>
      <c r="R270" s="21"/>
      <c r="S270" s="21"/>
      <c r="T270" s="21"/>
    </row>
    <row r="271" spans="3:20">
      <c r="C271" s="21"/>
      <c r="D271" s="21"/>
      <c r="E271" s="21"/>
      <c r="F271" s="21"/>
      <c r="G271" s="21"/>
      <c r="H271" s="21"/>
      <c r="I271" s="21"/>
      <c r="J271" s="21"/>
      <c r="K271" s="21"/>
      <c r="L271" s="21"/>
      <c r="M271" s="21"/>
      <c r="N271" s="21"/>
      <c r="O271" s="21"/>
      <c r="P271" s="21"/>
      <c r="Q271" s="21"/>
      <c r="R271" s="21"/>
      <c r="S271" s="21"/>
      <c r="T271" s="21"/>
    </row>
    <row r="272" spans="3:20">
      <c r="C272" s="21"/>
      <c r="D272" s="21"/>
      <c r="E272" s="21"/>
      <c r="F272" s="21"/>
      <c r="G272" s="21"/>
      <c r="H272" s="21"/>
      <c r="I272" s="21"/>
      <c r="J272" s="21"/>
      <c r="K272" s="21"/>
      <c r="L272" s="21"/>
      <c r="M272" s="21"/>
      <c r="N272" s="21"/>
      <c r="O272" s="21"/>
      <c r="P272" s="21"/>
      <c r="Q272" s="21"/>
      <c r="R272" s="21"/>
      <c r="S272" s="21"/>
      <c r="T272" s="21"/>
    </row>
    <row r="273" spans="3:20">
      <c r="C273" s="21"/>
      <c r="D273" s="21"/>
      <c r="E273" s="21"/>
      <c r="F273" s="21"/>
      <c r="G273" s="21"/>
      <c r="H273" s="21"/>
      <c r="I273" s="21"/>
      <c r="J273" s="21"/>
      <c r="K273" s="21"/>
      <c r="L273" s="21"/>
      <c r="M273" s="21"/>
      <c r="N273" s="21"/>
      <c r="O273" s="21"/>
      <c r="P273" s="21"/>
      <c r="Q273" s="21"/>
      <c r="R273" s="21"/>
      <c r="S273" s="21"/>
      <c r="T273" s="21"/>
    </row>
    <row r="274" spans="3:20">
      <c r="C274" s="21"/>
      <c r="D274" s="21"/>
      <c r="E274" s="21"/>
      <c r="F274" s="21"/>
      <c r="G274" s="21"/>
      <c r="H274" s="21"/>
      <c r="I274" s="21"/>
      <c r="J274" s="21"/>
      <c r="K274" s="21"/>
      <c r="L274" s="21"/>
      <c r="M274" s="21"/>
      <c r="N274" s="21"/>
      <c r="O274" s="21"/>
      <c r="P274" s="21"/>
      <c r="Q274" s="21"/>
      <c r="R274" s="21"/>
      <c r="S274" s="21"/>
      <c r="T274" s="21"/>
    </row>
    <row r="275" spans="3:20">
      <c r="C275" s="21"/>
      <c r="D275" s="21"/>
      <c r="E275" s="21"/>
      <c r="F275" s="21"/>
      <c r="G275" s="21"/>
      <c r="H275" s="21"/>
      <c r="I275" s="21"/>
      <c r="J275" s="21"/>
      <c r="K275" s="21"/>
      <c r="L275" s="21"/>
      <c r="M275" s="21"/>
      <c r="N275" s="21"/>
      <c r="O275" s="21"/>
      <c r="P275" s="21"/>
      <c r="Q275" s="21"/>
      <c r="R275" s="21"/>
      <c r="S275" s="21"/>
      <c r="T275" s="21"/>
    </row>
    <row r="276" spans="3:20">
      <c r="C276" s="21"/>
      <c r="D276" s="21"/>
      <c r="E276" s="21"/>
      <c r="F276" s="21"/>
      <c r="G276" s="21"/>
      <c r="H276" s="21"/>
      <c r="I276" s="21"/>
      <c r="J276" s="21"/>
      <c r="K276" s="21"/>
      <c r="L276" s="21"/>
      <c r="M276" s="21"/>
      <c r="N276" s="21"/>
      <c r="O276" s="21"/>
      <c r="P276" s="21"/>
      <c r="Q276" s="21"/>
      <c r="R276" s="21"/>
      <c r="S276" s="21"/>
      <c r="T276" s="21"/>
    </row>
    <row r="277" spans="3:20">
      <c r="C277" s="21"/>
      <c r="D277" s="21"/>
      <c r="E277" s="21"/>
      <c r="F277" s="21"/>
      <c r="G277" s="21"/>
      <c r="H277" s="21"/>
      <c r="I277" s="21"/>
      <c r="J277" s="21"/>
      <c r="K277" s="21"/>
      <c r="L277" s="21"/>
      <c r="M277" s="21"/>
      <c r="N277" s="21"/>
      <c r="O277" s="21"/>
      <c r="P277" s="21"/>
      <c r="Q277" s="21"/>
      <c r="R277" s="21"/>
      <c r="S277" s="21"/>
      <c r="T277" s="21"/>
    </row>
    <row r="278" spans="3:20">
      <c r="C278" s="21"/>
      <c r="D278" s="21"/>
      <c r="E278" s="21"/>
      <c r="F278" s="21"/>
      <c r="G278" s="21"/>
      <c r="H278" s="21"/>
      <c r="I278" s="21"/>
      <c r="J278" s="21"/>
      <c r="K278" s="21"/>
      <c r="L278" s="21"/>
      <c r="M278" s="21"/>
      <c r="N278" s="21"/>
      <c r="O278" s="21"/>
      <c r="P278" s="21"/>
      <c r="Q278" s="21"/>
      <c r="R278" s="21"/>
      <c r="S278" s="21"/>
      <c r="T278" s="21"/>
    </row>
    <row r="279" spans="3:20">
      <c r="C279" s="21"/>
      <c r="D279" s="21"/>
      <c r="E279" s="21"/>
      <c r="F279" s="21"/>
      <c r="G279" s="21"/>
      <c r="H279" s="21"/>
      <c r="I279" s="21"/>
      <c r="J279" s="21"/>
      <c r="K279" s="21"/>
      <c r="L279" s="21"/>
      <c r="M279" s="21"/>
      <c r="N279" s="21"/>
      <c r="O279" s="21"/>
      <c r="P279" s="21"/>
      <c r="Q279" s="21"/>
      <c r="R279" s="21"/>
      <c r="S279" s="21"/>
      <c r="T279" s="21"/>
    </row>
    <row r="280" spans="3:20">
      <c r="C280" s="21"/>
      <c r="D280" s="21"/>
      <c r="E280" s="21"/>
      <c r="F280" s="21"/>
      <c r="G280" s="21"/>
      <c r="H280" s="21"/>
      <c r="I280" s="21"/>
      <c r="J280" s="21"/>
      <c r="K280" s="21"/>
      <c r="L280" s="21"/>
      <c r="M280" s="21"/>
      <c r="N280" s="21"/>
      <c r="O280" s="21"/>
      <c r="P280" s="21"/>
      <c r="Q280" s="21"/>
      <c r="R280" s="21"/>
      <c r="S280" s="21"/>
      <c r="T280" s="21"/>
    </row>
    <row r="281" spans="3:20">
      <c r="C281" s="21"/>
      <c r="D281" s="21"/>
      <c r="E281" s="21"/>
      <c r="F281" s="21"/>
      <c r="G281" s="21"/>
      <c r="H281" s="21"/>
      <c r="I281" s="21"/>
      <c r="J281" s="21"/>
      <c r="K281" s="21"/>
      <c r="L281" s="21"/>
      <c r="M281" s="21"/>
      <c r="N281" s="21"/>
      <c r="O281" s="21"/>
      <c r="P281" s="21"/>
      <c r="Q281" s="21"/>
      <c r="R281" s="21"/>
      <c r="S281" s="21"/>
      <c r="T281" s="21"/>
    </row>
    <row r="282" spans="3:20">
      <c r="C282" s="21"/>
      <c r="D282" s="21"/>
      <c r="E282" s="21"/>
      <c r="F282" s="21"/>
      <c r="G282" s="21"/>
      <c r="H282" s="21"/>
      <c r="I282" s="21"/>
      <c r="J282" s="21"/>
      <c r="K282" s="21"/>
      <c r="L282" s="21"/>
      <c r="M282" s="21"/>
      <c r="N282" s="21"/>
      <c r="O282" s="21"/>
      <c r="P282" s="21"/>
      <c r="Q282" s="21"/>
      <c r="R282" s="21"/>
      <c r="S282" s="21"/>
      <c r="T282" s="21"/>
    </row>
    <row r="283" spans="3:20">
      <c r="C283" s="21"/>
      <c r="D283" s="21"/>
      <c r="E283" s="21"/>
      <c r="F283" s="21"/>
      <c r="G283" s="21"/>
      <c r="H283" s="21"/>
      <c r="I283" s="21"/>
      <c r="J283" s="21"/>
      <c r="K283" s="21"/>
      <c r="L283" s="21"/>
      <c r="M283" s="21"/>
      <c r="N283" s="21"/>
      <c r="O283" s="21"/>
      <c r="P283" s="21"/>
      <c r="Q283" s="21"/>
      <c r="R283" s="21"/>
      <c r="S283" s="21"/>
      <c r="T283" s="21"/>
    </row>
    <row r="284" spans="3:20">
      <c r="C284" s="21"/>
      <c r="D284" s="21"/>
      <c r="E284" s="21"/>
      <c r="F284" s="21"/>
      <c r="G284" s="21"/>
      <c r="H284" s="21"/>
      <c r="I284" s="21"/>
      <c r="J284" s="21"/>
      <c r="K284" s="21"/>
      <c r="L284" s="21"/>
      <c r="M284" s="21"/>
      <c r="N284" s="21"/>
      <c r="O284" s="21"/>
      <c r="P284" s="21"/>
      <c r="Q284" s="21"/>
      <c r="R284" s="21"/>
      <c r="S284" s="21"/>
      <c r="T284" s="21"/>
    </row>
    <row r="285" spans="3:20">
      <c r="C285" s="21"/>
      <c r="D285" s="21"/>
      <c r="E285" s="21"/>
      <c r="F285" s="21"/>
      <c r="G285" s="21"/>
      <c r="H285" s="21"/>
      <c r="I285" s="21"/>
      <c r="J285" s="21"/>
      <c r="K285" s="21"/>
      <c r="L285" s="21"/>
      <c r="M285" s="21"/>
      <c r="N285" s="21"/>
      <c r="O285" s="21"/>
      <c r="P285" s="21"/>
      <c r="Q285" s="21"/>
      <c r="R285" s="21"/>
      <c r="S285" s="21"/>
      <c r="T285" s="21"/>
    </row>
    <row r="286" spans="3:20">
      <c r="C286" s="21"/>
      <c r="D286" s="21"/>
      <c r="E286" s="21"/>
      <c r="F286" s="21"/>
      <c r="G286" s="21"/>
      <c r="H286" s="21"/>
      <c r="I286" s="21"/>
      <c r="J286" s="21"/>
      <c r="K286" s="21"/>
      <c r="L286" s="21"/>
      <c r="M286" s="21"/>
      <c r="N286" s="21"/>
      <c r="O286" s="21"/>
      <c r="P286" s="21"/>
      <c r="Q286" s="21"/>
      <c r="R286" s="21"/>
      <c r="S286" s="21"/>
      <c r="T286" s="21"/>
    </row>
    <row r="287" spans="3:20">
      <c r="C287" s="21"/>
      <c r="D287" s="21"/>
      <c r="E287" s="21"/>
      <c r="F287" s="21"/>
      <c r="G287" s="21"/>
      <c r="H287" s="21"/>
      <c r="I287" s="21"/>
      <c r="J287" s="21"/>
      <c r="K287" s="21"/>
      <c r="L287" s="21"/>
      <c r="M287" s="21"/>
      <c r="N287" s="21"/>
      <c r="O287" s="21"/>
      <c r="P287" s="21"/>
      <c r="Q287" s="21"/>
      <c r="R287" s="21"/>
      <c r="S287" s="21"/>
      <c r="T287" s="21"/>
    </row>
    <row r="288" spans="3:20">
      <c r="C288" s="21"/>
      <c r="D288" s="21"/>
      <c r="E288" s="21"/>
      <c r="F288" s="21"/>
      <c r="G288" s="21"/>
      <c r="H288" s="21"/>
      <c r="I288" s="21"/>
      <c r="J288" s="21"/>
      <c r="K288" s="21"/>
      <c r="L288" s="21"/>
      <c r="M288" s="21"/>
      <c r="N288" s="21"/>
      <c r="O288" s="21"/>
      <c r="P288" s="21"/>
      <c r="Q288" s="21"/>
      <c r="R288" s="21"/>
      <c r="S288" s="21"/>
      <c r="T288" s="21"/>
    </row>
    <row r="289" spans="3:20">
      <c r="C289" s="21"/>
      <c r="D289" s="21"/>
      <c r="E289" s="21"/>
      <c r="F289" s="21"/>
      <c r="G289" s="21"/>
      <c r="H289" s="21"/>
      <c r="I289" s="21"/>
      <c r="J289" s="21"/>
      <c r="K289" s="21"/>
      <c r="L289" s="21"/>
      <c r="M289" s="21"/>
      <c r="N289" s="21"/>
      <c r="O289" s="21"/>
      <c r="P289" s="21"/>
      <c r="Q289" s="21"/>
      <c r="R289" s="21"/>
      <c r="S289" s="21"/>
      <c r="T289" s="21"/>
    </row>
    <row r="290" spans="3:20">
      <c r="C290" s="21"/>
      <c r="D290" s="21"/>
      <c r="E290" s="21"/>
      <c r="F290" s="21"/>
      <c r="G290" s="21"/>
      <c r="H290" s="21"/>
      <c r="I290" s="21"/>
      <c r="J290" s="21"/>
      <c r="K290" s="21"/>
      <c r="L290" s="21"/>
      <c r="M290" s="21"/>
      <c r="N290" s="21"/>
      <c r="O290" s="21"/>
      <c r="P290" s="21"/>
      <c r="Q290" s="21"/>
      <c r="R290" s="21"/>
      <c r="S290" s="21"/>
      <c r="T290" s="21"/>
    </row>
    <row r="291" spans="3:20">
      <c r="C291" s="21"/>
      <c r="D291" s="21"/>
      <c r="E291" s="21"/>
      <c r="F291" s="21"/>
      <c r="G291" s="21"/>
      <c r="H291" s="21"/>
      <c r="I291" s="21"/>
      <c r="J291" s="21"/>
      <c r="K291" s="21"/>
      <c r="L291" s="21"/>
      <c r="M291" s="21"/>
      <c r="N291" s="21"/>
      <c r="O291" s="21"/>
      <c r="P291" s="21"/>
      <c r="Q291" s="21"/>
      <c r="R291" s="21"/>
      <c r="S291" s="21"/>
      <c r="T291" s="21"/>
    </row>
    <row r="292" spans="3:20">
      <c r="C292" s="21"/>
      <c r="D292" s="21"/>
      <c r="E292" s="21"/>
      <c r="F292" s="21"/>
      <c r="G292" s="21"/>
      <c r="H292" s="21"/>
      <c r="I292" s="21"/>
      <c r="J292" s="21"/>
      <c r="K292" s="21"/>
      <c r="L292" s="21"/>
      <c r="M292" s="21"/>
      <c r="N292" s="21"/>
      <c r="O292" s="21"/>
      <c r="P292" s="21"/>
      <c r="Q292" s="21"/>
      <c r="R292" s="21"/>
      <c r="S292" s="21"/>
      <c r="T292" s="21"/>
    </row>
    <row r="293" spans="3:20">
      <c r="C293" s="21"/>
      <c r="D293" s="21"/>
      <c r="E293" s="21"/>
      <c r="F293" s="21"/>
      <c r="G293" s="21"/>
      <c r="H293" s="21"/>
      <c r="I293" s="21"/>
      <c r="J293" s="21"/>
      <c r="K293" s="21"/>
      <c r="L293" s="21"/>
      <c r="M293" s="21"/>
      <c r="N293" s="21"/>
      <c r="O293" s="21"/>
      <c r="P293" s="21"/>
      <c r="Q293" s="21"/>
      <c r="R293" s="21"/>
      <c r="S293" s="21"/>
      <c r="T293" s="21"/>
    </row>
    <row r="294" spans="3:20">
      <c r="C294" s="21"/>
      <c r="D294" s="21"/>
      <c r="E294" s="21"/>
      <c r="F294" s="21"/>
      <c r="G294" s="21"/>
      <c r="H294" s="21"/>
      <c r="I294" s="21"/>
      <c r="J294" s="21"/>
      <c r="K294" s="21"/>
      <c r="L294" s="21"/>
      <c r="M294" s="21"/>
      <c r="N294" s="21"/>
      <c r="O294" s="21"/>
      <c r="P294" s="21"/>
      <c r="Q294" s="21"/>
      <c r="R294" s="21"/>
      <c r="S294" s="21"/>
      <c r="T294" s="21"/>
    </row>
    <row r="295" spans="3:20">
      <c r="C295" s="21"/>
      <c r="D295" s="21"/>
      <c r="E295" s="21"/>
      <c r="F295" s="21"/>
      <c r="G295" s="21"/>
      <c r="H295" s="21"/>
      <c r="I295" s="21"/>
      <c r="J295" s="21"/>
      <c r="K295" s="21"/>
      <c r="L295" s="21"/>
      <c r="M295" s="21"/>
      <c r="N295" s="21"/>
      <c r="O295" s="21"/>
      <c r="P295" s="21"/>
      <c r="Q295" s="21"/>
      <c r="R295" s="21"/>
      <c r="S295" s="21"/>
      <c r="T295" s="21"/>
    </row>
    <row r="296" spans="3:20">
      <c r="C296" s="21"/>
      <c r="D296" s="21"/>
      <c r="E296" s="21"/>
      <c r="F296" s="21"/>
      <c r="G296" s="21"/>
      <c r="H296" s="21"/>
      <c r="I296" s="21"/>
      <c r="J296" s="21"/>
      <c r="K296" s="21"/>
      <c r="L296" s="21"/>
      <c r="M296" s="21"/>
      <c r="N296" s="21"/>
      <c r="O296" s="21"/>
      <c r="P296" s="21"/>
      <c r="Q296" s="21"/>
      <c r="R296" s="21"/>
      <c r="S296" s="21"/>
      <c r="T296" s="21"/>
    </row>
    <row r="297" spans="3:20">
      <c r="C297" s="21"/>
      <c r="D297" s="21"/>
      <c r="E297" s="21"/>
      <c r="F297" s="21"/>
      <c r="G297" s="21"/>
      <c r="H297" s="21"/>
      <c r="I297" s="21"/>
      <c r="J297" s="21"/>
      <c r="K297" s="21"/>
      <c r="L297" s="21"/>
      <c r="M297" s="21"/>
      <c r="N297" s="21"/>
      <c r="O297" s="21"/>
      <c r="P297" s="21"/>
      <c r="Q297" s="21"/>
      <c r="R297" s="21"/>
      <c r="S297" s="21"/>
      <c r="T297" s="21"/>
    </row>
    <row r="298" spans="3:20">
      <c r="C298" s="21"/>
      <c r="D298" s="21"/>
      <c r="E298" s="21"/>
      <c r="F298" s="21"/>
      <c r="G298" s="21"/>
      <c r="H298" s="21"/>
      <c r="I298" s="21"/>
      <c r="J298" s="21"/>
      <c r="K298" s="21"/>
      <c r="L298" s="21"/>
      <c r="M298" s="21"/>
      <c r="N298" s="21"/>
      <c r="O298" s="21"/>
      <c r="P298" s="21"/>
      <c r="Q298" s="21"/>
      <c r="R298" s="21"/>
      <c r="S298" s="21"/>
      <c r="T298" s="21"/>
    </row>
    <row r="299" spans="3:20">
      <c r="C299" s="21"/>
      <c r="D299" s="21"/>
      <c r="E299" s="21"/>
      <c r="F299" s="21"/>
      <c r="G299" s="21"/>
      <c r="H299" s="21"/>
      <c r="I299" s="21"/>
      <c r="J299" s="21"/>
      <c r="K299" s="21"/>
      <c r="L299" s="21"/>
      <c r="M299" s="21"/>
      <c r="N299" s="21"/>
      <c r="O299" s="21"/>
      <c r="P299" s="21"/>
      <c r="Q299" s="21"/>
      <c r="R299" s="21"/>
      <c r="S299" s="21"/>
      <c r="T299" s="21"/>
    </row>
    <row r="300" spans="3:20">
      <c r="C300" s="21"/>
      <c r="D300" s="21"/>
      <c r="E300" s="21"/>
      <c r="F300" s="21"/>
      <c r="G300" s="21"/>
      <c r="H300" s="21"/>
      <c r="I300" s="21"/>
      <c r="J300" s="21"/>
      <c r="K300" s="21"/>
      <c r="L300" s="21"/>
      <c r="M300" s="21"/>
      <c r="N300" s="21"/>
      <c r="O300" s="21"/>
      <c r="P300" s="21"/>
      <c r="Q300" s="21"/>
      <c r="R300" s="21"/>
      <c r="S300" s="21"/>
      <c r="T300" s="21"/>
    </row>
    <row r="301" spans="3:20">
      <c r="C301" s="21"/>
      <c r="D301" s="21"/>
      <c r="E301" s="21"/>
      <c r="F301" s="21"/>
      <c r="G301" s="21"/>
      <c r="H301" s="21"/>
      <c r="I301" s="21"/>
      <c r="J301" s="21"/>
      <c r="K301" s="21"/>
      <c r="L301" s="21"/>
      <c r="M301" s="21"/>
      <c r="N301" s="21"/>
      <c r="O301" s="21"/>
      <c r="P301" s="21"/>
      <c r="Q301" s="21"/>
      <c r="R301" s="21"/>
      <c r="S301" s="21"/>
      <c r="T301" s="21"/>
    </row>
    <row r="302" spans="3:20">
      <c r="C302" s="21"/>
      <c r="D302" s="21"/>
      <c r="E302" s="21"/>
      <c r="F302" s="21"/>
      <c r="G302" s="21"/>
      <c r="H302" s="21"/>
      <c r="I302" s="21"/>
      <c r="J302" s="21"/>
      <c r="K302" s="21"/>
      <c r="L302" s="21"/>
      <c r="M302" s="21"/>
      <c r="N302" s="21"/>
      <c r="O302" s="21"/>
      <c r="P302" s="21"/>
      <c r="Q302" s="21"/>
      <c r="R302" s="21"/>
      <c r="S302" s="21"/>
      <c r="T302" s="21"/>
    </row>
    <row r="303" spans="3:20">
      <c r="C303" s="21"/>
      <c r="D303" s="21"/>
      <c r="E303" s="21"/>
      <c r="F303" s="21"/>
      <c r="G303" s="21"/>
      <c r="H303" s="21"/>
      <c r="I303" s="21"/>
      <c r="J303" s="21"/>
      <c r="K303" s="21"/>
      <c r="L303" s="21"/>
      <c r="M303" s="21"/>
      <c r="N303" s="21"/>
      <c r="O303" s="21"/>
      <c r="P303" s="21"/>
      <c r="Q303" s="21"/>
      <c r="R303" s="21"/>
      <c r="S303" s="21"/>
      <c r="T303" s="21"/>
    </row>
    <row r="304" spans="3:20">
      <c r="C304" s="21"/>
      <c r="D304" s="21"/>
      <c r="E304" s="21"/>
      <c r="F304" s="21"/>
      <c r="G304" s="21"/>
      <c r="H304" s="21"/>
      <c r="I304" s="21"/>
      <c r="J304" s="21"/>
      <c r="K304" s="21"/>
      <c r="L304" s="21"/>
      <c r="M304" s="21"/>
      <c r="N304" s="21"/>
      <c r="O304" s="21"/>
      <c r="P304" s="21"/>
      <c r="Q304" s="21"/>
      <c r="R304" s="21"/>
      <c r="S304" s="21"/>
      <c r="T304" s="21"/>
    </row>
    <row r="305" spans="3:20">
      <c r="C305" s="21"/>
      <c r="D305" s="21"/>
      <c r="E305" s="21"/>
      <c r="F305" s="21"/>
      <c r="G305" s="21"/>
      <c r="H305" s="21"/>
      <c r="I305" s="21"/>
      <c r="J305" s="21"/>
      <c r="K305" s="21"/>
      <c r="L305" s="21"/>
      <c r="M305" s="21"/>
      <c r="N305" s="21"/>
      <c r="O305" s="21"/>
      <c r="P305" s="21"/>
      <c r="Q305" s="21"/>
      <c r="R305" s="21"/>
      <c r="S305" s="21"/>
      <c r="T305" s="21"/>
    </row>
    <row r="306" spans="3:20">
      <c r="C306" s="21"/>
      <c r="D306" s="21"/>
      <c r="E306" s="21"/>
      <c r="F306" s="21"/>
      <c r="G306" s="21"/>
      <c r="H306" s="21"/>
      <c r="I306" s="21"/>
      <c r="J306" s="21"/>
      <c r="K306" s="21"/>
      <c r="L306" s="21"/>
      <c r="M306" s="21"/>
      <c r="N306" s="21"/>
      <c r="O306" s="21"/>
      <c r="P306" s="21"/>
      <c r="Q306" s="21"/>
      <c r="R306" s="21"/>
      <c r="S306" s="21"/>
      <c r="T306" s="21"/>
    </row>
    <row r="307" spans="3:20">
      <c r="C307" s="21"/>
      <c r="D307" s="21"/>
      <c r="E307" s="21"/>
      <c r="F307" s="21"/>
      <c r="G307" s="21"/>
      <c r="H307" s="21"/>
      <c r="I307" s="21"/>
      <c r="J307" s="21"/>
      <c r="K307" s="21"/>
      <c r="L307" s="21"/>
      <c r="M307" s="21"/>
      <c r="N307" s="21"/>
      <c r="O307" s="21"/>
      <c r="P307" s="21"/>
      <c r="Q307" s="21"/>
      <c r="R307" s="21"/>
      <c r="S307" s="21"/>
      <c r="T307" s="21"/>
    </row>
    <row r="308" spans="3:20">
      <c r="C308" s="21"/>
      <c r="D308" s="21"/>
      <c r="E308" s="21"/>
      <c r="F308" s="21"/>
      <c r="G308" s="21"/>
      <c r="H308" s="21"/>
      <c r="I308" s="21"/>
      <c r="J308" s="21"/>
      <c r="K308" s="21"/>
      <c r="L308" s="21"/>
      <c r="M308" s="21"/>
      <c r="N308" s="21"/>
      <c r="O308" s="21"/>
      <c r="P308" s="21"/>
      <c r="Q308" s="21"/>
      <c r="R308" s="21"/>
      <c r="S308" s="21"/>
      <c r="T308" s="21"/>
    </row>
    <row r="309" spans="3:20">
      <c r="C309" s="21"/>
      <c r="D309" s="21"/>
      <c r="E309" s="21"/>
      <c r="F309" s="21"/>
      <c r="G309" s="21"/>
      <c r="H309" s="21"/>
      <c r="I309" s="21"/>
      <c r="J309" s="21"/>
      <c r="K309" s="21"/>
      <c r="L309" s="21"/>
      <c r="M309" s="21"/>
      <c r="N309" s="21"/>
      <c r="O309" s="21"/>
      <c r="P309" s="21"/>
      <c r="Q309" s="21"/>
      <c r="R309" s="21"/>
      <c r="S309" s="21"/>
      <c r="T309" s="21"/>
    </row>
    <row r="310" spans="3:20">
      <c r="C310" s="21"/>
      <c r="D310" s="21"/>
      <c r="E310" s="21"/>
      <c r="F310" s="21"/>
      <c r="G310" s="21"/>
      <c r="H310" s="21"/>
      <c r="I310" s="21"/>
      <c r="J310" s="21"/>
      <c r="K310" s="21"/>
      <c r="L310" s="21"/>
      <c r="M310" s="21"/>
      <c r="N310" s="21"/>
      <c r="O310" s="21"/>
      <c r="P310" s="21"/>
      <c r="Q310" s="21"/>
      <c r="R310" s="21"/>
      <c r="S310" s="21"/>
      <c r="T310" s="21"/>
    </row>
    <row r="311" spans="3:20">
      <c r="C311" s="21"/>
      <c r="D311" s="21"/>
      <c r="E311" s="21"/>
      <c r="F311" s="21"/>
      <c r="G311" s="21"/>
      <c r="H311" s="21"/>
      <c r="I311" s="21"/>
      <c r="J311" s="21"/>
      <c r="K311" s="21"/>
      <c r="L311" s="21"/>
      <c r="M311" s="21"/>
      <c r="N311" s="21"/>
      <c r="O311" s="21"/>
      <c r="P311" s="21"/>
      <c r="Q311" s="21"/>
      <c r="R311" s="21"/>
      <c r="S311" s="21"/>
      <c r="T311" s="21"/>
    </row>
    <row r="312" spans="3:20">
      <c r="C312" s="21"/>
      <c r="D312" s="21"/>
      <c r="E312" s="21"/>
      <c r="F312" s="21"/>
      <c r="G312" s="21"/>
      <c r="H312" s="21"/>
      <c r="I312" s="21"/>
      <c r="J312" s="21"/>
      <c r="K312" s="21"/>
      <c r="L312" s="21"/>
      <c r="M312" s="21"/>
      <c r="N312" s="21"/>
      <c r="O312" s="21"/>
      <c r="P312" s="21"/>
      <c r="Q312" s="21"/>
      <c r="R312" s="21"/>
      <c r="S312" s="21"/>
      <c r="T312" s="21"/>
    </row>
    <row r="313" spans="3:20">
      <c r="C313" s="21"/>
      <c r="D313" s="21"/>
      <c r="E313" s="21"/>
      <c r="F313" s="21"/>
      <c r="G313" s="21"/>
      <c r="H313" s="21"/>
      <c r="I313" s="21"/>
      <c r="J313" s="21"/>
      <c r="K313" s="21"/>
      <c r="L313" s="21"/>
      <c r="M313" s="21"/>
      <c r="N313" s="21"/>
      <c r="O313" s="21"/>
      <c r="P313" s="21"/>
      <c r="Q313" s="21"/>
      <c r="R313" s="21"/>
      <c r="S313" s="21"/>
      <c r="T313" s="21"/>
    </row>
    <row r="314" spans="3:20">
      <c r="C314" s="21"/>
      <c r="D314" s="21"/>
      <c r="E314" s="21"/>
      <c r="F314" s="21"/>
      <c r="G314" s="21"/>
      <c r="H314" s="21"/>
      <c r="I314" s="21"/>
      <c r="J314" s="21"/>
      <c r="K314" s="21"/>
      <c r="L314" s="21"/>
      <c r="M314" s="21"/>
      <c r="N314" s="21"/>
      <c r="O314" s="21"/>
      <c r="P314" s="21"/>
      <c r="Q314" s="21"/>
      <c r="R314" s="21"/>
      <c r="S314" s="21"/>
      <c r="T314" s="21"/>
    </row>
    <row r="315" spans="3:20">
      <c r="C315" s="21"/>
      <c r="D315" s="21"/>
      <c r="E315" s="21"/>
      <c r="F315" s="21"/>
      <c r="G315" s="21"/>
      <c r="H315" s="21"/>
      <c r="I315" s="21"/>
      <c r="J315" s="21"/>
      <c r="K315" s="21"/>
      <c r="L315" s="21"/>
      <c r="M315" s="21"/>
      <c r="N315" s="21"/>
      <c r="O315" s="21"/>
      <c r="P315" s="21"/>
      <c r="Q315" s="21"/>
      <c r="R315" s="21"/>
      <c r="S315" s="21"/>
      <c r="T315" s="21"/>
    </row>
    <row r="316" spans="3:20">
      <c r="C316" s="21"/>
      <c r="D316" s="21"/>
      <c r="E316" s="21"/>
      <c r="F316" s="21"/>
      <c r="G316" s="21"/>
      <c r="H316" s="21"/>
      <c r="I316" s="21"/>
      <c r="J316" s="21"/>
      <c r="K316" s="21"/>
      <c r="L316" s="21"/>
      <c r="M316" s="21"/>
      <c r="N316" s="21"/>
      <c r="O316" s="21"/>
      <c r="P316" s="21"/>
      <c r="Q316" s="21"/>
      <c r="R316" s="21"/>
      <c r="S316" s="21"/>
      <c r="T316" s="21"/>
    </row>
    <row r="317" spans="3:20">
      <c r="C317" s="21"/>
      <c r="D317" s="21"/>
      <c r="E317" s="21"/>
      <c r="F317" s="21"/>
      <c r="G317" s="21"/>
      <c r="H317" s="21"/>
      <c r="I317" s="21"/>
      <c r="J317" s="21"/>
      <c r="K317" s="21"/>
      <c r="L317" s="21"/>
      <c r="M317" s="21"/>
      <c r="N317" s="21"/>
      <c r="O317" s="21"/>
      <c r="P317" s="21"/>
      <c r="Q317" s="21"/>
      <c r="R317" s="21"/>
      <c r="S317" s="21"/>
      <c r="T317" s="21"/>
    </row>
    <row r="318" spans="3:20">
      <c r="C318" s="21"/>
      <c r="D318" s="21"/>
      <c r="E318" s="21"/>
      <c r="F318" s="21"/>
      <c r="G318" s="21"/>
      <c r="H318" s="21"/>
      <c r="I318" s="21"/>
      <c r="J318" s="21"/>
      <c r="K318" s="21"/>
      <c r="L318" s="21"/>
      <c r="M318" s="21"/>
      <c r="N318" s="21"/>
      <c r="O318" s="21"/>
      <c r="P318" s="21"/>
      <c r="Q318" s="21"/>
      <c r="R318" s="21"/>
      <c r="S318" s="21"/>
      <c r="T318" s="21"/>
    </row>
    <row r="319" spans="3:20">
      <c r="C319" s="21"/>
      <c r="D319" s="21"/>
      <c r="E319" s="21"/>
      <c r="F319" s="21"/>
      <c r="G319" s="21"/>
      <c r="H319" s="21"/>
      <c r="I319" s="21"/>
      <c r="J319" s="21"/>
      <c r="K319" s="21"/>
      <c r="L319" s="21"/>
      <c r="M319" s="21"/>
      <c r="N319" s="21"/>
      <c r="O319" s="21"/>
      <c r="P319" s="21"/>
      <c r="Q319" s="21"/>
      <c r="R319" s="21"/>
      <c r="S319" s="21"/>
      <c r="T319" s="21"/>
    </row>
    <row r="320" spans="3:20">
      <c r="C320" s="21"/>
      <c r="D320" s="21"/>
      <c r="E320" s="21"/>
      <c r="F320" s="21"/>
      <c r="G320" s="21"/>
      <c r="H320" s="21"/>
      <c r="I320" s="21"/>
      <c r="J320" s="21"/>
      <c r="K320" s="21"/>
      <c r="L320" s="21"/>
      <c r="M320" s="21"/>
      <c r="N320" s="21"/>
      <c r="O320" s="21"/>
      <c r="P320" s="21"/>
      <c r="Q320" s="21"/>
      <c r="R320" s="21"/>
      <c r="S320" s="21"/>
      <c r="T320" s="21"/>
    </row>
    <row r="321" spans="3:20">
      <c r="C321" s="21"/>
      <c r="D321" s="21"/>
      <c r="E321" s="21"/>
      <c r="F321" s="21"/>
      <c r="G321" s="21"/>
      <c r="H321" s="21"/>
      <c r="I321" s="21"/>
      <c r="J321" s="21"/>
      <c r="K321" s="21"/>
      <c r="L321" s="21"/>
      <c r="M321" s="21"/>
      <c r="N321" s="21"/>
      <c r="O321" s="21"/>
      <c r="P321" s="21"/>
      <c r="Q321" s="21"/>
      <c r="R321" s="21"/>
      <c r="S321" s="21"/>
      <c r="T321" s="21"/>
    </row>
    <row r="322" spans="3:20">
      <c r="C322" s="21"/>
      <c r="D322" s="21"/>
      <c r="E322" s="21"/>
      <c r="F322" s="21"/>
      <c r="G322" s="21"/>
      <c r="H322" s="21"/>
      <c r="I322" s="21"/>
      <c r="J322" s="21"/>
      <c r="K322" s="21"/>
      <c r="L322" s="21"/>
      <c r="M322" s="21"/>
      <c r="N322" s="21"/>
      <c r="O322" s="21"/>
      <c r="P322" s="21"/>
      <c r="Q322" s="21"/>
      <c r="R322" s="21"/>
      <c r="S322" s="21"/>
      <c r="T322" s="21"/>
    </row>
    <row r="323" spans="3:20">
      <c r="C323" s="21"/>
      <c r="D323" s="21"/>
      <c r="E323" s="21"/>
      <c r="F323" s="21"/>
      <c r="G323" s="21"/>
      <c r="H323" s="21"/>
      <c r="I323" s="21"/>
      <c r="J323" s="21"/>
      <c r="K323" s="21"/>
      <c r="L323" s="21"/>
      <c r="M323" s="21"/>
      <c r="N323" s="21"/>
      <c r="O323" s="21"/>
      <c r="P323" s="21"/>
      <c r="Q323" s="21"/>
      <c r="R323" s="21"/>
      <c r="S323" s="21"/>
      <c r="T323" s="21"/>
    </row>
    <row r="324" spans="3:20">
      <c r="C324" s="21"/>
      <c r="D324" s="21"/>
      <c r="E324" s="21"/>
      <c r="F324" s="21"/>
      <c r="G324" s="21"/>
      <c r="H324" s="21"/>
      <c r="I324" s="21"/>
      <c r="J324" s="21"/>
      <c r="K324" s="21"/>
      <c r="L324" s="21"/>
      <c r="M324" s="21"/>
      <c r="N324" s="21"/>
      <c r="O324" s="21"/>
      <c r="P324" s="21"/>
      <c r="Q324" s="21"/>
      <c r="R324" s="21"/>
      <c r="S324" s="21"/>
      <c r="T324" s="21"/>
    </row>
    <row r="325" spans="3:20">
      <c r="C325" s="21"/>
      <c r="D325" s="21"/>
      <c r="E325" s="21"/>
      <c r="F325" s="21"/>
      <c r="G325" s="21"/>
      <c r="H325" s="21"/>
      <c r="I325" s="21"/>
      <c r="J325" s="21"/>
      <c r="K325" s="21"/>
      <c r="L325" s="21"/>
      <c r="M325" s="21"/>
      <c r="N325" s="21"/>
      <c r="O325" s="21"/>
      <c r="P325" s="21"/>
      <c r="Q325" s="21"/>
      <c r="R325" s="21"/>
      <c r="S325" s="21"/>
      <c r="T325" s="21"/>
    </row>
    <row r="326" spans="3:20">
      <c r="C326" s="21"/>
      <c r="D326" s="21"/>
      <c r="E326" s="21"/>
      <c r="F326" s="21"/>
      <c r="G326" s="21"/>
      <c r="H326" s="21"/>
      <c r="I326" s="21"/>
      <c r="J326" s="21"/>
      <c r="K326" s="21"/>
      <c r="L326" s="21"/>
      <c r="M326" s="21"/>
      <c r="N326" s="21"/>
      <c r="O326" s="21"/>
      <c r="P326" s="21"/>
      <c r="Q326" s="21"/>
      <c r="R326" s="21"/>
      <c r="S326" s="21"/>
      <c r="T326" s="21"/>
    </row>
    <row r="327" spans="3:20">
      <c r="C327" s="21"/>
      <c r="D327" s="21"/>
      <c r="E327" s="21"/>
      <c r="F327" s="21"/>
      <c r="G327" s="21"/>
      <c r="H327" s="21"/>
      <c r="I327" s="21"/>
      <c r="J327" s="21"/>
      <c r="K327" s="21"/>
      <c r="L327" s="21"/>
      <c r="M327" s="21"/>
      <c r="N327" s="21"/>
      <c r="O327" s="21"/>
      <c r="P327" s="21"/>
      <c r="Q327" s="21"/>
      <c r="R327" s="21"/>
      <c r="S327" s="21"/>
      <c r="T327" s="21"/>
    </row>
    <row r="328" spans="3:20">
      <c r="C328" s="21"/>
      <c r="D328" s="21"/>
      <c r="E328" s="21"/>
      <c r="F328" s="21"/>
      <c r="G328" s="21"/>
      <c r="H328" s="21"/>
      <c r="I328" s="21"/>
      <c r="J328" s="21"/>
      <c r="K328" s="21"/>
      <c r="L328" s="21"/>
      <c r="M328" s="21"/>
      <c r="N328" s="21"/>
      <c r="O328" s="21"/>
      <c r="P328" s="21"/>
      <c r="Q328" s="21"/>
      <c r="R328" s="21"/>
      <c r="S328" s="21"/>
      <c r="T328" s="21"/>
    </row>
  </sheetData>
  <mergeCells count="3">
    <mergeCell ref="A1:S1"/>
    <mergeCell ref="A2:S2"/>
    <mergeCell ref="A3:S3"/>
  </mergeCells>
  <pageMargins left="0.75" right="0.75" top="1" bottom="1" header="0.5" footer="0.5"/>
  <pageSetup scale="56" fitToHeight="0" orientation="landscape" r:id="rId1"/>
  <headerFooter alignWithMargins="0">
    <oddFooter>&amp;L&amp;Z
&amp;F&amp;C&amp;A&amp;R2.&amp;P</oddFooter>
  </headerFooter>
  <rowBreaks count="2" manualBreakCount="2">
    <brk id="49" max="16383" man="1"/>
    <brk id="126" max="16383" man="1"/>
  </rowBreaks>
</worksheet>
</file>

<file path=xl/worksheets/sheet119.xml><?xml version="1.0" encoding="utf-8"?>
<worksheet xmlns="http://schemas.openxmlformats.org/spreadsheetml/2006/main" xmlns:r="http://schemas.openxmlformats.org/officeDocument/2006/relationships">
  <sheetPr codeName="Sheet122">
    <pageSetUpPr fitToPage="1"/>
  </sheetPr>
  <dimension ref="A1:Y37"/>
  <sheetViews>
    <sheetView workbookViewId="0">
      <selection activeCell="S32" sqref="S32"/>
    </sheetView>
  </sheetViews>
  <sheetFormatPr defaultRowHeight="12.75"/>
  <cols>
    <col min="3" max="3" width="14" bestFit="1" customWidth="1"/>
    <col min="4" max="4" width="1.85546875" customWidth="1"/>
    <col min="6" max="6" width="1.85546875" customWidth="1"/>
    <col min="7" max="7" width="13.140625" bestFit="1" customWidth="1"/>
    <col min="8" max="8" width="2" customWidth="1"/>
    <col min="9" max="9" width="13.28515625" bestFit="1" customWidth="1"/>
    <col min="10" max="10" width="1.7109375" customWidth="1"/>
    <col min="11" max="11" width="14.28515625" bestFit="1" customWidth="1"/>
    <col min="12" max="12" width="2.140625" customWidth="1"/>
    <col min="13" max="13" width="13.5703125" bestFit="1" customWidth="1"/>
    <col min="14" max="14" width="2" customWidth="1"/>
    <col min="15" max="15" width="11.85546875" bestFit="1" customWidth="1"/>
    <col min="16" max="16" width="1.7109375" customWidth="1"/>
    <col min="17" max="17" width="11.28515625" bestFit="1" customWidth="1"/>
    <col min="18" max="18" width="1.7109375" customWidth="1"/>
    <col min="19" max="19" width="14" bestFit="1" customWidth="1"/>
    <col min="20" max="20" width="17.42578125" customWidth="1"/>
  </cols>
  <sheetData>
    <row r="1" spans="1:25" s="10" customFormat="1">
      <c r="A1" s="359" t="s">
        <v>134</v>
      </c>
      <c r="B1" s="359"/>
      <c r="C1" s="359"/>
      <c r="D1" s="359"/>
      <c r="E1" s="359"/>
      <c r="F1" s="359"/>
      <c r="G1" s="359"/>
      <c r="H1" s="359"/>
      <c r="I1" s="359"/>
      <c r="J1" s="359"/>
      <c r="K1" s="359"/>
      <c r="L1" s="359"/>
      <c r="M1" s="359"/>
      <c r="N1" s="359"/>
      <c r="O1" s="359"/>
      <c r="P1" s="359"/>
      <c r="Q1" s="359"/>
      <c r="R1" s="359"/>
      <c r="S1" s="359"/>
    </row>
    <row r="2" spans="1:25" s="10" customFormat="1">
      <c r="A2" s="359" t="s">
        <v>1150</v>
      </c>
      <c r="B2" s="359"/>
      <c r="C2" s="359"/>
      <c r="D2" s="359"/>
      <c r="E2" s="359"/>
      <c r="F2" s="359"/>
      <c r="G2" s="359"/>
      <c r="H2" s="359"/>
      <c r="I2" s="359"/>
      <c r="J2" s="359"/>
      <c r="K2" s="359"/>
      <c r="L2" s="359"/>
      <c r="M2" s="359"/>
      <c r="N2" s="359"/>
      <c r="O2" s="359"/>
      <c r="P2" s="359"/>
      <c r="Q2" s="359"/>
      <c r="R2" s="359"/>
      <c r="S2" s="359"/>
    </row>
    <row r="3" spans="1:25" s="10" customFormat="1">
      <c r="A3" s="361" t="str">
        <f>'Summary - Cost - PG 1 (PA)'!A3:N3</f>
        <v>MARCH 2012</v>
      </c>
      <c r="B3" s="361"/>
      <c r="C3" s="361"/>
      <c r="D3" s="361"/>
      <c r="E3" s="361"/>
      <c r="F3" s="361"/>
      <c r="G3" s="361"/>
      <c r="H3" s="361"/>
      <c r="I3" s="361"/>
      <c r="J3" s="361"/>
      <c r="K3" s="361"/>
      <c r="L3" s="361"/>
      <c r="M3" s="361"/>
      <c r="N3" s="361"/>
      <c r="O3" s="361"/>
      <c r="P3" s="361"/>
      <c r="Q3" s="361"/>
      <c r="R3" s="361"/>
      <c r="S3" s="361"/>
    </row>
    <row r="4" spans="1:25" s="10" customFormat="1">
      <c r="A4" s="191"/>
      <c r="B4" s="191"/>
      <c r="C4" s="191"/>
      <c r="D4" s="191"/>
      <c r="E4" s="191"/>
      <c r="F4" s="191"/>
      <c r="G4" s="191"/>
      <c r="H4" s="191"/>
      <c r="I4" s="191"/>
      <c r="J4" s="191"/>
      <c r="K4" s="191"/>
      <c r="L4" s="191"/>
      <c r="M4" s="191"/>
      <c r="N4" s="191"/>
      <c r="O4" s="191"/>
      <c r="P4" s="191"/>
      <c r="Q4" s="191"/>
      <c r="R4" s="191"/>
      <c r="S4" s="191"/>
    </row>
    <row r="5" spans="1:25" s="10" customFormat="1"/>
    <row r="6" spans="1:25" s="10" customFormat="1">
      <c r="C6" s="84" t="s">
        <v>25</v>
      </c>
      <c r="E6" s="24"/>
      <c r="G6" s="24"/>
      <c r="I6" s="84" t="s">
        <v>612</v>
      </c>
      <c r="K6" s="84" t="s">
        <v>28</v>
      </c>
      <c r="M6" s="85" t="s">
        <v>37</v>
      </c>
      <c r="O6" s="84"/>
      <c r="Q6" s="84" t="s">
        <v>39</v>
      </c>
      <c r="S6" s="84" t="s">
        <v>26</v>
      </c>
    </row>
    <row r="7" spans="1:25" s="10" customFormat="1">
      <c r="C7" s="43" t="s">
        <v>27</v>
      </c>
      <c r="E7" s="43" t="s">
        <v>954</v>
      </c>
      <c r="G7" s="43" t="s">
        <v>108</v>
      </c>
      <c r="I7" s="43" t="s">
        <v>613</v>
      </c>
      <c r="K7" s="43" t="s">
        <v>29</v>
      </c>
      <c r="M7" s="43" t="s">
        <v>38</v>
      </c>
      <c r="O7" s="43" t="s">
        <v>955</v>
      </c>
      <c r="Q7" s="43" t="s">
        <v>105</v>
      </c>
      <c r="S7" s="43" t="s">
        <v>27</v>
      </c>
    </row>
    <row r="10" spans="1:25" s="10" customFormat="1">
      <c r="A10" s="12" t="s">
        <v>656</v>
      </c>
      <c r="C10" s="24"/>
      <c r="D10" s="24"/>
      <c r="E10" s="24"/>
      <c r="F10" s="24"/>
      <c r="G10" s="24"/>
      <c r="H10" s="24"/>
      <c r="I10" s="24"/>
      <c r="J10" s="24"/>
      <c r="K10" s="24"/>
      <c r="L10" s="24"/>
      <c r="M10" s="24"/>
      <c r="N10" s="24"/>
      <c r="O10" s="24"/>
      <c r="P10" s="24"/>
      <c r="Q10" s="24"/>
      <c r="R10" s="24"/>
      <c r="S10" s="24"/>
      <c r="T10" s="71"/>
      <c r="U10" s="71"/>
      <c r="V10" s="71"/>
      <c r="W10" s="71"/>
      <c r="X10" s="71"/>
      <c r="Y10" s="71"/>
    </row>
    <row r="11" spans="1:25" s="10" customFormat="1">
      <c r="B11" s="10" t="s">
        <v>652</v>
      </c>
      <c r="C11" s="24">
        <f>'Summary - Reserve - PG 2 (PA)'!C73</f>
        <v>0</v>
      </c>
      <c r="D11" s="24"/>
      <c r="E11" s="24">
        <v>0</v>
      </c>
      <c r="F11" s="24"/>
      <c r="G11" s="24">
        <v>0</v>
      </c>
      <c r="H11" s="24"/>
      <c r="I11" s="24">
        <f>'Summary - Reserve - PG 2 (PA)'!I73</f>
        <v>0</v>
      </c>
      <c r="J11" s="24"/>
      <c r="K11" s="24">
        <f>'Summary - Reserve - PG 2 (PA)'!K73</f>
        <v>0</v>
      </c>
      <c r="L11" s="24"/>
      <c r="M11" s="24">
        <f>'Summary - Reserve - PG 2 (PA)'!M73</f>
        <v>0</v>
      </c>
      <c r="N11" s="24"/>
      <c r="O11" s="24">
        <f>'Summary - Reserve - PG 2 (PA)'!O73</f>
        <v>0</v>
      </c>
      <c r="P11" s="24"/>
      <c r="Q11" s="24">
        <f>'Summary - Reserve - PG 2 (PA)'!Q73</f>
        <v>0</v>
      </c>
      <c r="R11" s="24"/>
      <c r="S11" s="24">
        <f>Q11+O11+M11+K11+I11+G11+E11+C11</f>
        <v>0</v>
      </c>
      <c r="T11" s="82"/>
      <c r="U11" s="71"/>
      <c r="V11" s="82"/>
      <c r="W11" s="82"/>
      <c r="X11" s="71"/>
      <c r="Y11" s="71"/>
    </row>
    <row r="12" spans="1:25" s="10" customFormat="1">
      <c r="B12" s="10" t="s">
        <v>112</v>
      </c>
      <c r="C12" s="24">
        <f>'Summary - Reserve - PG 2 (PA)'!C74</f>
        <v>0</v>
      </c>
      <c r="D12" s="24"/>
      <c r="E12" s="24">
        <v>0</v>
      </c>
      <c r="F12" s="24"/>
      <c r="G12" s="24">
        <v>0</v>
      </c>
      <c r="H12" s="24"/>
      <c r="I12" s="116">
        <f>'Summary - Reserve - PG 2 (PA)'!I74</f>
        <v>0</v>
      </c>
      <c r="J12" s="24"/>
      <c r="K12" s="24">
        <f>'Summary - Reserve - PG 2 (PA)'!K74</f>
        <v>0</v>
      </c>
      <c r="L12" s="24"/>
      <c r="M12" s="24">
        <f>'Summary - Reserve - PG 2 (PA)'!M74</f>
        <v>0</v>
      </c>
      <c r="N12" s="24"/>
      <c r="O12" s="24">
        <f>'Summary - Reserve - PG 2 (PA)'!O74</f>
        <v>0</v>
      </c>
      <c r="P12" s="24"/>
      <c r="Q12" s="24">
        <f>'Summary - Reserve - PG 2 (PA)'!Q74</f>
        <v>0</v>
      </c>
      <c r="R12" s="24"/>
      <c r="S12" s="24">
        <f>Q12+O12+M12+K12+I12+G12+E12+C12</f>
        <v>0</v>
      </c>
      <c r="T12" s="82"/>
      <c r="U12" s="71"/>
      <c r="V12" s="82"/>
      <c r="W12" s="82"/>
      <c r="X12" s="71"/>
      <c r="Y12" s="71"/>
    </row>
    <row r="13" spans="1:25" s="10" customFormat="1">
      <c r="B13" s="10" t="s">
        <v>120</v>
      </c>
      <c r="C13" s="24">
        <f>'Summary - Reserve - PG 2 (PA)'!C75</f>
        <v>0</v>
      </c>
      <c r="D13" s="24"/>
      <c r="E13" s="24">
        <v>0</v>
      </c>
      <c r="F13" s="24"/>
      <c r="G13" s="24">
        <v>0</v>
      </c>
      <c r="H13" s="24"/>
      <c r="I13" s="116">
        <f>'Summary - Reserve - PG 2 (PA)'!I75</f>
        <v>0</v>
      </c>
      <c r="J13" s="24"/>
      <c r="K13" s="24">
        <f>'Summary - Reserve - PG 2 (PA)'!K75</f>
        <v>0</v>
      </c>
      <c r="L13" s="24"/>
      <c r="M13" s="24">
        <f>'Summary - Reserve - PG 2 (PA)'!M75</f>
        <v>0</v>
      </c>
      <c r="N13" s="24"/>
      <c r="O13" s="24">
        <f>'Summary - Reserve - PG 2 (PA)'!O75</f>
        <v>0</v>
      </c>
      <c r="P13" s="24"/>
      <c r="Q13" s="24">
        <f>'Summary - Reserve - PG 2 (PA)'!Q75</f>
        <v>0</v>
      </c>
      <c r="R13" s="24"/>
      <c r="S13" s="24">
        <f>Q13+O13+M13+K13+I13+G13+E13+C13</f>
        <v>0</v>
      </c>
      <c r="T13" s="82"/>
      <c r="U13" s="71"/>
      <c r="V13" s="82"/>
      <c r="W13" s="82"/>
      <c r="X13" s="71"/>
      <c r="Y13" s="71"/>
    </row>
    <row r="14" spans="1:25" s="10" customFormat="1">
      <c r="B14" s="11"/>
      <c r="C14" s="25">
        <f>SUM(C11:C13)</f>
        <v>0</v>
      </c>
      <c r="D14" s="24"/>
      <c r="E14" s="25">
        <f>SUM(E11:E13)</f>
        <v>0</v>
      </c>
      <c r="F14" s="24"/>
      <c r="G14" s="25">
        <f>SUM(G11:G13)</f>
        <v>0</v>
      </c>
      <c r="H14" s="24"/>
      <c r="I14" s="81">
        <f>SUM(I11:I13)</f>
        <v>0</v>
      </c>
      <c r="J14" s="24"/>
      <c r="K14" s="117">
        <f>SUM(K11:K13)</f>
        <v>0</v>
      </c>
      <c r="L14" s="24"/>
      <c r="M14" s="25">
        <f>SUM(M11:M13)</f>
        <v>0</v>
      </c>
      <c r="N14" s="24"/>
      <c r="O14" s="25">
        <f>SUM(O11:O13)</f>
        <v>0</v>
      </c>
      <c r="P14" s="24"/>
      <c r="Q14" s="25">
        <f>SUM(Q11:Q13)</f>
        <v>0</v>
      </c>
      <c r="R14" s="24"/>
      <c r="S14" s="25">
        <f>SUM(S11:S13)</f>
        <v>0</v>
      </c>
      <c r="T14" s="27"/>
      <c r="U14" s="27"/>
      <c r="V14" s="82"/>
      <c r="W14" s="118"/>
      <c r="X14" s="71"/>
      <c r="Y14" s="71"/>
    </row>
    <row r="16" spans="1:25">
      <c r="A16" s="3" t="s">
        <v>1094</v>
      </c>
    </row>
    <row r="17" spans="1:19">
      <c r="B17" t="s">
        <v>652</v>
      </c>
      <c r="S17" s="24" t="e">
        <f>#REF!</f>
        <v>#REF!</v>
      </c>
    </row>
    <row r="18" spans="1:19">
      <c r="B18" t="s">
        <v>112</v>
      </c>
      <c r="S18" s="24">
        <v>0</v>
      </c>
    </row>
    <row r="19" spans="1:19">
      <c r="B19" t="s">
        <v>120</v>
      </c>
      <c r="S19" s="24">
        <v>0</v>
      </c>
    </row>
    <row r="20" spans="1:19">
      <c r="S20" s="25" t="e">
        <f>SUM(S17:S19)</f>
        <v>#REF!</v>
      </c>
    </row>
    <row r="21" spans="1:19">
      <c r="A21" s="3" t="s">
        <v>1095</v>
      </c>
    </row>
    <row r="22" spans="1:19">
      <c r="B22" t="s">
        <v>652</v>
      </c>
      <c r="S22" s="24">
        <v>0</v>
      </c>
    </row>
    <row r="23" spans="1:19">
      <c r="B23" t="s">
        <v>112</v>
      </c>
      <c r="S23" s="24">
        <v>0</v>
      </c>
    </row>
    <row r="24" spans="1:19">
      <c r="B24" t="s">
        <v>120</v>
      </c>
      <c r="S24" s="24">
        <v>0</v>
      </c>
    </row>
    <row r="25" spans="1:19">
      <c r="S25" s="25">
        <f>SUM(S22:S24)</f>
        <v>0</v>
      </c>
    </row>
    <row r="26" spans="1:19">
      <c r="A26" s="3" t="s">
        <v>1096</v>
      </c>
    </row>
    <row r="27" spans="1:19">
      <c r="B27" t="s">
        <v>652</v>
      </c>
      <c r="S27" s="181">
        <v>0</v>
      </c>
    </row>
    <row r="28" spans="1:19">
      <c r="B28" t="s">
        <v>112</v>
      </c>
      <c r="S28" s="181">
        <v>0</v>
      </c>
    </row>
    <row r="29" spans="1:19">
      <c r="B29" t="s">
        <v>120</v>
      </c>
      <c r="S29" s="181">
        <v>0</v>
      </c>
    </row>
    <row r="30" spans="1:19">
      <c r="S30" s="25">
        <f>SUM(S27:S29)</f>
        <v>0</v>
      </c>
    </row>
    <row r="31" spans="1:19">
      <c r="A31" s="3" t="s">
        <v>1097</v>
      </c>
    </row>
    <row r="32" spans="1:19">
      <c r="B32" t="s">
        <v>652</v>
      </c>
      <c r="S32" s="89" t="e">
        <f>S17+S22+S27</f>
        <v>#REF!</v>
      </c>
    </row>
    <row r="33" spans="2:20">
      <c r="B33" t="s">
        <v>112</v>
      </c>
      <c r="S33" s="89">
        <f>S18+S23+S28</f>
        <v>0</v>
      </c>
      <c r="T33" s="89"/>
    </row>
    <row r="34" spans="2:20">
      <c r="B34" t="s">
        <v>120</v>
      </c>
      <c r="S34" s="89">
        <f>S19+S24+S29</f>
        <v>0</v>
      </c>
      <c r="T34" s="89"/>
    </row>
    <row r="35" spans="2:20">
      <c r="S35" s="25" t="e">
        <f>SUM(S32:S34)</f>
        <v>#REF!</v>
      </c>
    </row>
    <row r="37" spans="2:20">
      <c r="Q37" t="s">
        <v>1104</v>
      </c>
      <c r="S37" s="89" t="e">
        <f>S14-S35</f>
        <v>#REF!</v>
      </c>
    </row>
  </sheetData>
  <mergeCells count="3">
    <mergeCell ref="A1:S1"/>
    <mergeCell ref="A2:S2"/>
    <mergeCell ref="A3:S3"/>
  </mergeCells>
  <pageMargins left="0.7" right="0.7" top="0.75" bottom="0.75" header="0.3" footer="0.3"/>
  <pageSetup scale="84" orientation="landscape" r:id="rId1"/>
  <headerFooter>
    <oddFooter>&amp;L&amp;Z
&amp;F&amp;C&amp;A&amp;R2A.&amp;P</oddFooter>
  </headerFooter>
</worksheet>
</file>

<file path=xl/worksheets/sheet12.xml><?xml version="1.0" encoding="utf-8"?>
<worksheet xmlns="http://schemas.openxmlformats.org/spreadsheetml/2006/main" xmlns:r="http://schemas.openxmlformats.org/officeDocument/2006/relationships">
  <sheetPr codeName="Sheet12"/>
  <dimension ref="A1:C1"/>
  <sheetViews>
    <sheetView workbookViewId="0"/>
  </sheetViews>
  <sheetFormatPr defaultColWidth="25.7109375" defaultRowHeight="13.5"/>
  <cols>
    <col min="1" max="16384" width="25.7109375" style="14"/>
  </cols>
  <sheetData>
    <row r="1" spans="1:3">
      <c r="A1" s="14">
        <v>0</v>
      </c>
      <c r="B1" s="14">
        <v>37</v>
      </c>
      <c r="C1" s="14" t="s">
        <v>791</v>
      </c>
    </row>
  </sheetData>
  <customSheetViews>
    <customSheetView guid="{6B74E52F-9552-408A-8775-25AFF24E6639}" state="hidden" showRuler="0">
      <pageMargins left="0.75" right="0.75" top="1" bottom="1" header="0.5" footer="0.5"/>
      <headerFooter alignWithMargins="0"/>
    </customSheetView>
  </customSheetViews>
  <phoneticPr fontId="4" type="noConversion"/>
  <pageMargins left="0.75" right="0.75" top="1" bottom="1" header="0.5" footer="0.5"/>
  <headerFooter alignWithMargins="0"/>
</worksheet>
</file>

<file path=xl/worksheets/sheet120.xml><?xml version="1.0" encoding="utf-8"?>
<worksheet xmlns="http://schemas.openxmlformats.org/spreadsheetml/2006/main" xmlns:r="http://schemas.openxmlformats.org/officeDocument/2006/relationships">
  <sheetPr codeName="Sheet123">
    <pageSetUpPr fitToPage="1"/>
  </sheetPr>
  <dimension ref="A1:AJ294"/>
  <sheetViews>
    <sheetView zoomScale="70" zoomScaleNormal="70" workbookViewId="0">
      <pane xSplit="3" ySplit="8" topLeftCell="T9" activePane="bottomRight" state="frozen"/>
      <selection activeCell="C38" sqref="C38"/>
      <selection pane="topRight" activeCell="C38" sqref="C38"/>
      <selection pane="bottomLeft" activeCell="C38" sqref="C38"/>
      <selection pane="bottomRight" activeCell="Y312" sqref="Y312"/>
    </sheetView>
  </sheetViews>
  <sheetFormatPr defaultRowHeight="12.75" outlineLevelRow="3" outlineLevelCol="1"/>
  <cols>
    <col min="1" max="1" width="5" style="230" customWidth="1"/>
    <col min="2" max="2" width="8.140625" style="12" customWidth="1"/>
    <col min="3" max="3" width="29" style="184" customWidth="1"/>
    <col min="4" max="4" width="19.7109375" style="184" bestFit="1" customWidth="1"/>
    <col min="5" max="5" width="1.7109375" style="184" customWidth="1"/>
    <col min="6" max="6" width="17.7109375" style="184" hidden="1" customWidth="1" outlineLevel="1"/>
    <col min="7" max="7" width="1.7109375" style="184" hidden="1" customWidth="1" outlineLevel="1"/>
    <col min="8" max="8" width="17.7109375" style="184" hidden="1" customWidth="1" outlineLevel="1"/>
    <col min="9" max="9" width="1.7109375" style="184" hidden="1" customWidth="1" outlineLevel="1"/>
    <col min="10" max="10" width="17.7109375" style="184" hidden="1" customWidth="1" outlineLevel="1"/>
    <col min="11" max="11" width="1.7109375" style="184" hidden="1" customWidth="1" outlineLevel="1"/>
    <col min="12" max="12" width="17.7109375" style="184" hidden="1" customWidth="1" outlineLevel="1"/>
    <col min="13" max="13" width="1.7109375" style="184" hidden="1" customWidth="1" outlineLevel="1"/>
    <col min="14" max="14" width="17.7109375" style="184" hidden="1" customWidth="1" outlineLevel="1"/>
    <col min="15" max="15" width="1.7109375" style="184" hidden="1" customWidth="1" outlineLevel="1"/>
    <col min="16" max="16" width="17.7109375" style="184" hidden="1" customWidth="1" outlineLevel="1"/>
    <col min="17" max="17" width="1.7109375" style="184" hidden="1" customWidth="1" outlineLevel="1"/>
    <col min="18" max="18" width="17.7109375" style="184" hidden="1" customWidth="1" outlineLevel="1"/>
    <col min="19" max="19" width="1.7109375" style="184" hidden="1" customWidth="1" outlineLevel="1"/>
    <col min="20" max="20" width="19.28515625" style="184" customWidth="1" collapsed="1"/>
    <col min="21" max="21" width="1.7109375" style="184" customWidth="1"/>
    <col min="22" max="22" width="16.85546875" style="198" bestFit="1" customWidth="1"/>
    <col min="23" max="23" width="17.28515625" style="184" bestFit="1" customWidth="1"/>
    <col min="24" max="24" width="16.140625" style="184" bestFit="1" customWidth="1"/>
    <col min="25" max="25" width="15.7109375" style="184" bestFit="1" customWidth="1"/>
    <col min="26" max="26" width="14.42578125" style="184" customWidth="1"/>
    <col min="27" max="27" width="15" style="184" bestFit="1" customWidth="1"/>
    <col min="28" max="28" width="16.140625" style="184" bestFit="1" customWidth="1"/>
    <col min="29" max="29" width="1.7109375" style="184" customWidth="1"/>
    <col min="30" max="30" width="15.85546875" style="184" bestFit="1" customWidth="1"/>
    <col min="31" max="31" width="14.140625" style="184" bestFit="1" customWidth="1"/>
    <col min="32" max="16384" width="9.140625" style="184"/>
  </cols>
  <sheetData>
    <row r="1" spans="1:36">
      <c r="A1" s="359" t="s">
        <v>134</v>
      </c>
      <c r="B1" s="359"/>
      <c r="C1" s="359"/>
      <c r="D1" s="359"/>
      <c r="E1" s="359"/>
      <c r="F1" s="359"/>
      <c r="G1" s="359"/>
      <c r="H1" s="359"/>
      <c r="I1" s="359"/>
      <c r="J1" s="359"/>
      <c r="K1" s="359"/>
      <c r="L1" s="359"/>
      <c r="M1" s="359"/>
      <c r="N1" s="359"/>
      <c r="O1" s="359"/>
      <c r="P1" s="359"/>
      <c r="Q1" s="359"/>
      <c r="R1" s="359"/>
      <c r="S1" s="359"/>
      <c r="T1" s="359"/>
      <c r="U1" s="359"/>
      <c r="V1" s="359"/>
      <c r="W1" s="359"/>
      <c r="X1" s="359"/>
      <c r="Y1" s="359"/>
      <c r="Z1" s="359"/>
      <c r="AA1" s="359"/>
      <c r="AB1" s="359"/>
      <c r="AC1" s="359"/>
      <c r="AD1" s="359"/>
      <c r="AE1" s="359"/>
    </row>
    <row r="2" spans="1:36">
      <c r="A2" s="359" t="s">
        <v>1109</v>
      </c>
      <c r="B2" s="359"/>
      <c r="C2" s="359"/>
      <c r="D2" s="359"/>
      <c r="E2" s="359"/>
      <c r="F2" s="359"/>
      <c r="G2" s="359"/>
      <c r="H2" s="359"/>
      <c r="I2" s="359"/>
      <c r="J2" s="359"/>
      <c r="K2" s="359"/>
      <c r="L2" s="359"/>
      <c r="M2" s="359"/>
      <c r="N2" s="359"/>
      <c r="O2" s="359"/>
      <c r="P2" s="359"/>
      <c r="Q2" s="359"/>
      <c r="R2" s="359"/>
      <c r="S2" s="359"/>
      <c r="T2" s="359"/>
      <c r="U2" s="359"/>
      <c r="V2" s="359"/>
      <c r="W2" s="359"/>
      <c r="X2" s="359"/>
      <c r="Y2" s="359"/>
      <c r="Z2" s="359"/>
      <c r="AA2" s="359"/>
      <c r="AB2" s="359"/>
      <c r="AC2" s="359"/>
      <c r="AD2" s="359"/>
      <c r="AE2" s="359"/>
    </row>
    <row r="3" spans="1:36">
      <c r="A3" s="360" t="str">
        <f>+'Summary - Cost - PG 1 (PA)'!A3:N3</f>
        <v>MARCH 2012</v>
      </c>
      <c r="B3" s="360"/>
      <c r="C3" s="360"/>
      <c r="D3" s="360"/>
      <c r="E3" s="360"/>
      <c r="F3" s="360"/>
      <c r="G3" s="360"/>
      <c r="H3" s="360"/>
      <c r="I3" s="360"/>
      <c r="J3" s="360"/>
      <c r="K3" s="360"/>
      <c r="L3" s="360"/>
      <c r="M3" s="360"/>
      <c r="N3" s="360"/>
      <c r="O3" s="360"/>
      <c r="P3" s="360"/>
      <c r="Q3" s="360"/>
      <c r="R3" s="360"/>
      <c r="S3" s="360"/>
      <c r="T3" s="360"/>
      <c r="U3" s="360"/>
      <c r="V3" s="360"/>
      <c r="W3" s="360"/>
      <c r="X3" s="360"/>
      <c r="Y3" s="360"/>
      <c r="Z3" s="360"/>
      <c r="AA3" s="360"/>
      <c r="AB3" s="360"/>
      <c r="AC3" s="360"/>
      <c r="AD3" s="360"/>
      <c r="AE3" s="360"/>
    </row>
    <row r="4" spans="1:36">
      <c r="A4" s="193"/>
      <c r="B4" s="191"/>
      <c r="C4" s="194"/>
      <c r="D4" s="194"/>
      <c r="E4" s="194"/>
      <c r="F4" s="194"/>
      <c r="G4" s="194"/>
      <c r="H4" s="194"/>
      <c r="I4" s="194"/>
      <c r="J4" s="194"/>
      <c r="K4" s="194"/>
      <c r="L4" s="194"/>
      <c r="M4" s="194"/>
      <c r="N4" s="194"/>
      <c r="O4" s="194"/>
      <c r="P4" s="194"/>
      <c r="Q4" s="194"/>
      <c r="R4" s="194"/>
      <c r="S4" s="194"/>
      <c r="T4" s="194"/>
      <c r="U4" s="194"/>
    </row>
    <row r="5" spans="1:36">
      <c r="A5" s="193"/>
      <c r="B5" s="191"/>
      <c r="C5" s="194"/>
      <c r="D5" s="194"/>
      <c r="E5" s="194"/>
      <c r="F5" s="194"/>
      <c r="G5" s="194"/>
      <c r="H5" s="194"/>
      <c r="I5" s="194"/>
      <c r="J5" s="194"/>
      <c r="K5" s="194"/>
      <c r="L5" s="194"/>
      <c r="M5" s="194"/>
      <c r="N5" s="194"/>
      <c r="O5" s="194"/>
      <c r="P5" s="194"/>
      <c r="Q5" s="194"/>
      <c r="R5" s="194"/>
      <c r="S5" s="194"/>
      <c r="T5" s="194"/>
      <c r="U5" s="194"/>
    </row>
    <row r="6" spans="1:36">
      <c r="A6" s="193"/>
      <c r="B6" s="191"/>
      <c r="C6" s="194"/>
      <c r="D6" s="41" t="s">
        <v>25</v>
      </c>
      <c r="E6" s="196"/>
      <c r="F6" s="196"/>
      <c r="G6" s="196"/>
      <c r="H6" s="196"/>
      <c r="I6" s="196"/>
      <c r="J6" s="41" t="s">
        <v>612</v>
      </c>
      <c r="K6" s="196"/>
      <c r="L6" s="196"/>
      <c r="M6" s="196"/>
      <c r="N6" s="196"/>
      <c r="O6" s="196"/>
      <c r="P6" s="196"/>
      <c r="Q6" s="196"/>
      <c r="R6" s="196"/>
      <c r="S6" s="196"/>
      <c r="T6" s="84" t="s">
        <v>26</v>
      </c>
      <c r="U6" s="197"/>
      <c r="V6" s="362" t="s">
        <v>1110</v>
      </c>
      <c r="W6" s="362"/>
      <c r="X6" s="362"/>
      <c r="Y6" s="362"/>
      <c r="Z6" s="362"/>
      <c r="AA6" s="363" t="s">
        <v>1111</v>
      </c>
      <c r="AB6" s="364"/>
      <c r="AC6" s="199"/>
    </row>
    <row r="7" spans="1:36" s="12" customFormat="1" ht="38.25">
      <c r="A7" s="59"/>
      <c r="D7" s="42" t="s">
        <v>27</v>
      </c>
      <c r="E7" s="23"/>
      <c r="F7" s="42" t="s">
        <v>107</v>
      </c>
      <c r="G7" s="23"/>
      <c r="H7" s="42" t="s">
        <v>108</v>
      </c>
      <c r="I7" s="23"/>
      <c r="J7" s="42" t="s">
        <v>613</v>
      </c>
      <c r="K7" s="23"/>
      <c r="L7" s="43" t="s">
        <v>109</v>
      </c>
      <c r="M7" s="85"/>
      <c r="N7" s="85"/>
      <c r="O7" s="85"/>
      <c r="P7" s="85"/>
      <c r="Q7" s="85"/>
      <c r="R7" s="85"/>
      <c r="S7" s="23"/>
      <c r="T7" s="43" t="s">
        <v>27</v>
      </c>
      <c r="U7" s="200"/>
      <c r="V7" s="201" t="s">
        <v>1112</v>
      </c>
      <c r="W7" s="201" t="s">
        <v>1113</v>
      </c>
      <c r="X7" s="202" t="s">
        <v>108</v>
      </c>
      <c r="Y7" s="202" t="s">
        <v>1114</v>
      </c>
      <c r="Z7" s="202" t="s">
        <v>1115</v>
      </c>
      <c r="AA7" s="203" t="s">
        <v>28</v>
      </c>
      <c r="AB7" s="204" t="s">
        <v>1116</v>
      </c>
      <c r="AC7" s="205"/>
      <c r="AD7" s="202" t="s">
        <v>1117</v>
      </c>
      <c r="AE7" s="202" t="s">
        <v>47</v>
      </c>
      <c r="AF7" s="184"/>
      <c r="AG7" s="184"/>
      <c r="AH7" s="184"/>
      <c r="AI7" s="184"/>
      <c r="AJ7" s="184"/>
    </row>
    <row r="8" spans="1:36" s="12" customFormat="1">
      <c r="A8" s="59"/>
      <c r="D8" s="54"/>
      <c r="E8" s="23"/>
      <c r="F8" s="54"/>
      <c r="G8" s="23"/>
      <c r="H8" s="54"/>
      <c r="I8" s="23"/>
      <c r="J8" s="54"/>
      <c r="K8" s="23"/>
      <c r="L8" s="85"/>
      <c r="M8" s="85"/>
      <c r="N8" s="85"/>
      <c r="O8" s="85"/>
      <c r="P8" s="85"/>
      <c r="Q8" s="85"/>
      <c r="R8" s="85"/>
      <c r="S8" s="23"/>
      <c r="T8" s="85"/>
      <c r="U8" s="200"/>
      <c r="V8" s="198"/>
      <c r="W8" s="184"/>
      <c r="X8" s="184"/>
      <c r="Y8" s="184"/>
      <c r="Z8" s="184"/>
      <c r="AA8" s="206"/>
      <c r="AB8" s="207"/>
      <c r="AC8" s="199"/>
      <c r="AD8" s="184"/>
      <c r="AE8" s="184"/>
      <c r="AF8" s="184"/>
      <c r="AG8" s="184"/>
      <c r="AH8" s="184"/>
      <c r="AI8" s="184"/>
      <c r="AJ8" s="184"/>
    </row>
    <row r="9" spans="1:36" s="12" customFormat="1">
      <c r="A9" s="208" t="s">
        <v>1118</v>
      </c>
      <c r="D9" s="54"/>
      <c r="E9" s="23"/>
      <c r="F9" s="54"/>
      <c r="G9" s="23"/>
      <c r="H9" s="54"/>
      <c r="I9" s="23"/>
      <c r="J9" s="54"/>
      <c r="K9" s="23"/>
      <c r="L9" s="85"/>
      <c r="M9" s="85"/>
      <c r="N9" s="85"/>
      <c r="O9" s="85"/>
      <c r="P9" s="85"/>
      <c r="Q9" s="85"/>
      <c r="R9" s="85"/>
      <c r="S9" s="23"/>
      <c r="T9" s="85"/>
      <c r="U9" s="200"/>
      <c r="V9" s="184"/>
      <c r="X9" s="184"/>
      <c r="Y9" s="184"/>
      <c r="Z9" s="184"/>
      <c r="AA9" s="206"/>
      <c r="AB9" s="207"/>
      <c r="AC9" s="199"/>
      <c r="AD9" s="184"/>
      <c r="AE9" s="184"/>
      <c r="AF9" s="184"/>
      <c r="AG9" s="184"/>
      <c r="AH9" s="184"/>
      <c r="AI9" s="184"/>
      <c r="AJ9" s="184"/>
    </row>
    <row r="10" spans="1:36" s="12" customFormat="1">
      <c r="A10" s="59"/>
      <c r="B10" s="209" t="s">
        <v>1119</v>
      </c>
      <c r="D10" s="188">
        <v>4190578884.7999992</v>
      </c>
      <c r="E10" s="23"/>
      <c r="F10" s="54"/>
      <c r="G10" s="23"/>
      <c r="H10" s="54"/>
      <c r="I10" s="23"/>
      <c r="J10" s="54"/>
      <c r="K10" s="23"/>
      <c r="L10" s="85"/>
      <c r="M10" s="85"/>
      <c r="N10" s="85"/>
      <c r="O10" s="85"/>
      <c r="P10" s="85"/>
      <c r="Q10" s="85"/>
      <c r="R10" s="85"/>
      <c r="S10" s="23"/>
      <c r="T10" s="188">
        <v>4348950933.8400002</v>
      </c>
      <c r="U10" s="210"/>
      <c r="V10" s="211">
        <f t="shared" ref="V10:AB10" si="0">+V125</f>
        <v>0</v>
      </c>
      <c r="W10" s="211">
        <f t="shared" si="0"/>
        <v>0</v>
      </c>
      <c r="X10" s="211">
        <f t="shared" si="0"/>
        <v>2947003.78</v>
      </c>
      <c r="Y10" s="211">
        <f t="shared" si="0"/>
        <v>0</v>
      </c>
      <c r="Z10" s="211">
        <f t="shared" si="0"/>
        <v>0</v>
      </c>
      <c r="AA10" s="212">
        <f t="shared" si="0"/>
        <v>0</v>
      </c>
      <c r="AB10" s="213">
        <f t="shared" si="0"/>
        <v>0</v>
      </c>
      <c r="AC10" s="214"/>
      <c r="AD10" s="211">
        <f t="shared" ref="AD10:AD15" si="1">SUM(V10:AB10)</f>
        <v>2947003.78</v>
      </c>
      <c r="AE10" s="211">
        <f t="shared" ref="AE10:AE15" si="2">+T10-D10-AD10</f>
        <v>155425045.26000091</v>
      </c>
      <c r="AF10" s="184"/>
      <c r="AG10" s="184"/>
      <c r="AH10" s="184"/>
      <c r="AI10" s="184"/>
      <c r="AJ10" s="184"/>
    </row>
    <row r="11" spans="1:36" s="12" customFormat="1">
      <c r="A11" s="59"/>
      <c r="B11" s="209" t="s">
        <v>1120</v>
      </c>
      <c r="D11" s="188">
        <v>75239.56</v>
      </c>
      <c r="E11" s="23"/>
      <c r="F11" s="54"/>
      <c r="G11" s="23"/>
      <c r="H11" s="54"/>
      <c r="I11" s="23"/>
      <c r="J11" s="54"/>
      <c r="K11" s="23"/>
      <c r="L11" s="85"/>
      <c r="M11" s="85"/>
      <c r="N11" s="85"/>
      <c r="O11" s="85"/>
      <c r="P11" s="85"/>
      <c r="Q11" s="85"/>
      <c r="R11" s="85"/>
      <c r="S11" s="23"/>
      <c r="T11" s="188">
        <v>75239.56</v>
      </c>
      <c r="U11" s="210"/>
      <c r="V11" s="211">
        <f t="shared" ref="V11:AB11" si="3">+V135</f>
        <v>0</v>
      </c>
      <c r="W11" s="211">
        <f t="shared" si="3"/>
        <v>0</v>
      </c>
      <c r="X11" s="211">
        <f t="shared" si="3"/>
        <v>0</v>
      </c>
      <c r="Y11" s="211">
        <f t="shared" si="3"/>
        <v>0</v>
      </c>
      <c r="Z11" s="211">
        <f t="shared" si="3"/>
        <v>0</v>
      </c>
      <c r="AA11" s="212">
        <f t="shared" si="3"/>
        <v>0</v>
      </c>
      <c r="AB11" s="213">
        <f t="shared" si="3"/>
        <v>0</v>
      </c>
      <c r="AC11" s="214"/>
      <c r="AD11" s="211">
        <f t="shared" si="1"/>
        <v>0</v>
      </c>
      <c r="AE11" s="211">
        <f t="shared" si="2"/>
        <v>0</v>
      </c>
      <c r="AF11" s="184"/>
      <c r="AG11" s="184"/>
      <c r="AH11" s="184"/>
      <c r="AI11" s="184"/>
      <c r="AJ11" s="184"/>
    </row>
    <row r="12" spans="1:36" s="12" customFormat="1">
      <c r="A12" s="59"/>
      <c r="B12" s="209" t="s">
        <v>1121</v>
      </c>
      <c r="D12" s="188">
        <v>-1705246989.4000001</v>
      </c>
      <c r="E12" s="23"/>
      <c r="F12" s="54"/>
      <c r="G12" s="23"/>
      <c r="H12" s="54"/>
      <c r="I12" s="23"/>
      <c r="J12" s="54"/>
      <c r="K12" s="23"/>
      <c r="L12" s="85"/>
      <c r="M12" s="85"/>
      <c r="N12" s="85"/>
      <c r="O12" s="85"/>
      <c r="P12" s="85"/>
      <c r="Q12" s="85"/>
      <c r="R12" s="85"/>
      <c r="S12" s="23"/>
      <c r="T12" s="188">
        <f>-1766906666.2-63360.36</f>
        <v>-1766970026.5599999</v>
      </c>
      <c r="U12" s="210"/>
      <c r="V12" s="211">
        <f t="shared" ref="V12:AB12" si="4">+V232</f>
        <v>25000</v>
      </c>
      <c r="W12" s="211">
        <f t="shared" si="4"/>
        <v>0</v>
      </c>
      <c r="X12" s="211">
        <f t="shared" si="4"/>
        <v>-2947003.7800000003</v>
      </c>
      <c r="Y12" s="211">
        <f t="shared" si="4"/>
        <v>0</v>
      </c>
      <c r="Z12" s="211">
        <f t="shared" si="4"/>
        <v>2770449.12</v>
      </c>
      <c r="AA12" s="212">
        <f t="shared" si="4"/>
        <v>0</v>
      </c>
      <c r="AB12" s="213">
        <f t="shared" si="4"/>
        <v>0</v>
      </c>
      <c r="AC12" s="214"/>
      <c r="AD12" s="211">
        <f t="shared" si="1"/>
        <v>-151554.66000000015</v>
      </c>
      <c r="AE12" s="211">
        <f t="shared" si="2"/>
        <v>-61571482.499999851</v>
      </c>
      <c r="AF12" s="184"/>
      <c r="AG12" s="184"/>
      <c r="AH12" s="184"/>
      <c r="AI12" s="184"/>
      <c r="AJ12" s="184"/>
    </row>
    <row r="13" spans="1:36" s="12" customFormat="1">
      <c r="A13" s="59"/>
      <c r="B13" s="209" t="s">
        <v>1122</v>
      </c>
      <c r="D13" s="188">
        <v>342126537.57999998</v>
      </c>
      <c r="E13" s="23"/>
      <c r="F13" s="54"/>
      <c r="G13" s="23"/>
      <c r="H13" s="54"/>
      <c r="I13" s="23"/>
      <c r="J13" s="54"/>
      <c r="K13" s="23"/>
      <c r="L13" s="85"/>
      <c r="M13" s="85"/>
      <c r="N13" s="85"/>
      <c r="O13" s="85"/>
      <c r="P13" s="85"/>
      <c r="Q13" s="85"/>
      <c r="R13" s="85"/>
      <c r="S13" s="23"/>
      <c r="T13" s="188">
        <v>367941904.13</v>
      </c>
      <c r="U13" s="210"/>
      <c r="V13" s="211">
        <f t="shared" ref="V13:AB13" si="5">+V146</f>
        <v>0</v>
      </c>
      <c r="W13" s="211">
        <f t="shared" si="5"/>
        <v>0</v>
      </c>
      <c r="X13" s="211">
        <f t="shared" si="5"/>
        <v>0</v>
      </c>
      <c r="Y13" s="211">
        <f t="shared" si="5"/>
        <v>0</v>
      </c>
      <c r="Z13" s="211">
        <f t="shared" si="5"/>
        <v>0</v>
      </c>
      <c r="AA13" s="212">
        <f t="shared" si="5"/>
        <v>0</v>
      </c>
      <c r="AB13" s="213">
        <f t="shared" si="5"/>
        <v>0</v>
      </c>
      <c r="AC13" s="214"/>
      <c r="AD13" s="211">
        <f t="shared" si="1"/>
        <v>0</v>
      </c>
      <c r="AE13" s="211">
        <f t="shared" si="2"/>
        <v>25815366.550000012</v>
      </c>
      <c r="AF13" s="184"/>
      <c r="AG13" s="184"/>
      <c r="AH13" s="184"/>
      <c r="AI13" s="184"/>
      <c r="AJ13" s="184"/>
    </row>
    <row r="14" spans="1:36" s="12" customFormat="1">
      <c r="A14" s="59"/>
      <c r="B14" s="215" t="s">
        <v>1123</v>
      </c>
      <c r="D14" s="188">
        <v>6237590.7199999997</v>
      </c>
      <c r="E14" s="23"/>
      <c r="F14" s="54"/>
      <c r="G14" s="23"/>
      <c r="H14" s="54"/>
      <c r="I14" s="23"/>
      <c r="J14" s="54"/>
      <c r="K14" s="23"/>
      <c r="L14" s="85"/>
      <c r="M14" s="85"/>
      <c r="N14" s="85"/>
      <c r="O14" s="85"/>
      <c r="P14" s="85"/>
      <c r="Q14" s="85"/>
      <c r="R14" s="85"/>
      <c r="S14" s="23"/>
      <c r="T14" s="188">
        <v>5926940.2999999998</v>
      </c>
      <c r="U14" s="210"/>
      <c r="V14" s="211">
        <f t="shared" ref="V14:AB14" si="6">+V175</f>
        <v>-25000</v>
      </c>
      <c r="W14" s="211">
        <f t="shared" si="6"/>
        <v>0</v>
      </c>
      <c r="X14" s="211">
        <f t="shared" si="6"/>
        <v>0</v>
      </c>
      <c r="Y14" s="211">
        <f t="shared" si="6"/>
        <v>0</v>
      </c>
      <c r="Z14" s="211">
        <f t="shared" si="6"/>
        <v>0</v>
      </c>
      <c r="AA14" s="212">
        <f t="shared" si="6"/>
        <v>0</v>
      </c>
      <c r="AB14" s="213">
        <f t="shared" si="6"/>
        <v>0</v>
      </c>
      <c r="AC14" s="214"/>
      <c r="AD14" s="211">
        <f t="shared" si="1"/>
        <v>-25000</v>
      </c>
      <c r="AE14" s="211">
        <f t="shared" si="2"/>
        <v>-285650.41999999993</v>
      </c>
      <c r="AF14" s="184"/>
      <c r="AG14" s="184"/>
      <c r="AH14" s="184"/>
      <c r="AI14" s="184"/>
      <c r="AJ14" s="184"/>
    </row>
    <row r="15" spans="1:36" s="12" customFormat="1">
      <c r="A15" s="59"/>
      <c r="B15" s="209" t="s">
        <v>1124</v>
      </c>
      <c r="D15" s="188">
        <v>-255657569.68000001</v>
      </c>
      <c r="E15" s="23"/>
      <c r="F15" s="54"/>
      <c r="G15" s="23"/>
      <c r="H15" s="54"/>
      <c r="I15" s="23"/>
      <c r="J15" s="54"/>
      <c r="K15" s="23"/>
      <c r="L15" s="85"/>
      <c r="M15" s="85"/>
      <c r="N15" s="85"/>
      <c r="O15" s="85"/>
      <c r="P15" s="85"/>
      <c r="Q15" s="85"/>
      <c r="R15" s="85"/>
      <c r="S15" s="23"/>
      <c r="T15" s="188">
        <v>-270987930.75</v>
      </c>
      <c r="U15" s="210"/>
      <c r="V15" s="211">
        <f t="shared" ref="V15:AB15" si="7">+V287</f>
        <v>0</v>
      </c>
      <c r="W15" s="211">
        <f t="shared" si="7"/>
        <v>0</v>
      </c>
      <c r="X15" s="211">
        <f t="shared" si="7"/>
        <v>0</v>
      </c>
      <c r="Y15" s="211">
        <f t="shared" si="7"/>
        <v>0</v>
      </c>
      <c r="Z15" s="211">
        <f t="shared" si="7"/>
        <v>-2770449.12</v>
      </c>
      <c r="AA15" s="212">
        <f t="shared" si="7"/>
        <v>-1154700.49</v>
      </c>
      <c r="AB15" s="213">
        <f t="shared" si="7"/>
        <v>0</v>
      </c>
      <c r="AC15" s="214"/>
      <c r="AD15" s="211">
        <f t="shared" si="1"/>
        <v>-3925149.6100000003</v>
      </c>
      <c r="AE15" s="211">
        <f t="shared" si="2"/>
        <v>-11405211.459999993</v>
      </c>
      <c r="AF15" s="184"/>
      <c r="AG15" s="184"/>
      <c r="AH15" s="184"/>
      <c r="AI15" s="184"/>
      <c r="AJ15" s="184"/>
    </row>
    <row r="16" spans="1:36" s="12" customFormat="1">
      <c r="A16" s="59"/>
      <c r="D16" s="54"/>
      <c r="E16" s="23"/>
      <c r="F16" s="54"/>
      <c r="G16" s="23"/>
      <c r="H16" s="54"/>
      <c r="I16" s="23"/>
      <c r="J16" s="54"/>
      <c r="K16" s="23"/>
      <c r="L16" s="85"/>
      <c r="M16" s="85"/>
      <c r="N16" s="85"/>
      <c r="O16" s="85"/>
      <c r="P16" s="85"/>
      <c r="Q16" s="85"/>
      <c r="R16" s="85"/>
      <c r="S16" s="23"/>
      <c r="T16" s="85"/>
      <c r="U16" s="200"/>
      <c r="V16" s="216">
        <f t="shared" ref="V16:AB16" si="8">SUM(V10:V15)</f>
        <v>0</v>
      </c>
      <c r="W16" s="216">
        <f t="shared" si="8"/>
        <v>0</v>
      </c>
      <c r="X16" s="216">
        <f t="shared" si="8"/>
        <v>-4.6566128730773926E-10</v>
      </c>
      <c r="Y16" s="216">
        <f t="shared" si="8"/>
        <v>0</v>
      </c>
      <c r="Z16" s="216">
        <f t="shared" si="8"/>
        <v>0</v>
      </c>
      <c r="AA16" s="217">
        <f t="shared" si="8"/>
        <v>-1154700.49</v>
      </c>
      <c r="AB16" s="216">
        <f t="shared" si="8"/>
        <v>0</v>
      </c>
      <c r="AC16" s="210"/>
      <c r="AD16" s="211"/>
      <c r="AE16" s="184"/>
      <c r="AF16" s="184"/>
      <c r="AG16" s="184"/>
      <c r="AH16" s="184"/>
      <c r="AI16" s="184"/>
      <c r="AJ16" s="184"/>
    </row>
    <row r="17" spans="1:36" s="12" customFormat="1">
      <c r="A17" s="59"/>
      <c r="D17" s="54"/>
      <c r="E17" s="23"/>
      <c r="F17" s="54"/>
      <c r="G17" s="23"/>
      <c r="H17" s="54"/>
      <c r="I17" s="23"/>
      <c r="J17" s="54"/>
      <c r="K17" s="23"/>
      <c r="L17" s="85"/>
      <c r="M17" s="85"/>
      <c r="N17" s="85"/>
      <c r="O17" s="85"/>
      <c r="P17" s="85"/>
      <c r="Q17" s="85"/>
      <c r="R17" s="85"/>
      <c r="S17" s="23"/>
      <c r="T17" s="85"/>
      <c r="U17" s="200"/>
      <c r="V17" s="188"/>
      <c r="W17" s="188"/>
      <c r="X17" s="184"/>
      <c r="Y17" s="184"/>
      <c r="Z17" s="184"/>
      <c r="AA17" s="206"/>
      <c r="AB17" s="207"/>
      <c r="AC17" s="199"/>
      <c r="AD17" s="184"/>
      <c r="AE17" s="184"/>
      <c r="AF17" s="184"/>
      <c r="AG17" s="184"/>
      <c r="AH17" s="184"/>
      <c r="AI17" s="184"/>
      <c r="AJ17" s="184"/>
    </row>
    <row r="18" spans="1:36" s="12" customFormat="1">
      <c r="A18" s="59"/>
      <c r="D18" s="54"/>
      <c r="E18" s="23"/>
      <c r="F18" s="54"/>
      <c r="G18" s="23"/>
      <c r="H18" s="54"/>
      <c r="I18" s="23"/>
      <c r="J18" s="54"/>
      <c r="K18" s="23"/>
      <c r="L18" s="85"/>
      <c r="M18" s="85"/>
      <c r="N18" s="85"/>
      <c r="O18" s="85"/>
      <c r="P18" s="85"/>
      <c r="Q18" s="85"/>
      <c r="R18" s="85"/>
      <c r="S18" s="23"/>
      <c r="T18" s="85" t="s">
        <v>36</v>
      </c>
      <c r="U18" s="200"/>
      <c r="V18" s="188">
        <f>+'Recon Depr Exp to IS P4 (PA)'!S48-'Recon Depr Exp to IS P4 (PA)'!O38</f>
        <v>0</v>
      </c>
      <c r="W18" s="188"/>
      <c r="X18" s="184"/>
      <c r="Y18" s="184"/>
      <c r="Z18" s="184"/>
      <c r="AA18" s="212"/>
      <c r="AB18" s="213">
        <f>+'Summary - Cost - PG 1 (PA)'!F119</f>
        <v>0</v>
      </c>
      <c r="AC18" s="199"/>
      <c r="AD18" s="184"/>
      <c r="AE18" s="184"/>
      <c r="AF18" s="184"/>
      <c r="AG18" s="184"/>
      <c r="AH18" s="184"/>
      <c r="AI18" s="184"/>
      <c r="AJ18" s="184"/>
    </row>
    <row r="19" spans="1:36" s="12" customFormat="1">
      <c r="A19" s="59"/>
      <c r="D19" s="54"/>
      <c r="E19" s="23"/>
      <c r="F19" s="54"/>
      <c r="G19" s="23"/>
      <c r="H19" s="54"/>
      <c r="I19" s="23"/>
      <c r="J19" s="54"/>
      <c r="K19" s="23"/>
      <c r="L19" s="85"/>
      <c r="M19" s="85"/>
      <c r="N19" s="85"/>
      <c r="O19" s="85"/>
      <c r="P19" s="85"/>
      <c r="Q19" s="85"/>
      <c r="R19" s="85"/>
      <c r="S19" s="23"/>
      <c r="T19" s="85"/>
      <c r="U19" s="200"/>
      <c r="V19" s="188">
        <f>+V16-V18</f>
        <v>0</v>
      </c>
      <c r="W19" s="188"/>
      <c r="X19" s="184"/>
      <c r="Y19" s="184"/>
      <c r="Z19" s="184"/>
      <c r="AA19" s="184"/>
      <c r="AB19" s="211">
        <f>+AB16-AB18</f>
        <v>0</v>
      </c>
      <c r="AC19" s="199"/>
      <c r="AD19" s="184"/>
      <c r="AE19" s="184"/>
      <c r="AF19" s="184"/>
      <c r="AG19" s="184"/>
      <c r="AH19" s="184"/>
      <c r="AI19" s="184"/>
      <c r="AJ19" s="184"/>
    </row>
    <row r="20" spans="1:36" s="12" customFormat="1">
      <c r="A20" s="59"/>
      <c r="D20" s="54"/>
      <c r="E20" s="23"/>
      <c r="F20" s="54"/>
      <c r="G20" s="23"/>
      <c r="H20" s="54"/>
      <c r="I20" s="23"/>
      <c r="J20" s="54"/>
      <c r="K20" s="23"/>
      <c r="L20" s="85"/>
      <c r="M20" s="85"/>
      <c r="N20" s="85"/>
      <c r="O20" s="85"/>
      <c r="P20" s="85"/>
      <c r="Q20" s="85"/>
      <c r="R20" s="85"/>
      <c r="S20" s="23"/>
      <c r="T20" s="85"/>
      <c r="U20" s="85"/>
      <c r="V20" s="188"/>
      <c r="W20" s="188"/>
      <c r="X20" s="184"/>
      <c r="Y20" s="184"/>
      <c r="Z20" s="184"/>
      <c r="AA20" s="184"/>
      <c r="AB20" s="184"/>
      <c r="AC20" s="184"/>
      <c r="AD20" s="184"/>
      <c r="AE20" s="184"/>
      <c r="AF20" s="184"/>
      <c r="AG20" s="184"/>
      <c r="AH20" s="184"/>
      <c r="AI20" s="184"/>
      <c r="AJ20" s="184"/>
    </row>
    <row r="21" spans="1:36" s="12" customFormat="1">
      <c r="A21" s="59"/>
      <c r="D21" s="54"/>
      <c r="E21" s="23"/>
      <c r="F21" s="54"/>
      <c r="G21" s="23"/>
      <c r="H21" s="54"/>
      <c r="I21" s="23"/>
      <c r="J21" s="54"/>
      <c r="K21" s="23"/>
      <c r="L21" s="85"/>
      <c r="M21" s="85"/>
      <c r="N21" s="85"/>
      <c r="O21" s="85"/>
      <c r="P21" s="85"/>
      <c r="Q21" s="85"/>
      <c r="R21" s="85"/>
      <c r="S21" s="23"/>
      <c r="T21" s="85"/>
      <c r="U21" s="85"/>
      <c r="V21" s="188"/>
      <c r="W21" s="188"/>
      <c r="X21" s="184"/>
      <c r="Y21" s="184"/>
      <c r="Z21" s="184"/>
      <c r="AA21" s="184"/>
      <c r="AB21" s="184"/>
      <c r="AC21" s="184"/>
      <c r="AD21" s="184"/>
      <c r="AE21" s="184"/>
      <c r="AF21" s="184"/>
      <c r="AG21" s="184"/>
      <c r="AH21" s="184"/>
      <c r="AI21" s="184"/>
      <c r="AJ21" s="184"/>
    </row>
    <row r="22" spans="1:36" s="12" customFormat="1">
      <c r="A22" s="59"/>
      <c r="D22" s="54"/>
      <c r="E22" s="23"/>
      <c r="F22" s="54"/>
      <c r="G22" s="23"/>
      <c r="H22" s="54"/>
      <c r="I22" s="23"/>
      <c r="J22" s="54"/>
      <c r="K22" s="23"/>
      <c r="L22" s="85"/>
      <c r="M22" s="85"/>
      <c r="N22" s="85"/>
      <c r="O22" s="85"/>
      <c r="P22" s="85"/>
      <c r="Q22" s="85"/>
      <c r="R22" s="85"/>
      <c r="S22" s="23"/>
      <c r="T22" s="85"/>
      <c r="U22" s="85"/>
      <c r="V22" s="188"/>
      <c r="W22" s="188"/>
      <c r="X22" s="184"/>
      <c r="Y22" s="184"/>
      <c r="Z22" s="184"/>
      <c r="AA22" s="184"/>
      <c r="AB22" s="184"/>
      <c r="AC22" s="184"/>
      <c r="AD22" s="184"/>
      <c r="AE22" s="184"/>
      <c r="AF22" s="184"/>
      <c r="AG22" s="184"/>
      <c r="AH22" s="184"/>
      <c r="AI22" s="184"/>
      <c r="AJ22" s="184"/>
    </row>
    <row r="23" spans="1:36" s="12" customFormat="1" hidden="1" outlineLevel="1">
      <c r="A23" s="59"/>
      <c r="D23" s="54"/>
      <c r="E23" s="23"/>
      <c r="F23" s="54"/>
      <c r="G23" s="23"/>
      <c r="H23" s="54"/>
      <c r="I23" s="23"/>
      <c r="J23" s="54"/>
      <c r="K23" s="23"/>
      <c r="L23" s="85"/>
      <c r="M23" s="85"/>
      <c r="N23" s="85"/>
      <c r="O23" s="85"/>
      <c r="P23" s="85"/>
      <c r="Q23" s="85"/>
      <c r="R23" s="85"/>
      <c r="S23" s="23"/>
      <c r="T23" s="85"/>
      <c r="U23" s="85"/>
      <c r="V23" s="188"/>
      <c r="W23" s="188"/>
      <c r="X23" s="184"/>
      <c r="Y23" s="184"/>
      <c r="Z23" s="184"/>
      <c r="AA23" s="184"/>
      <c r="AB23" s="184"/>
      <c r="AC23" s="184"/>
      <c r="AD23" s="184"/>
      <c r="AE23" s="184"/>
      <c r="AF23" s="184"/>
      <c r="AG23" s="184"/>
      <c r="AH23" s="184"/>
      <c r="AI23" s="184"/>
      <c r="AJ23" s="184"/>
    </row>
    <row r="24" spans="1:36" s="220" customFormat="1" hidden="1" outlineLevel="3">
      <c r="A24" s="218">
        <v>101</v>
      </c>
      <c r="B24" s="219" t="s">
        <v>610</v>
      </c>
      <c r="V24" s="221"/>
    </row>
    <row r="25" spans="1:36" s="220" customFormat="1" hidden="1" outlineLevel="3">
      <c r="A25" s="218"/>
      <c r="B25" s="219" t="s">
        <v>652</v>
      </c>
      <c r="V25" s="221"/>
    </row>
    <row r="26" spans="1:36" s="220" customFormat="1" hidden="1" outlineLevel="3">
      <c r="A26" s="218"/>
      <c r="B26" s="219"/>
      <c r="C26" s="220" t="s">
        <v>455</v>
      </c>
      <c r="D26" s="222">
        <f>+'Summary - Cost - PG 1 (PA)'!D10</f>
        <v>-63080088.950000018</v>
      </c>
      <c r="E26" s="223"/>
      <c r="F26" s="222">
        <f>+'Summary - Cost - PG 1 (PA)'!F10</f>
        <v>0</v>
      </c>
      <c r="G26" s="223"/>
      <c r="H26" s="222">
        <f>+'Summary - Cost - PG 1 (PA)'!H10</f>
        <v>147165.54000000004</v>
      </c>
      <c r="I26" s="223"/>
      <c r="J26" s="222">
        <f>+'Summary - Cost - PG 1 (PA)'!J10</f>
        <v>0</v>
      </c>
      <c r="K26" s="223"/>
      <c r="L26" s="223">
        <f>F26+H26+J26</f>
        <v>147165.54000000004</v>
      </c>
      <c r="M26" s="223"/>
      <c r="N26" s="223"/>
      <c r="O26" s="223"/>
      <c r="P26" s="223"/>
      <c r="Q26" s="223"/>
      <c r="R26" s="223"/>
      <c r="S26" s="223"/>
      <c r="T26" s="223">
        <f>D26+L26</f>
        <v>-62932923.410000019</v>
      </c>
      <c r="U26" s="223"/>
      <c r="V26" s="224"/>
    </row>
    <row r="27" spans="1:36" s="220" customFormat="1" hidden="1" outlineLevel="3">
      <c r="A27" s="218"/>
      <c r="B27" s="219"/>
      <c r="C27" s="220" t="s">
        <v>111</v>
      </c>
      <c r="D27" s="225">
        <f>+'Summary - Cost - PG 1 (PA)'!D11</f>
        <v>-11365684.449999999</v>
      </c>
      <c r="E27" s="222"/>
      <c r="F27" s="225">
        <f>+'Summary - Cost - PG 1 (PA)'!F11</f>
        <v>0</v>
      </c>
      <c r="G27" s="222"/>
      <c r="H27" s="225">
        <f>+'Summary - Cost - PG 1 (PA)'!H11</f>
        <v>793063.15</v>
      </c>
      <c r="I27" s="222"/>
      <c r="J27" s="225">
        <f>+'Summary - Cost - PG 1 (PA)'!J11</f>
        <v>0</v>
      </c>
      <c r="K27" s="222"/>
      <c r="L27" s="225">
        <f>F27+H27+J27</f>
        <v>793063.15</v>
      </c>
      <c r="M27" s="222"/>
      <c r="N27" s="222"/>
      <c r="O27" s="222"/>
      <c r="P27" s="222"/>
      <c r="Q27" s="222"/>
      <c r="R27" s="222"/>
      <c r="S27" s="222"/>
      <c r="T27" s="225">
        <f>D27+L27</f>
        <v>-10572621.299999999</v>
      </c>
      <c r="U27" s="222"/>
      <c r="V27" s="226"/>
    </row>
    <row r="28" spans="1:36" s="220" customFormat="1" hidden="1" outlineLevel="3">
      <c r="A28" s="218"/>
      <c r="B28" s="219"/>
      <c r="C28" s="227"/>
      <c r="D28" s="222">
        <f>D26+D27</f>
        <v>-74445773.400000021</v>
      </c>
      <c r="E28" s="222"/>
      <c r="F28" s="222">
        <f>F26+F27</f>
        <v>0</v>
      </c>
      <c r="G28" s="222"/>
      <c r="H28" s="222">
        <f>H26+H27</f>
        <v>940228.69000000006</v>
      </c>
      <c r="I28" s="222"/>
      <c r="J28" s="222">
        <f>J26+J27</f>
        <v>0</v>
      </c>
      <c r="K28" s="222"/>
      <c r="L28" s="222">
        <f>L26+L27</f>
        <v>940228.69000000006</v>
      </c>
      <c r="M28" s="222"/>
      <c r="N28" s="222"/>
      <c r="O28" s="222"/>
      <c r="P28" s="222"/>
      <c r="Q28" s="222"/>
      <c r="R28" s="222"/>
      <c r="S28" s="222"/>
      <c r="T28" s="222">
        <f>T26+T27</f>
        <v>-73505544.710000023</v>
      </c>
      <c r="U28" s="222"/>
      <c r="V28" s="226"/>
    </row>
    <row r="29" spans="1:36" s="220" customFormat="1" hidden="1" outlineLevel="3">
      <c r="A29" s="218"/>
      <c r="B29" s="219"/>
      <c r="D29" s="222"/>
      <c r="E29" s="222"/>
      <c r="F29" s="222"/>
      <c r="G29" s="222"/>
      <c r="H29" s="222"/>
      <c r="I29" s="222"/>
      <c r="J29" s="222"/>
      <c r="K29" s="222"/>
      <c r="L29" s="222"/>
      <c r="M29" s="222"/>
      <c r="N29" s="222"/>
      <c r="O29" s="222"/>
      <c r="P29" s="222"/>
      <c r="Q29" s="222"/>
      <c r="R29" s="222"/>
      <c r="S29" s="222"/>
      <c r="T29" s="222"/>
      <c r="U29" s="222"/>
      <c r="V29" s="226"/>
    </row>
    <row r="30" spans="1:36" s="220" customFormat="1" hidden="1" outlineLevel="3">
      <c r="A30" s="218"/>
      <c r="B30" s="219" t="s">
        <v>112</v>
      </c>
      <c r="D30" s="222"/>
      <c r="E30" s="222"/>
      <c r="F30" s="222"/>
      <c r="G30" s="222"/>
      <c r="H30" s="222"/>
      <c r="I30" s="222"/>
      <c r="J30" s="222"/>
      <c r="K30" s="222"/>
      <c r="L30" s="222"/>
      <c r="M30" s="222"/>
      <c r="N30" s="222"/>
      <c r="O30" s="222"/>
      <c r="P30" s="222"/>
      <c r="Q30" s="222"/>
      <c r="R30" s="222"/>
      <c r="S30" s="222"/>
      <c r="T30" s="222"/>
      <c r="U30" s="222"/>
      <c r="V30" s="226"/>
    </row>
    <row r="31" spans="1:36" s="220" customFormat="1" hidden="1" outlineLevel="3">
      <c r="A31" s="218"/>
      <c r="B31" s="219"/>
      <c r="C31" s="220" t="s">
        <v>113</v>
      </c>
      <c r="D31" s="222">
        <f>+'Summary - Cost - PG 1 (PA)'!D15</f>
        <v>-271480094.50999999</v>
      </c>
      <c r="E31" s="223"/>
      <c r="F31" s="222">
        <f>+'Summary - Cost - PG 1 (PA)'!F15</f>
        <v>-9704.86</v>
      </c>
      <c r="G31" s="223"/>
      <c r="H31" s="222">
        <f>+'Summary - Cost - PG 1 (PA)'!H15</f>
        <v>586138.93000000005</v>
      </c>
      <c r="I31" s="223"/>
      <c r="J31" s="222">
        <f>+'Summary - Cost - PG 1 (PA)'!J15</f>
        <v>0</v>
      </c>
      <c r="K31" s="222"/>
      <c r="L31" s="222">
        <f t="shared" ref="L31:L37" si="9">F31+H31+J31</f>
        <v>576434.07000000007</v>
      </c>
      <c r="M31" s="222"/>
      <c r="N31" s="222"/>
      <c r="O31" s="222"/>
      <c r="P31" s="222"/>
      <c r="Q31" s="222"/>
      <c r="R31" s="222"/>
      <c r="S31" s="222"/>
      <c r="T31" s="222">
        <f t="shared" ref="T31:T37" si="10">D31+L31</f>
        <v>-270903660.44</v>
      </c>
      <c r="U31" s="222"/>
      <c r="V31" s="226"/>
    </row>
    <row r="32" spans="1:36" s="220" customFormat="1" hidden="1" outlineLevel="3">
      <c r="A32" s="218"/>
      <c r="B32" s="219"/>
      <c r="C32" s="220" t="s">
        <v>114</v>
      </c>
      <c r="D32" s="222">
        <f>+'Summary - Cost - PG 1 (PA)'!D16</f>
        <v>-10825272.689999999</v>
      </c>
      <c r="E32" s="223"/>
      <c r="F32" s="222">
        <f>+'Summary - Cost - PG 1 (PA)'!F16</f>
        <v>0</v>
      </c>
      <c r="G32" s="223"/>
      <c r="H32" s="222">
        <f>+'Summary - Cost - PG 1 (PA)'!H16</f>
        <v>39209.64</v>
      </c>
      <c r="I32" s="223"/>
      <c r="J32" s="222">
        <f>+'Summary - Cost - PG 1 (PA)'!J16</f>
        <v>0</v>
      </c>
      <c r="K32" s="222"/>
      <c r="L32" s="222">
        <f t="shared" si="9"/>
        <v>39209.64</v>
      </c>
      <c r="M32" s="222"/>
      <c r="N32" s="222"/>
      <c r="O32" s="222"/>
      <c r="P32" s="222"/>
      <c r="Q32" s="222"/>
      <c r="R32" s="222"/>
      <c r="S32" s="222"/>
      <c r="T32" s="222">
        <f t="shared" si="10"/>
        <v>-10786063.049999999</v>
      </c>
      <c r="U32" s="222"/>
      <c r="V32" s="226"/>
    </row>
    <row r="33" spans="1:22" s="220" customFormat="1" hidden="1" outlineLevel="3">
      <c r="A33" s="218"/>
      <c r="B33" s="219"/>
      <c r="C33" s="220" t="s">
        <v>115</v>
      </c>
      <c r="D33" s="222">
        <f>+'Summary - Cost - PG 1 (PA)'!D17</f>
        <v>-9521332.4499999993</v>
      </c>
      <c r="E33" s="223"/>
      <c r="F33" s="222">
        <f>+'Summary - Cost - PG 1 (PA)'!F17</f>
        <v>0</v>
      </c>
      <c r="G33" s="223"/>
      <c r="H33" s="222">
        <f>+'Summary - Cost - PG 1 (PA)'!H17</f>
        <v>526.02</v>
      </c>
      <c r="I33" s="223"/>
      <c r="J33" s="222">
        <f>+'Summary - Cost - PG 1 (PA)'!J17</f>
        <v>0</v>
      </c>
      <c r="K33" s="222"/>
      <c r="L33" s="222">
        <f t="shared" si="9"/>
        <v>526.02</v>
      </c>
      <c r="M33" s="222"/>
      <c r="N33" s="222"/>
      <c r="O33" s="222"/>
      <c r="P33" s="222"/>
      <c r="Q33" s="222"/>
      <c r="R33" s="222"/>
      <c r="S33" s="222"/>
      <c r="T33" s="222">
        <f t="shared" si="10"/>
        <v>-9520806.4299999997</v>
      </c>
      <c r="U33" s="222"/>
      <c r="V33" s="226"/>
    </row>
    <row r="34" spans="1:22" s="220" customFormat="1" hidden="1" outlineLevel="3">
      <c r="A34" s="218"/>
      <c r="B34" s="219"/>
      <c r="C34" s="220" t="s">
        <v>116</v>
      </c>
      <c r="D34" s="222">
        <f>+'Summary - Cost - PG 1 (PA)'!D18</f>
        <v>0</v>
      </c>
      <c r="E34" s="223"/>
      <c r="F34" s="222">
        <f>+'Summary - Cost - PG 1 (PA)'!F18</f>
        <v>0</v>
      </c>
      <c r="G34" s="223"/>
      <c r="H34" s="222">
        <f>+'Summary - Cost - PG 1 (PA)'!H18</f>
        <v>0</v>
      </c>
      <c r="I34" s="223"/>
      <c r="J34" s="222">
        <f>+'Summary - Cost - PG 1 (PA)'!J18</f>
        <v>0</v>
      </c>
      <c r="K34" s="222"/>
      <c r="L34" s="222">
        <f t="shared" si="9"/>
        <v>0</v>
      </c>
      <c r="M34" s="222"/>
      <c r="N34" s="222"/>
      <c r="O34" s="222"/>
      <c r="P34" s="222"/>
      <c r="Q34" s="222"/>
      <c r="R34" s="222"/>
      <c r="S34" s="222"/>
      <c r="T34" s="222">
        <f t="shared" si="10"/>
        <v>0</v>
      </c>
      <c r="U34" s="222"/>
      <c r="V34" s="226"/>
    </row>
    <row r="35" spans="1:22" s="220" customFormat="1" hidden="1" outlineLevel="3">
      <c r="A35" s="218"/>
      <c r="B35" s="219"/>
      <c r="C35" s="220" t="s">
        <v>117</v>
      </c>
      <c r="D35" s="222">
        <f>+'Summary - Cost - PG 1 (PA)'!D19</f>
        <v>-58644445.899999999</v>
      </c>
      <c r="E35" s="223"/>
      <c r="F35" s="222">
        <f>+'Summary - Cost - PG 1 (PA)'!F19</f>
        <v>0</v>
      </c>
      <c r="G35" s="223"/>
      <c r="H35" s="222">
        <f>+'Summary - Cost - PG 1 (PA)'!H19</f>
        <v>194624.59</v>
      </c>
      <c r="I35" s="223"/>
      <c r="J35" s="222">
        <f>+'Summary - Cost - PG 1 (PA)'!J19</f>
        <v>0</v>
      </c>
      <c r="K35" s="222"/>
      <c r="L35" s="222">
        <f t="shared" si="9"/>
        <v>194624.59</v>
      </c>
      <c r="M35" s="222"/>
      <c r="N35" s="222"/>
      <c r="O35" s="222"/>
      <c r="P35" s="222"/>
      <c r="Q35" s="222"/>
      <c r="R35" s="222"/>
      <c r="S35" s="222"/>
      <c r="T35" s="222">
        <f t="shared" si="10"/>
        <v>-58449821.309999995</v>
      </c>
      <c r="U35" s="222"/>
      <c r="V35" s="226"/>
    </row>
    <row r="36" spans="1:22" s="220" customFormat="1" hidden="1" outlineLevel="3">
      <c r="A36" s="218"/>
      <c r="B36" s="219"/>
      <c r="C36" s="220" t="s">
        <v>118</v>
      </c>
      <c r="D36" s="222">
        <f>+'Summary - Cost - PG 1 (PA)'!D20</f>
        <v>-1008320418.9500002</v>
      </c>
      <c r="E36" s="223"/>
      <c r="F36" s="222">
        <f>+'Summary - Cost - PG 1 (PA)'!F20</f>
        <v>-16378.43</v>
      </c>
      <c r="G36" s="223"/>
      <c r="H36" s="222">
        <f>+'Summary - Cost - PG 1 (PA)'!H20</f>
        <v>-35234.099999999919</v>
      </c>
      <c r="I36" s="223"/>
      <c r="J36" s="222">
        <f>+'Summary - Cost - PG 1 (PA)'!J20</f>
        <v>0</v>
      </c>
      <c r="K36" s="222"/>
      <c r="L36" s="222">
        <f t="shared" si="9"/>
        <v>-51612.529999999919</v>
      </c>
      <c r="M36" s="222"/>
      <c r="N36" s="222"/>
      <c r="O36" s="222"/>
      <c r="P36" s="222"/>
      <c r="Q36" s="222"/>
      <c r="R36" s="222"/>
      <c r="S36" s="222"/>
      <c r="T36" s="222">
        <f t="shared" si="10"/>
        <v>-1008372031.4800001</v>
      </c>
      <c r="U36" s="222"/>
      <c r="V36" s="226"/>
    </row>
    <row r="37" spans="1:22" s="220" customFormat="1" hidden="1" outlineLevel="3">
      <c r="A37" s="218"/>
      <c r="B37" s="219"/>
      <c r="C37" s="220" t="s">
        <v>119</v>
      </c>
      <c r="D37" s="225">
        <f>+'Summary - Cost - PG 1 (PA)'!D21</f>
        <v>-117393208.42999999</v>
      </c>
      <c r="E37" s="223"/>
      <c r="F37" s="225">
        <f>+'Summary - Cost - PG 1 (PA)'!F21</f>
        <v>0</v>
      </c>
      <c r="G37" s="223"/>
      <c r="H37" s="225">
        <f>+'Summary - Cost - PG 1 (PA)'!H21</f>
        <v>1167259.44</v>
      </c>
      <c r="I37" s="223"/>
      <c r="J37" s="225">
        <f>+'Summary - Cost - PG 1 (PA)'!J21</f>
        <v>0</v>
      </c>
      <c r="K37" s="222"/>
      <c r="L37" s="225">
        <f t="shared" si="9"/>
        <v>1167259.44</v>
      </c>
      <c r="M37" s="222"/>
      <c r="N37" s="222"/>
      <c r="O37" s="222"/>
      <c r="P37" s="222"/>
      <c r="Q37" s="222"/>
      <c r="R37" s="222"/>
      <c r="S37" s="222"/>
      <c r="T37" s="225">
        <f t="shared" si="10"/>
        <v>-116225948.98999999</v>
      </c>
      <c r="U37" s="222"/>
      <c r="V37" s="226"/>
    </row>
    <row r="38" spans="1:22" s="220" customFormat="1" hidden="1" outlineLevel="3">
      <c r="A38" s="218"/>
      <c r="B38" s="219"/>
      <c r="C38" s="227"/>
      <c r="D38" s="222">
        <f>SUM(D31:D37)</f>
        <v>-1476184772.9300001</v>
      </c>
      <c r="E38" s="222"/>
      <c r="F38" s="222">
        <f>SUM(F31:F37)</f>
        <v>-26083.29</v>
      </c>
      <c r="G38" s="222"/>
      <c r="H38" s="222">
        <f>SUM(H31:H37)</f>
        <v>1952524.52</v>
      </c>
      <c r="I38" s="222"/>
      <c r="J38" s="222">
        <f>SUM(J31:J37)</f>
        <v>0</v>
      </c>
      <c r="K38" s="222"/>
      <c r="L38" s="222">
        <f>SUM(L31:L37)</f>
        <v>1926441.23</v>
      </c>
      <c r="M38" s="222"/>
      <c r="N38" s="222"/>
      <c r="O38" s="222"/>
      <c r="P38" s="222"/>
      <c r="Q38" s="222"/>
      <c r="R38" s="222"/>
      <c r="S38" s="222"/>
      <c r="T38" s="222">
        <f>SUM(T31:T37)</f>
        <v>-1474258331.7</v>
      </c>
      <c r="U38" s="222"/>
      <c r="V38" s="226"/>
    </row>
    <row r="39" spans="1:22" s="220" customFormat="1" hidden="1" outlineLevel="3">
      <c r="A39" s="218"/>
      <c r="B39" s="219"/>
      <c r="D39" s="222"/>
      <c r="E39" s="222"/>
      <c r="F39" s="222"/>
      <c r="G39" s="222"/>
      <c r="H39" s="222"/>
      <c r="I39" s="222"/>
      <c r="J39" s="222"/>
      <c r="K39" s="222"/>
      <c r="L39" s="222"/>
      <c r="M39" s="222"/>
      <c r="N39" s="222"/>
      <c r="O39" s="222"/>
      <c r="P39" s="222"/>
      <c r="Q39" s="222"/>
      <c r="R39" s="222"/>
      <c r="S39" s="222"/>
      <c r="T39" s="222"/>
      <c r="U39" s="222"/>
      <c r="V39" s="226"/>
    </row>
    <row r="40" spans="1:22" s="220" customFormat="1" hidden="1" outlineLevel="3">
      <c r="A40" s="218"/>
      <c r="B40" s="219" t="s">
        <v>120</v>
      </c>
      <c r="D40" s="223"/>
      <c r="E40" s="223"/>
      <c r="F40" s="223"/>
      <c r="G40" s="223"/>
      <c r="H40" s="223"/>
      <c r="I40" s="223"/>
      <c r="J40" s="223"/>
      <c r="K40" s="223"/>
      <c r="L40" s="223"/>
      <c r="M40" s="223"/>
      <c r="N40" s="223"/>
      <c r="O40" s="223"/>
      <c r="P40" s="223"/>
      <c r="Q40" s="223"/>
      <c r="R40" s="223"/>
      <c r="S40" s="223"/>
      <c r="T40" s="223"/>
      <c r="U40" s="223"/>
      <c r="V40" s="224"/>
    </row>
    <row r="41" spans="1:22" s="220" customFormat="1" hidden="1" outlineLevel="3">
      <c r="A41" s="218"/>
      <c r="B41" s="219"/>
      <c r="C41" s="220" t="s">
        <v>121</v>
      </c>
      <c r="D41" s="222">
        <f>+'Summary - Cost - PG 1 (PA)'!D25</f>
        <v>-123187246.26000002</v>
      </c>
      <c r="E41" s="223"/>
      <c r="F41" s="222">
        <f>+'Summary - Cost - PG 1 (PA)'!F25</f>
        <v>-7461.85</v>
      </c>
      <c r="G41" s="223"/>
      <c r="H41" s="222">
        <f>+'Summary - Cost - PG 1 (PA)'!H25</f>
        <v>14486.08</v>
      </c>
      <c r="I41" s="223"/>
      <c r="J41" s="222">
        <f>+'Summary - Cost - PG 1 (PA)'!J25</f>
        <v>0</v>
      </c>
      <c r="K41" s="223"/>
      <c r="L41" s="223">
        <f>F41+H41+J41</f>
        <v>7024.23</v>
      </c>
      <c r="M41" s="223"/>
      <c r="N41" s="223"/>
      <c r="O41" s="223"/>
      <c r="P41" s="223"/>
      <c r="Q41" s="223"/>
      <c r="R41" s="223"/>
      <c r="S41" s="223"/>
      <c r="T41" s="223">
        <f>D41+L41</f>
        <v>-123180222.03000002</v>
      </c>
      <c r="U41" s="223"/>
      <c r="V41" s="224"/>
    </row>
    <row r="42" spans="1:22" s="220" customFormat="1" hidden="1" outlineLevel="3">
      <c r="A42" s="218"/>
      <c r="B42" s="219"/>
      <c r="C42" s="220" t="s">
        <v>122</v>
      </c>
      <c r="D42" s="222">
        <f>+'Summary - Cost - PG 1 (PA)'!D26</f>
        <v>-4712961.29</v>
      </c>
      <c r="E42" s="223"/>
      <c r="F42" s="222">
        <f>+'Summary - Cost - PG 1 (PA)'!F26</f>
        <v>-6119.8</v>
      </c>
      <c r="G42" s="223"/>
      <c r="H42" s="222">
        <f>+'Summary - Cost - PG 1 (PA)'!H26</f>
        <v>0</v>
      </c>
      <c r="I42" s="223"/>
      <c r="J42" s="222">
        <f>+'Summary - Cost - PG 1 (PA)'!J26</f>
        <v>0</v>
      </c>
      <c r="K42" s="223"/>
      <c r="L42" s="223">
        <f>F42+H42+J42</f>
        <v>-6119.8</v>
      </c>
      <c r="M42" s="223"/>
      <c r="N42" s="223"/>
      <c r="O42" s="223"/>
      <c r="P42" s="223"/>
      <c r="Q42" s="223"/>
      <c r="R42" s="223"/>
      <c r="S42" s="223"/>
      <c r="T42" s="223">
        <f>D42+L42</f>
        <v>-4719081.09</v>
      </c>
      <c r="U42" s="223"/>
      <c r="V42" s="224"/>
    </row>
    <row r="43" spans="1:22" s="220" customFormat="1" hidden="1" outlineLevel="3">
      <c r="A43" s="218"/>
      <c r="B43" s="219"/>
      <c r="C43" s="220" t="s">
        <v>123</v>
      </c>
      <c r="D43" s="222">
        <f>+'Summary - Cost - PG 1 (PA)'!D27</f>
        <v>-119.15999999999997</v>
      </c>
      <c r="E43" s="223"/>
      <c r="F43" s="222">
        <f>+'Summary - Cost - PG 1 (PA)'!F27</f>
        <v>0</v>
      </c>
      <c r="G43" s="223"/>
      <c r="H43" s="222">
        <f>+'Summary - Cost - PG 1 (PA)'!H27</f>
        <v>0</v>
      </c>
      <c r="I43" s="223"/>
      <c r="J43" s="222">
        <f>+'Summary - Cost - PG 1 (PA)'!J27</f>
        <v>0</v>
      </c>
      <c r="K43" s="223"/>
      <c r="L43" s="223">
        <f>F43+H43+J43</f>
        <v>0</v>
      </c>
      <c r="M43" s="223"/>
      <c r="N43" s="223"/>
      <c r="O43" s="223"/>
      <c r="P43" s="223"/>
      <c r="Q43" s="223"/>
      <c r="R43" s="223"/>
      <c r="S43" s="223"/>
      <c r="T43" s="223">
        <f>D43+L43</f>
        <v>-119.15999999999997</v>
      </c>
      <c r="U43" s="223"/>
      <c r="V43" s="224"/>
    </row>
    <row r="44" spans="1:22" s="220" customFormat="1" hidden="1" outlineLevel="3">
      <c r="A44" s="218"/>
      <c r="B44" s="219"/>
      <c r="C44" s="220" t="s">
        <v>124</v>
      </c>
      <c r="D44" s="222">
        <f>+'Summary - Cost - PG 1 (PA)'!D28</f>
        <v>-31462521.509999998</v>
      </c>
      <c r="E44" s="223"/>
      <c r="F44" s="222">
        <f>+'Summary - Cost - PG 1 (PA)'!F28</f>
        <v>0</v>
      </c>
      <c r="G44" s="223"/>
      <c r="H44" s="222">
        <f>+'Summary - Cost - PG 1 (PA)'!H28</f>
        <v>39066.25</v>
      </c>
      <c r="I44" s="223"/>
      <c r="J44" s="222">
        <f>+'Summary - Cost - PG 1 (PA)'!J28</f>
        <v>0</v>
      </c>
      <c r="K44" s="223"/>
      <c r="L44" s="223">
        <f>F44+H44+J44</f>
        <v>39066.25</v>
      </c>
      <c r="M44" s="223"/>
      <c r="N44" s="223"/>
      <c r="O44" s="223"/>
      <c r="P44" s="223"/>
      <c r="Q44" s="223"/>
      <c r="R44" s="223"/>
      <c r="S44" s="223"/>
      <c r="T44" s="223">
        <f>D44+L44</f>
        <v>-31423455.259999998</v>
      </c>
      <c r="U44" s="223"/>
      <c r="V44" s="224"/>
    </row>
    <row r="45" spans="1:22" s="220" customFormat="1" hidden="1" outlineLevel="3">
      <c r="A45" s="218"/>
      <c r="B45" s="219"/>
      <c r="C45" s="220" t="s">
        <v>125</v>
      </c>
      <c r="D45" s="225">
        <f>+'Summary - Cost - PG 1 (PA)'!D29</f>
        <v>-9426614.1399999987</v>
      </c>
      <c r="E45" s="223"/>
      <c r="F45" s="225">
        <f>+'Summary - Cost - PG 1 (PA)'!F29</f>
        <v>0</v>
      </c>
      <c r="G45" s="223"/>
      <c r="H45" s="225">
        <f>+'Summary - Cost - PG 1 (PA)'!H29</f>
        <v>698.24</v>
      </c>
      <c r="I45" s="223"/>
      <c r="J45" s="225">
        <f>+'Summary - Cost - PG 1 (PA)'!J29</f>
        <v>0</v>
      </c>
      <c r="K45" s="223"/>
      <c r="L45" s="225">
        <f>F45+H45+J45</f>
        <v>698.24</v>
      </c>
      <c r="M45" s="222"/>
      <c r="N45" s="222"/>
      <c r="O45" s="222"/>
      <c r="P45" s="222"/>
      <c r="Q45" s="222"/>
      <c r="R45" s="222"/>
      <c r="S45" s="223"/>
      <c r="T45" s="225">
        <f>D45+L45</f>
        <v>-9425915.8999999985</v>
      </c>
      <c r="U45" s="222"/>
      <c r="V45" s="224"/>
    </row>
    <row r="46" spans="1:22" s="220" customFormat="1" hidden="1" outlineLevel="3">
      <c r="A46" s="218"/>
      <c r="B46" s="219"/>
      <c r="C46" s="227"/>
      <c r="D46" s="222">
        <f>SUM(D41:D45)</f>
        <v>-168789462.36000001</v>
      </c>
      <c r="E46" s="222"/>
      <c r="F46" s="222">
        <f>SUM(F41:F45)</f>
        <v>-13581.650000000001</v>
      </c>
      <c r="G46" s="222"/>
      <c r="H46" s="222">
        <f>SUM(H41:H45)</f>
        <v>54250.57</v>
      </c>
      <c r="I46" s="222"/>
      <c r="J46" s="222">
        <f>SUM(J41:J45)</f>
        <v>0</v>
      </c>
      <c r="K46" s="222"/>
      <c r="L46" s="222">
        <f>SUM(L41:L45)</f>
        <v>40668.92</v>
      </c>
      <c r="M46" s="222"/>
      <c r="N46" s="222"/>
      <c r="O46" s="222"/>
      <c r="P46" s="222"/>
      <c r="Q46" s="222"/>
      <c r="R46" s="222"/>
      <c r="S46" s="222"/>
      <c r="T46" s="222">
        <f>SUM(T41:T45)</f>
        <v>-168748793.44000003</v>
      </c>
      <c r="U46" s="222"/>
      <c r="V46" s="224"/>
    </row>
    <row r="47" spans="1:22" s="220" customFormat="1" hidden="1" outlineLevel="3">
      <c r="A47" s="218"/>
      <c r="B47" s="219"/>
      <c r="D47" s="223"/>
      <c r="E47" s="223"/>
      <c r="F47" s="223"/>
      <c r="G47" s="223"/>
      <c r="H47" s="223"/>
      <c r="I47" s="223"/>
      <c r="J47" s="223"/>
      <c r="K47" s="223"/>
      <c r="L47" s="223"/>
      <c r="M47" s="223"/>
      <c r="N47" s="223"/>
      <c r="O47" s="223"/>
      <c r="P47" s="223"/>
      <c r="Q47" s="223"/>
      <c r="R47" s="223"/>
      <c r="S47" s="223"/>
      <c r="T47" s="223"/>
      <c r="U47" s="223"/>
      <c r="V47" s="224"/>
    </row>
    <row r="48" spans="1:22" s="220" customFormat="1" hidden="1" outlineLevel="3">
      <c r="A48" s="218"/>
      <c r="B48" s="219"/>
      <c r="C48" s="219" t="s">
        <v>126</v>
      </c>
      <c r="D48" s="228">
        <f>D28+D38+D46</f>
        <v>-1719420008.6900001</v>
      </c>
      <c r="E48" s="223"/>
      <c r="F48" s="228">
        <f>F28+F38+F46</f>
        <v>-39664.94</v>
      </c>
      <c r="G48" s="223"/>
      <c r="H48" s="228">
        <f>H28+H38+H46</f>
        <v>2947003.78</v>
      </c>
      <c r="I48" s="223"/>
      <c r="J48" s="228">
        <f>J28+J38+J46</f>
        <v>0</v>
      </c>
      <c r="K48" s="223"/>
      <c r="L48" s="228">
        <f>L28+L38+L46</f>
        <v>2907338.84</v>
      </c>
      <c r="M48" s="222"/>
      <c r="N48" s="222"/>
      <c r="O48" s="222"/>
      <c r="P48" s="222"/>
      <c r="Q48" s="222"/>
      <c r="R48" s="222"/>
      <c r="S48" s="223"/>
      <c r="T48" s="228">
        <f>T28+T38+T46</f>
        <v>-1716512669.8500001</v>
      </c>
      <c r="U48" s="222"/>
      <c r="V48" s="224"/>
    </row>
    <row r="49" spans="1:22" s="220" customFormat="1" hidden="1" outlineLevel="3">
      <c r="A49" s="218"/>
      <c r="B49" s="219"/>
      <c r="C49" s="219"/>
      <c r="D49" s="222"/>
      <c r="E49" s="223"/>
      <c r="F49" s="222"/>
      <c r="G49" s="223"/>
      <c r="H49" s="222"/>
      <c r="I49" s="223"/>
      <c r="J49" s="222"/>
      <c r="K49" s="223"/>
      <c r="L49" s="222"/>
      <c r="M49" s="222"/>
      <c r="N49" s="222"/>
      <c r="O49" s="222"/>
      <c r="P49" s="222"/>
      <c r="Q49" s="222"/>
      <c r="R49" s="222"/>
      <c r="S49" s="223"/>
      <c r="T49" s="222"/>
      <c r="U49" s="222"/>
      <c r="V49" s="224"/>
    </row>
    <row r="50" spans="1:22" s="220" customFormat="1" hidden="1" outlineLevel="3">
      <c r="A50" s="218"/>
      <c r="B50" s="219"/>
      <c r="D50" s="223"/>
      <c r="E50" s="223"/>
      <c r="F50" s="223"/>
      <c r="G50" s="223"/>
      <c r="H50" s="223"/>
      <c r="I50" s="223"/>
      <c r="J50" s="223"/>
      <c r="K50" s="223"/>
      <c r="L50" s="223"/>
      <c r="M50" s="223"/>
      <c r="N50" s="223"/>
      <c r="O50" s="223"/>
      <c r="P50" s="223"/>
      <c r="Q50" s="223"/>
      <c r="R50" s="223"/>
      <c r="S50" s="223"/>
      <c r="T50" s="223"/>
      <c r="U50" s="223"/>
      <c r="V50" s="224"/>
    </row>
    <row r="51" spans="1:22" s="220" customFormat="1" hidden="1" outlineLevel="3">
      <c r="A51" s="218">
        <v>101.1</v>
      </c>
      <c r="B51" s="219" t="s">
        <v>106</v>
      </c>
      <c r="D51" s="223"/>
      <c r="E51" s="223"/>
      <c r="F51" s="223"/>
      <c r="G51" s="223"/>
      <c r="H51" s="223"/>
      <c r="I51" s="223"/>
      <c r="J51" s="223"/>
      <c r="K51" s="223"/>
      <c r="L51" s="223"/>
      <c r="M51" s="223"/>
      <c r="N51" s="223"/>
      <c r="O51" s="223"/>
      <c r="P51" s="223"/>
      <c r="Q51" s="223"/>
      <c r="R51" s="223"/>
      <c r="S51" s="223"/>
      <c r="T51" s="223"/>
      <c r="U51" s="223"/>
      <c r="V51" s="224"/>
    </row>
    <row r="52" spans="1:22" s="220" customFormat="1" hidden="1" outlineLevel="3">
      <c r="A52" s="218"/>
      <c r="B52" s="219" t="s">
        <v>112</v>
      </c>
      <c r="C52" s="220" t="s">
        <v>135</v>
      </c>
      <c r="D52" s="223"/>
      <c r="E52" s="223"/>
      <c r="F52" s="223"/>
      <c r="G52" s="223"/>
      <c r="H52" s="223"/>
      <c r="I52" s="223"/>
      <c r="J52" s="223"/>
      <c r="K52" s="223"/>
      <c r="L52" s="223"/>
      <c r="M52" s="223"/>
      <c r="N52" s="223"/>
      <c r="O52" s="223"/>
      <c r="P52" s="223"/>
      <c r="Q52" s="223"/>
      <c r="R52" s="223"/>
      <c r="S52" s="223"/>
      <c r="T52" s="223"/>
      <c r="U52" s="223"/>
      <c r="V52" s="224"/>
    </row>
    <row r="53" spans="1:22" s="220" customFormat="1" hidden="1" outlineLevel="3">
      <c r="A53" s="218"/>
      <c r="B53" s="219"/>
      <c r="C53" s="220" t="s">
        <v>118</v>
      </c>
      <c r="D53" s="225">
        <f>+'Summary - Cost - PG 1 (PA)'!D37</f>
        <v>0</v>
      </c>
      <c r="E53" s="223"/>
      <c r="F53" s="225">
        <f>+'Summary - Cost - PG 1 (PA)'!F37</f>
        <v>0</v>
      </c>
      <c r="G53" s="223"/>
      <c r="H53" s="225">
        <f>+'Summary - Cost - PG 1 (PA)'!H37</f>
        <v>0</v>
      </c>
      <c r="I53" s="223"/>
      <c r="J53" s="225">
        <f>+'Summary - Cost - PG 1 (PA)'!J37</f>
        <v>0</v>
      </c>
      <c r="K53" s="223"/>
      <c r="L53" s="225">
        <f>F53+H53+J53</f>
        <v>0</v>
      </c>
      <c r="M53" s="222"/>
      <c r="N53" s="222"/>
      <c r="O53" s="222"/>
      <c r="P53" s="222"/>
      <c r="Q53" s="222"/>
      <c r="R53" s="222"/>
      <c r="S53" s="223"/>
      <c r="T53" s="225">
        <f>D53+L53</f>
        <v>0</v>
      </c>
      <c r="U53" s="222"/>
      <c r="V53" s="224"/>
    </row>
    <row r="54" spans="1:22" s="220" customFormat="1" hidden="1" outlineLevel="3">
      <c r="A54" s="218"/>
      <c r="B54" s="219"/>
      <c r="C54" s="227"/>
      <c r="D54" s="222">
        <f>SUM(D53)</f>
        <v>0</v>
      </c>
      <c r="E54" s="222"/>
      <c r="F54" s="222">
        <f>SUM(F53)</f>
        <v>0</v>
      </c>
      <c r="G54" s="222"/>
      <c r="H54" s="222">
        <f>SUM(H53)</f>
        <v>0</v>
      </c>
      <c r="I54" s="222"/>
      <c r="J54" s="222">
        <f>SUM(J53)</f>
        <v>0</v>
      </c>
      <c r="K54" s="222"/>
      <c r="L54" s="222">
        <f>SUM(L53)</f>
        <v>0</v>
      </c>
      <c r="M54" s="222"/>
      <c r="N54" s="222"/>
      <c r="O54" s="222"/>
      <c r="P54" s="222"/>
      <c r="Q54" s="222"/>
      <c r="R54" s="222"/>
      <c r="S54" s="222"/>
      <c r="T54" s="222">
        <f>SUM(T53)</f>
        <v>0</v>
      </c>
      <c r="U54" s="222"/>
      <c r="V54" s="224"/>
    </row>
    <row r="55" spans="1:22" s="220" customFormat="1" hidden="1" outlineLevel="3">
      <c r="A55" s="218"/>
      <c r="B55" s="219"/>
      <c r="D55" s="223"/>
      <c r="E55" s="223"/>
      <c r="F55" s="223"/>
      <c r="G55" s="223"/>
      <c r="H55" s="223"/>
      <c r="I55" s="223"/>
      <c r="J55" s="223"/>
      <c r="K55" s="223"/>
      <c r="L55" s="223"/>
      <c r="M55" s="223"/>
      <c r="N55" s="223"/>
      <c r="O55" s="223"/>
      <c r="P55" s="223"/>
      <c r="Q55" s="223"/>
      <c r="R55" s="223"/>
      <c r="S55" s="223"/>
      <c r="T55" s="223"/>
      <c r="U55" s="223"/>
      <c r="V55" s="224"/>
    </row>
    <row r="56" spans="1:22" s="220" customFormat="1" hidden="1" outlineLevel="3">
      <c r="A56" s="218"/>
      <c r="B56" s="219"/>
      <c r="C56" s="219" t="s">
        <v>127</v>
      </c>
      <c r="D56" s="228">
        <f>D54</f>
        <v>0</v>
      </c>
      <c r="E56" s="223"/>
      <c r="F56" s="228">
        <f>F54</f>
        <v>0</v>
      </c>
      <c r="G56" s="223"/>
      <c r="H56" s="228">
        <f>H54</f>
        <v>0</v>
      </c>
      <c r="I56" s="223"/>
      <c r="J56" s="228">
        <f>J54</f>
        <v>0</v>
      </c>
      <c r="K56" s="223"/>
      <c r="L56" s="228">
        <f>L54</f>
        <v>0</v>
      </c>
      <c r="M56" s="222"/>
      <c r="N56" s="222"/>
      <c r="O56" s="222"/>
      <c r="P56" s="222"/>
      <c r="Q56" s="222"/>
      <c r="R56" s="222"/>
      <c r="S56" s="223"/>
      <c r="T56" s="228">
        <f>T54</f>
        <v>0</v>
      </c>
      <c r="U56" s="222"/>
      <c r="V56" s="224"/>
    </row>
    <row r="57" spans="1:22" s="220" customFormat="1" hidden="1" outlineLevel="3">
      <c r="A57" s="218"/>
      <c r="B57" s="219"/>
      <c r="D57" s="223"/>
      <c r="E57" s="223"/>
      <c r="F57" s="223"/>
      <c r="G57" s="223"/>
      <c r="H57" s="223"/>
      <c r="I57" s="223"/>
      <c r="J57" s="223"/>
      <c r="K57" s="223"/>
      <c r="L57" s="223"/>
      <c r="M57" s="223"/>
      <c r="N57" s="223"/>
      <c r="O57" s="223"/>
      <c r="P57" s="223"/>
      <c r="Q57" s="223"/>
      <c r="R57" s="223"/>
      <c r="S57" s="223"/>
      <c r="T57" s="223"/>
      <c r="U57" s="223"/>
      <c r="V57" s="224"/>
    </row>
    <row r="58" spans="1:22" s="220" customFormat="1" hidden="1" outlineLevel="3">
      <c r="A58" s="218"/>
      <c r="B58" s="219"/>
      <c r="D58" s="223"/>
      <c r="E58" s="223"/>
      <c r="F58" s="223"/>
      <c r="G58" s="223"/>
      <c r="H58" s="223"/>
      <c r="I58" s="223"/>
      <c r="J58" s="223"/>
      <c r="K58" s="223"/>
      <c r="L58" s="223"/>
      <c r="M58" s="223"/>
      <c r="N58" s="223"/>
      <c r="O58" s="223"/>
      <c r="P58" s="223"/>
      <c r="Q58" s="223"/>
      <c r="R58" s="223"/>
      <c r="S58" s="223"/>
      <c r="T58" s="223"/>
      <c r="U58" s="223"/>
      <c r="V58" s="224"/>
    </row>
    <row r="59" spans="1:22" s="220" customFormat="1" hidden="1" outlineLevel="3">
      <c r="A59" s="218">
        <v>102</v>
      </c>
      <c r="B59" s="219" t="s">
        <v>501</v>
      </c>
      <c r="D59" s="223"/>
      <c r="E59" s="223"/>
      <c r="F59" s="223"/>
      <c r="G59" s="223"/>
      <c r="H59" s="223"/>
      <c r="I59" s="223"/>
      <c r="J59" s="223"/>
      <c r="K59" s="223"/>
      <c r="L59" s="223"/>
      <c r="M59" s="223"/>
      <c r="N59" s="223"/>
      <c r="O59" s="223"/>
      <c r="P59" s="223"/>
      <c r="Q59" s="223"/>
      <c r="R59" s="223"/>
      <c r="S59" s="223"/>
      <c r="T59" s="223"/>
      <c r="U59" s="223"/>
      <c r="V59" s="224"/>
    </row>
    <row r="60" spans="1:22" s="220" customFormat="1" hidden="1" outlineLevel="3">
      <c r="A60" s="218"/>
      <c r="B60" s="219" t="s">
        <v>112</v>
      </c>
      <c r="D60" s="223"/>
      <c r="E60" s="223"/>
      <c r="F60" s="223"/>
      <c r="G60" s="223"/>
      <c r="H60" s="223"/>
      <c r="I60" s="223"/>
      <c r="J60" s="223"/>
      <c r="K60" s="223"/>
      <c r="L60" s="223"/>
      <c r="M60" s="223"/>
      <c r="N60" s="223"/>
      <c r="O60" s="223"/>
      <c r="P60" s="223"/>
      <c r="Q60" s="223"/>
      <c r="R60" s="223"/>
      <c r="S60" s="223"/>
      <c r="T60" s="223"/>
      <c r="U60" s="223"/>
      <c r="V60" s="224"/>
    </row>
    <row r="61" spans="1:22" s="220" customFormat="1" hidden="1" outlineLevel="3">
      <c r="A61" s="218"/>
      <c r="B61" s="219"/>
      <c r="C61" s="220" t="s">
        <v>118</v>
      </c>
      <c r="D61" s="225">
        <f>+'Summary - Cost - PG 1 (PA)'!D45</f>
        <v>0</v>
      </c>
      <c r="E61" s="223"/>
      <c r="F61" s="225">
        <f>+'Summary - Cost - PG 1 (PA)'!F45</f>
        <v>0</v>
      </c>
      <c r="G61" s="223"/>
      <c r="H61" s="225">
        <f>+'Summary - Cost - PG 1 (PA)'!H45</f>
        <v>0</v>
      </c>
      <c r="I61" s="223"/>
      <c r="J61" s="225">
        <f>+'Summary - Cost - PG 1 (PA)'!J45</f>
        <v>0</v>
      </c>
      <c r="K61" s="222"/>
      <c r="L61" s="225">
        <f>F61+H61+J61</f>
        <v>0</v>
      </c>
      <c r="M61" s="222"/>
      <c r="N61" s="222"/>
      <c r="O61" s="222"/>
      <c r="P61" s="222"/>
      <c r="Q61" s="222"/>
      <c r="R61" s="222"/>
      <c r="S61" s="222"/>
      <c r="T61" s="225">
        <f>D61+L61</f>
        <v>0</v>
      </c>
      <c r="U61" s="222"/>
      <c r="V61" s="224"/>
    </row>
    <row r="62" spans="1:22" s="220" customFormat="1" hidden="1" outlineLevel="3">
      <c r="A62" s="218"/>
      <c r="B62" s="219"/>
      <c r="C62" s="227"/>
      <c r="D62" s="222">
        <f>SUM(D61:D61)</f>
        <v>0</v>
      </c>
      <c r="E62" s="222"/>
      <c r="F62" s="222">
        <f>SUM(F61)</f>
        <v>0</v>
      </c>
      <c r="G62" s="222"/>
      <c r="H62" s="222">
        <f>SUM(H61)</f>
        <v>0</v>
      </c>
      <c r="I62" s="222"/>
      <c r="J62" s="222">
        <f>SUM(J61)</f>
        <v>0</v>
      </c>
      <c r="K62" s="222"/>
      <c r="L62" s="222">
        <f>SUM(L61)</f>
        <v>0</v>
      </c>
      <c r="M62" s="222"/>
      <c r="N62" s="222"/>
      <c r="O62" s="222"/>
      <c r="P62" s="222"/>
      <c r="Q62" s="222"/>
      <c r="R62" s="222"/>
      <c r="S62" s="222"/>
      <c r="T62" s="222">
        <f>SUM(T61:T61)</f>
        <v>0</v>
      </c>
      <c r="U62" s="222"/>
      <c r="V62" s="224"/>
    </row>
    <row r="63" spans="1:22" s="220" customFormat="1" hidden="1" outlineLevel="3">
      <c r="A63" s="218"/>
      <c r="B63" s="219"/>
      <c r="D63" s="223"/>
      <c r="E63" s="223"/>
      <c r="F63" s="223"/>
      <c r="G63" s="223"/>
      <c r="H63" s="223"/>
      <c r="I63" s="223"/>
      <c r="J63" s="223"/>
      <c r="K63" s="223"/>
      <c r="L63" s="223"/>
      <c r="M63" s="223"/>
      <c r="N63" s="223"/>
      <c r="O63" s="223"/>
      <c r="P63" s="223"/>
      <c r="Q63" s="223"/>
      <c r="R63" s="223"/>
      <c r="S63" s="223"/>
      <c r="T63" s="223"/>
      <c r="U63" s="223"/>
      <c r="V63" s="224"/>
    </row>
    <row r="64" spans="1:22" s="220" customFormat="1" hidden="1" outlineLevel="3">
      <c r="A64" s="218"/>
      <c r="B64" s="219"/>
      <c r="C64" s="219" t="s">
        <v>128</v>
      </c>
      <c r="D64" s="228">
        <f>D62</f>
        <v>0</v>
      </c>
      <c r="E64" s="223"/>
      <c r="F64" s="228">
        <f>F62</f>
        <v>0</v>
      </c>
      <c r="G64" s="223"/>
      <c r="H64" s="228">
        <f>H62</f>
        <v>0</v>
      </c>
      <c r="I64" s="223"/>
      <c r="J64" s="228">
        <f>J62</f>
        <v>0</v>
      </c>
      <c r="K64" s="223"/>
      <c r="L64" s="228">
        <f>L62</f>
        <v>0</v>
      </c>
      <c r="M64" s="222"/>
      <c r="N64" s="222"/>
      <c r="O64" s="222"/>
      <c r="P64" s="222"/>
      <c r="Q64" s="222"/>
      <c r="R64" s="222"/>
      <c r="S64" s="223"/>
      <c r="T64" s="228">
        <f>T62</f>
        <v>0</v>
      </c>
      <c r="U64" s="222"/>
      <c r="V64" s="224"/>
    </row>
    <row r="65" spans="1:22" s="220" customFormat="1" hidden="1" outlineLevel="3">
      <c r="A65" s="218"/>
      <c r="B65" s="219"/>
      <c r="C65" s="219"/>
      <c r="D65" s="222"/>
      <c r="E65" s="223"/>
      <c r="F65" s="222"/>
      <c r="G65" s="223"/>
      <c r="H65" s="222"/>
      <c r="I65" s="223"/>
      <c r="J65" s="222"/>
      <c r="K65" s="223"/>
      <c r="L65" s="222"/>
      <c r="M65" s="222"/>
      <c r="N65" s="222"/>
      <c r="O65" s="222"/>
      <c r="P65" s="222"/>
      <c r="Q65" s="222"/>
      <c r="R65" s="222"/>
      <c r="S65" s="223"/>
      <c r="T65" s="222"/>
      <c r="U65" s="222"/>
      <c r="V65" s="224"/>
    </row>
    <row r="66" spans="1:22" s="220" customFormat="1" hidden="1" outlineLevel="3">
      <c r="A66" s="218"/>
      <c r="B66" s="219"/>
      <c r="C66" s="219"/>
      <c r="D66" s="222"/>
      <c r="E66" s="223"/>
      <c r="F66" s="222"/>
      <c r="G66" s="223"/>
      <c r="H66" s="222"/>
      <c r="I66" s="223"/>
      <c r="J66" s="222"/>
      <c r="K66" s="223"/>
      <c r="L66" s="222"/>
      <c r="M66" s="222"/>
      <c r="N66" s="222"/>
      <c r="O66" s="222"/>
      <c r="P66" s="222"/>
      <c r="Q66" s="222"/>
      <c r="R66" s="222"/>
      <c r="S66" s="223"/>
      <c r="T66" s="222">
        <f>+T48+T61</f>
        <v>-1716512669.8500001</v>
      </c>
      <c r="U66" s="222"/>
      <c r="V66" s="224"/>
    </row>
    <row r="67" spans="1:22" s="220" customFormat="1" hidden="1" outlineLevel="3">
      <c r="A67" s="218">
        <v>105</v>
      </c>
      <c r="B67" s="219" t="s">
        <v>611</v>
      </c>
      <c r="D67" s="223"/>
      <c r="E67" s="223"/>
      <c r="F67" s="223"/>
      <c r="G67" s="223"/>
      <c r="H67" s="223"/>
      <c r="I67" s="223"/>
      <c r="J67" s="223"/>
      <c r="K67" s="223"/>
      <c r="L67" s="223"/>
      <c r="M67" s="223"/>
      <c r="N67" s="223"/>
      <c r="O67" s="223"/>
      <c r="P67" s="223"/>
      <c r="Q67" s="223"/>
      <c r="R67" s="223"/>
      <c r="S67" s="223"/>
      <c r="T67" s="223"/>
      <c r="U67" s="223"/>
      <c r="V67" s="224"/>
    </row>
    <row r="68" spans="1:22" s="220" customFormat="1" hidden="1" outlineLevel="3">
      <c r="A68" s="218"/>
      <c r="B68" s="219" t="s">
        <v>112</v>
      </c>
      <c r="D68" s="223"/>
      <c r="E68" s="223"/>
      <c r="F68" s="223"/>
      <c r="G68" s="223"/>
      <c r="H68" s="223"/>
      <c r="I68" s="223"/>
      <c r="J68" s="223"/>
      <c r="K68" s="223"/>
      <c r="L68" s="223"/>
      <c r="M68" s="223"/>
      <c r="N68" s="223"/>
      <c r="O68" s="223"/>
      <c r="P68" s="223"/>
      <c r="Q68" s="223"/>
      <c r="R68" s="223"/>
      <c r="S68" s="223"/>
      <c r="T68" s="223"/>
      <c r="U68" s="223"/>
      <c r="V68" s="224"/>
    </row>
    <row r="69" spans="1:22" s="220" customFormat="1" hidden="1" outlineLevel="3">
      <c r="A69" s="218"/>
      <c r="B69" s="219"/>
      <c r="C69" s="220" t="s">
        <v>113</v>
      </c>
      <c r="D69" s="222">
        <f>+'Summary - Cost - PG 1 (PA)'!D53</f>
        <v>0</v>
      </c>
      <c r="E69" s="223"/>
      <c r="F69" s="222">
        <f>+'Summary - Cost - PG 1 (PA)'!F53</f>
        <v>0</v>
      </c>
      <c r="G69" s="223"/>
      <c r="H69" s="222">
        <f>+'Summary - Cost - PG 1 (PA)'!H53</f>
        <v>0</v>
      </c>
      <c r="I69" s="223"/>
      <c r="J69" s="222">
        <f>+'Summary - Cost - PG 1 (PA)'!J53</f>
        <v>0</v>
      </c>
      <c r="K69" s="223"/>
      <c r="L69" s="222">
        <f>F69+H69+J69</f>
        <v>0</v>
      </c>
      <c r="M69" s="222"/>
      <c r="N69" s="222"/>
      <c r="O69" s="222"/>
      <c r="P69" s="222"/>
      <c r="Q69" s="222"/>
      <c r="R69" s="222"/>
      <c r="S69" s="223"/>
      <c r="T69" s="222">
        <f>D69+L69</f>
        <v>0</v>
      </c>
      <c r="U69" s="222"/>
      <c r="V69" s="224"/>
    </row>
    <row r="70" spans="1:22" s="220" customFormat="1" hidden="1" outlineLevel="3">
      <c r="A70" s="218"/>
      <c r="B70" s="219"/>
      <c r="C70" s="220" t="s">
        <v>118</v>
      </c>
      <c r="D70" s="225">
        <f>+'Summary - Cost - PG 1 (PA)'!D54</f>
        <v>0</v>
      </c>
      <c r="E70" s="223"/>
      <c r="F70" s="225">
        <f>+'Summary - Cost - PG 1 (PA)'!F54</f>
        <v>0</v>
      </c>
      <c r="G70" s="223"/>
      <c r="H70" s="225">
        <f>+'Summary - Cost - PG 1 (PA)'!H54</f>
        <v>0</v>
      </c>
      <c r="I70" s="223"/>
      <c r="J70" s="225">
        <f>+'Summary - Cost - PG 1 (PA)'!J54</f>
        <v>0</v>
      </c>
      <c r="K70" s="222"/>
      <c r="L70" s="225">
        <f>F70+H70+J70</f>
        <v>0</v>
      </c>
      <c r="M70" s="222"/>
      <c r="N70" s="222"/>
      <c r="O70" s="222"/>
      <c r="P70" s="222"/>
      <c r="Q70" s="222"/>
      <c r="R70" s="222"/>
      <c r="S70" s="222"/>
      <c r="T70" s="225">
        <f>D70+L70</f>
        <v>0</v>
      </c>
      <c r="U70" s="222"/>
      <c r="V70" s="224"/>
    </row>
    <row r="71" spans="1:22" s="220" customFormat="1" hidden="1" outlineLevel="3">
      <c r="A71" s="218"/>
      <c r="B71" s="219"/>
      <c r="C71" s="227"/>
      <c r="D71" s="222">
        <f>SUM(D69:D70)</f>
        <v>0</v>
      </c>
      <c r="E71" s="222"/>
      <c r="F71" s="222">
        <f>SUM(F70)</f>
        <v>0</v>
      </c>
      <c r="G71" s="222"/>
      <c r="H71" s="222">
        <f>SUM(H70)</f>
        <v>0</v>
      </c>
      <c r="I71" s="222"/>
      <c r="J71" s="222">
        <f>SUM(J70)</f>
        <v>0</v>
      </c>
      <c r="K71" s="222"/>
      <c r="L71" s="222">
        <f>SUM(L70)</f>
        <v>0</v>
      </c>
      <c r="M71" s="222"/>
      <c r="N71" s="222"/>
      <c r="O71" s="222"/>
      <c r="P71" s="222"/>
      <c r="Q71" s="222"/>
      <c r="R71" s="222"/>
      <c r="S71" s="222"/>
      <c r="T71" s="222">
        <f>SUM(T69:T70)</f>
        <v>0</v>
      </c>
      <c r="U71" s="222"/>
      <c r="V71" s="224"/>
    </row>
    <row r="72" spans="1:22" s="220" customFormat="1" hidden="1" outlineLevel="3">
      <c r="A72" s="218"/>
      <c r="B72" s="219"/>
      <c r="D72" s="223"/>
      <c r="E72" s="223"/>
      <c r="F72" s="223"/>
      <c r="G72" s="223"/>
      <c r="H72" s="223"/>
      <c r="I72" s="223"/>
      <c r="J72" s="223"/>
      <c r="K72" s="223"/>
      <c r="L72" s="223"/>
      <c r="M72" s="223"/>
      <c r="N72" s="223"/>
      <c r="O72" s="223"/>
      <c r="P72" s="223"/>
      <c r="Q72" s="223"/>
      <c r="R72" s="223"/>
      <c r="S72" s="223"/>
      <c r="T72" s="223"/>
      <c r="U72" s="223"/>
      <c r="V72" s="224"/>
    </row>
    <row r="73" spans="1:22" s="220" customFormat="1" hidden="1" outlineLevel="3">
      <c r="A73" s="218"/>
      <c r="B73" s="219"/>
      <c r="C73" s="219" t="s">
        <v>128</v>
      </c>
      <c r="D73" s="228">
        <f>D71</f>
        <v>0</v>
      </c>
      <c r="E73" s="223"/>
      <c r="F73" s="228">
        <f>F71</f>
        <v>0</v>
      </c>
      <c r="G73" s="223"/>
      <c r="H73" s="228">
        <f>H71</f>
        <v>0</v>
      </c>
      <c r="I73" s="223"/>
      <c r="J73" s="228">
        <f>J71</f>
        <v>0</v>
      </c>
      <c r="K73" s="223"/>
      <c r="L73" s="228">
        <f>L71</f>
        <v>0</v>
      </c>
      <c r="M73" s="222"/>
      <c r="N73" s="222"/>
      <c r="O73" s="222"/>
      <c r="P73" s="222"/>
      <c r="Q73" s="222"/>
      <c r="R73" s="222"/>
      <c r="S73" s="223"/>
      <c r="T73" s="228">
        <f>T71</f>
        <v>0</v>
      </c>
      <c r="U73" s="222"/>
      <c r="V73" s="224"/>
    </row>
    <row r="74" spans="1:22" s="220" customFormat="1" hidden="1" outlineLevel="3">
      <c r="A74" s="218"/>
      <c r="B74" s="219"/>
      <c r="D74" s="223"/>
      <c r="E74" s="223"/>
      <c r="F74" s="223"/>
      <c r="G74" s="223"/>
      <c r="H74" s="223"/>
      <c r="I74" s="223"/>
      <c r="J74" s="223"/>
      <c r="K74" s="223"/>
      <c r="L74" s="223"/>
      <c r="M74" s="223"/>
      <c r="N74" s="223"/>
      <c r="O74" s="223"/>
      <c r="P74" s="223"/>
      <c r="Q74" s="223"/>
      <c r="R74" s="223"/>
      <c r="S74" s="223"/>
      <c r="T74" s="223"/>
      <c r="U74" s="223"/>
      <c r="V74" s="224"/>
    </row>
    <row r="75" spans="1:22" s="220" customFormat="1" hidden="1" outlineLevel="3">
      <c r="A75" s="218"/>
      <c r="B75" s="219"/>
      <c r="D75" s="223"/>
      <c r="E75" s="223"/>
      <c r="F75" s="223"/>
      <c r="G75" s="223"/>
      <c r="H75" s="223"/>
      <c r="I75" s="223"/>
      <c r="J75" s="223"/>
      <c r="K75" s="223"/>
      <c r="L75" s="223"/>
      <c r="M75" s="223"/>
      <c r="N75" s="223"/>
      <c r="O75" s="223"/>
      <c r="P75" s="223"/>
      <c r="Q75" s="223"/>
      <c r="R75" s="223"/>
      <c r="S75" s="223"/>
      <c r="T75" s="223"/>
      <c r="U75" s="223"/>
      <c r="V75" s="224"/>
    </row>
    <row r="76" spans="1:22" s="220" customFormat="1" hidden="1" outlineLevel="3">
      <c r="A76" s="218">
        <v>106</v>
      </c>
      <c r="B76" s="219" t="s">
        <v>450</v>
      </c>
      <c r="D76" s="223"/>
      <c r="E76" s="223"/>
      <c r="F76" s="223"/>
      <c r="G76" s="223"/>
      <c r="H76" s="223"/>
      <c r="I76" s="223"/>
      <c r="J76" s="223"/>
      <c r="K76" s="223"/>
      <c r="L76" s="223"/>
      <c r="M76" s="223"/>
      <c r="N76" s="223"/>
      <c r="O76" s="223"/>
      <c r="P76" s="223"/>
      <c r="Q76" s="223"/>
      <c r="R76" s="223"/>
      <c r="S76" s="223"/>
      <c r="T76" s="223"/>
      <c r="U76" s="223"/>
      <c r="V76" s="224"/>
    </row>
    <row r="77" spans="1:22" s="220" customFormat="1" hidden="1" outlineLevel="3">
      <c r="A77" s="218"/>
      <c r="B77" s="219" t="s">
        <v>652</v>
      </c>
      <c r="D77" s="223"/>
      <c r="E77" s="223"/>
      <c r="F77" s="223"/>
      <c r="G77" s="223"/>
      <c r="H77" s="223"/>
      <c r="I77" s="223"/>
      <c r="J77" s="223"/>
      <c r="K77" s="223"/>
      <c r="L77" s="223"/>
      <c r="M77" s="223"/>
      <c r="N77" s="223"/>
      <c r="O77" s="223"/>
      <c r="P77" s="223"/>
      <c r="Q77" s="223"/>
      <c r="R77" s="223"/>
      <c r="S77" s="223"/>
      <c r="T77" s="223"/>
      <c r="U77" s="223"/>
      <c r="V77" s="224"/>
    </row>
    <row r="78" spans="1:22" s="220" customFormat="1" hidden="1" outlineLevel="3">
      <c r="A78" s="218"/>
      <c r="B78" s="219"/>
      <c r="C78" s="220" t="s">
        <v>455</v>
      </c>
      <c r="D78" s="222">
        <f>+'Summary - Cost - PG 1 (PA)'!D62</f>
        <v>0</v>
      </c>
      <c r="E78" s="223"/>
      <c r="F78" s="222">
        <f>+'Summary - Cost - PG 1 (PA)'!F62</f>
        <v>0</v>
      </c>
      <c r="G78" s="223"/>
      <c r="H78" s="222">
        <f>+'Summary - Cost - PG 1 (PA)'!H62</f>
        <v>0</v>
      </c>
      <c r="I78" s="223"/>
      <c r="J78" s="222">
        <f>+'Summary - Cost - PG 1 (PA)'!J62</f>
        <v>0</v>
      </c>
      <c r="K78" s="223"/>
      <c r="L78" s="223">
        <f>F78+H78+J78</f>
        <v>0</v>
      </c>
      <c r="M78" s="223"/>
      <c r="N78" s="223"/>
      <c r="O78" s="223"/>
      <c r="P78" s="223"/>
      <c r="Q78" s="223"/>
      <c r="R78" s="223"/>
      <c r="S78" s="223"/>
      <c r="T78" s="223">
        <f>D78+L78</f>
        <v>0</v>
      </c>
      <c r="U78" s="223"/>
      <c r="V78" s="224"/>
    </row>
    <row r="79" spans="1:22" s="220" customFormat="1" hidden="1" outlineLevel="3">
      <c r="A79" s="218"/>
      <c r="B79" s="219"/>
      <c r="C79" s="220" t="s">
        <v>111</v>
      </c>
      <c r="D79" s="225">
        <f>+'Summary - Cost - PG 1 (PA)'!D63</f>
        <v>0</v>
      </c>
      <c r="E79" s="223"/>
      <c r="F79" s="225">
        <f>+'Summary - Cost - PG 1 (PA)'!F63</f>
        <v>0</v>
      </c>
      <c r="G79" s="223"/>
      <c r="H79" s="225">
        <f>+'Summary - Cost - PG 1 (PA)'!H63</f>
        <v>0</v>
      </c>
      <c r="I79" s="223"/>
      <c r="J79" s="225">
        <f>+'Summary - Cost - PG 1 (PA)'!J63</f>
        <v>0</v>
      </c>
      <c r="K79" s="222"/>
      <c r="L79" s="225">
        <f>F79+H79+J79</f>
        <v>0</v>
      </c>
      <c r="M79" s="222"/>
      <c r="N79" s="222"/>
      <c r="O79" s="222"/>
      <c r="P79" s="222"/>
      <c r="Q79" s="222"/>
      <c r="R79" s="222"/>
      <c r="S79" s="222"/>
      <c r="T79" s="225">
        <f>D79+L79</f>
        <v>0</v>
      </c>
      <c r="U79" s="222"/>
      <c r="V79" s="226"/>
    </row>
    <row r="80" spans="1:22" s="220" customFormat="1" hidden="1" outlineLevel="3">
      <c r="A80" s="218"/>
      <c r="B80" s="219"/>
      <c r="C80" s="227"/>
      <c r="D80" s="222">
        <f>D78+D79</f>
        <v>0</v>
      </c>
      <c r="E80" s="222"/>
      <c r="F80" s="222">
        <f>F78+F79</f>
        <v>0</v>
      </c>
      <c r="G80" s="222"/>
      <c r="H80" s="222">
        <f>H78+H79</f>
        <v>0</v>
      </c>
      <c r="I80" s="222"/>
      <c r="J80" s="222">
        <f>J78+J79</f>
        <v>0</v>
      </c>
      <c r="K80" s="222"/>
      <c r="L80" s="222">
        <f>L78+L79</f>
        <v>0</v>
      </c>
      <c r="M80" s="222"/>
      <c r="N80" s="222"/>
      <c r="O80" s="222"/>
      <c r="P80" s="222"/>
      <c r="Q80" s="222"/>
      <c r="R80" s="222"/>
      <c r="S80" s="222"/>
      <c r="T80" s="222">
        <f>T78+T79</f>
        <v>0</v>
      </c>
      <c r="U80" s="222"/>
      <c r="V80" s="226"/>
    </row>
    <row r="81" spans="1:22" s="220" customFormat="1" hidden="1" outlineLevel="3">
      <c r="A81" s="218"/>
      <c r="B81" s="219"/>
      <c r="D81" s="222"/>
      <c r="E81" s="222"/>
      <c r="F81" s="222"/>
      <c r="G81" s="222"/>
      <c r="H81" s="222"/>
      <c r="I81" s="222"/>
      <c r="J81" s="222"/>
      <c r="K81" s="222"/>
      <c r="L81" s="222"/>
      <c r="M81" s="222"/>
      <c r="N81" s="222"/>
      <c r="O81" s="222"/>
      <c r="P81" s="222"/>
      <c r="Q81" s="222"/>
      <c r="R81" s="222"/>
      <c r="S81" s="222"/>
      <c r="T81" s="222"/>
      <c r="U81" s="222"/>
      <c r="V81" s="226"/>
    </row>
    <row r="82" spans="1:22" s="220" customFormat="1" hidden="1" outlineLevel="3">
      <c r="A82" s="218"/>
      <c r="B82" s="219" t="s">
        <v>112</v>
      </c>
      <c r="D82" s="222"/>
      <c r="E82" s="222"/>
      <c r="F82" s="222"/>
      <c r="G82" s="222"/>
      <c r="H82" s="222"/>
      <c r="I82" s="222"/>
      <c r="J82" s="222"/>
      <c r="K82" s="222"/>
      <c r="L82" s="222"/>
      <c r="M82" s="222"/>
      <c r="N82" s="222"/>
      <c r="O82" s="222"/>
      <c r="P82" s="222"/>
      <c r="Q82" s="222"/>
      <c r="R82" s="222"/>
      <c r="S82" s="222"/>
      <c r="T82" s="222"/>
      <c r="U82" s="222"/>
      <c r="V82" s="226"/>
    </row>
    <row r="83" spans="1:22" s="220" customFormat="1" hidden="1" outlineLevel="3">
      <c r="A83" s="218"/>
      <c r="B83" s="219"/>
      <c r="C83" s="220" t="s">
        <v>113</v>
      </c>
      <c r="D83" s="222">
        <f>+'Summary - Cost - PG 1 (PA)'!D67</f>
        <v>-18137.169999999998</v>
      </c>
      <c r="E83" s="223"/>
      <c r="F83" s="222">
        <f>+'Summary - Cost - PG 1 (PA)'!F67</f>
        <v>9704.86</v>
      </c>
      <c r="G83" s="223"/>
      <c r="H83" s="222">
        <f>+'Summary - Cost - PG 1 (PA)'!H67</f>
        <v>0</v>
      </c>
      <c r="I83" s="223"/>
      <c r="J83" s="222">
        <f>+'Summary - Cost - PG 1 (PA)'!J67</f>
        <v>0</v>
      </c>
      <c r="K83" s="222"/>
      <c r="L83" s="222">
        <f t="shared" ref="L83:L89" si="11">F83+H83+J83</f>
        <v>9704.86</v>
      </c>
      <c r="M83" s="222"/>
      <c r="N83" s="222"/>
      <c r="O83" s="222"/>
      <c r="P83" s="222"/>
      <c r="Q83" s="222"/>
      <c r="R83" s="222"/>
      <c r="S83" s="222"/>
      <c r="T83" s="222">
        <f t="shared" ref="T83:T89" si="12">D83+L83</f>
        <v>-8432.3099999999977</v>
      </c>
      <c r="U83" s="222"/>
      <c r="V83" s="226"/>
    </row>
    <row r="84" spans="1:22" s="220" customFormat="1" hidden="1" outlineLevel="3">
      <c r="A84" s="218"/>
      <c r="B84" s="219"/>
      <c r="C84" s="220" t="s">
        <v>114</v>
      </c>
      <c r="D84" s="222">
        <f>+'Summary - Cost - PG 1 (PA)'!D68</f>
        <v>0</v>
      </c>
      <c r="E84" s="223"/>
      <c r="F84" s="222">
        <f>+'Summary - Cost - PG 1 (PA)'!F68</f>
        <v>0</v>
      </c>
      <c r="G84" s="223"/>
      <c r="H84" s="222">
        <f>+'Summary - Cost - PG 1 (PA)'!H68</f>
        <v>0</v>
      </c>
      <c r="I84" s="223"/>
      <c r="J84" s="222">
        <f>+'Summary - Cost - PG 1 (PA)'!J68</f>
        <v>0</v>
      </c>
      <c r="K84" s="222"/>
      <c r="L84" s="222">
        <f t="shared" si="11"/>
        <v>0</v>
      </c>
      <c r="M84" s="222"/>
      <c r="N84" s="222"/>
      <c r="O84" s="222"/>
      <c r="P84" s="222"/>
      <c r="Q84" s="222"/>
      <c r="R84" s="222"/>
      <c r="S84" s="222"/>
      <c r="T84" s="222">
        <f t="shared" si="12"/>
        <v>0</v>
      </c>
      <c r="U84" s="222"/>
      <c r="V84" s="226"/>
    </row>
    <row r="85" spans="1:22" s="220" customFormat="1" hidden="1" outlineLevel="3">
      <c r="A85" s="218"/>
      <c r="B85" s="219"/>
      <c r="C85" s="220" t="s">
        <v>115</v>
      </c>
      <c r="D85" s="222">
        <f>+'Summary - Cost - PG 1 (PA)'!D69</f>
        <v>0</v>
      </c>
      <c r="E85" s="223"/>
      <c r="F85" s="222">
        <f>+'Summary - Cost - PG 1 (PA)'!F69</f>
        <v>0</v>
      </c>
      <c r="G85" s="223"/>
      <c r="H85" s="222">
        <f>+'Summary - Cost - PG 1 (PA)'!H69</f>
        <v>0</v>
      </c>
      <c r="I85" s="223"/>
      <c r="J85" s="222">
        <f>+'Summary - Cost - PG 1 (PA)'!J69</f>
        <v>0</v>
      </c>
      <c r="K85" s="222"/>
      <c r="L85" s="222">
        <f t="shared" si="11"/>
        <v>0</v>
      </c>
      <c r="M85" s="222"/>
      <c r="N85" s="222"/>
      <c r="O85" s="222"/>
      <c r="P85" s="222"/>
      <c r="Q85" s="222"/>
      <c r="R85" s="222"/>
      <c r="S85" s="222"/>
      <c r="T85" s="222">
        <f t="shared" si="12"/>
        <v>0</v>
      </c>
      <c r="U85" s="222"/>
      <c r="V85" s="226"/>
    </row>
    <row r="86" spans="1:22" s="220" customFormat="1" hidden="1" outlineLevel="3">
      <c r="A86" s="218"/>
      <c r="B86" s="219"/>
      <c r="C86" s="220" t="s">
        <v>116</v>
      </c>
      <c r="D86" s="222">
        <f>+'Summary - Cost - PG 1 (PA)'!D70</f>
        <v>0</v>
      </c>
      <c r="E86" s="223"/>
      <c r="F86" s="222">
        <f>+'Summary - Cost - PG 1 (PA)'!F70</f>
        <v>0</v>
      </c>
      <c r="G86" s="223"/>
      <c r="H86" s="222">
        <f>+'Summary - Cost - PG 1 (PA)'!H70</f>
        <v>0</v>
      </c>
      <c r="I86" s="223"/>
      <c r="J86" s="222">
        <f>+'Summary - Cost - PG 1 (PA)'!J70</f>
        <v>0</v>
      </c>
      <c r="K86" s="222"/>
      <c r="L86" s="222">
        <f t="shared" si="11"/>
        <v>0</v>
      </c>
      <c r="M86" s="222"/>
      <c r="N86" s="222"/>
      <c r="O86" s="222"/>
      <c r="P86" s="222"/>
      <c r="Q86" s="222"/>
      <c r="R86" s="222"/>
      <c r="S86" s="222"/>
      <c r="T86" s="222">
        <f t="shared" si="12"/>
        <v>0</v>
      </c>
      <c r="U86" s="222"/>
      <c r="V86" s="226"/>
    </row>
    <row r="87" spans="1:22" s="220" customFormat="1" hidden="1" outlineLevel="3">
      <c r="A87" s="218"/>
      <c r="B87" s="219"/>
      <c r="C87" s="220" t="s">
        <v>117</v>
      </c>
      <c r="D87" s="222">
        <f>+'Summary - Cost - PG 1 (PA)'!D71</f>
        <v>0</v>
      </c>
      <c r="E87" s="223"/>
      <c r="F87" s="222">
        <f>+'Summary - Cost - PG 1 (PA)'!F71</f>
        <v>0</v>
      </c>
      <c r="G87" s="223"/>
      <c r="H87" s="222">
        <f>+'Summary - Cost - PG 1 (PA)'!H71</f>
        <v>0</v>
      </c>
      <c r="I87" s="223"/>
      <c r="J87" s="222">
        <f>+'Summary - Cost - PG 1 (PA)'!J71</f>
        <v>0</v>
      </c>
      <c r="K87" s="222"/>
      <c r="L87" s="222">
        <f t="shared" si="11"/>
        <v>0</v>
      </c>
      <c r="M87" s="222"/>
      <c r="N87" s="222"/>
      <c r="O87" s="222"/>
      <c r="P87" s="222"/>
      <c r="Q87" s="222"/>
      <c r="R87" s="222"/>
      <c r="S87" s="222"/>
      <c r="T87" s="222">
        <f t="shared" si="12"/>
        <v>0</v>
      </c>
      <c r="U87" s="222"/>
      <c r="V87" s="226"/>
    </row>
    <row r="88" spans="1:22" s="220" customFormat="1" hidden="1" outlineLevel="3">
      <c r="A88" s="218"/>
      <c r="B88" s="219"/>
      <c r="C88" s="220" t="s">
        <v>118</v>
      </c>
      <c r="D88" s="222">
        <f>+'Summary - Cost - PG 1 (PA)'!D72</f>
        <v>-34851.389999999985</v>
      </c>
      <c r="E88" s="223"/>
      <c r="F88" s="222">
        <f>+'Summary - Cost - PG 1 (PA)'!F72</f>
        <v>16378.43</v>
      </c>
      <c r="G88" s="223"/>
      <c r="H88" s="222">
        <f>+'Summary - Cost - PG 1 (PA)'!H72</f>
        <v>0</v>
      </c>
      <c r="I88" s="223"/>
      <c r="J88" s="222">
        <f>+'Summary - Cost - PG 1 (PA)'!J72</f>
        <v>0</v>
      </c>
      <c r="K88" s="222"/>
      <c r="L88" s="222">
        <f t="shared" si="11"/>
        <v>16378.43</v>
      </c>
      <c r="M88" s="222"/>
      <c r="N88" s="222"/>
      <c r="O88" s="222"/>
      <c r="P88" s="222"/>
      <c r="Q88" s="222"/>
      <c r="R88" s="222"/>
      <c r="S88" s="222"/>
      <c r="T88" s="222">
        <f t="shared" si="12"/>
        <v>-18472.959999999985</v>
      </c>
      <c r="U88" s="222"/>
      <c r="V88" s="226"/>
    </row>
    <row r="89" spans="1:22" s="220" customFormat="1" hidden="1" outlineLevel="3">
      <c r="A89" s="218"/>
      <c r="B89" s="219"/>
      <c r="C89" s="220" t="s">
        <v>119</v>
      </c>
      <c r="D89" s="225">
        <f>+'Summary - Cost - PG 1 (PA)'!D73</f>
        <v>-185555.67</v>
      </c>
      <c r="E89" s="223"/>
      <c r="F89" s="225">
        <f>+'Summary - Cost - PG 1 (PA)'!F73</f>
        <v>0</v>
      </c>
      <c r="G89" s="223"/>
      <c r="H89" s="225">
        <f>+'Summary - Cost - PG 1 (PA)'!H73</f>
        <v>0</v>
      </c>
      <c r="I89" s="223"/>
      <c r="J89" s="225">
        <f>+'Summary - Cost - PG 1 (PA)'!J73</f>
        <v>0</v>
      </c>
      <c r="K89" s="222"/>
      <c r="L89" s="225">
        <f t="shared" si="11"/>
        <v>0</v>
      </c>
      <c r="M89" s="222"/>
      <c r="N89" s="222"/>
      <c r="O89" s="222"/>
      <c r="P89" s="222"/>
      <c r="Q89" s="222"/>
      <c r="R89" s="222"/>
      <c r="S89" s="222"/>
      <c r="T89" s="225">
        <f t="shared" si="12"/>
        <v>-185555.67</v>
      </c>
      <c r="U89" s="222"/>
      <c r="V89" s="226"/>
    </row>
    <row r="90" spans="1:22" s="220" customFormat="1" hidden="1" outlineLevel="3">
      <c r="A90" s="218"/>
      <c r="B90" s="219"/>
      <c r="C90" s="227"/>
      <c r="D90" s="222">
        <f>SUM(D83:D89)</f>
        <v>-238544.22999999998</v>
      </c>
      <c r="E90" s="222"/>
      <c r="F90" s="222">
        <f>SUM(F83:F89)</f>
        <v>26083.29</v>
      </c>
      <c r="G90" s="222"/>
      <c r="H90" s="222">
        <f>SUM(H83:H89)</f>
        <v>0</v>
      </c>
      <c r="I90" s="222"/>
      <c r="J90" s="222">
        <f>SUM(J83:J89)</f>
        <v>0</v>
      </c>
      <c r="K90" s="222"/>
      <c r="L90" s="222">
        <f>SUM(L83:L89)</f>
        <v>26083.29</v>
      </c>
      <c r="M90" s="222"/>
      <c r="N90" s="222"/>
      <c r="O90" s="222"/>
      <c r="P90" s="222"/>
      <c r="Q90" s="222"/>
      <c r="R90" s="222"/>
      <c r="S90" s="222"/>
      <c r="T90" s="222">
        <f>SUM(T83:T89)</f>
        <v>-212460.94</v>
      </c>
      <c r="U90" s="222"/>
      <c r="V90" s="226"/>
    </row>
    <row r="91" spans="1:22" s="220" customFormat="1" hidden="1" outlineLevel="3">
      <c r="A91" s="218"/>
      <c r="B91" s="219"/>
      <c r="D91" s="222"/>
      <c r="E91" s="222"/>
      <c r="F91" s="222"/>
      <c r="G91" s="222"/>
      <c r="H91" s="222"/>
      <c r="I91" s="222"/>
      <c r="J91" s="222"/>
      <c r="K91" s="222"/>
      <c r="L91" s="222"/>
      <c r="M91" s="222"/>
      <c r="N91" s="222"/>
      <c r="O91" s="222"/>
      <c r="P91" s="222"/>
      <c r="Q91" s="222"/>
      <c r="R91" s="222"/>
      <c r="S91" s="222"/>
      <c r="T91" s="222"/>
      <c r="U91" s="222"/>
      <c r="V91" s="226"/>
    </row>
    <row r="92" spans="1:22" s="220" customFormat="1" hidden="1" outlineLevel="3">
      <c r="A92" s="218"/>
      <c r="B92" s="219" t="s">
        <v>120</v>
      </c>
      <c r="D92" s="222"/>
      <c r="E92" s="222"/>
      <c r="F92" s="222"/>
      <c r="G92" s="222"/>
      <c r="H92" s="222"/>
      <c r="I92" s="222"/>
      <c r="J92" s="222"/>
      <c r="K92" s="222"/>
      <c r="L92" s="222"/>
      <c r="M92" s="222"/>
      <c r="N92" s="222"/>
      <c r="O92" s="222"/>
      <c r="P92" s="222"/>
      <c r="Q92" s="222"/>
      <c r="R92" s="222"/>
      <c r="S92" s="222"/>
      <c r="T92" s="222"/>
      <c r="U92" s="222"/>
      <c r="V92" s="226"/>
    </row>
    <row r="93" spans="1:22" s="220" customFormat="1" hidden="1" outlineLevel="3">
      <c r="A93" s="218"/>
      <c r="B93" s="219"/>
      <c r="C93" s="220" t="s">
        <v>121</v>
      </c>
      <c r="D93" s="222">
        <f>+'Summary - Cost - PG 1 (PA)'!D77</f>
        <v>-8200.3299999999581</v>
      </c>
      <c r="E93" s="223"/>
      <c r="F93" s="222">
        <f>+'Summary - Cost - PG 1 (PA)'!F77</f>
        <v>7461.85</v>
      </c>
      <c r="G93" s="223"/>
      <c r="H93" s="222">
        <f>+'Summary - Cost - PG 1 (PA)'!H77</f>
        <v>0</v>
      </c>
      <c r="I93" s="223"/>
      <c r="J93" s="222">
        <f>+'Summary - Cost - PG 1 (PA)'!J77</f>
        <v>0</v>
      </c>
      <c r="K93" s="223"/>
      <c r="L93" s="223">
        <f>F93+H93+J93</f>
        <v>7461.85</v>
      </c>
      <c r="M93" s="223"/>
      <c r="N93" s="223"/>
      <c r="O93" s="223"/>
      <c r="P93" s="223"/>
      <c r="Q93" s="223"/>
      <c r="R93" s="223"/>
      <c r="S93" s="223"/>
      <c r="T93" s="223">
        <f>D93+L93</f>
        <v>-738.47999999995773</v>
      </c>
      <c r="U93" s="223"/>
      <c r="V93" s="224"/>
    </row>
    <row r="94" spans="1:22" s="220" customFormat="1" hidden="1" outlineLevel="3">
      <c r="A94" s="218"/>
      <c r="B94" s="219"/>
      <c r="C94" s="220" t="s">
        <v>122</v>
      </c>
      <c r="D94" s="222">
        <f>+'Summary - Cost - PG 1 (PA)'!D78</f>
        <v>-6119.8</v>
      </c>
      <c r="E94" s="223"/>
      <c r="F94" s="222">
        <f>+'Summary - Cost - PG 1 (PA)'!F78</f>
        <v>6119.8</v>
      </c>
      <c r="G94" s="223"/>
      <c r="H94" s="222">
        <f>+'Summary - Cost - PG 1 (PA)'!H78</f>
        <v>0</v>
      </c>
      <c r="I94" s="223"/>
      <c r="J94" s="222">
        <f>+'Summary - Cost - PG 1 (PA)'!J78</f>
        <v>0</v>
      </c>
      <c r="K94" s="223"/>
      <c r="L94" s="223">
        <f>F94+H94+J94</f>
        <v>6119.8</v>
      </c>
      <c r="M94" s="223"/>
      <c r="N94" s="223"/>
      <c r="O94" s="223"/>
      <c r="P94" s="223"/>
      <c r="Q94" s="223"/>
      <c r="R94" s="223"/>
      <c r="S94" s="223"/>
      <c r="T94" s="223">
        <f>D94+L94</f>
        <v>0</v>
      </c>
      <c r="U94" s="223"/>
      <c r="V94" s="224"/>
    </row>
    <row r="95" spans="1:22" s="220" customFormat="1" hidden="1" outlineLevel="3">
      <c r="A95" s="218"/>
      <c r="B95" s="219"/>
      <c r="C95" s="220" t="s">
        <v>123</v>
      </c>
      <c r="D95" s="222">
        <f>+'Summary - Cost - PG 1 (PA)'!D79</f>
        <v>0</v>
      </c>
      <c r="E95" s="223"/>
      <c r="F95" s="222">
        <f>+'Summary - Cost - PG 1 (PA)'!F79</f>
        <v>0</v>
      </c>
      <c r="G95" s="223"/>
      <c r="H95" s="222">
        <f>+'Summary - Cost - PG 1 (PA)'!H79</f>
        <v>0</v>
      </c>
      <c r="I95" s="223"/>
      <c r="J95" s="222">
        <f>+'Summary - Cost - PG 1 (PA)'!J79</f>
        <v>0</v>
      </c>
      <c r="K95" s="223"/>
      <c r="L95" s="223">
        <f>F95+H95+J95</f>
        <v>0</v>
      </c>
      <c r="M95" s="223"/>
      <c r="N95" s="223"/>
      <c r="O95" s="223"/>
      <c r="P95" s="223"/>
      <c r="Q95" s="223"/>
      <c r="R95" s="223"/>
      <c r="S95" s="223"/>
      <c r="T95" s="223">
        <f>D95+L95</f>
        <v>0</v>
      </c>
      <c r="U95" s="223"/>
      <c r="V95" s="224"/>
    </row>
    <row r="96" spans="1:22" s="220" customFormat="1" hidden="1" outlineLevel="3">
      <c r="A96" s="218"/>
      <c r="B96" s="219"/>
      <c r="C96" s="220" t="s">
        <v>124</v>
      </c>
      <c r="D96" s="222">
        <f>+'Summary - Cost - PG 1 (PA)'!D80</f>
        <v>-2082.9099999999962</v>
      </c>
      <c r="E96" s="223"/>
      <c r="F96" s="222">
        <f>+'Summary - Cost - PG 1 (PA)'!F80</f>
        <v>0</v>
      </c>
      <c r="G96" s="223"/>
      <c r="H96" s="222">
        <f>+'Summary - Cost - PG 1 (PA)'!H80</f>
        <v>0</v>
      </c>
      <c r="I96" s="223"/>
      <c r="J96" s="222">
        <f>+'Summary - Cost - PG 1 (PA)'!J80</f>
        <v>0</v>
      </c>
      <c r="K96" s="223"/>
      <c r="L96" s="223">
        <f>F96+H96+J96</f>
        <v>0</v>
      </c>
      <c r="M96" s="223"/>
      <c r="N96" s="223"/>
      <c r="O96" s="223"/>
      <c r="P96" s="223"/>
      <c r="Q96" s="223"/>
      <c r="R96" s="223"/>
      <c r="S96" s="223"/>
      <c r="T96" s="223">
        <f>D96+L96</f>
        <v>-2082.9099999999962</v>
      </c>
      <c r="U96" s="223"/>
      <c r="V96" s="224"/>
    </row>
    <row r="97" spans="1:22" s="220" customFormat="1" hidden="1" outlineLevel="3">
      <c r="A97" s="218"/>
      <c r="B97" s="219"/>
      <c r="C97" s="220" t="s">
        <v>125</v>
      </c>
      <c r="D97" s="225">
        <f>+'Summary - Cost - PG 1 (PA)'!D81</f>
        <v>0</v>
      </c>
      <c r="E97" s="223"/>
      <c r="F97" s="225">
        <f>+'Summary - Cost - PG 1 (PA)'!F81</f>
        <v>0</v>
      </c>
      <c r="G97" s="223"/>
      <c r="H97" s="225">
        <f>+'Summary - Cost - PG 1 (PA)'!H81</f>
        <v>0</v>
      </c>
      <c r="I97" s="223"/>
      <c r="J97" s="225">
        <f>+'Summary - Cost - PG 1 (PA)'!J81</f>
        <v>0</v>
      </c>
      <c r="K97" s="223"/>
      <c r="L97" s="225">
        <f>F97+H97+J97</f>
        <v>0</v>
      </c>
      <c r="M97" s="222"/>
      <c r="N97" s="222"/>
      <c r="O97" s="222"/>
      <c r="P97" s="222"/>
      <c r="Q97" s="222"/>
      <c r="R97" s="222"/>
      <c r="S97" s="223"/>
      <c r="T97" s="225">
        <f>D97+L97</f>
        <v>0</v>
      </c>
      <c r="U97" s="222"/>
      <c r="V97" s="224"/>
    </row>
    <row r="98" spans="1:22" s="220" customFormat="1" hidden="1" outlineLevel="3">
      <c r="A98" s="218"/>
      <c r="B98" s="219"/>
      <c r="C98" s="227"/>
      <c r="D98" s="222">
        <f>SUM(D93:D97)</f>
        <v>-16403.039999999954</v>
      </c>
      <c r="E98" s="222"/>
      <c r="F98" s="222">
        <f>SUM(F93:F97)</f>
        <v>13581.650000000001</v>
      </c>
      <c r="G98" s="222"/>
      <c r="H98" s="222">
        <f>SUM(H93:H97)</f>
        <v>0</v>
      </c>
      <c r="I98" s="222"/>
      <c r="J98" s="222">
        <f>SUM(J93:J97)</f>
        <v>0</v>
      </c>
      <c r="K98" s="222"/>
      <c r="L98" s="222">
        <f>SUM(L93:L97)</f>
        <v>13581.650000000001</v>
      </c>
      <c r="M98" s="222"/>
      <c r="N98" s="222"/>
      <c r="O98" s="222"/>
      <c r="P98" s="222"/>
      <c r="Q98" s="222"/>
      <c r="R98" s="222"/>
      <c r="S98" s="222"/>
      <c r="T98" s="222">
        <f>SUM(T93:T97)</f>
        <v>-2821.3899999999539</v>
      </c>
      <c r="U98" s="222"/>
      <c r="V98" s="224"/>
    </row>
    <row r="99" spans="1:22" s="220" customFormat="1" hidden="1" outlineLevel="3">
      <c r="A99" s="218"/>
      <c r="B99" s="219"/>
      <c r="D99" s="223"/>
      <c r="E99" s="223"/>
      <c r="F99" s="223"/>
      <c r="G99" s="223"/>
      <c r="H99" s="223"/>
      <c r="I99" s="223"/>
      <c r="J99" s="223"/>
      <c r="K99" s="223"/>
      <c r="L99" s="223"/>
      <c r="M99" s="223"/>
      <c r="N99" s="223"/>
      <c r="O99" s="223"/>
      <c r="P99" s="223"/>
      <c r="Q99" s="223"/>
      <c r="R99" s="223"/>
      <c r="S99" s="223"/>
      <c r="T99" s="223"/>
      <c r="U99" s="223"/>
      <c r="V99" s="224"/>
    </row>
    <row r="100" spans="1:22" s="220" customFormat="1" hidden="1" outlineLevel="3">
      <c r="A100" s="218"/>
      <c r="B100" s="219"/>
      <c r="C100" s="219" t="s">
        <v>136</v>
      </c>
      <c r="D100" s="228">
        <f>D80+D90+D98</f>
        <v>-254947.26999999993</v>
      </c>
      <c r="E100" s="223"/>
      <c r="F100" s="228">
        <f>F80+F90+F98</f>
        <v>39664.94</v>
      </c>
      <c r="G100" s="223"/>
      <c r="H100" s="228">
        <f>H80+H90+H98</f>
        <v>0</v>
      </c>
      <c r="I100" s="223"/>
      <c r="J100" s="228">
        <f>J80+J90+J98</f>
        <v>0</v>
      </c>
      <c r="K100" s="223"/>
      <c r="L100" s="228">
        <f>L80+L90+L98</f>
        <v>39664.94</v>
      </c>
      <c r="M100" s="222"/>
      <c r="N100" s="222"/>
      <c r="O100" s="222"/>
      <c r="P100" s="222"/>
      <c r="Q100" s="222"/>
      <c r="R100" s="222"/>
      <c r="S100" s="223"/>
      <c r="T100" s="228">
        <f>T80+T90+T98</f>
        <v>-215282.32999999996</v>
      </c>
      <c r="U100" s="222"/>
      <c r="V100" s="224"/>
    </row>
    <row r="101" spans="1:22" s="220" customFormat="1" hidden="1" outlineLevel="3">
      <c r="A101" s="218"/>
      <c r="B101" s="219"/>
      <c r="D101" s="223"/>
      <c r="E101" s="223"/>
      <c r="F101" s="223"/>
      <c r="G101" s="223"/>
      <c r="H101" s="223"/>
      <c r="I101" s="223"/>
      <c r="J101" s="223"/>
      <c r="K101" s="223"/>
      <c r="L101" s="223"/>
      <c r="M101" s="223"/>
      <c r="N101" s="223"/>
      <c r="O101" s="223"/>
      <c r="P101" s="223"/>
      <c r="Q101" s="223"/>
      <c r="R101" s="223"/>
      <c r="S101" s="223"/>
      <c r="T101" s="223"/>
      <c r="U101" s="223"/>
      <c r="V101" s="224"/>
    </row>
    <row r="102" spans="1:22" s="220" customFormat="1" hidden="1" outlineLevel="3">
      <c r="A102" s="218"/>
      <c r="B102" s="219"/>
      <c r="D102" s="223"/>
      <c r="E102" s="223"/>
      <c r="F102" s="223"/>
      <c r="G102" s="223"/>
      <c r="H102" s="223"/>
      <c r="I102" s="223"/>
      <c r="J102" s="223"/>
      <c r="K102" s="223"/>
      <c r="L102" s="223"/>
      <c r="M102" s="223"/>
      <c r="N102" s="223"/>
      <c r="O102" s="223"/>
      <c r="P102" s="223"/>
      <c r="Q102" s="223"/>
      <c r="R102" s="223"/>
      <c r="S102" s="223"/>
      <c r="T102" s="223">
        <f>+T48+T100</f>
        <v>-1716727952.1800001</v>
      </c>
      <c r="U102" s="223"/>
      <c r="V102" s="224"/>
    </row>
    <row r="103" spans="1:22" s="220" customFormat="1" hidden="1" outlineLevel="3">
      <c r="A103" s="218">
        <v>117</v>
      </c>
      <c r="B103" s="219" t="s">
        <v>453</v>
      </c>
      <c r="D103" s="223"/>
      <c r="E103" s="223"/>
      <c r="F103" s="223"/>
      <c r="G103" s="223"/>
      <c r="H103" s="223"/>
      <c r="I103" s="223"/>
      <c r="J103" s="223"/>
      <c r="K103" s="223"/>
      <c r="L103" s="223"/>
      <c r="M103" s="223"/>
      <c r="N103" s="223"/>
      <c r="O103" s="223"/>
      <c r="P103" s="223"/>
      <c r="Q103" s="223"/>
      <c r="R103" s="223"/>
      <c r="S103" s="223"/>
      <c r="T103" s="223"/>
      <c r="U103" s="223"/>
      <c r="V103" s="224"/>
    </row>
    <row r="104" spans="1:22" s="220" customFormat="1" hidden="1" outlineLevel="3">
      <c r="A104" s="218"/>
      <c r="B104" s="219" t="s">
        <v>120</v>
      </c>
      <c r="D104" s="223"/>
      <c r="E104" s="223"/>
      <c r="F104" s="223"/>
      <c r="G104" s="223"/>
      <c r="H104" s="223"/>
      <c r="I104" s="223"/>
      <c r="J104" s="223"/>
      <c r="K104" s="223"/>
      <c r="L104" s="223"/>
      <c r="M104" s="223"/>
      <c r="N104" s="223"/>
      <c r="O104" s="223"/>
      <c r="P104" s="223"/>
      <c r="Q104" s="223"/>
      <c r="R104" s="223"/>
      <c r="S104" s="223"/>
      <c r="T104" s="223"/>
      <c r="U104" s="223"/>
      <c r="V104" s="224"/>
    </row>
    <row r="105" spans="1:22" s="220" customFormat="1" hidden="1" outlineLevel="3">
      <c r="A105" s="218"/>
      <c r="B105" s="219"/>
      <c r="C105" s="220" t="s">
        <v>129</v>
      </c>
      <c r="D105" s="225">
        <f>+'Summary - Cost - PG 1 (PA)'!D89</f>
        <v>0</v>
      </c>
      <c r="E105" s="223"/>
      <c r="F105" s="225">
        <f>+'Summary - Cost - PG 1 (PA)'!F89</f>
        <v>0</v>
      </c>
      <c r="G105" s="223"/>
      <c r="H105" s="225">
        <f>+'Summary - Cost - PG 1 (PA)'!H89</f>
        <v>0</v>
      </c>
      <c r="I105" s="223"/>
      <c r="J105" s="225">
        <f>+'Summary - Cost - PG 1 (PA)'!J89</f>
        <v>0</v>
      </c>
      <c r="K105" s="222"/>
      <c r="L105" s="225">
        <f>F105+H105+J105</f>
        <v>0</v>
      </c>
      <c r="M105" s="222"/>
      <c r="N105" s="222"/>
      <c r="O105" s="222"/>
      <c r="P105" s="222"/>
      <c r="Q105" s="222"/>
      <c r="R105" s="222"/>
      <c r="S105" s="222"/>
      <c r="T105" s="225">
        <f>D105+L105</f>
        <v>0</v>
      </c>
      <c r="U105" s="222"/>
      <c r="V105" s="224"/>
    </row>
    <row r="106" spans="1:22" s="220" customFormat="1" hidden="1" outlineLevel="3">
      <c r="A106" s="218"/>
      <c r="B106" s="219"/>
      <c r="C106" s="227"/>
      <c r="D106" s="222">
        <f>SUM(D105)</f>
        <v>0</v>
      </c>
      <c r="E106" s="222"/>
      <c r="F106" s="222">
        <f>SUM(F105)</f>
        <v>0</v>
      </c>
      <c r="G106" s="222"/>
      <c r="H106" s="222">
        <f>SUM(H105)</f>
        <v>0</v>
      </c>
      <c r="I106" s="222"/>
      <c r="J106" s="222">
        <f>SUM(J105)</f>
        <v>0</v>
      </c>
      <c r="K106" s="222"/>
      <c r="L106" s="222">
        <f>SUM(L105)</f>
        <v>0</v>
      </c>
      <c r="M106" s="222"/>
      <c r="N106" s="222"/>
      <c r="O106" s="222"/>
      <c r="P106" s="222"/>
      <c r="Q106" s="222"/>
      <c r="R106" s="222"/>
      <c r="S106" s="222"/>
      <c r="T106" s="222">
        <f>SUM(T105)</f>
        <v>0</v>
      </c>
      <c r="U106" s="222"/>
      <c r="V106" s="224"/>
    </row>
    <row r="107" spans="1:22" s="220" customFormat="1" hidden="1" outlineLevel="3">
      <c r="A107" s="218"/>
      <c r="B107" s="219"/>
      <c r="D107" s="223"/>
      <c r="E107" s="223"/>
      <c r="F107" s="223"/>
      <c r="G107" s="223"/>
      <c r="H107" s="223"/>
      <c r="I107" s="223"/>
      <c r="J107" s="223"/>
      <c r="K107" s="223"/>
      <c r="L107" s="223"/>
      <c r="M107" s="223"/>
      <c r="N107" s="223"/>
      <c r="O107" s="223"/>
      <c r="P107" s="223"/>
      <c r="Q107" s="223"/>
      <c r="R107" s="223"/>
      <c r="S107" s="223"/>
      <c r="T107" s="223"/>
      <c r="U107" s="223"/>
      <c r="V107" s="224"/>
    </row>
    <row r="108" spans="1:22" s="220" customFormat="1" hidden="1" outlineLevel="3">
      <c r="A108" s="218"/>
      <c r="B108" s="219"/>
      <c r="C108" s="219" t="s">
        <v>130</v>
      </c>
      <c r="D108" s="228">
        <f>D106</f>
        <v>0</v>
      </c>
      <c r="E108" s="223"/>
      <c r="F108" s="228">
        <f>F106</f>
        <v>0</v>
      </c>
      <c r="G108" s="223"/>
      <c r="H108" s="228">
        <f>H106</f>
        <v>0</v>
      </c>
      <c r="I108" s="223"/>
      <c r="J108" s="228">
        <f>J106</f>
        <v>0</v>
      </c>
      <c r="K108" s="223"/>
      <c r="L108" s="228">
        <f>L106</f>
        <v>0</v>
      </c>
      <c r="M108" s="222"/>
      <c r="N108" s="222"/>
      <c r="O108" s="222"/>
      <c r="P108" s="222"/>
      <c r="Q108" s="222"/>
      <c r="R108" s="222"/>
      <c r="S108" s="223"/>
      <c r="T108" s="228">
        <f>T106</f>
        <v>0</v>
      </c>
      <c r="U108" s="222"/>
      <c r="V108" s="224"/>
    </row>
    <row r="109" spans="1:22" s="220" customFormat="1" hidden="1" outlineLevel="3">
      <c r="A109" s="218"/>
      <c r="B109" s="219"/>
      <c r="C109" s="219"/>
      <c r="D109" s="222"/>
      <c r="E109" s="223"/>
      <c r="F109" s="222"/>
      <c r="G109" s="223"/>
      <c r="H109" s="222"/>
      <c r="I109" s="223"/>
      <c r="J109" s="222"/>
      <c r="K109" s="223"/>
      <c r="L109" s="222"/>
      <c r="M109" s="222"/>
      <c r="N109" s="222"/>
      <c r="O109" s="222"/>
      <c r="P109" s="222"/>
      <c r="Q109" s="222"/>
      <c r="R109" s="222"/>
      <c r="S109" s="223"/>
      <c r="T109" s="222"/>
      <c r="U109" s="222"/>
      <c r="V109" s="224"/>
    </row>
    <row r="110" spans="1:22" s="220" customFormat="1" hidden="1" outlineLevel="3">
      <c r="A110" s="218"/>
      <c r="B110" s="219"/>
      <c r="C110" s="219"/>
      <c r="D110" s="222"/>
      <c r="E110" s="223"/>
      <c r="F110" s="222"/>
      <c r="G110" s="223"/>
      <c r="H110" s="222"/>
      <c r="I110" s="223"/>
      <c r="J110" s="222"/>
      <c r="K110" s="223"/>
      <c r="L110" s="222"/>
      <c r="M110" s="222"/>
      <c r="N110" s="222"/>
      <c r="O110" s="222"/>
      <c r="P110" s="222"/>
      <c r="Q110" s="222"/>
      <c r="R110" s="222"/>
      <c r="S110" s="223"/>
      <c r="T110" s="222"/>
      <c r="U110" s="222"/>
      <c r="V110" s="224"/>
    </row>
    <row r="111" spans="1:22" s="220" customFormat="1" hidden="1" outlineLevel="3">
      <c r="A111" s="218"/>
      <c r="B111" s="219" t="s">
        <v>1125</v>
      </c>
      <c r="C111" s="219"/>
      <c r="D111" s="222"/>
      <c r="E111" s="223"/>
      <c r="F111" s="222"/>
      <c r="G111" s="223"/>
      <c r="H111" s="222"/>
      <c r="I111" s="223"/>
      <c r="J111" s="222"/>
      <c r="K111" s="223"/>
      <c r="L111" s="222"/>
      <c r="M111" s="222"/>
      <c r="N111" s="222"/>
      <c r="O111" s="222"/>
      <c r="P111" s="222"/>
      <c r="Q111" s="222"/>
      <c r="R111" s="222"/>
      <c r="S111" s="223"/>
      <c r="T111" s="222"/>
      <c r="U111" s="222"/>
      <c r="V111" s="224"/>
    </row>
    <row r="112" spans="1:22" s="220" customFormat="1" hidden="1" outlineLevel="3">
      <c r="A112" s="218"/>
      <c r="B112" s="219"/>
      <c r="C112" s="219"/>
      <c r="D112" s="222"/>
      <c r="E112" s="223"/>
      <c r="F112" s="222"/>
      <c r="G112" s="223"/>
      <c r="H112" s="222"/>
      <c r="I112" s="223"/>
      <c r="J112" s="222"/>
      <c r="K112" s="223"/>
      <c r="L112" s="222"/>
      <c r="M112" s="222"/>
      <c r="N112" s="222"/>
      <c r="O112" s="222"/>
      <c r="P112" s="222"/>
      <c r="Q112" s="222"/>
      <c r="R112" s="222"/>
      <c r="S112" s="223"/>
      <c r="T112" s="222"/>
      <c r="U112" s="222"/>
      <c r="V112" s="224"/>
    </row>
    <row r="113" spans="1:31" s="220" customFormat="1" hidden="1" outlineLevel="3">
      <c r="A113" s="229" t="s">
        <v>1126</v>
      </c>
      <c r="B113" s="219"/>
      <c r="C113" s="219" t="s">
        <v>1127</v>
      </c>
      <c r="D113" s="222">
        <f>+'Total Comm PIS_NBV-P5 (PA)'!B12</f>
        <v>-127911.26</v>
      </c>
      <c r="E113" s="223"/>
      <c r="F113" s="222">
        <f>+'Total Comm PIS_NBV-P5 (PA)'!D12</f>
        <v>0</v>
      </c>
      <c r="G113" s="223"/>
      <c r="H113" s="222">
        <f>+'Total Comm PIS_NBV-P5 (PA)'!F12</f>
        <v>0</v>
      </c>
      <c r="I113" s="223"/>
      <c r="J113" s="222">
        <f>+'Total Comm PIS_NBV-P5 (PA)'!H12</f>
        <v>0</v>
      </c>
      <c r="K113" s="223"/>
      <c r="L113" s="222">
        <f>+'Total Comm PIS_NBV-P5 (PA)'!J12</f>
        <v>0</v>
      </c>
      <c r="M113" s="222"/>
      <c r="N113" s="222"/>
      <c r="O113" s="222"/>
      <c r="P113" s="222"/>
      <c r="Q113" s="222"/>
      <c r="R113" s="222"/>
      <c r="S113" s="223"/>
      <c r="T113" s="222">
        <f>+'Total Comm PIS_NBV-P5 (PA)'!L12</f>
        <v>-127911.26</v>
      </c>
      <c r="U113" s="222"/>
      <c r="V113" s="224"/>
    </row>
    <row r="114" spans="1:31" s="220" customFormat="1" hidden="1" outlineLevel="3">
      <c r="A114" s="229" t="s">
        <v>1128</v>
      </c>
      <c r="B114" s="219"/>
      <c r="C114" s="219" t="s">
        <v>1129</v>
      </c>
      <c r="D114" s="222">
        <f>+'Total Gas PIS_NBV-P17 (PA)'!B42</f>
        <v>-70451.45</v>
      </c>
      <c r="E114" s="223"/>
      <c r="F114" s="222">
        <f>+'Total Gas PIS_NBV-P17 (PA)'!D42</f>
        <v>0</v>
      </c>
      <c r="G114" s="223"/>
      <c r="H114" s="222">
        <f>+'Total Gas PIS_NBV-P17 (PA)'!F42</f>
        <v>0</v>
      </c>
      <c r="I114" s="223"/>
      <c r="J114" s="222">
        <f>+'Total Gas PIS_NBV-P17 (PA)'!H42</f>
        <v>0</v>
      </c>
      <c r="K114" s="223"/>
      <c r="L114" s="222">
        <f>+'Total Gas PIS_NBV-P17 (PA)'!J42</f>
        <v>0</v>
      </c>
      <c r="M114" s="222"/>
      <c r="N114" s="222"/>
      <c r="O114" s="222"/>
      <c r="P114" s="222"/>
      <c r="Q114" s="222"/>
      <c r="R114" s="222"/>
      <c r="S114" s="223"/>
      <c r="T114" s="222">
        <f>+'Total Gas PIS_NBV-P17 (PA)'!L42</f>
        <v>-70451.45</v>
      </c>
      <c r="U114" s="222"/>
      <c r="V114" s="224"/>
    </row>
    <row r="115" spans="1:31" s="220" customFormat="1" hidden="1" outlineLevel="3">
      <c r="A115" s="229" t="s">
        <v>1130</v>
      </c>
      <c r="B115" s="219"/>
      <c r="C115" s="219" t="s">
        <v>1129</v>
      </c>
      <c r="D115" s="222">
        <f>+'Total Gas PIS_NBV-P17 (PA)'!B12</f>
        <v>-77375.47</v>
      </c>
      <c r="E115" s="223"/>
      <c r="F115" s="222">
        <f>+'Total Gas PIS_NBV-P17 (PA)'!D12</f>
        <v>0</v>
      </c>
      <c r="G115" s="223"/>
      <c r="H115" s="222">
        <f>+'Total Gas PIS_NBV-P17 (PA)'!F12</f>
        <v>0</v>
      </c>
      <c r="I115" s="223"/>
      <c r="J115" s="222">
        <f>+'Total Gas PIS_NBV-P17 (PA)'!H12</f>
        <v>0</v>
      </c>
      <c r="K115" s="223"/>
      <c r="L115" s="222">
        <f>+'Total Gas PIS_NBV-P17 (PA)'!J12</f>
        <v>0</v>
      </c>
      <c r="M115" s="222"/>
      <c r="N115" s="222"/>
      <c r="O115" s="222"/>
      <c r="P115" s="222"/>
      <c r="Q115" s="222"/>
      <c r="R115" s="222"/>
      <c r="S115" s="223"/>
      <c r="T115" s="222">
        <f>+'Total Gas PIS_NBV-P17 (PA)'!L12</f>
        <v>-77375.47</v>
      </c>
      <c r="U115" s="222"/>
      <c r="V115" s="224"/>
    </row>
    <row r="116" spans="1:31" s="220" customFormat="1" hidden="1" outlineLevel="3">
      <c r="A116" s="229" t="s">
        <v>1131</v>
      </c>
      <c r="B116" s="219"/>
      <c r="C116" s="219" t="s">
        <v>1129</v>
      </c>
      <c r="D116" s="222">
        <f>+'Total Gas PIS_NBV-P17 (PA)'!B46</f>
        <v>-569589.96</v>
      </c>
      <c r="E116" s="223"/>
      <c r="F116" s="222">
        <f>+'Total Gas PIS_NBV-P17 (PA)'!D46</f>
        <v>0</v>
      </c>
      <c r="G116" s="223"/>
      <c r="H116" s="222">
        <f>+'Total Gas PIS_NBV-P17 (PA)'!F46</f>
        <v>0</v>
      </c>
      <c r="I116" s="223"/>
      <c r="J116" s="222">
        <f>+'Total Gas PIS_NBV-P17 (PA)'!H46</f>
        <v>0</v>
      </c>
      <c r="K116" s="223"/>
      <c r="L116" s="222">
        <f>+'Total Gas PIS_NBV-P17 (PA)'!J46</f>
        <v>0</v>
      </c>
      <c r="M116" s="222"/>
      <c r="N116" s="222"/>
      <c r="O116" s="222"/>
      <c r="P116" s="222"/>
      <c r="Q116" s="222"/>
      <c r="R116" s="222"/>
      <c r="S116" s="223"/>
      <c r="T116" s="222">
        <f>+'Total Gas PIS_NBV-P17 (PA)'!L46</f>
        <v>-569589.96</v>
      </c>
      <c r="U116" s="222"/>
      <c r="V116" s="224"/>
    </row>
    <row r="117" spans="1:31" s="220" customFormat="1" hidden="1" outlineLevel="3">
      <c r="A117" s="229" t="s">
        <v>1132</v>
      </c>
      <c r="B117" s="219"/>
      <c r="C117" s="219" t="s">
        <v>1129</v>
      </c>
      <c r="D117" s="222">
        <f>+'Total Gas PIS_NBV-P17 (PA)'!B62</f>
        <v>-208142.37</v>
      </c>
      <c r="E117" s="223"/>
      <c r="F117" s="222">
        <f>+'Total Gas PIS_NBV-P17 (PA)'!D62</f>
        <v>0</v>
      </c>
      <c r="G117" s="223"/>
      <c r="H117" s="222">
        <f>+'Total Gas PIS_NBV-P17 (PA)'!F62</f>
        <v>0</v>
      </c>
      <c r="I117" s="223"/>
      <c r="J117" s="222">
        <f>+'Total Gas PIS_NBV-P17 (PA)'!H62</f>
        <v>0</v>
      </c>
      <c r="K117" s="223"/>
      <c r="L117" s="222">
        <f>+'Total Gas PIS_NBV-P17 (PA)'!J62</f>
        <v>0</v>
      </c>
      <c r="M117" s="222"/>
      <c r="N117" s="222"/>
      <c r="O117" s="222"/>
      <c r="P117" s="222"/>
      <c r="Q117" s="222"/>
      <c r="R117" s="222"/>
      <c r="S117" s="223"/>
      <c r="T117" s="222">
        <f>+'Total Gas PIS_NBV-P17 (PA)'!L62</f>
        <v>-208142.37</v>
      </c>
      <c r="U117" s="222"/>
      <c r="V117" s="224"/>
    </row>
    <row r="118" spans="1:31" s="220" customFormat="1" hidden="1" outlineLevel="3">
      <c r="A118" s="229" t="s">
        <v>1133</v>
      </c>
      <c r="B118" s="219"/>
      <c r="C118" s="219" t="s">
        <v>1134</v>
      </c>
      <c r="D118" s="222">
        <f>+'Total Elec PIS_NBV-P11 (PA)'!B79</f>
        <v>-1916046</v>
      </c>
      <c r="E118" s="223"/>
      <c r="F118" s="222">
        <f>+'Total Elec PIS_NBV-P11 (PA)'!D79</f>
        <v>0</v>
      </c>
      <c r="G118" s="223"/>
      <c r="H118" s="222">
        <f>+'Total Elec PIS_NBV-P11 (PA)'!F79</f>
        <v>0</v>
      </c>
      <c r="I118" s="223"/>
      <c r="J118" s="222">
        <f>+'Total Elec PIS_NBV-P11 (PA)'!H79</f>
        <v>0</v>
      </c>
      <c r="K118" s="223"/>
      <c r="L118" s="222">
        <f>+'Total Elec PIS_NBV-P11 (PA)'!J79</f>
        <v>0</v>
      </c>
      <c r="M118" s="222"/>
      <c r="N118" s="222"/>
      <c r="O118" s="222"/>
      <c r="P118" s="222"/>
      <c r="Q118" s="222"/>
      <c r="R118" s="222"/>
      <c r="S118" s="223"/>
      <c r="T118" s="222">
        <f>+'Total Elec PIS_NBV-P11 (PA)'!L79</f>
        <v>-1916046</v>
      </c>
      <c r="U118" s="222"/>
      <c r="V118" s="224"/>
    </row>
    <row r="119" spans="1:31" s="220" customFormat="1" hidden="1" outlineLevel="3">
      <c r="A119" s="229" t="s">
        <v>1135</v>
      </c>
      <c r="B119" s="219"/>
      <c r="C119" s="219" t="s">
        <v>1136</v>
      </c>
      <c r="D119" s="222">
        <f>+'Total Comm PIS_NBV-P5 (PA)'!B36</f>
        <v>0</v>
      </c>
      <c r="E119" s="223"/>
      <c r="F119" s="222">
        <f>+'Total Comm PIS_NBV-P5 (PA)'!D36</f>
        <v>0</v>
      </c>
      <c r="G119" s="223"/>
      <c r="H119" s="222">
        <f>+'Total Comm PIS_NBV-P5 (PA)'!F36</f>
        <v>0</v>
      </c>
      <c r="I119" s="223"/>
      <c r="J119" s="222">
        <f>+'Total Comm PIS_NBV-P5 (PA)'!H36</f>
        <v>0</v>
      </c>
      <c r="K119" s="223"/>
      <c r="L119" s="222">
        <f>+'Total Comm PIS_NBV-P5 (PA)'!J36</f>
        <v>0</v>
      </c>
      <c r="M119" s="222"/>
      <c r="N119" s="222"/>
      <c r="O119" s="222"/>
      <c r="P119" s="222"/>
      <c r="Q119" s="222"/>
      <c r="R119" s="222"/>
      <c r="S119" s="223"/>
      <c r="T119" s="222">
        <f>+'Total Comm PIS_NBV-P5 (PA)'!L36</f>
        <v>0</v>
      </c>
      <c r="U119" s="222"/>
      <c r="V119" s="224"/>
    </row>
    <row r="120" spans="1:31" s="220" customFormat="1" hidden="1" outlineLevel="3">
      <c r="A120" s="229" t="s">
        <v>1135</v>
      </c>
      <c r="B120" s="219"/>
      <c r="C120" s="219" t="s">
        <v>1137</v>
      </c>
      <c r="D120" s="222">
        <f>+'Total Elec PIS_NBV-P11 (PA)'!B50</f>
        <v>0</v>
      </c>
      <c r="E120" s="223"/>
      <c r="F120" s="222">
        <f>+'Total Elec PIS_NBV-P11 (PA)'!D50</f>
        <v>0</v>
      </c>
      <c r="G120" s="223"/>
      <c r="H120" s="222">
        <f>+'Total Elec PIS_NBV-P11 (PA)'!F50</f>
        <v>0</v>
      </c>
      <c r="I120" s="223"/>
      <c r="J120" s="222">
        <f>+'Total Elec PIS_NBV-P11 (PA)'!H50</f>
        <v>0</v>
      </c>
      <c r="K120" s="223"/>
      <c r="L120" s="222">
        <f>+'Total Elec PIS_NBV-P11 (PA)'!J50</f>
        <v>0</v>
      </c>
      <c r="M120" s="222"/>
      <c r="N120" s="222"/>
      <c r="O120" s="222"/>
      <c r="P120" s="222"/>
      <c r="Q120" s="222"/>
      <c r="R120" s="222"/>
      <c r="S120" s="223"/>
      <c r="T120" s="222">
        <f>+'Total Elec PIS_NBV-P11 (PA)'!L50</f>
        <v>0</v>
      </c>
      <c r="U120" s="222"/>
      <c r="V120" s="224"/>
    </row>
    <row r="121" spans="1:31" s="220" customFormat="1" hidden="1" outlineLevel="3">
      <c r="A121" s="229" t="s">
        <v>1135</v>
      </c>
      <c r="B121" s="219"/>
      <c r="C121" s="219" t="s">
        <v>1138</v>
      </c>
      <c r="D121" s="222">
        <f>+'Total Gas PIS_NBV-P17 (PA)'!B37</f>
        <v>-119.15999999999997</v>
      </c>
      <c r="E121" s="223"/>
      <c r="F121" s="222">
        <f>+'Total Gas PIS_NBV-P17 (PA)'!D37</f>
        <v>0</v>
      </c>
      <c r="G121" s="223"/>
      <c r="H121" s="222">
        <f>+'Total Gas PIS_NBV-P17 (PA)'!F37</f>
        <v>0</v>
      </c>
      <c r="I121" s="223"/>
      <c r="J121" s="222">
        <f>+'Total Gas PIS_NBV-P17 (PA)'!H37</f>
        <v>0</v>
      </c>
      <c r="K121" s="223"/>
      <c r="L121" s="222">
        <f>+'Total Gas PIS_NBV-P17 (PA)'!J37</f>
        <v>0</v>
      </c>
      <c r="M121" s="222"/>
      <c r="N121" s="222"/>
      <c r="O121" s="222"/>
      <c r="P121" s="222"/>
      <c r="Q121" s="222"/>
      <c r="R121" s="222"/>
      <c r="S121" s="223"/>
      <c r="T121" s="222">
        <f>+'Total Gas PIS_NBV-P17 (PA)'!L37</f>
        <v>-119.15999999999997</v>
      </c>
      <c r="U121" s="222"/>
      <c r="V121" s="224"/>
    </row>
    <row r="122" spans="1:31" s="220" customFormat="1" hidden="1" outlineLevel="3">
      <c r="A122" s="229"/>
      <c r="B122" s="219"/>
      <c r="C122" s="219"/>
      <c r="D122" s="228">
        <f>SUM(D113:D121)</f>
        <v>-2969635.67</v>
      </c>
      <c r="E122" s="223"/>
      <c r="F122" s="228">
        <f>SUM(F113:F121)</f>
        <v>0</v>
      </c>
      <c r="G122" s="223"/>
      <c r="H122" s="228">
        <f>SUM(H113:H121)</f>
        <v>0</v>
      </c>
      <c r="I122" s="223"/>
      <c r="J122" s="228">
        <f>SUM(J113:J121)</f>
        <v>0</v>
      </c>
      <c r="K122" s="223"/>
      <c r="L122" s="228">
        <f>SUM(L113:L121)</f>
        <v>0</v>
      </c>
      <c r="M122" s="222"/>
      <c r="N122" s="222"/>
      <c r="O122" s="222"/>
      <c r="P122" s="222"/>
      <c r="Q122" s="222"/>
      <c r="R122" s="222"/>
      <c r="S122" s="223"/>
      <c r="T122" s="228">
        <f>SUM(T113:T121)</f>
        <v>-2969635.67</v>
      </c>
      <c r="U122" s="222"/>
      <c r="V122" s="224"/>
    </row>
    <row r="123" spans="1:31" hidden="1" outlineLevel="3">
      <c r="D123" s="181"/>
      <c r="E123" s="181"/>
      <c r="F123" s="181"/>
      <c r="G123" s="181"/>
      <c r="H123" s="181"/>
      <c r="I123" s="181"/>
      <c r="J123" s="181"/>
      <c r="K123" s="181"/>
      <c r="L123" s="181"/>
      <c r="M123" s="181"/>
      <c r="N123" s="181"/>
      <c r="O123" s="181"/>
      <c r="P123" s="181"/>
      <c r="Q123" s="181"/>
      <c r="R123" s="181"/>
      <c r="S123" s="181"/>
      <c r="T123" s="181"/>
      <c r="U123" s="181"/>
      <c r="V123" s="196"/>
    </row>
    <row r="124" spans="1:31" hidden="1" outlineLevel="3">
      <c r="D124" s="181"/>
      <c r="E124" s="181"/>
      <c r="F124" s="181"/>
      <c r="G124" s="181"/>
      <c r="H124" s="181"/>
      <c r="I124" s="181"/>
      <c r="J124" s="181"/>
      <c r="K124" s="181"/>
      <c r="L124" s="181"/>
      <c r="M124" s="181"/>
      <c r="N124" s="181"/>
      <c r="O124" s="181"/>
      <c r="P124" s="181"/>
      <c r="Q124" s="181"/>
      <c r="R124" s="181"/>
      <c r="S124" s="181"/>
      <c r="T124" s="181"/>
      <c r="U124" s="181"/>
      <c r="V124" s="196"/>
    </row>
    <row r="125" spans="1:31" hidden="1" outlineLevel="1" collapsed="1">
      <c r="B125" s="231" t="s">
        <v>1119</v>
      </c>
      <c r="D125" s="181">
        <f>+D48+D56+D64+D73+D100+D108-D122</f>
        <v>-1716705320.29</v>
      </c>
      <c r="E125" s="181"/>
      <c r="F125" s="181">
        <f>+F48+F56+F64+F73+F100+F108-F122</f>
        <v>0</v>
      </c>
      <c r="G125" s="181"/>
      <c r="H125" s="181">
        <f>+H48+H56+H64+H73+H100+H108-H122</f>
        <v>2947003.78</v>
      </c>
      <c r="I125" s="181"/>
      <c r="J125" s="181">
        <f>+J48+J56+J64+J73+J100+J108-J122</f>
        <v>0</v>
      </c>
      <c r="K125" s="181"/>
      <c r="L125" s="181">
        <f>+L48+L56+L64+L73+L100+L108-L122</f>
        <v>2947003.78</v>
      </c>
      <c r="M125" s="181"/>
      <c r="N125" s="181">
        <f>+N48+N56+N64+N73+N100+N108-N122</f>
        <v>0</v>
      </c>
      <c r="O125" s="181"/>
      <c r="P125" s="181">
        <f>+P48+P56+P64+P73+P100+P108-P122</f>
        <v>0</v>
      </c>
      <c r="Q125" s="181"/>
      <c r="R125" s="181">
        <f>+R48+R56+R64+R73+R100+R108-R122</f>
        <v>0</v>
      </c>
      <c r="S125" s="181"/>
      <c r="T125" s="181">
        <f>+T48+T56+T64+T73+T100+T108-T122</f>
        <v>-1713758316.51</v>
      </c>
      <c r="U125" s="181"/>
      <c r="V125" s="196"/>
      <c r="W125" s="211">
        <f>+F125</f>
        <v>0</v>
      </c>
      <c r="X125" s="211">
        <f>+H125</f>
        <v>2947003.78</v>
      </c>
      <c r="Y125" s="211">
        <f>+J125</f>
        <v>0</v>
      </c>
      <c r="Z125" s="211"/>
      <c r="AA125" s="211"/>
      <c r="AD125" s="211">
        <f>SUM(V125:AB125)</f>
        <v>2947003.78</v>
      </c>
      <c r="AE125" s="211">
        <f>+L125-AD125</f>
        <v>0</v>
      </c>
    </row>
    <row r="126" spans="1:31" hidden="1" outlineLevel="1">
      <c r="C126" s="184" t="s">
        <v>47</v>
      </c>
      <c r="D126" s="181">
        <f>+D125-D10</f>
        <v>-5907284205.0899992</v>
      </c>
      <c r="E126" s="181"/>
      <c r="F126" s="181"/>
      <c r="G126" s="181"/>
      <c r="H126" s="181"/>
      <c r="I126" s="181"/>
      <c r="J126" s="181"/>
      <c r="K126" s="181"/>
      <c r="L126" s="181"/>
      <c r="M126" s="181"/>
      <c r="N126" s="181"/>
      <c r="O126" s="181"/>
      <c r="P126" s="181"/>
      <c r="Q126" s="181"/>
      <c r="R126" s="181"/>
      <c r="S126" s="181"/>
      <c r="T126" s="181">
        <f>+T125-T10</f>
        <v>-6062709250.3500004</v>
      </c>
      <c r="U126" s="181"/>
      <c r="V126" s="196"/>
    </row>
    <row r="127" spans="1:31" hidden="1" outlineLevel="1">
      <c r="D127" s="181"/>
      <c r="E127" s="181"/>
      <c r="F127" s="181"/>
      <c r="G127" s="181"/>
      <c r="H127" s="181"/>
      <c r="I127" s="181"/>
      <c r="J127" s="181"/>
      <c r="K127" s="181"/>
      <c r="L127" s="181"/>
      <c r="M127" s="181"/>
      <c r="N127" s="181"/>
      <c r="O127" s="181"/>
      <c r="P127" s="181"/>
      <c r="Q127" s="181"/>
      <c r="R127" s="181"/>
      <c r="S127" s="181"/>
      <c r="T127" s="181"/>
      <c r="U127" s="181"/>
      <c r="V127" s="196"/>
    </row>
    <row r="128" spans="1:31" s="220" customFormat="1" hidden="1" outlineLevel="3">
      <c r="A128" s="218">
        <v>121</v>
      </c>
      <c r="B128" s="219" t="s">
        <v>451</v>
      </c>
      <c r="D128" s="223"/>
      <c r="E128" s="223"/>
      <c r="F128" s="223"/>
      <c r="G128" s="223"/>
      <c r="H128" s="223"/>
      <c r="I128" s="223"/>
      <c r="J128" s="223"/>
      <c r="K128" s="223"/>
      <c r="L128" s="223"/>
      <c r="M128" s="223"/>
      <c r="N128" s="223"/>
      <c r="O128" s="223"/>
      <c r="P128" s="223"/>
      <c r="Q128" s="223"/>
      <c r="R128" s="223"/>
      <c r="S128" s="223"/>
      <c r="T128" s="223"/>
      <c r="U128" s="223"/>
      <c r="V128" s="224"/>
    </row>
    <row r="129" spans="1:31" s="220" customFormat="1" hidden="1" outlineLevel="3">
      <c r="A129" s="218"/>
      <c r="B129" s="219" t="s">
        <v>652</v>
      </c>
      <c r="D129" s="223"/>
      <c r="E129" s="223"/>
      <c r="F129" s="223"/>
      <c r="G129" s="223"/>
      <c r="H129" s="223"/>
      <c r="I129" s="223"/>
      <c r="J129" s="223"/>
      <c r="K129" s="223"/>
      <c r="L129" s="223"/>
      <c r="M129" s="223"/>
      <c r="N129" s="223"/>
      <c r="O129" s="223"/>
      <c r="P129" s="223"/>
      <c r="Q129" s="223"/>
      <c r="R129" s="223"/>
      <c r="S129" s="223"/>
      <c r="T129" s="223"/>
      <c r="U129" s="223"/>
      <c r="V129" s="224"/>
    </row>
    <row r="130" spans="1:31" s="220" customFormat="1" hidden="1" outlineLevel="3">
      <c r="A130" s="218"/>
      <c r="B130" s="219"/>
      <c r="C130" s="220" t="s">
        <v>131</v>
      </c>
      <c r="D130" s="225">
        <f>+'Summary - Cost - PG 1 (PA)'!D97</f>
        <v>-63360.36</v>
      </c>
      <c r="E130" s="223"/>
      <c r="F130" s="225">
        <f>+'Summary - Cost - PG 1 (PA)'!F97</f>
        <v>0</v>
      </c>
      <c r="G130" s="223"/>
      <c r="H130" s="225">
        <f>+'Summary - Cost - PG 1 (PA)'!H97</f>
        <v>0</v>
      </c>
      <c r="I130" s="223"/>
      <c r="J130" s="225">
        <f>+'Summary - Cost - PG 1 (PA)'!J97</f>
        <v>0</v>
      </c>
      <c r="K130" s="223"/>
      <c r="L130" s="225">
        <f>F130+H130+J130</f>
        <v>0</v>
      </c>
      <c r="M130" s="222"/>
      <c r="N130" s="222"/>
      <c r="O130" s="222"/>
      <c r="P130" s="222"/>
      <c r="Q130" s="222"/>
      <c r="R130" s="222"/>
      <c r="S130" s="223"/>
      <c r="T130" s="225">
        <f>D130+L130</f>
        <v>-63360.36</v>
      </c>
      <c r="U130" s="222"/>
      <c r="V130" s="224"/>
    </row>
    <row r="131" spans="1:31" s="220" customFormat="1" hidden="1" outlineLevel="3">
      <c r="A131" s="218"/>
      <c r="B131" s="219"/>
      <c r="C131" s="227"/>
      <c r="D131" s="222">
        <f>SUM(D130)</f>
        <v>-63360.36</v>
      </c>
      <c r="E131" s="222"/>
      <c r="F131" s="222">
        <f>SUM(F130)</f>
        <v>0</v>
      </c>
      <c r="G131" s="222"/>
      <c r="H131" s="222">
        <f>SUM(H130)</f>
        <v>0</v>
      </c>
      <c r="I131" s="222"/>
      <c r="J131" s="222">
        <f>SUM(J130)</f>
        <v>0</v>
      </c>
      <c r="K131" s="222"/>
      <c r="L131" s="222">
        <f>SUM(L130)</f>
        <v>0</v>
      </c>
      <c r="M131" s="222"/>
      <c r="N131" s="222"/>
      <c r="O131" s="222"/>
      <c r="P131" s="222"/>
      <c r="Q131" s="222"/>
      <c r="R131" s="222"/>
      <c r="S131" s="222"/>
      <c r="T131" s="222">
        <f>SUM(T130)</f>
        <v>-63360.36</v>
      </c>
      <c r="U131" s="222"/>
      <c r="V131" s="224"/>
    </row>
    <row r="132" spans="1:31" s="220" customFormat="1" hidden="1" outlineLevel="3">
      <c r="A132" s="218"/>
      <c r="B132" s="219"/>
      <c r="D132" s="223"/>
      <c r="E132" s="223"/>
      <c r="F132" s="223"/>
      <c r="G132" s="223"/>
      <c r="H132" s="223"/>
      <c r="I132" s="223"/>
      <c r="J132" s="223"/>
      <c r="K132" s="223"/>
      <c r="L132" s="223"/>
      <c r="M132" s="223"/>
      <c r="N132" s="223"/>
      <c r="O132" s="223"/>
      <c r="P132" s="223"/>
      <c r="Q132" s="223"/>
      <c r="R132" s="223"/>
      <c r="S132" s="223"/>
      <c r="T132" s="223"/>
      <c r="U132" s="223"/>
      <c r="V132" s="224"/>
    </row>
    <row r="133" spans="1:31" s="220" customFormat="1" hidden="1" outlineLevel="3">
      <c r="A133" s="218"/>
      <c r="B133" s="219"/>
      <c r="C133" s="219" t="s">
        <v>132</v>
      </c>
      <c r="D133" s="228">
        <f>D131</f>
        <v>-63360.36</v>
      </c>
      <c r="E133" s="223"/>
      <c r="F133" s="228">
        <f>F131</f>
        <v>0</v>
      </c>
      <c r="G133" s="223"/>
      <c r="H133" s="228">
        <f>H131</f>
        <v>0</v>
      </c>
      <c r="I133" s="223"/>
      <c r="J133" s="228">
        <f>J131</f>
        <v>0</v>
      </c>
      <c r="K133" s="223"/>
      <c r="L133" s="228">
        <f>L131</f>
        <v>0</v>
      </c>
      <c r="M133" s="222"/>
      <c r="N133" s="222"/>
      <c r="O133" s="222"/>
      <c r="P133" s="222"/>
      <c r="Q133" s="222"/>
      <c r="R133" s="222"/>
      <c r="S133" s="223"/>
      <c r="T133" s="228">
        <f>T131</f>
        <v>-63360.36</v>
      </c>
      <c r="U133" s="222"/>
      <c r="V133" s="224"/>
    </row>
    <row r="134" spans="1:31" hidden="1" outlineLevel="3">
      <c r="D134" s="181"/>
      <c r="E134" s="181"/>
      <c r="F134" s="181"/>
      <c r="G134" s="181"/>
      <c r="H134" s="181"/>
      <c r="I134" s="181"/>
      <c r="J134" s="181"/>
      <c r="K134" s="181"/>
      <c r="L134" s="181"/>
      <c r="M134" s="181"/>
      <c r="N134" s="181"/>
      <c r="O134" s="181"/>
      <c r="P134" s="181"/>
      <c r="Q134" s="181"/>
      <c r="R134" s="181"/>
      <c r="S134" s="181"/>
      <c r="T134" s="181"/>
      <c r="U134" s="181"/>
      <c r="V134" s="196"/>
    </row>
    <row r="135" spans="1:31" hidden="1" outlineLevel="1" collapsed="1">
      <c r="B135" s="231" t="s">
        <v>1120</v>
      </c>
      <c r="D135" s="181">
        <f>+D133</f>
        <v>-63360.36</v>
      </c>
      <c r="E135" s="181"/>
      <c r="F135" s="181">
        <f>+F133</f>
        <v>0</v>
      </c>
      <c r="G135" s="181"/>
      <c r="H135" s="181">
        <f>+H133</f>
        <v>0</v>
      </c>
      <c r="I135" s="181"/>
      <c r="J135" s="181">
        <f>+J133</f>
        <v>0</v>
      </c>
      <c r="K135" s="181"/>
      <c r="L135" s="181">
        <f>+L133</f>
        <v>0</v>
      </c>
      <c r="M135" s="181"/>
      <c r="N135" s="181"/>
      <c r="O135" s="181"/>
      <c r="P135" s="181"/>
      <c r="Q135" s="181"/>
      <c r="R135" s="181"/>
      <c r="S135" s="181"/>
      <c r="T135" s="181">
        <f>+T133</f>
        <v>-63360.36</v>
      </c>
      <c r="U135" s="181"/>
      <c r="V135" s="196"/>
      <c r="AD135" s="211">
        <f>SUM(V135:AB135)</f>
        <v>0</v>
      </c>
      <c r="AE135" s="211">
        <f>+L135-AD135</f>
        <v>0</v>
      </c>
    </row>
    <row r="136" spans="1:31" hidden="1" outlineLevel="1">
      <c r="D136" s="181"/>
      <c r="E136" s="181"/>
      <c r="F136" s="181"/>
      <c r="G136" s="181"/>
      <c r="H136" s="181"/>
      <c r="I136" s="181"/>
      <c r="J136" s="181"/>
      <c r="K136" s="181"/>
      <c r="L136" s="181"/>
      <c r="M136" s="181"/>
      <c r="N136" s="181"/>
      <c r="O136" s="181"/>
      <c r="P136" s="181"/>
      <c r="Q136" s="181"/>
      <c r="R136" s="181"/>
      <c r="S136" s="181"/>
      <c r="T136" s="181"/>
      <c r="U136" s="181"/>
      <c r="V136" s="196"/>
    </row>
    <row r="137" spans="1:31" s="220" customFormat="1" hidden="1" outlineLevel="2">
      <c r="A137" s="218">
        <v>107</v>
      </c>
      <c r="B137" s="219" t="s">
        <v>452</v>
      </c>
      <c r="D137" s="223"/>
      <c r="E137" s="223"/>
      <c r="F137" s="223"/>
      <c r="G137" s="223"/>
      <c r="H137" s="223"/>
      <c r="I137" s="223"/>
      <c r="J137" s="223"/>
      <c r="K137" s="223"/>
      <c r="L137" s="223"/>
      <c r="M137" s="223"/>
      <c r="N137" s="223"/>
      <c r="O137" s="223"/>
      <c r="P137" s="223"/>
      <c r="Q137" s="223"/>
      <c r="R137" s="223"/>
      <c r="S137" s="223"/>
      <c r="T137" s="223"/>
      <c r="U137" s="223"/>
      <c r="V137" s="224"/>
    </row>
    <row r="138" spans="1:31" s="220" customFormat="1" hidden="1" outlineLevel="2">
      <c r="A138" s="218"/>
      <c r="B138" s="219" t="s">
        <v>133</v>
      </c>
      <c r="D138" s="223"/>
      <c r="E138" s="223"/>
      <c r="F138" s="223"/>
      <c r="G138" s="223"/>
      <c r="H138" s="223"/>
      <c r="I138" s="223"/>
      <c r="J138" s="223"/>
      <c r="K138" s="223"/>
      <c r="L138" s="223"/>
      <c r="M138" s="223"/>
      <c r="N138" s="223"/>
      <c r="O138" s="223"/>
      <c r="P138" s="223"/>
      <c r="Q138" s="223"/>
      <c r="R138" s="223"/>
      <c r="S138" s="223"/>
      <c r="T138" s="223"/>
      <c r="U138" s="223"/>
      <c r="V138" s="224"/>
    </row>
    <row r="139" spans="1:31" s="220" customFormat="1" hidden="1" outlineLevel="2">
      <c r="A139" s="218"/>
      <c r="B139" s="219"/>
      <c r="D139" s="223"/>
      <c r="E139" s="223"/>
      <c r="F139" s="223"/>
      <c r="G139" s="223"/>
      <c r="H139" s="223"/>
      <c r="I139" s="223"/>
      <c r="J139" s="223"/>
      <c r="K139" s="223"/>
      <c r="L139" s="223"/>
      <c r="M139" s="223"/>
      <c r="N139" s="223"/>
      <c r="O139" s="223"/>
      <c r="P139" s="223"/>
      <c r="Q139" s="223"/>
      <c r="R139" s="223"/>
      <c r="S139" s="223"/>
      <c r="T139" s="223"/>
      <c r="U139" s="223"/>
      <c r="V139" s="224"/>
    </row>
    <row r="140" spans="1:31" s="220" customFormat="1" hidden="1" outlineLevel="2">
      <c r="A140" s="218"/>
      <c r="B140" s="219"/>
      <c r="C140" s="220" t="s">
        <v>652</v>
      </c>
      <c r="D140" s="223">
        <f>+'Summary - Cost - PG 1 (PA)'!D106</f>
        <v>0</v>
      </c>
      <c r="E140" s="223"/>
      <c r="F140" s="223">
        <f>+'Summary - Cost - PG 1 (PA)'!F106</f>
        <v>0</v>
      </c>
      <c r="G140" s="223"/>
      <c r="H140" s="223">
        <f>+'Summary - Cost - PG 1 (PA)'!H106</f>
        <v>0</v>
      </c>
      <c r="I140" s="223"/>
      <c r="J140" s="223">
        <f>+'Summary - Cost - PG 1 (PA)'!J106</f>
        <v>0</v>
      </c>
      <c r="K140" s="223"/>
      <c r="L140" s="223">
        <f>F140+H140+J140</f>
        <v>0</v>
      </c>
      <c r="M140" s="223"/>
      <c r="N140" s="223"/>
      <c r="O140" s="223"/>
      <c r="P140" s="223"/>
      <c r="Q140" s="223"/>
      <c r="R140" s="223"/>
      <c r="S140" s="223"/>
      <c r="T140" s="223">
        <f>D140+L140</f>
        <v>0</v>
      </c>
      <c r="U140" s="223"/>
      <c r="V140" s="224"/>
      <c r="W140" s="232"/>
    </row>
    <row r="141" spans="1:31" s="220" customFormat="1" hidden="1" outlineLevel="2">
      <c r="A141" s="218"/>
      <c r="B141" s="219"/>
      <c r="C141" s="220" t="s">
        <v>112</v>
      </c>
      <c r="D141" s="223">
        <f>+'Summary - Cost - PG 1 (PA)'!D107</f>
        <v>0.01</v>
      </c>
      <c r="E141" s="223"/>
      <c r="F141" s="223">
        <f>+'Summary - Cost - PG 1 (PA)'!F107</f>
        <v>0</v>
      </c>
      <c r="G141" s="223"/>
      <c r="H141" s="223">
        <f>+'Summary - Cost - PG 1 (PA)'!H107</f>
        <v>0</v>
      </c>
      <c r="I141" s="223"/>
      <c r="J141" s="223">
        <f>+'Summary - Cost - PG 1 (PA)'!J107</f>
        <v>0</v>
      </c>
      <c r="K141" s="223"/>
      <c r="L141" s="223">
        <f>F141+H141+J141</f>
        <v>0</v>
      </c>
      <c r="M141" s="223"/>
      <c r="N141" s="223"/>
      <c r="O141" s="223"/>
      <c r="P141" s="223"/>
      <c r="Q141" s="223"/>
      <c r="R141" s="223"/>
      <c r="S141" s="223"/>
      <c r="T141" s="223">
        <f>D141+L141</f>
        <v>0.01</v>
      </c>
      <c r="U141" s="223"/>
      <c r="V141" s="224"/>
      <c r="W141" s="232"/>
    </row>
    <row r="142" spans="1:31" s="220" customFormat="1" hidden="1" outlineLevel="2">
      <c r="A142" s="218"/>
      <c r="B142" s="219"/>
      <c r="C142" s="220" t="s">
        <v>120</v>
      </c>
      <c r="D142" s="225">
        <f>+'Summary - Cost - PG 1 (PA)'!D108</f>
        <v>0</v>
      </c>
      <c r="E142" s="223"/>
      <c r="F142" s="225">
        <f>+'Summary - Cost - PG 1 (PA)'!F108</f>
        <v>0</v>
      </c>
      <c r="G142" s="223"/>
      <c r="H142" s="225">
        <f>+'Summary - Cost - PG 1 (PA)'!H108</f>
        <v>0</v>
      </c>
      <c r="I142" s="223"/>
      <c r="J142" s="225">
        <f>+'Summary - Cost - PG 1 (PA)'!J108</f>
        <v>0</v>
      </c>
      <c r="K142" s="223"/>
      <c r="L142" s="225">
        <f>F142+H142+J142</f>
        <v>0</v>
      </c>
      <c r="M142" s="222"/>
      <c r="N142" s="222"/>
      <c r="O142" s="222"/>
      <c r="P142" s="222"/>
      <c r="Q142" s="222"/>
      <c r="R142" s="222"/>
      <c r="S142" s="223"/>
      <c r="T142" s="225">
        <f>D142+L142</f>
        <v>0</v>
      </c>
      <c r="U142" s="222"/>
      <c r="V142" s="224"/>
      <c r="W142" s="232"/>
    </row>
    <row r="143" spans="1:31" s="220" customFormat="1" hidden="1" outlineLevel="2">
      <c r="A143" s="218"/>
      <c r="B143" s="219"/>
      <c r="C143" s="227"/>
      <c r="D143" s="222">
        <f>SUM(D140:D142)</f>
        <v>0.01</v>
      </c>
      <c r="E143" s="222"/>
      <c r="F143" s="222">
        <f>SUM(F140:F142)</f>
        <v>0</v>
      </c>
      <c r="G143" s="222"/>
      <c r="H143" s="222">
        <f>SUM(H140:H142)</f>
        <v>0</v>
      </c>
      <c r="I143" s="222"/>
      <c r="J143" s="222">
        <f>SUM(J140:J142)</f>
        <v>0</v>
      </c>
      <c r="K143" s="222"/>
      <c r="L143" s="222">
        <f>SUM(L140:L142)</f>
        <v>0</v>
      </c>
      <c r="M143" s="222"/>
      <c r="N143" s="222"/>
      <c r="O143" s="222"/>
      <c r="P143" s="222"/>
      <c r="Q143" s="222"/>
      <c r="R143" s="222"/>
      <c r="S143" s="222"/>
      <c r="T143" s="222">
        <f>SUM(T140:T142)</f>
        <v>0.01</v>
      </c>
      <c r="U143" s="222"/>
      <c r="V143" s="224"/>
    </row>
    <row r="144" spans="1:31" hidden="1" outlineLevel="2">
      <c r="C144" s="11"/>
      <c r="D144" s="188"/>
      <c r="E144" s="181"/>
      <c r="F144" s="188"/>
      <c r="G144" s="181"/>
      <c r="H144" s="188"/>
      <c r="I144" s="181"/>
      <c r="J144" s="188"/>
      <c r="K144" s="181"/>
      <c r="L144" s="188"/>
      <c r="M144" s="188"/>
      <c r="N144" s="188"/>
      <c r="O144" s="188"/>
      <c r="P144" s="188"/>
      <c r="Q144" s="188"/>
      <c r="R144" s="188"/>
      <c r="S144" s="181"/>
      <c r="T144" s="188"/>
      <c r="U144" s="188"/>
      <c r="V144" s="196"/>
    </row>
    <row r="145" spans="1:31" hidden="1" outlineLevel="2">
      <c r="B145" s="184"/>
      <c r="C145" s="11"/>
      <c r="D145" s="188"/>
      <c r="E145" s="181"/>
      <c r="F145" s="188"/>
      <c r="G145" s="181"/>
      <c r="H145" s="188"/>
      <c r="I145" s="181"/>
      <c r="J145" s="188"/>
      <c r="K145" s="181"/>
      <c r="L145" s="188"/>
      <c r="M145" s="188"/>
      <c r="N145" s="188"/>
      <c r="O145" s="188"/>
      <c r="P145" s="188"/>
      <c r="Q145" s="188"/>
      <c r="R145" s="188"/>
      <c r="S145" s="181"/>
      <c r="T145" s="188"/>
      <c r="U145" s="188"/>
      <c r="V145" s="196"/>
    </row>
    <row r="146" spans="1:31" hidden="1" outlineLevel="1" collapsed="1">
      <c r="B146" s="231" t="s">
        <v>1122</v>
      </c>
      <c r="D146" s="181"/>
      <c r="E146" s="181"/>
      <c r="F146" s="181">
        <f>+F143</f>
        <v>0</v>
      </c>
      <c r="G146" s="181"/>
      <c r="H146" s="181">
        <f>+H143</f>
        <v>0</v>
      </c>
      <c r="I146" s="181"/>
      <c r="J146" s="181">
        <f>+J143</f>
        <v>0</v>
      </c>
      <c r="K146" s="181"/>
      <c r="L146" s="181">
        <f>+L143</f>
        <v>0</v>
      </c>
      <c r="M146" s="181"/>
      <c r="N146" s="181"/>
      <c r="O146" s="181"/>
      <c r="P146" s="181"/>
      <c r="Q146" s="181"/>
      <c r="R146" s="181"/>
      <c r="S146" s="181"/>
      <c r="T146" s="181">
        <f>+T143</f>
        <v>0.01</v>
      </c>
      <c r="U146" s="181"/>
      <c r="V146" s="196"/>
      <c r="W146" s="211">
        <f>-W125-W175</f>
        <v>0</v>
      </c>
      <c r="AB146" s="211">
        <f>+F146+F125+F159</f>
        <v>0</v>
      </c>
      <c r="AC146" s="211"/>
      <c r="AD146" s="211">
        <f>SUM(V146:AB146)</f>
        <v>0</v>
      </c>
      <c r="AE146" s="211">
        <f>+L146-AD146</f>
        <v>0</v>
      </c>
    </row>
    <row r="147" spans="1:31" hidden="1" outlineLevel="1">
      <c r="D147" s="233"/>
      <c r="E147" s="233"/>
      <c r="F147" s="233"/>
      <c r="G147" s="233"/>
      <c r="H147" s="233"/>
      <c r="I147" s="233"/>
      <c r="J147" s="233"/>
      <c r="K147" s="233"/>
      <c r="L147" s="233"/>
      <c r="M147" s="233"/>
      <c r="N147" s="233"/>
      <c r="O147" s="233"/>
      <c r="P147" s="233"/>
      <c r="Q147" s="233"/>
      <c r="R147" s="233"/>
      <c r="S147" s="233"/>
      <c r="T147" s="233"/>
      <c r="U147" s="233"/>
    </row>
    <row r="148" spans="1:31" s="220" customFormat="1" hidden="1" outlineLevel="2">
      <c r="A148" s="218"/>
      <c r="B148" s="219" t="s">
        <v>1125</v>
      </c>
      <c r="C148" s="219"/>
      <c r="D148" s="222"/>
      <c r="E148" s="223"/>
      <c r="F148" s="222"/>
      <c r="G148" s="223"/>
      <c r="H148" s="222"/>
      <c r="I148" s="223"/>
      <c r="J148" s="222"/>
      <c r="K148" s="223"/>
      <c r="L148" s="222"/>
      <c r="M148" s="222"/>
      <c r="N148" s="222"/>
      <c r="O148" s="222"/>
      <c r="P148" s="222"/>
      <c r="Q148" s="222"/>
      <c r="R148" s="222"/>
      <c r="S148" s="223"/>
      <c r="T148" s="222"/>
      <c r="U148" s="222"/>
      <c r="V148" s="224"/>
    </row>
    <row r="149" spans="1:31" s="220" customFormat="1" hidden="1" outlineLevel="2">
      <c r="A149" s="218"/>
      <c r="B149" s="219"/>
      <c r="C149" s="219"/>
      <c r="D149" s="222"/>
      <c r="E149" s="223"/>
      <c r="F149" s="222"/>
      <c r="G149" s="223"/>
      <c r="H149" s="222"/>
      <c r="I149" s="223"/>
      <c r="J149" s="222"/>
      <c r="K149" s="223"/>
      <c r="L149" s="222"/>
      <c r="M149" s="222"/>
      <c r="N149" s="222"/>
      <c r="O149" s="222"/>
      <c r="P149" s="222"/>
      <c r="Q149" s="222"/>
      <c r="R149" s="222"/>
      <c r="S149" s="223"/>
      <c r="T149" s="222"/>
      <c r="U149" s="222"/>
      <c r="V149" s="224"/>
    </row>
    <row r="150" spans="1:31" s="220" customFormat="1" hidden="1" outlineLevel="2">
      <c r="A150" s="229" t="s">
        <v>1126</v>
      </c>
      <c r="B150" s="219"/>
      <c r="C150" s="219" t="s">
        <v>1127</v>
      </c>
      <c r="D150" s="222">
        <f t="shared" ref="D150:D158" si="13">+D113</f>
        <v>-127911.26</v>
      </c>
      <c r="E150" s="223"/>
      <c r="F150" s="222">
        <f t="shared" ref="F150:F158" si="14">+F113</f>
        <v>0</v>
      </c>
      <c r="G150" s="223"/>
      <c r="H150" s="222">
        <f t="shared" ref="H150:H158" si="15">+H113</f>
        <v>0</v>
      </c>
      <c r="I150" s="223"/>
      <c r="J150" s="222">
        <f t="shared" ref="J150:J158" si="16">+J113</f>
        <v>0</v>
      </c>
      <c r="K150" s="223"/>
      <c r="L150" s="222">
        <f t="shared" ref="L150:L158" si="17">+L113</f>
        <v>0</v>
      </c>
      <c r="M150" s="222"/>
      <c r="N150" s="222">
        <f t="shared" ref="N150:N158" si="18">+N113</f>
        <v>0</v>
      </c>
      <c r="O150" s="222"/>
      <c r="P150" s="222">
        <f t="shared" ref="P150:P158" si="19">+P113</f>
        <v>0</v>
      </c>
      <c r="Q150" s="222"/>
      <c r="R150" s="222">
        <f t="shared" ref="R150:R158" si="20">+R113</f>
        <v>0</v>
      </c>
      <c r="S150" s="223"/>
      <c r="T150" s="222">
        <f t="shared" ref="T150:T158" si="21">+T113</f>
        <v>-127911.26</v>
      </c>
      <c r="U150" s="222"/>
      <c r="V150" s="224"/>
    </row>
    <row r="151" spans="1:31" s="220" customFormat="1" hidden="1" outlineLevel="2">
      <c r="A151" s="229" t="s">
        <v>1128</v>
      </c>
      <c r="B151" s="219"/>
      <c r="C151" s="219" t="s">
        <v>1129</v>
      </c>
      <c r="D151" s="222">
        <f t="shared" si="13"/>
        <v>-70451.45</v>
      </c>
      <c r="E151" s="223"/>
      <c r="F151" s="222">
        <f t="shared" si="14"/>
        <v>0</v>
      </c>
      <c r="G151" s="223"/>
      <c r="H151" s="222">
        <f t="shared" si="15"/>
        <v>0</v>
      </c>
      <c r="I151" s="223"/>
      <c r="J151" s="222">
        <f t="shared" si="16"/>
        <v>0</v>
      </c>
      <c r="K151" s="223"/>
      <c r="L151" s="222">
        <f t="shared" si="17"/>
        <v>0</v>
      </c>
      <c r="M151" s="222"/>
      <c r="N151" s="222">
        <f t="shared" si="18"/>
        <v>0</v>
      </c>
      <c r="O151" s="222"/>
      <c r="P151" s="222">
        <f t="shared" si="19"/>
        <v>0</v>
      </c>
      <c r="Q151" s="222"/>
      <c r="R151" s="222">
        <f t="shared" si="20"/>
        <v>0</v>
      </c>
      <c r="S151" s="223"/>
      <c r="T151" s="222">
        <f t="shared" si="21"/>
        <v>-70451.45</v>
      </c>
      <c r="U151" s="222"/>
      <c r="V151" s="224"/>
    </row>
    <row r="152" spans="1:31" s="220" customFormat="1" hidden="1" outlineLevel="2">
      <c r="A152" s="229" t="s">
        <v>1130</v>
      </c>
      <c r="B152" s="219"/>
      <c r="C152" s="219" t="s">
        <v>1129</v>
      </c>
      <c r="D152" s="222">
        <f t="shared" si="13"/>
        <v>-77375.47</v>
      </c>
      <c r="E152" s="223"/>
      <c r="F152" s="222">
        <f t="shared" si="14"/>
        <v>0</v>
      </c>
      <c r="G152" s="223"/>
      <c r="H152" s="222">
        <f t="shared" si="15"/>
        <v>0</v>
      </c>
      <c r="I152" s="223"/>
      <c r="J152" s="222">
        <f t="shared" si="16"/>
        <v>0</v>
      </c>
      <c r="K152" s="223"/>
      <c r="L152" s="222">
        <f t="shared" si="17"/>
        <v>0</v>
      </c>
      <c r="M152" s="222"/>
      <c r="N152" s="222">
        <f t="shared" si="18"/>
        <v>0</v>
      </c>
      <c r="O152" s="222"/>
      <c r="P152" s="222">
        <f t="shared" si="19"/>
        <v>0</v>
      </c>
      <c r="Q152" s="222"/>
      <c r="R152" s="222">
        <f t="shared" si="20"/>
        <v>0</v>
      </c>
      <c r="S152" s="223"/>
      <c r="T152" s="222">
        <f t="shared" si="21"/>
        <v>-77375.47</v>
      </c>
      <c r="U152" s="222"/>
      <c r="V152" s="224"/>
    </row>
    <row r="153" spans="1:31" s="220" customFormat="1" hidden="1" outlineLevel="2">
      <c r="A153" s="229" t="s">
        <v>1131</v>
      </c>
      <c r="B153" s="219"/>
      <c r="C153" s="219" t="s">
        <v>1129</v>
      </c>
      <c r="D153" s="222">
        <f t="shared" si="13"/>
        <v>-569589.96</v>
      </c>
      <c r="E153" s="223"/>
      <c r="F153" s="222">
        <f t="shared" si="14"/>
        <v>0</v>
      </c>
      <c r="G153" s="223"/>
      <c r="H153" s="222">
        <f t="shared" si="15"/>
        <v>0</v>
      </c>
      <c r="I153" s="223"/>
      <c r="J153" s="222">
        <f t="shared" si="16"/>
        <v>0</v>
      </c>
      <c r="K153" s="223"/>
      <c r="L153" s="222">
        <f t="shared" si="17"/>
        <v>0</v>
      </c>
      <c r="M153" s="222"/>
      <c r="N153" s="222">
        <f t="shared" si="18"/>
        <v>0</v>
      </c>
      <c r="O153" s="222"/>
      <c r="P153" s="222">
        <f t="shared" si="19"/>
        <v>0</v>
      </c>
      <c r="Q153" s="222"/>
      <c r="R153" s="222">
        <f t="shared" si="20"/>
        <v>0</v>
      </c>
      <c r="S153" s="223"/>
      <c r="T153" s="222">
        <f t="shared" si="21"/>
        <v>-569589.96</v>
      </c>
      <c r="U153" s="222"/>
      <c r="V153" s="224"/>
    </row>
    <row r="154" spans="1:31" s="220" customFormat="1" hidden="1" outlineLevel="2">
      <c r="A154" s="229" t="s">
        <v>1132</v>
      </c>
      <c r="B154" s="219"/>
      <c r="C154" s="219" t="s">
        <v>1129</v>
      </c>
      <c r="D154" s="222">
        <f t="shared" si="13"/>
        <v>-208142.37</v>
      </c>
      <c r="E154" s="223"/>
      <c r="F154" s="222">
        <f t="shared" si="14"/>
        <v>0</v>
      </c>
      <c r="G154" s="223"/>
      <c r="H154" s="222">
        <f t="shared" si="15"/>
        <v>0</v>
      </c>
      <c r="I154" s="223"/>
      <c r="J154" s="222">
        <f t="shared" si="16"/>
        <v>0</v>
      </c>
      <c r="K154" s="223"/>
      <c r="L154" s="222">
        <f t="shared" si="17"/>
        <v>0</v>
      </c>
      <c r="M154" s="222"/>
      <c r="N154" s="222">
        <f t="shared" si="18"/>
        <v>0</v>
      </c>
      <c r="O154" s="222"/>
      <c r="P154" s="222">
        <f t="shared" si="19"/>
        <v>0</v>
      </c>
      <c r="Q154" s="222"/>
      <c r="R154" s="222">
        <f t="shared" si="20"/>
        <v>0</v>
      </c>
      <c r="S154" s="223"/>
      <c r="T154" s="222">
        <f t="shared" si="21"/>
        <v>-208142.37</v>
      </c>
      <c r="U154" s="222"/>
      <c r="V154" s="224"/>
    </row>
    <row r="155" spans="1:31" s="220" customFormat="1" hidden="1" outlineLevel="2">
      <c r="A155" s="229" t="s">
        <v>1133</v>
      </c>
      <c r="B155" s="219"/>
      <c r="C155" s="219" t="s">
        <v>1134</v>
      </c>
      <c r="D155" s="222">
        <f t="shared" si="13"/>
        <v>-1916046</v>
      </c>
      <c r="E155" s="223"/>
      <c r="F155" s="222">
        <f t="shared" si="14"/>
        <v>0</v>
      </c>
      <c r="G155" s="223"/>
      <c r="H155" s="222">
        <f t="shared" si="15"/>
        <v>0</v>
      </c>
      <c r="I155" s="223"/>
      <c r="J155" s="222">
        <f t="shared" si="16"/>
        <v>0</v>
      </c>
      <c r="K155" s="223"/>
      <c r="L155" s="222">
        <f t="shared" si="17"/>
        <v>0</v>
      </c>
      <c r="M155" s="222"/>
      <c r="N155" s="222">
        <f t="shared" si="18"/>
        <v>0</v>
      </c>
      <c r="O155" s="222"/>
      <c r="P155" s="222">
        <f t="shared" si="19"/>
        <v>0</v>
      </c>
      <c r="Q155" s="222"/>
      <c r="R155" s="222">
        <f t="shared" si="20"/>
        <v>0</v>
      </c>
      <c r="S155" s="223"/>
      <c r="T155" s="222">
        <f t="shared" si="21"/>
        <v>-1916046</v>
      </c>
      <c r="U155" s="222"/>
      <c r="V155" s="224"/>
    </row>
    <row r="156" spans="1:31" s="220" customFormat="1" hidden="1" outlineLevel="2">
      <c r="A156" s="229" t="s">
        <v>1135</v>
      </c>
      <c r="B156" s="219"/>
      <c r="C156" s="219" t="s">
        <v>1136</v>
      </c>
      <c r="D156" s="222">
        <f t="shared" si="13"/>
        <v>0</v>
      </c>
      <c r="E156" s="223"/>
      <c r="F156" s="222">
        <f t="shared" si="14"/>
        <v>0</v>
      </c>
      <c r="G156" s="223"/>
      <c r="H156" s="222">
        <f t="shared" si="15"/>
        <v>0</v>
      </c>
      <c r="I156" s="223"/>
      <c r="J156" s="222">
        <f t="shared" si="16"/>
        <v>0</v>
      </c>
      <c r="K156" s="223"/>
      <c r="L156" s="222">
        <f t="shared" si="17"/>
        <v>0</v>
      </c>
      <c r="M156" s="222"/>
      <c r="N156" s="222">
        <f t="shared" si="18"/>
        <v>0</v>
      </c>
      <c r="O156" s="222"/>
      <c r="P156" s="222">
        <f t="shared" si="19"/>
        <v>0</v>
      </c>
      <c r="Q156" s="222"/>
      <c r="R156" s="222">
        <f t="shared" si="20"/>
        <v>0</v>
      </c>
      <c r="S156" s="223"/>
      <c r="T156" s="222">
        <f t="shared" si="21"/>
        <v>0</v>
      </c>
      <c r="U156" s="222"/>
      <c r="V156" s="224"/>
    </row>
    <row r="157" spans="1:31" s="220" customFormat="1" hidden="1" outlineLevel="2">
      <c r="A157" s="229" t="s">
        <v>1135</v>
      </c>
      <c r="B157" s="219"/>
      <c r="C157" s="219" t="s">
        <v>1137</v>
      </c>
      <c r="D157" s="222">
        <f t="shared" si="13"/>
        <v>0</v>
      </c>
      <c r="E157" s="223"/>
      <c r="F157" s="222">
        <f t="shared" si="14"/>
        <v>0</v>
      </c>
      <c r="G157" s="223"/>
      <c r="H157" s="222">
        <f t="shared" si="15"/>
        <v>0</v>
      </c>
      <c r="I157" s="223"/>
      <c r="J157" s="222">
        <f t="shared" si="16"/>
        <v>0</v>
      </c>
      <c r="K157" s="223"/>
      <c r="L157" s="222">
        <f t="shared" si="17"/>
        <v>0</v>
      </c>
      <c r="M157" s="222"/>
      <c r="N157" s="222">
        <f t="shared" si="18"/>
        <v>0</v>
      </c>
      <c r="O157" s="222"/>
      <c r="P157" s="222">
        <f t="shared" si="19"/>
        <v>0</v>
      </c>
      <c r="Q157" s="222"/>
      <c r="R157" s="222">
        <f t="shared" si="20"/>
        <v>0</v>
      </c>
      <c r="S157" s="223"/>
      <c r="T157" s="222">
        <f t="shared" si="21"/>
        <v>0</v>
      </c>
      <c r="U157" s="222"/>
      <c r="V157" s="224"/>
    </row>
    <row r="158" spans="1:31" s="220" customFormat="1" hidden="1" outlineLevel="2">
      <c r="A158" s="229" t="s">
        <v>1135</v>
      </c>
      <c r="B158" s="219"/>
      <c r="C158" s="219" t="s">
        <v>1138</v>
      </c>
      <c r="D158" s="222">
        <f t="shared" si="13"/>
        <v>-119.15999999999997</v>
      </c>
      <c r="E158" s="223"/>
      <c r="F158" s="222">
        <f t="shared" si="14"/>
        <v>0</v>
      </c>
      <c r="G158" s="223"/>
      <c r="H158" s="222">
        <f t="shared" si="15"/>
        <v>0</v>
      </c>
      <c r="I158" s="223"/>
      <c r="J158" s="222">
        <f t="shared" si="16"/>
        <v>0</v>
      </c>
      <c r="K158" s="223"/>
      <c r="L158" s="222">
        <f t="shared" si="17"/>
        <v>0</v>
      </c>
      <c r="M158" s="222"/>
      <c r="N158" s="222">
        <f t="shared" si="18"/>
        <v>0</v>
      </c>
      <c r="O158" s="222"/>
      <c r="P158" s="222">
        <f t="shared" si="19"/>
        <v>0</v>
      </c>
      <c r="Q158" s="222"/>
      <c r="R158" s="222">
        <f t="shared" si="20"/>
        <v>0</v>
      </c>
      <c r="S158" s="223"/>
      <c r="T158" s="222">
        <f t="shared" si="21"/>
        <v>-119.15999999999997</v>
      </c>
      <c r="U158" s="222"/>
      <c r="V158" s="224"/>
    </row>
    <row r="159" spans="1:31" s="220" customFormat="1" ht="12" hidden="1" customHeight="1" outlineLevel="2">
      <c r="A159" s="229"/>
      <c r="B159" s="219"/>
      <c r="C159" s="219" t="s">
        <v>1139</v>
      </c>
      <c r="D159" s="228">
        <f>SUM(D150:D158)</f>
        <v>-2969635.67</v>
      </c>
      <c r="E159" s="223"/>
      <c r="F159" s="228">
        <f>SUM(F150:F158)</f>
        <v>0</v>
      </c>
      <c r="G159" s="223"/>
      <c r="H159" s="228">
        <f>SUM(H150:H158)</f>
        <v>0</v>
      </c>
      <c r="I159" s="223"/>
      <c r="J159" s="228">
        <f>SUM(J150:J158)</f>
        <v>0</v>
      </c>
      <c r="K159" s="223"/>
      <c r="L159" s="228">
        <f>SUM(L150:L158)</f>
        <v>0</v>
      </c>
      <c r="M159" s="222"/>
      <c r="N159" s="228">
        <f>SUM(N150:N158)</f>
        <v>0</v>
      </c>
      <c r="O159" s="222"/>
      <c r="P159" s="228">
        <f>SUM(P150:P158)</f>
        <v>0</v>
      </c>
      <c r="Q159" s="222"/>
      <c r="R159" s="228">
        <f>SUM(R150:R158)</f>
        <v>0</v>
      </c>
      <c r="S159" s="223"/>
      <c r="T159" s="228">
        <f>SUM(T150:T158)</f>
        <v>-2969635.67</v>
      </c>
      <c r="U159" s="222"/>
      <c r="V159" s="224"/>
    </row>
    <row r="160" spans="1:31" s="220" customFormat="1" hidden="1" outlineLevel="2">
      <c r="A160" s="218"/>
      <c r="B160" s="219"/>
      <c r="D160" s="234"/>
      <c r="E160" s="234"/>
      <c r="F160" s="234"/>
      <c r="G160" s="234"/>
      <c r="H160" s="234"/>
      <c r="I160" s="234"/>
      <c r="J160" s="234"/>
      <c r="K160" s="234"/>
      <c r="L160" s="234"/>
      <c r="M160" s="234"/>
      <c r="N160" s="234"/>
      <c r="O160" s="234"/>
      <c r="P160" s="234"/>
      <c r="Q160" s="234"/>
      <c r="R160" s="234"/>
      <c r="S160" s="234"/>
      <c r="T160" s="234"/>
      <c r="U160" s="234"/>
      <c r="V160" s="221"/>
    </row>
    <row r="161" spans="1:31" s="220" customFormat="1" hidden="1" outlineLevel="2">
      <c r="A161" s="218"/>
      <c r="B161" s="219"/>
      <c r="D161" s="234"/>
      <c r="E161" s="234"/>
      <c r="F161" s="234"/>
      <c r="G161" s="234"/>
      <c r="H161" s="234"/>
      <c r="I161" s="234"/>
      <c r="J161" s="234"/>
      <c r="K161" s="234"/>
      <c r="L161" s="234"/>
      <c r="M161" s="234"/>
      <c r="N161" s="234"/>
      <c r="O161" s="234"/>
      <c r="P161" s="234"/>
      <c r="Q161" s="234"/>
      <c r="R161" s="234"/>
      <c r="S161" s="234"/>
      <c r="T161" s="234"/>
      <c r="U161" s="234"/>
      <c r="V161" s="221"/>
    </row>
    <row r="162" spans="1:31" s="220" customFormat="1" hidden="1" outlineLevel="2">
      <c r="A162" s="218"/>
      <c r="D162" s="235" t="s">
        <v>25</v>
      </c>
      <c r="F162" s="223"/>
      <c r="H162" s="223"/>
      <c r="J162" s="235" t="s">
        <v>612</v>
      </c>
      <c r="L162" s="235" t="s">
        <v>28</v>
      </c>
      <c r="N162" s="236" t="s">
        <v>37</v>
      </c>
      <c r="P162" s="235"/>
      <c r="R162" s="235" t="s">
        <v>39</v>
      </c>
      <c r="T162" s="235" t="s">
        <v>26</v>
      </c>
      <c r="U162" s="235"/>
      <c r="V162" s="221"/>
    </row>
    <row r="163" spans="1:31" s="220" customFormat="1" hidden="1" outlineLevel="2">
      <c r="A163" s="218"/>
      <c r="D163" s="237" t="s">
        <v>27</v>
      </c>
      <c r="F163" s="237" t="s">
        <v>954</v>
      </c>
      <c r="H163" s="237" t="s">
        <v>108</v>
      </c>
      <c r="J163" s="237" t="s">
        <v>613</v>
      </c>
      <c r="L163" s="237" t="s">
        <v>29</v>
      </c>
      <c r="N163" s="237" t="s">
        <v>38</v>
      </c>
      <c r="P163" s="237" t="s">
        <v>955</v>
      </c>
      <c r="R163" s="237" t="s">
        <v>105</v>
      </c>
      <c r="T163" s="237" t="s">
        <v>27</v>
      </c>
      <c r="U163" s="236"/>
      <c r="V163" s="221"/>
    </row>
    <row r="164" spans="1:31" s="220" customFormat="1" hidden="1" outlineLevel="2">
      <c r="A164" s="229" t="s">
        <v>1133</v>
      </c>
      <c r="B164" s="219"/>
      <c r="C164" s="219" t="s">
        <v>1140</v>
      </c>
      <c r="D164" s="234">
        <f>+'KY_Res by Plant Acct-P29 (PA)'!B303+'IN_Res by Plant Acct-P30 (PA)'!B15+25000+0.04</f>
        <v>1941046.04</v>
      </c>
      <c r="E164" s="234"/>
      <c r="F164" s="234">
        <f>+'KY_Res by Plant Acct-P29 (PA)'!D303+'IN_Res by Plant Acct-P30 (PA)'!D15-25000</f>
        <v>-25000</v>
      </c>
      <c r="G164" s="234"/>
      <c r="H164" s="234">
        <f>+'KY_Res by Plant Acct-P29 (PA)'!F303+'IN_Res by Plant Acct-P30 (PA)'!F15</f>
        <v>0</v>
      </c>
      <c r="I164" s="234"/>
      <c r="J164" s="234">
        <f>+'KY_Res by Plant Acct-P29 (PA)'!H303+'IN_Res by Plant Acct-P30 (PA)'!H15</f>
        <v>0</v>
      </c>
      <c r="K164" s="234"/>
      <c r="L164" s="234">
        <f>+'KY_Res by Plant Acct-P29 (PA)'!J303+'IN_Res by Plant Acct-P30 (PA)'!J15</f>
        <v>0</v>
      </c>
      <c r="M164" s="234"/>
      <c r="N164" s="234">
        <f>+'KY_Res by Plant Acct-P29 (PA)'!L303+'IN_Res by Plant Acct-P30 (PA)'!L15</f>
        <v>0</v>
      </c>
      <c r="O164" s="234"/>
      <c r="P164" s="234">
        <f>+'KY_Res by Plant Acct-P29 (PA)'!N303+'IN_Res by Plant Acct-P30 (PA)'!N15</f>
        <v>0</v>
      </c>
      <c r="Q164" s="234"/>
      <c r="R164" s="234">
        <f>+'KY_Res by Plant Acct-P29 (PA)'!P303+'IN_Res by Plant Acct-P30 (PA)'!P15</f>
        <v>0</v>
      </c>
      <c r="S164" s="234"/>
      <c r="T164" s="234">
        <f>+'KY_Res by Plant Acct-P29 (PA)'!R303+'IN_Res by Plant Acct-P30 (PA)'!R15+0.04</f>
        <v>1916046.04</v>
      </c>
      <c r="U164" s="234"/>
      <c r="V164" s="221"/>
    </row>
    <row r="165" spans="1:31" s="220" customFormat="1" hidden="1" outlineLevel="2">
      <c r="A165" s="229" t="s">
        <v>1128</v>
      </c>
      <c r="B165" s="219"/>
      <c r="C165" s="219" t="s">
        <v>1129</v>
      </c>
      <c r="D165" s="223">
        <f>+'KY_Res by Plant Acct-P29 (PA)'!B365</f>
        <v>70451.45</v>
      </c>
      <c r="E165" s="223"/>
      <c r="F165" s="223">
        <f>+'KY_Res by Plant Acct-P29 (PA)'!D365</f>
        <v>0</v>
      </c>
      <c r="G165" s="223"/>
      <c r="H165" s="223">
        <f>+'KY_Res by Plant Acct-P29 (PA)'!F365</f>
        <v>0</v>
      </c>
      <c r="I165" s="223"/>
      <c r="J165" s="223">
        <f>+'KY_Res by Plant Acct-P29 (PA)'!H365</f>
        <v>0</v>
      </c>
      <c r="K165" s="223"/>
      <c r="L165" s="223">
        <f>+'KY_Res by Plant Acct-P29 (PA)'!J365</f>
        <v>0</v>
      </c>
      <c r="M165" s="223"/>
      <c r="N165" s="223">
        <f>+'KY_Res by Plant Acct-P29 (PA)'!L365</f>
        <v>0</v>
      </c>
      <c r="O165" s="223"/>
      <c r="P165" s="223">
        <f>+'KY_Res by Plant Acct-P29 (PA)'!N365</f>
        <v>0</v>
      </c>
      <c r="Q165" s="223"/>
      <c r="R165" s="223">
        <f>+'KY_Res by Plant Acct-P29 (PA)'!P365</f>
        <v>0</v>
      </c>
      <c r="S165" s="223"/>
      <c r="T165" s="223">
        <f>+'KY_Res by Plant Acct-P29 (PA)'!R365</f>
        <v>70451.45</v>
      </c>
      <c r="U165" s="223"/>
      <c r="V165" s="221"/>
    </row>
    <row r="166" spans="1:31" s="220" customFormat="1" hidden="1" outlineLevel="2">
      <c r="A166" s="229" t="s">
        <v>1130</v>
      </c>
      <c r="B166" s="219"/>
      <c r="C166" s="219" t="s">
        <v>1129</v>
      </c>
      <c r="D166" s="223">
        <f>+'KY_Res by Plant Acct-P29 (PA)'!B338</f>
        <v>77375.47</v>
      </c>
      <c r="E166" s="223"/>
      <c r="F166" s="223">
        <f>+'KY_Res by Plant Acct-P29 (PA)'!D338</f>
        <v>0</v>
      </c>
      <c r="G166" s="223"/>
      <c r="H166" s="223">
        <f>+'KY_Res by Plant Acct-P29 (PA)'!F338</f>
        <v>0</v>
      </c>
      <c r="I166" s="223"/>
      <c r="J166" s="223">
        <f>+'KY_Res by Plant Acct-P29 (PA)'!H338</f>
        <v>0</v>
      </c>
      <c r="K166" s="223"/>
      <c r="L166" s="223">
        <f>+'KY_Res by Plant Acct-P29 (PA)'!J338</f>
        <v>0</v>
      </c>
      <c r="M166" s="223"/>
      <c r="N166" s="223">
        <f>+'KY_Res by Plant Acct-P29 (PA)'!L338</f>
        <v>0</v>
      </c>
      <c r="O166" s="223"/>
      <c r="P166" s="223">
        <f>+'KY_Res by Plant Acct-P29 (PA)'!N338</f>
        <v>0</v>
      </c>
      <c r="Q166" s="223"/>
      <c r="R166" s="223">
        <f>+'KY_Res by Plant Acct-P29 (PA)'!P338</f>
        <v>0</v>
      </c>
      <c r="S166" s="223"/>
      <c r="T166" s="223">
        <f>+'KY_Res by Plant Acct-P29 (PA)'!R338</f>
        <v>77375.47</v>
      </c>
      <c r="U166" s="223"/>
      <c r="V166" s="221"/>
    </row>
    <row r="167" spans="1:31" s="220" customFormat="1" hidden="1" outlineLevel="2">
      <c r="A167" s="229" t="s">
        <v>1131</v>
      </c>
      <c r="B167" s="219"/>
      <c r="C167" s="219" t="s">
        <v>1129</v>
      </c>
      <c r="D167" s="223">
        <f>+'KY_Res by Plant Acct-P29 (PA)'!B369</f>
        <v>569589.96</v>
      </c>
      <c r="E167" s="223"/>
      <c r="F167" s="223">
        <f>+'KY_Res by Plant Acct-P29 (PA)'!D369</f>
        <v>0</v>
      </c>
      <c r="G167" s="223"/>
      <c r="H167" s="223">
        <f>+'KY_Res by Plant Acct-P29 (PA)'!F369</f>
        <v>0</v>
      </c>
      <c r="I167" s="223"/>
      <c r="J167" s="223">
        <f>+'KY_Res by Plant Acct-P29 (PA)'!H369</f>
        <v>0</v>
      </c>
      <c r="K167" s="223"/>
      <c r="L167" s="223">
        <f>+'KY_Res by Plant Acct-P29 (PA)'!J369</f>
        <v>0</v>
      </c>
      <c r="M167" s="223"/>
      <c r="N167" s="223">
        <f>+'KY_Res by Plant Acct-P29 (PA)'!L369</f>
        <v>0</v>
      </c>
      <c r="O167" s="223"/>
      <c r="P167" s="223">
        <f>+'KY_Res by Plant Acct-P29 (PA)'!N369</f>
        <v>0</v>
      </c>
      <c r="Q167" s="223"/>
      <c r="R167" s="223">
        <f>+'KY_Res by Plant Acct-P29 (PA)'!P369</f>
        <v>0</v>
      </c>
      <c r="S167" s="223"/>
      <c r="T167" s="223">
        <f>+'KY_Res by Plant Acct-P29 (PA)'!R369</f>
        <v>569589.96</v>
      </c>
      <c r="U167" s="223"/>
      <c r="V167" s="221"/>
    </row>
    <row r="168" spans="1:31" s="220" customFormat="1" hidden="1" outlineLevel="2">
      <c r="A168" s="229" t="s">
        <v>1132</v>
      </c>
      <c r="B168" s="219"/>
      <c r="C168" s="219" t="s">
        <v>1129</v>
      </c>
      <c r="D168" s="223">
        <f>+'KY_Res by Plant Acct-P29 (PA)'!B385</f>
        <v>208142.37</v>
      </c>
      <c r="E168" s="223"/>
      <c r="F168" s="223">
        <f>+'KY_Res by Plant Acct-P29 (PA)'!D385</f>
        <v>0</v>
      </c>
      <c r="G168" s="223"/>
      <c r="H168" s="223">
        <f>+'KY_Res by Plant Acct-P29 (PA)'!F385</f>
        <v>0</v>
      </c>
      <c r="I168" s="223"/>
      <c r="J168" s="223">
        <f>+'KY_Res by Plant Acct-P29 (PA)'!H385</f>
        <v>0</v>
      </c>
      <c r="K168" s="223"/>
      <c r="L168" s="223">
        <f>+'KY_Res by Plant Acct-P29 (PA)'!J385</f>
        <v>0</v>
      </c>
      <c r="M168" s="223"/>
      <c r="N168" s="223">
        <f>+'KY_Res by Plant Acct-P29 (PA)'!L385</f>
        <v>0</v>
      </c>
      <c r="O168" s="223"/>
      <c r="P168" s="223">
        <f>+'KY_Res by Plant Acct-P29 (PA)'!N385</f>
        <v>0</v>
      </c>
      <c r="Q168" s="223"/>
      <c r="R168" s="223">
        <f>+'KY_Res by Plant Acct-P29 (PA)'!P385</f>
        <v>0</v>
      </c>
      <c r="S168" s="223"/>
      <c r="T168" s="223">
        <f>+'KY_Res by Plant Acct-P29 (PA)'!R385</f>
        <v>208142.37</v>
      </c>
      <c r="U168" s="223"/>
      <c r="V168" s="221"/>
    </row>
    <row r="169" spans="1:31" s="220" customFormat="1" hidden="1" outlineLevel="2">
      <c r="A169" s="229" t="s">
        <v>1126</v>
      </c>
      <c r="B169" s="219"/>
      <c r="C169" s="219" t="s">
        <v>1127</v>
      </c>
      <c r="D169" s="223">
        <f>+'KY_Res by Plant Acct-P29 (PA)'!B404</f>
        <v>127911.26</v>
      </c>
      <c r="E169" s="223"/>
      <c r="F169" s="223">
        <f>+'KY_Res by Plant Acct-P29 (PA)'!D404</f>
        <v>0</v>
      </c>
      <c r="G169" s="223"/>
      <c r="H169" s="223">
        <f>+'KY_Res by Plant Acct-P29 (PA)'!F404</f>
        <v>0</v>
      </c>
      <c r="I169" s="223"/>
      <c r="J169" s="223">
        <f>+'KY_Res by Plant Acct-P29 (PA)'!H404</f>
        <v>0</v>
      </c>
      <c r="K169" s="223"/>
      <c r="L169" s="223">
        <f>+'KY_Res by Plant Acct-P29 (PA)'!J404</f>
        <v>0</v>
      </c>
      <c r="M169" s="223"/>
      <c r="N169" s="223">
        <f>+'KY_Res by Plant Acct-P29 (PA)'!L404</f>
        <v>0</v>
      </c>
      <c r="O169" s="223"/>
      <c r="P169" s="223">
        <f>+'KY_Res by Plant Acct-P29 (PA)'!N404</f>
        <v>0</v>
      </c>
      <c r="Q169" s="223"/>
      <c r="R169" s="223">
        <f>+'KY_Res by Plant Acct-P29 (PA)'!P404</f>
        <v>0</v>
      </c>
      <c r="S169" s="223"/>
      <c r="T169" s="223">
        <f>+'KY_Res by Plant Acct-P29 (PA)'!R404</f>
        <v>127911.26</v>
      </c>
      <c r="U169" s="223"/>
      <c r="V169" s="221"/>
    </row>
    <row r="170" spans="1:31" s="220" customFormat="1" hidden="1" outlineLevel="2">
      <c r="A170" s="229" t="s">
        <v>1135</v>
      </c>
      <c r="B170" s="219"/>
      <c r="C170" s="219" t="s">
        <v>1136</v>
      </c>
      <c r="D170" s="223">
        <f>+'KY_Res by Plant Acct-P29 (PA)'!B446</f>
        <v>0</v>
      </c>
      <c r="E170" s="223"/>
      <c r="F170" s="223">
        <f>+'KY_Res by Plant Acct-P29 (PA)'!D446</f>
        <v>0</v>
      </c>
      <c r="G170" s="223"/>
      <c r="H170" s="223">
        <f>+'KY_Res by Plant Acct-P29 (PA)'!F446</f>
        <v>0</v>
      </c>
      <c r="I170" s="223"/>
      <c r="J170" s="223">
        <f>+'KY_Res by Plant Acct-P29 (PA)'!H446</f>
        <v>0</v>
      </c>
      <c r="K170" s="223"/>
      <c r="L170" s="223">
        <f>+'KY_Res by Plant Acct-P29 (PA)'!J446</f>
        <v>0</v>
      </c>
      <c r="M170" s="223"/>
      <c r="N170" s="223">
        <f>+'KY_Res by Plant Acct-P29 (PA)'!L446</f>
        <v>0</v>
      </c>
      <c r="O170" s="223"/>
      <c r="P170" s="223">
        <f>+'KY_Res by Plant Acct-P29 (PA)'!N446</f>
        <v>0</v>
      </c>
      <c r="Q170" s="223"/>
      <c r="R170" s="223">
        <f>+'KY_Res by Plant Acct-P29 (PA)'!P446</f>
        <v>0</v>
      </c>
      <c r="S170" s="223"/>
      <c r="T170" s="223">
        <f>+'KY_Res by Plant Acct-P29 (PA)'!R446</f>
        <v>0</v>
      </c>
      <c r="U170" s="223"/>
      <c r="V170" s="221"/>
    </row>
    <row r="171" spans="1:31" s="220" customFormat="1" hidden="1" outlineLevel="2">
      <c r="A171" s="229" t="s">
        <v>1135</v>
      </c>
      <c r="B171" s="219"/>
      <c r="C171" s="219" t="s">
        <v>1137</v>
      </c>
      <c r="D171" s="223">
        <f>+'KY_Res by Plant Acct-P29 (PA)'!B328</f>
        <v>0</v>
      </c>
      <c r="E171" s="223"/>
      <c r="F171" s="223">
        <f>+'KY_Res by Plant Acct-P29 (PA)'!D328</f>
        <v>0</v>
      </c>
      <c r="G171" s="223"/>
      <c r="H171" s="223">
        <f>+'KY_Res by Plant Acct-P29 (PA)'!F328</f>
        <v>0</v>
      </c>
      <c r="I171" s="223"/>
      <c r="J171" s="223">
        <f>+'KY_Res by Plant Acct-P29 (PA)'!H328</f>
        <v>0</v>
      </c>
      <c r="K171" s="223"/>
      <c r="L171" s="223">
        <f>+'KY_Res by Plant Acct-P29 (PA)'!J328</f>
        <v>0</v>
      </c>
      <c r="M171" s="223"/>
      <c r="N171" s="223">
        <f>+'KY_Res by Plant Acct-P29 (PA)'!L328</f>
        <v>0</v>
      </c>
      <c r="O171" s="223"/>
      <c r="P171" s="223">
        <f>+'KY_Res by Plant Acct-P29 (PA)'!N328</f>
        <v>0</v>
      </c>
      <c r="Q171" s="223"/>
      <c r="R171" s="223">
        <f>+'KY_Res by Plant Acct-P29 (PA)'!P328</f>
        <v>0</v>
      </c>
      <c r="S171" s="223"/>
      <c r="T171" s="223">
        <f>+'KY_Res by Plant Acct-P29 (PA)'!R328</f>
        <v>0</v>
      </c>
      <c r="U171" s="223"/>
      <c r="V171" s="221"/>
    </row>
    <row r="172" spans="1:31" s="220" customFormat="1" hidden="1" outlineLevel="2">
      <c r="A172" s="229" t="s">
        <v>1135</v>
      </c>
      <c r="B172" s="219"/>
      <c r="C172" s="219" t="s">
        <v>1138</v>
      </c>
      <c r="D172" s="223">
        <f>+'KY_Res by Plant Acct-P29 (PA)'!B395</f>
        <v>119.15999999999997</v>
      </c>
      <c r="E172" s="223"/>
      <c r="F172" s="223">
        <f>+'KY_Res by Plant Acct-P29 (PA)'!D395</f>
        <v>0</v>
      </c>
      <c r="G172" s="223"/>
      <c r="H172" s="223">
        <f>+'KY_Res by Plant Acct-P29 (PA)'!F395</f>
        <v>0</v>
      </c>
      <c r="I172" s="223"/>
      <c r="J172" s="223">
        <f>+'KY_Res by Plant Acct-P29 (PA)'!H395</f>
        <v>0</v>
      </c>
      <c r="K172" s="223"/>
      <c r="L172" s="223">
        <f>+'KY_Res by Plant Acct-P29 (PA)'!J395</f>
        <v>0</v>
      </c>
      <c r="M172" s="223"/>
      <c r="N172" s="223">
        <f>+'KY_Res by Plant Acct-P29 (PA)'!L395</f>
        <v>0</v>
      </c>
      <c r="O172" s="223"/>
      <c r="P172" s="223">
        <f>+'KY_Res by Plant Acct-P29 (PA)'!N395</f>
        <v>0</v>
      </c>
      <c r="Q172" s="223"/>
      <c r="R172" s="223">
        <f>+'KY_Res by Plant Acct-P29 (PA)'!P395</f>
        <v>0</v>
      </c>
      <c r="S172" s="223"/>
      <c r="T172" s="223">
        <f>+'KY_Res by Plant Acct-P29 (PA)'!R395</f>
        <v>119.15999999999997</v>
      </c>
      <c r="U172" s="223"/>
      <c r="V172" s="221"/>
    </row>
    <row r="173" spans="1:31" s="220" customFormat="1" hidden="1" outlineLevel="2">
      <c r="A173" s="218"/>
      <c r="B173" s="219"/>
      <c r="C173" s="220" t="s">
        <v>1141</v>
      </c>
      <c r="D173" s="228">
        <f>SUM(D164:D172)</f>
        <v>2994635.71</v>
      </c>
      <c r="E173" s="223"/>
      <c r="F173" s="228">
        <f>SUM(F164:F172)</f>
        <v>-25000</v>
      </c>
      <c r="G173" s="223"/>
      <c r="H173" s="228">
        <f>SUM(H164:H172)</f>
        <v>0</v>
      </c>
      <c r="I173" s="223"/>
      <c r="J173" s="228">
        <f>SUM(J164:J172)</f>
        <v>0</v>
      </c>
      <c r="K173" s="223"/>
      <c r="L173" s="228">
        <f>SUM(L164:L172)</f>
        <v>0</v>
      </c>
      <c r="M173" s="222"/>
      <c r="N173" s="228">
        <f>SUM(N164:N172)</f>
        <v>0</v>
      </c>
      <c r="O173" s="222"/>
      <c r="P173" s="228">
        <f>SUM(P164:P172)</f>
        <v>0</v>
      </c>
      <c r="Q173" s="222"/>
      <c r="R173" s="228">
        <f>SUM(R164:R172)</f>
        <v>0</v>
      </c>
      <c r="S173" s="223"/>
      <c r="T173" s="228">
        <f>SUM(T164:T172)</f>
        <v>2969635.71</v>
      </c>
      <c r="U173" s="222"/>
      <c r="V173" s="221"/>
    </row>
    <row r="174" spans="1:31" hidden="1" outlineLevel="2">
      <c r="D174" s="233"/>
      <c r="E174" s="233"/>
      <c r="F174" s="233"/>
      <c r="G174" s="233"/>
      <c r="H174" s="233"/>
      <c r="I174" s="233"/>
      <c r="J174" s="233"/>
      <c r="K174" s="233"/>
      <c r="L174" s="233"/>
      <c r="M174" s="233"/>
      <c r="N174" s="233"/>
      <c r="O174" s="233"/>
      <c r="P174" s="233"/>
      <c r="Q174" s="233"/>
      <c r="R174" s="233"/>
      <c r="S174" s="233"/>
      <c r="T174" s="233"/>
      <c r="U174" s="233"/>
    </row>
    <row r="175" spans="1:31" hidden="1" outlineLevel="1">
      <c r="B175" s="215" t="s">
        <v>1142</v>
      </c>
      <c r="D175" s="233">
        <f>+D159+D173</f>
        <v>25000.040000000037</v>
      </c>
      <c r="E175" s="233"/>
      <c r="F175" s="233">
        <f>+F159+F173</f>
        <v>-25000</v>
      </c>
      <c r="G175" s="233"/>
      <c r="H175" s="233">
        <f>+H159+H173</f>
        <v>0</v>
      </c>
      <c r="I175" s="233"/>
      <c r="J175" s="233">
        <f>+J159+J173</f>
        <v>0</v>
      </c>
      <c r="K175" s="233"/>
      <c r="L175" s="233">
        <f>+L159+L173</f>
        <v>0</v>
      </c>
      <c r="M175" s="233"/>
      <c r="N175" s="233">
        <f>+N159+N173</f>
        <v>0</v>
      </c>
      <c r="O175" s="233"/>
      <c r="P175" s="233">
        <f>+P159+P173</f>
        <v>0</v>
      </c>
      <c r="Q175" s="233"/>
      <c r="R175" s="233">
        <f>+R159+R173</f>
        <v>0</v>
      </c>
      <c r="S175" s="233"/>
      <c r="T175" s="233">
        <f>+T159+T173</f>
        <v>4.0000000037252903E-2</v>
      </c>
      <c r="U175" s="233"/>
      <c r="V175" s="238">
        <f>+F173</f>
        <v>-25000</v>
      </c>
      <c r="W175" s="211">
        <f>+F159</f>
        <v>0</v>
      </c>
      <c r="AD175" s="211">
        <f>SUM(V175:AB175)</f>
        <v>-25000</v>
      </c>
      <c r="AE175" s="211">
        <f>+T175-D175-AD175</f>
        <v>0</v>
      </c>
    </row>
    <row r="176" spans="1:31" hidden="1" outlineLevel="1">
      <c r="D176" s="233">
        <f>+D175-D14</f>
        <v>-6212590.6799999997</v>
      </c>
      <c r="E176" s="233"/>
      <c r="F176" s="233"/>
      <c r="G176" s="233"/>
      <c r="H176" s="233"/>
      <c r="I176" s="233"/>
      <c r="J176" s="233"/>
      <c r="K176" s="233"/>
      <c r="L176" s="233"/>
      <c r="M176" s="233"/>
      <c r="N176" s="233"/>
      <c r="O176" s="233"/>
      <c r="P176" s="233"/>
      <c r="Q176" s="233"/>
      <c r="R176" s="233"/>
      <c r="S176" s="233"/>
      <c r="T176" s="233">
        <f>+T175-T14</f>
        <v>-5926940.2599999998</v>
      </c>
      <c r="U176" s="233"/>
    </row>
    <row r="177" spans="1:22" hidden="1" outlineLevel="1">
      <c r="D177" s="233"/>
      <c r="E177" s="233"/>
      <c r="F177" s="233"/>
      <c r="G177" s="233"/>
      <c r="H177" s="233"/>
      <c r="I177" s="233"/>
      <c r="J177" s="233"/>
      <c r="K177" s="233"/>
      <c r="L177" s="233"/>
      <c r="M177" s="233"/>
      <c r="N177" s="233"/>
      <c r="O177" s="233"/>
      <c r="P177" s="233"/>
      <c r="Q177" s="233"/>
      <c r="R177" s="233"/>
      <c r="S177" s="233"/>
      <c r="T177" s="233"/>
      <c r="U177" s="233"/>
    </row>
    <row r="178" spans="1:22" s="220" customFormat="1" hidden="1" outlineLevel="3">
      <c r="A178" s="218"/>
      <c r="D178" s="235" t="s">
        <v>25</v>
      </c>
      <c r="F178" s="223"/>
      <c r="H178" s="223"/>
      <c r="J178" s="235" t="s">
        <v>612</v>
      </c>
      <c r="L178" s="235" t="s">
        <v>28</v>
      </c>
      <c r="N178" s="236" t="s">
        <v>37</v>
      </c>
      <c r="P178" s="235"/>
      <c r="R178" s="235" t="s">
        <v>39</v>
      </c>
      <c r="T178" s="235" t="s">
        <v>26</v>
      </c>
      <c r="U178" s="235"/>
      <c r="V178" s="221"/>
    </row>
    <row r="179" spans="1:22" s="220" customFormat="1" hidden="1" outlineLevel="3">
      <c r="A179" s="218"/>
      <c r="D179" s="237" t="s">
        <v>27</v>
      </c>
      <c r="F179" s="237" t="s">
        <v>954</v>
      </c>
      <c r="H179" s="237" t="s">
        <v>108</v>
      </c>
      <c r="J179" s="237" t="s">
        <v>613</v>
      </c>
      <c r="L179" s="237" t="s">
        <v>29</v>
      </c>
      <c r="N179" s="237" t="s">
        <v>38</v>
      </c>
      <c r="P179" s="237" t="s">
        <v>955</v>
      </c>
      <c r="R179" s="237" t="s">
        <v>105</v>
      </c>
      <c r="T179" s="237" t="s">
        <v>27</v>
      </c>
      <c r="U179" s="236"/>
      <c r="V179" s="221"/>
    </row>
    <row r="180" spans="1:22" s="220" customFormat="1" hidden="1" outlineLevel="3">
      <c r="A180" s="218"/>
      <c r="D180" s="236"/>
      <c r="F180" s="236"/>
      <c r="H180" s="236"/>
      <c r="J180" s="236"/>
      <c r="L180" s="236"/>
      <c r="N180" s="236"/>
      <c r="P180" s="236"/>
      <c r="R180" s="236"/>
      <c r="T180" s="236"/>
      <c r="U180" s="236"/>
      <c r="V180" s="221"/>
    </row>
    <row r="181" spans="1:22" s="220" customFormat="1" hidden="1" outlineLevel="3">
      <c r="A181" s="218"/>
      <c r="B181" s="219" t="s">
        <v>137</v>
      </c>
      <c r="D181" s="224"/>
      <c r="E181" s="224"/>
      <c r="F181" s="224"/>
      <c r="G181" s="224"/>
      <c r="H181" s="224"/>
      <c r="I181" s="224"/>
      <c r="J181" s="224"/>
      <c r="K181" s="224"/>
      <c r="L181" s="224"/>
      <c r="M181" s="224"/>
      <c r="N181" s="224"/>
      <c r="O181" s="224"/>
      <c r="P181" s="224"/>
      <c r="Q181" s="224"/>
      <c r="R181" s="224"/>
      <c r="S181" s="224"/>
      <c r="T181" s="224"/>
      <c r="U181" s="224"/>
      <c r="V181" s="221"/>
    </row>
    <row r="182" spans="1:22" s="220" customFormat="1" hidden="1" outlineLevel="3">
      <c r="A182" s="218"/>
      <c r="C182" s="220" t="s">
        <v>455</v>
      </c>
      <c r="D182" s="223">
        <f>+'Summary - Reserve - PG 2 (PA)'!C10</f>
        <v>63178428.180000015</v>
      </c>
      <c r="E182" s="223"/>
      <c r="F182" s="223">
        <f>+'Summary - Reserve - PG 2 (PA)'!E10</f>
        <v>0</v>
      </c>
      <c r="G182" s="223"/>
      <c r="H182" s="223">
        <f>+'Summary - Reserve - PG 2 (PA)'!G10</f>
        <v>-147165.54000000004</v>
      </c>
      <c r="I182" s="223"/>
      <c r="J182" s="223">
        <f>+'Summary - Reserve - PG 2 (PA)'!I10</f>
        <v>0</v>
      </c>
      <c r="K182" s="223"/>
      <c r="L182" s="223">
        <f>+'Summary - Reserve - PG 2 (PA)'!K10</f>
        <v>0</v>
      </c>
      <c r="M182" s="223"/>
      <c r="N182" s="223">
        <f>+'Summary - Reserve - PG 2 (PA)'!M10</f>
        <v>0</v>
      </c>
      <c r="O182" s="223"/>
      <c r="P182" s="223">
        <f>+'Summary - Reserve - PG 2 (PA)'!O10</f>
        <v>0</v>
      </c>
      <c r="Q182" s="223"/>
      <c r="R182" s="223">
        <f>+'Summary - Reserve - PG 2 (PA)'!Q10</f>
        <v>0</v>
      </c>
      <c r="S182" s="223"/>
      <c r="T182" s="223">
        <f>R182+P182+N182+L182+J182+H182+F182+D182</f>
        <v>63031262.640000015</v>
      </c>
      <c r="U182" s="223"/>
      <c r="V182" s="221"/>
    </row>
    <row r="183" spans="1:22" s="220" customFormat="1" hidden="1" outlineLevel="3">
      <c r="A183" s="218"/>
      <c r="C183" s="220" t="s">
        <v>851</v>
      </c>
      <c r="D183" s="223">
        <f>+'Summary - Reserve - PG 2 (PA)'!C11</f>
        <v>0</v>
      </c>
      <c r="E183" s="223"/>
      <c r="F183" s="223">
        <f>+'Summary - Reserve - PG 2 (PA)'!E11</f>
        <v>0</v>
      </c>
      <c r="G183" s="223"/>
      <c r="H183" s="223">
        <f>+'Summary - Reserve - PG 2 (PA)'!G11</f>
        <v>0</v>
      </c>
      <c r="I183" s="223"/>
      <c r="J183" s="223">
        <f>+'Summary - Reserve - PG 2 (PA)'!I11</f>
        <v>0</v>
      </c>
      <c r="K183" s="223"/>
      <c r="L183" s="223">
        <f>+'Summary - Reserve - PG 2 (PA)'!K11</f>
        <v>0</v>
      </c>
      <c r="M183" s="223"/>
      <c r="N183" s="223">
        <f>+'Summary - Reserve - PG 2 (PA)'!M11</f>
        <v>0</v>
      </c>
      <c r="O183" s="223"/>
      <c r="P183" s="223">
        <f>+'Summary - Reserve - PG 2 (PA)'!O11</f>
        <v>0</v>
      </c>
      <c r="Q183" s="223"/>
      <c r="R183" s="223">
        <f>+'Summary - Reserve - PG 2 (PA)'!Q11</f>
        <v>0</v>
      </c>
      <c r="S183" s="223"/>
      <c r="T183" s="223">
        <f t="shared" ref="T183:T202" si="22">R183+P183+N183+L183+J183+H183+F183+D183</f>
        <v>0</v>
      </c>
      <c r="U183" s="223"/>
      <c r="V183" s="221"/>
    </row>
    <row r="184" spans="1:22" s="220" customFormat="1" hidden="1" outlineLevel="3">
      <c r="A184" s="218"/>
      <c r="C184" s="220" t="s">
        <v>113</v>
      </c>
      <c r="D184" s="223">
        <f>+'Summary - Reserve - PG 2 (PA)'!C12</f>
        <v>271498277.91999996</v>
      </c>
      <c r="E184" s="223"/>
      <c r="F184" s="223">
        <f>+'Summary - Reserve - PG 2 (PA)'!E12</f>
        <v>0</v>
      </c>
      <c r="G184" s="223"/>
      <c r="H184" s="223">
        <f>+'Summary - Reserve - PG 2 (PA)'!G12</f>
        <v>-586138.93000000005</v>
      </c>
      <c r="I184" s="223"/>
      <c r="J184" s="223">
        <f>+'Summary - Reserve - PG 2 (PA)'!I12</f>
        <v>0</v>
      </c>
      <c r="K184" s="223"/>
      <c r="L184" s="223">
        <f>+'Summary - Reserve - PG 2 (PA)'!K12</f>
        <v>0</v>
      </c>
      <c r="M184" s="223"/>
      <c r="N184" s="223">
        <f>+'Summary - Reserve - PG 2 (PA)'!M12</f>
        <v>0</v>
      </c>
      <c r="O184" s="223"/>
      <c r="P184" s="223">
        <f>+'Summary - Reserve - PG 2 (PA)'!O12</f>
        <v>0</v>
      </c>
      <c r="Q184" s="223"/>
      <c r="R184" s="223">
        <f>+'Summary - Reserve - PG 2 (PA)'!Q12</f>
        <v>0</v>
      </c>
      <c r="S184" s="223"/>
      <c r="T184" s="223">
        <f t="shared" si="22"/>
        <v>270912138.98999995</v>
      </c>
      <c r="U184" s="223"/>
      <c r="V184" s="221"/>
    </row>
    <row r="185" spans="1:22" s="220" customFormat="1" hidden="1" outlineLevel="3">
      <c r="A185" s="218"/>
      <c r="C185" s="220" t="s">
        <v>852</v>
      </c>
      <c r="D185" s="223">
        <f>+'Summary - Reserve - PG 2 (PA)'!C13</f>
        <v>0</v>
      </c>
      <c r="E185" s="223"/>
      <c r="F185" s="223">
        <f>+'Summary - Reserve - PG 2 (PA)'!E13</f>
        <v>0</v>
      </c>
      <c r="G185" s="223"/>
      <c r="H185" s="223">
        <f>+'Summary - Reserve - PG 2 (PA)'!G13</f>
        <v>0</v>
      </c>
      <c r="I185" s="223"/>
      <c r="J185" s="223">
        <f>+'Summary - Reserve - PG 2 (PA)'!I13</f>
        <v>0</v>
      </c>
      <c r="K185" s="223"/>
      <c r="L185" s="223">
        <f>+'Summary - Reserve - PG 2 (PA)'!K13</f>
        <v>0</v>
      </c>
      <c r="M185" s="223"/>
      <c r="N185" s="223">
        <f>+'Summary - Reserve - PG 2 (PA)'!M13</f>
        <v>0</v>
      </c>
      <c r="O185" s="223"/>
      <c r="P185" s="223">
        <f>+'Summary - Reserve - PG 2 (PA)'!O13</f>
        <v>0</v>
      </c>
      <c r="Q185" s="223"/>
      <c r="R185" s="223">
        <f>+'Summary - Reserve - PG 2 (PA)'!Q13</f>
        <v>0</v>
      </c>
      <c r="S185" s="223"/>
      <c r="T185" s="223">
        <f t="shared" si="22"/>
        <v>0</v>
      </c>
      <c r="U185" s="223"/>
      <c r="V185" s="221"/>
    </row>
    <row r="186" spans="1:22" s="220" customFormat="1" hidden="1" outlineLevel="3">
      <c r="A186" s="218"/>
      <c r="C186" s="220" t="s">
        <v>114</v>
      </c>
      <c r="D186" s="223">
        <f>+'Summary - Reserve - PG 2 (PA)'!C14</f>
        <v>10825272.689999999</v>
      </c>
      <c r="E186" s="223"/>
      <c r="F186" s="223">
        <f>+'Summary - Reserve - PG 2 (PA)'!E14</f>
        <v>0</v>
      </c>
      <c r="G186" s="223"/>
      <c r="H186" s="223">
        <f>+'Summary - Reserve - PG 2 (PA)'!G14</f>
        <v>-39209.64</v>
      </c>
      <c r="I186" s="223"/>
      <c r="J186" s="223">
        <f>+'Summary - Reserve - PG 2 (PA)'!I14</f>
        <v>0</v>
      </c>
      <c r="K186" s="223"/>
      <c r="L186" s="223">
        <f>+'Summary - Reserve - PG 2 (PA)'!K14</f>
        <v>0</v>
      </c>
      <c r="M186" s="223"/>
      <c r="N186" s="223">
        <f>+'Summary - Reserve - PG 2 (PA)'!M14</f>
        <v>0</v>
      </c>
      <c r="O186" s="223"/>
      <c r="P186" s="223">
        <f>+'Summary - Reserve - PG 2 (PA)'!O14</f>
        <v>0</v>
      </c>
      <c r="Q186" s="223"/>
      <c r="R186" s="223">
        <f>+'Summary - Reserve - PG 2 (PA)'!Q14</f>
        <v>0</v>
      </c>
      <c r="S186" s="223"/>
      <c r="T186" s="223">
        <f t="shared" si="22"/>
        <v>10786063.049999999</v>
      </c>
      <c r="U186" s="223"/>
      <c r="V186" s="221"/>
    </row>
    <row r="187" spans="1:22" s="220" customFormat="1" hidden="1" outlineLevel="3">
      <c r="A187" s="218"/>
      <c r="C187" s="220" t="s">
        <v>115</v>
      </c>
      <c r="D187" s="223">
        <f>+'Summary - Reserve - PG 2 (PA)'!C15</f>
        <v>9521332.4499999993</v>
      </c>
      <c r="E187" s="223"/>
      <c r="F187" s="223">
        <f>+'Summary - Reserve - PG 2 (PA)'!E15</f>
        <v>0</v>
      </c>
      <c r="G187" s="223"/>
      <c r="H187" s="223">
        <f>+'Summary - Reserve - PG 2 (PA)'!G15</f>
        <v>-526.02</v>
      </c>
      <c r="I187" s="223"/>
      <c r="J187" s="223">
        <f>+'Summary - Reserve - PG 2 (PA)'!I15</f>
        <v>0</v>
      </c>
      <c r="K187" s="223"/>
      <c r="L187" s="223">
        <f>+'Summary - Reserve - PG 2 (PA)'!K15</f>
        <v>0</v>
      </c>
      <c r="M187" s="223"/>
      <c r="N187" s="223">
        <f>+'Summary - Reserve - PG 2 (PA)'!M15</f>
        <v>0</v>
      </c>
      <c r="O187" s="223"/>
      <c r="P187" s="223">
        <f>+'Summary - Reserve - PG 2 (PA)'!O15</f>
        <v>0</v>
      </c>
      <c r="Q187" s="223"/>
      <c r="R187" s="223">
        <f>+'Summary - Reserve - PG 2 (PA)'!Q15</f>
        <v>0</v>
      </c>
      <c r="S187" s="223"/>
      <c r="T187" s="223">
        <f t="shared" si="22"/>
        <v>9520806.4299999997</v>
      </c>
      <c r="U187" s="223"/>
      <c r="V187" s="221"/>
    </row>
    <row r="188" spans="1:22" s="220" customFormat="1" hidden="1" outlineLevel="3">
      <c r="A188" s="218"/>
      <c r="C188" s="220" t="s">
        <v>853</v>
      </c>
      <c r="D188" s="223">
        <f>+'Summary - Reserve - PG 2 (PA)'!C16</f>
        <v>0</v>
      </c>
      <c r="E188" s="223"/>
      <c r="F188" s="223">
        <f>+'Summary - Reserve - PG 2 (PA)'!E16</f>
        <v>0</v>
      </c>
      <c r="G188" s="223"/>
      <c r="H188" s="223">
        <f>+'Summary - Reserve - PG 2 (PA)'!G16</f>
        <v>0</v>
      </c>
      <c r="I188" s="223"/>
      <c r="J188" s="223">
        <f>+'Summary - Reserve - PG 2 (PA)'!I16</f>
        <v>0</v>
      </c>
      <c r="K188" s="223"/>
      <c r="L188" s="223">
        <f>+'Summary - Reserve - PG 2 (PA)'!K16</f>
        <v>0</v>
      </c>
      <c r="M188" s="223"/>
      <c r="N188" s="223">
        <f>+'Summary - Reserve - PG 2 (PA)'!M16</f>
        <v>0</v>
      </c>
      <c r="O188" s="223"/>
      <c r="P188" s="223">
        <f>+'Summary - Reserve - PG 2 (PA)'!O16</f>
        <v>0</v>
      </c>
      <c r="Q188" s="223"/>
      <c r="R188" s="223">
        <f>+'Summary - Reserve - PG 2 (PA)'!Q16</f>
        <v>0</v>
      </c>
      <c r="S188" s="223"/>
      <c r="T188" s="223">
        <f t="shared" si="22"/>
        <v>0</v>
      </c>
      <c r="U188" s="223"/>
      <c r="V188" s="221"/>
    </row>
    <row r="189" spans="1:22" s="220" customFormat="1" hidden="1" outlineLevel="3">
      <c r="A189" s="218"/>
      <c r="C189" s="220" t="s">
        <v>117</v>
      </c>
      <c r="D189" s="223">
        <f>+'Summary - Reserve - PG 2 (PA)'!C17</f>
        <v>58643031.120000005</v>
      </c>
      <c r="E189" s="223"/>
      <c r="F189" s="223">
        <f>+'Summary - Reserve - PG 2 (PA)'!E17</f>
        <v>0</v>
      </c>
      <c r="G189" s="223"/>
      <c r="H189" s="223">
        <f>+'Summary - Reserve - PG 2 (PA)'!G17</f>
        <v>-194624.59</v>
      </c>
      <c r="I189" s="223"/>
      <c r="J189" s="223">
        <f>+'Summary - Reserve - PG 2 (PA)'!I17</f>
        <v>0</v>
      </c>
      <c r="K189" s="223"/>
      <c r="L189" s="223">
        <f>+'Summary - Reserve - PG 2 (PA)'!K17</f>
        <v>0</v>
      </c>
      <c r="M189" s="223"/>
      <c r="N189" s="223">
        <f>+'Summary - Reserve - PG 2 (PA)'!M17</f>
        <v>0</v>
      </c>
      <c r="O189" s="223"/>
      <c r="P189" s="223">
        <f>+'Summary - Reserve - PG 2 (PA)'!O17</f>
        <v>0</v>
      </c>
      <c r="Q189" s="223"/>
      <c r="R189" s="223">
        <f>+'Summary - Reserve - PG 2 (PA)'!Q17</f>
        <v>0</v>
      </c>
      <c r="S189" s="223"/>
      <c r="T189" s="223">
        <f t="shared" si="22"/>
        <v>58448406.530000001</v>
      </c>
      <c r="U189" s="223"/>
      <c r="V189" s="221"/>
    </row>
    <row r="190" spans="1:22" s="220" customFormat="1" hidden="1" outlineLevel="3">
      <c r="A190" s="218"/>
      <c r="C190" s="220" t="s">
        <v>953</v>
      </c>
      <c r="D190" s="223">
        <f>+'Summary - Reserve - PG 2 (PA)'!C18</f>
        <v>0</v>
      </c>
      <c r="E190" s="223"/>
      <c r="F190" s="223">
        <f>+'Summary - Reserve - PG 2 (PA)'!E18</f>
        <v>0</v>
      </c>
      <c r="G190" s="223"/>
      <c r="H190" s="223">
        <f>+'Summary - Reserve - PG 2 (PA)'!G18</f>
        <v>0</v>
      </c>
      <c r="I190" s="223"/>
      <c r="J190" s="223">
        <f>+'Summary - Reserve - PG 2 (PA)'!I18</f>
        <v>0</v>
      </c>
      <c r="K190" s="223"/>
      <c r="L190" s="223">
        <f>+'Summary - Reserve - PG 2 (PA)'!K18</f>
        <v>0</v>
      </c>
      <c r="M190" s="223"/>
      <c r="N190" s="223">
        <f>+'Summary - Reserve - PG 2 (PA)'!M18</f>
        <v>0</v>
      </c>
      <c r="O190" s="223"/>
      <c r="P190" s="223">
        <f>+'Summary - Reserve - PG 2 (PA)'!O18</f>
        <v>0</v>
      </c>
      <c r="Q190" s="223"/>
      <c r="R190" s="223">
        <f>+'Summary - Reserve - PG 2 (PA)'!Q18</f>
        <v>0</v>
      </c>
      <c r="S190" s="223"/>
      <c r="T190" s="223">
        <f>R190+P190+N190+L190+J190+H190+F190+D190</f>
        <v>0</v>
      </c>
      <c r="U190" s="223"/>
      <c r="V190" s="221"/>
    </row>
    <row r="191" spans="1:22" s="220" customFormat="1" hidden="1" outlineLevel="3">
      <c r="A191" s="218"/>
      <c r="C191" s="220" t="s">
        <v>118</v>
      </c>
      <c r="D191" s="223">
        <f>+'Summary - Reserve - PG 2 (PA)'!C19</f>
        <v>1008356685.1099999</v>
      </c>
      <c r="E191" s="223"/>
      <c r="F191" s="223">
        <f>+'Summary - Reserve - PG 2 (PA)'!E19</f>
        <v>0</v>
      </c>
      <c r="G191" s="223"/>
      <c r="H191" s="223">
        <f>+'Summary - Reserve - PG 2 (PA)'!G19</f>
        <v>35234.099999999919</v>
      </c>
      <c r="I191" s="223"/>
      <c r="J191" s="223">
        <f>+'Summary - Reserve - PG 2 (PA)'!I19</f>
        <v>0</v>
      </c>
      <c r="K191" s="223"/>
      <c r="L191" s="223">
        <f>+'Summary - Reserve - PG 2 (PA)'!K19</f>
        <v>0</v>
      </c>
      <c r="M191" s="223"/>
      <c r="N191" s="223">
        <f>+'Summary - Reserve - PG 2 (PA)'!M19</f>
        <v>0</v>
      </c>
      <c r="O191" s="223"/>
      <c r="P191" s="223">
        <f>+'Summary - Reserve - PG 2 (PA)'!O19</f>
        <v>0</v>
      </c>
      <c r="Q191" s="223"/>
      <c r="R191" s="223">
        <f>+'Summary - Reserve - PG 2 (PA)'!Q19</f>
        <v>0</v>
      </c>
      <c r="S191" s="223"/>
      <c r="T191" s="223">
        <f t="shared" si="22"/>
        <v>1008391919.2099999</v>
      </c>
      <c r="U191" s="223"/>
      <c r="V191" s="221"/>
    </row>
    <row r="192" spans="1:22" s="220" customFormat="1" hidden="1" outlineLevel="3">
      <c r="A192" s="218"/>
      <c r="C192" s="220" t="s">
        <v>949</v>
      </c>
      <c r="D192" s="223">
        <f>+'Summary - Reserve - PG 2 (PA)'!C20</f>
        <v>0</v>
      </c>
      <c r="E192" s="223"/>
      <c r="F192" s="223">
        <f>+'Summary - Reserve - PG 2 (PA)'!E20</f>
        <v>0</v>
      </c>
      <c r="G192" s="223"/>
      <c r="H192" s="223">
        <f>+'Summary - Reserve - PG 2 (PA)'!G20</f>
        <v>0</v>
      </c>
      <c r="I192" s="223"/>
      <c r="J192" s="223">
        <f>+'Summary - Reserve - PG 2 (PA)'!I20</f>
        <v>0</v>
      </c>
      <c r="K192" s="223"/>
      <c r="L192" s="223">
        <f>+'Summary - Reserve - PG 2 (PA)'!K20</f>
        <v>0</v>
      </c>
      <c r="M192" s="223"/>
      <c r="N192" s="223">
        <f>+'Summary - Reserve - PG 2 (PA)'!M20</f>
        <v>0</v>
      </c>
      <c r="O192" s="223"/>
      <c r="P192" s="223">
        <f>+'Summary - Reserve - PG 2 (PA)'!O20</f>
        <v>0</v>
      </c>
      <c r="Q192" s="223"/>
      <c r="R192" s="223">
        <f>+'Summary - Reserve - PG 2 (PA)'!Q20</f>
        <v>0</v>
      </c>
      <c r="S192" s="223"/>
      <c r="T192" s="223">
        <f t="shared" si="22"/>
        <v>0</v>
      </c>
      <c r="U192" s="223"/>
      <c r="V192" s="221"/>
    </row>
    <row r="193" spans="1:22" s="220" customFormat="1" hidden="1" outlineLevel="3">
      <c r="A193" s="218"/>
      <c r="C193" s="220" t="s">
        <v>119</v>
      </c>
      <c r="D193" s="223">
        <f>+'Summary - Reserve - PG 2 (PA)'!C21</f>
        <v>117578314.66</v>
      </c>
      <c r="E193" s="223"/>
      <c r="F193" s="223">
        <f>+'Summary - Reserve - PG 2 (PA)'!E21</f>
        <v>0</v>
      </c>
      <c r="G193" s="223"/>
      <c r="H193" s="223">
        <f>+'Summary - Reserve - PG 2 (PA)'!G21</f>
        <v>-1167259.44</v>
      </c>
      <c r="I193" s="223"/>
      <c r="J193" s="223">
        <f>+'Summary - Reserve - PG 2 (PA)'!I21</f>
        <v>0</v>
      </c>
      <c r="K193" s="223"/>
      <c r="L193" s="223">
        <f>+'Summary - Reserve - PG 2 (PA)'!K21</f>
        <v>0</v>
      </c>
      <c r="M193" s="223"/>
      <c r="N193" s="223">
        <f>+'Summary - Reserve - PG 2 (PA)'!M21</f>
        <v>0</v>
      </c>
      <c r="O193" s="223"/>
      <c r="P193" s="223">
        <f>+'Summary - Reserve - PG 2 (PA)'!O21</f>
        <v>0</v>
      </c>
      <c r="Q193" s="223"/>
      <c r="R193" s="223">
        <f>+'Summary - Reserve - PG 2 (PA)'!Q21</f>
        <v>0</v>
      </c>
      <c r="S193" s="223"/>
      <c r="T193" s="223">
        <f t="shared" si="22"/>
        <v>116411055.22</v>
      </c>
      <c r="U193" s="223"/>
      <c r="V193" s="221"/>
    </row>
    <row r="194" spans="1:22" s="220" customFormat="1" hidden="1" outlineLevel="3">
      <c r="A194" s="218"/>
      <c r="C194" s="220" t="s">
        <v>950</v>
      </c>
      <c r="D194" s="223">
        <f>+'Summary - Reserve - PG 2 (PA)'!C22</f>
        <v>0</v>
      </c>
      <c r="E194" s="223"/>
      <c r="F194" s="223">
        <f>+'Summary - Reserve - PG 2 (PA)'!E22</f>
        <v>0</v>
      </c>
      <c r="G194" s="223"/>
      <c r="H194" s="223">
        <f>+'Summary - Reserve - PG 2 (PA)'!G22</f>
        <v>0</v>
      </c>
      <c r="I194" s="223"/>
      <c r="J194" s="223">
        <f>+'Summary - Reserve - PG 2 (PA)'!I22</f>
        <v>0</v>
      </c>
      <c r="K194" s="223"/>
      <c r="L194" s="223">
        <f>+'Summary - Reserve - PG 2 (PA)'!K22</f>
        <v>0</v>
      </c>
      <c r="M194" s="223"/>
      <c r="N194" s="223">
        <f>+'Summary - Reserve - PG 2 (PA)'!M22</f>
        <v>0</v>
      </c>
      <c r="O194" s="223"/>
      <c r="P194" s="223">
        <f>+'Summary - Reserve - PG 2 (PA)'!O22</f>
        <v>0</v>
      </c>
      <c r="Q194" s="223"/>
      <c r="R194" s="223">
        <f>+'Summary - Reserve - PG 2 (PA)'!Q22</f>
        <v>0</v>
      </c>
      <c r="S194" s="223"/>
      <c r="T194" s="223">
        <f t="shared" si="22"/>
        <v>0</v>
      </c>
      <c r="U194" s="223"/>
      <c r="V194" s="221"/>
    </row>
    <row r="195" spans="1:22" s="220" customFormat="1" hidden="1" outlineLevel="3">
      <c r="A195" s="218"/>
      <c r="C195" s="220" t="s">
        <v>121</v>
      </c>
      <c r="D195" s="223">
        <f>+'Summary - Reserve - PG 2 (PA)'!C23</f>
        <v>123194782.14000002</v>
      </c>
      <c r="E195" s="223"/>
      <c r="F195" s="223">
        <f>+'Summary - Reserve - PG 2 (PA)'!E23</f>
        <v>0</v>
      </c>
      <c r="G195" s="223"/>
      <c r="H195" s="223">
        <f>+'Summary - Reserve - PG 2 (PA)'!G23</f>
        <v>-14486.08</v>
      </c>
      <c r="I195" s="223"/>
      <c r="J195" s="223">
        <f>+'Summary - Reserve - PG 2 (PA)'!I23</f>
        <v>0</v>
      </c>
      <c r="K195" s="223"/>
      <c r="L195" s="223">
        <f>+'Summary - Reserve - PG 2 (PA)'!K23</f>
        <v>0</v>
      </c>
      <c r="M195" s="223"/>
      <c r="N195" s="223">
        <f>+'Summary - Reserve - PG 2 (PA)'!M23</f>
        <v>0</v>
      </c>
      <c r="O195" s="223"/>
      <c r="P195" s="223">
        <f>+'Summary - Reserve - PG 2 (PA)'!O23</f>
        <v>0</v>
      </c>
      <c r="Q195" s="223"/>
      <c r="R195" s="223">
        <f>+'Summary - Reserve - PG 2 (PA)'!Q23</f>
        <v>0</v>
      </c>
      <c r="S195" s="223"/>
      <c r="T195" s="223">
        <f t="shared" si="22"/>
        <v>123180296.06000002</v>
      </c>
      <c r="U195" s="223"/>
      <c r="V195" s="221"/>
    </row>
    <row r="196" spans="1:22" s="220" customFormat="1" hidden="1" outlineLevel="3">
      <c r="A196" s="218"/>
      <c r="C196" s="220" t="s">
        <v>951</v>
      </c>
      <c r="D196" s="223">
        <f>+'Summary - Reserve - PG 2 (PA)'!C24</f>
        <v>0</v>
      </c>
      <c r="E196" s="223"/>
      <c r="F196" s="223">
        <f>+'Summary - Reserve - PG 2 (PA)'!E24</f>
        <v>0</v>
      </c>
      <c r="G196" s="223"/>
      <c r="H196" s="223">
        <f>+'Summary - Reserve - PG 2 (PA)'!G24</f>
        <v>0</v>
      </c>
      <c r="I196" s="223"/>
      <c r="J196" s="223">
        <f>+'Summary - Reserve - PG 2 (PA)'!I24</f>
        <v>0</v>
      </c>
      <c r="K196" s="223"/>
      <c r="L196" s="223">
        <f>+'Summary - Reserve - PG 2 (PA)'!K24</f>
        <v>0</v>
      </c>
      <c r="M196" s="223"/>
      <c r="N196" s="223">
        <f>+'Summary - Reserve - PG 2 (PA)'!M24</f>
        <v>0</v>
      </c>
      <c r="O196" s="223"/>
      <c r="P196" s="223">
        <f>+'Summary - Reserve - PG 2 (PA)'!O24</f>
        <v>0</v>
      </c>
      <c r="Q196" s="223"/>
      <c r="R196" s="223">
        <f>+'Summary - Reserve - PG 2 (PA)'!Q24</f>
        <v>0</v>
      </c>
      <c r="S196" s="223"/>
      <c r="T196" s="223">
        <f t="shared" si="22"/>
        <v>0</v>
      </c>
      <c r="U196" s="223"/>
      <c r="V196" s="221"/>
    </row>
    <row r="197" spans="1:22" s="220" customFormat="1" hidden="1" outlineLevel="3">
      <c r="A197" s="218"/>
      <c r="C197" s="220" t="s">
        <v>122</v>
      </c>
      <c r="D197" s="223">
        <f>+'Summary - Reserve - PG 2 (PA)'!C25</f>
        <v>4714350.2300000004</v>
      </c>
      <c r="E197" s="223"/>
      <c r="F197" s="223">
        <f>+'Summary - Reserve - PG 2 (PA)'!E25</f>
        <v>0</v>
      </c>
      <c r="G197" s="223"/>
      <c r="H197" s="223">
        <f>+'Summary - Reserve - PG 2 (PA)'!G25</f>
        <v>0</v>
      </c>
      <c r="I197" s="223"/>
      <c r="J197" s="223">
        <f>+'Summary - Reserve - PG 2 (PA)'!I25</f>
        <v>0</v>
      </c>
      <c r="K197" s="223"/>
      <c r="L197" s="223">
        <f>+'Summary - Reserve - PG 2 (PA)'!K25</f>
        <v>0</v>
      </c>
      <c r="M197" s="223"/>
      <c r="N197" s="223">
        <f>+'Summary - Reserve - PG 2 (PA)'!M25</f>
        <v>0</v>
      </c>
      <c r="O197" s="223"/>
      <c r="P197" s="223">
        <f>+'Summary - Reserve - PG 2 (PA)'!O25</f>
        <v>0</v>
      </c>
      <c r="Q197" s="223"/>
      <c r="R197" s="223">
        <f>+'Summary - Reserve - PG 2 (PA)'!Q25</f>
        <v>0</v>
      </c>
      <c r="S197" s="223"/>
      <c r="T197" s="223">
        <f t="shared" si="22"/>
        <v>4714350.2300000004</v>
      </c>
      <c r="U197" s="223"/>
      <c r="V197" s="221"/>
    </row>
    <row r="198" spans="1:22" s="220" customFormat="1" hidden="1" outlineLevel="3">
      <c r="A198" s="218"/>
      <c r="C198" s="220" t="s">
        <v>124</v>
      </c>
      <c r="D198" s="223">
        <f>+'Summary - Reserve - PG 2 (PA)'!C26</f>
        <v>31469454.919999998</v>
      </c>
      <c r="E198" s="223"/>
      <c r="F198" s="223">
        <f>+'Summary - Reserve - PG 2 (PA)'!E26</f>
        <v>0</v>
      </c>
      <c r="G198" s="223"/>
      <c r="H198" s="223">
        <f>+'Summary - Reserve - PG 2 (PA)'!G26</f>
        <v>-39066.25</v>
      </c>
      <c r="I198" s="223"/>
      <c r="J198" s="223">
        <f>+'Summary - Reserve - PG 2 (PA)'!I26</f>
        <v>0</v>
      </c>
      <c r="K198" s="223"/>
      <c r="L198" s="223">
        <f>+'Summary - Reserve - PG 2 (PA)'!K26</f>
        <v>0</v>
      </c>
      <c r="M198" s="223"/>
      <c r="N198" s="223">
        <f>+'Summary - Reserve - PG 2 (PA)'!M26</f>
        <v>0</v>
      </c>
      <c r="O198" s="223"/>
      <c r="P198" s="223">
        <f>+'Summary - Reserve - PG 2 (PA)'!O26</f>
        <v>0</v>
      </c>
      <c r="Q198" s="223"/>
      <c r="R198" s="223">
        <f>+'Summary - Reserve - PG 2 (PA)'!Q26</f>
        <v>0</v>
      </c>
      <c r="S198" s="223"/>
      <c r="T198" s="223">
        <f t="shared" si="22"/>
        <v>31430388.669999998</v>
      </c>
      <c r="U198" s="223"/>
      <c r="V198" s="221"/>
    </row>
    <row r="199" spans="1:22" s="220" customFormat="1" hidden="1" outlineLevel="3">
      <c r="A199" s="218"/>
      <c r="C199" s="220" t="s">
        <v>952</v>
      </c>
      <c r="D199" s="223">
        <f>+'Summary - Reserve - PG 2 (PA)'!C27</f>
        <v>0</v>
      </c>
      <c r="E199" s="223"/>
      <c r="F199" s="223">
        <f>+'Summary - Reserve - PG 2 (PA)'!E27</f>
        <v>0</v>
      </c>
      <c r="G199" s="223"/>
      <c r="H199" s="223">
        <f>+'Summary - Reserve - PG 2 (PA)'!G27</f>
        <v>0</v>
      </c>
      <c r="I199" s="223"/>
      <c r="J199" s="223">
        <f>+'Summary - Reserve - PG 2 (PA)'!I27</f>
        <v>0</v>
      </c>
      <c r="K199" s="223"/>
      <c r="L199" s="223">
        <f>+'Summary - Reserve - PG 2 (PA)'!K27</f>
        <v>0</v>
      </c>
      <c r="M199" s="223"/>
      <c r="N199" s="223">
        <f>+'Summary - Reserve - PG 2 (PA)'!M27</f>
        <v>0</v>
      </c>
      <c r="O199" s="223"/>
      <c r="P199" s="223">
        <f>+'Summary - Reserve - PG 2 (PA)'!O27</f>
        <v>0</v>
      </c>
      <c r="Q199" s="223"/>
      <c r="R199" s="223">
        <f>+'Summary - Reserve - PG 2 (PA)'!Q27</f>
        <v>0</v>
      </c>
      <c r="S199" s="223"/>
      <c r="T199" s="223">
        <f t="shared" si="22"/>
        <v>0</v>
      </c>
      <c r="U199" s="223"/>
      <c r="V199" s="221"/>
    </row>
    <row r="200" spans="1:22" s="220" customFormat="1" hidden="1" outlineLevel="3">
      <c r="A200" s="218"/>
      <c r="C200" s="220" t="s">
        <v>129</v>
      </c>
      <c r="D200" s="223">
        <f>+'Summary - Reserve - PG 2 (PA)'!C28</f>
        <v>0</v>
      </c>
      <c r="E200" s="223"/>
      <c r="F200" s="223">
        <f>+'Summary - Reserve - PG 2 (PA)'!E28</f>
        <v>0</v>
      </c>
      <c r="G200" s="223"/>
      <c r="H200" s="223">
        <f>+'Summary - Reserve - PG 2 (PA)'!G28</f>
        <v>0</v>
      </c>
      <c r="I200" s="223"/>
      <c r="J200" s="223">
        <f>+'Summary - Reserve - PG 2 (PA)'!I28</f>
        <v>0</v>
      </c>
      <c r="K200" s="223"/>
      <c r="L200" s="223">
        <f>+'Summary - Reserve - PG 2 (PA)'!K28</f>
        <v>0</v>
      </c>
      <c r="M200" s="223"/>
      <c r="N200" s="223">
        <f>+'Summary - Reserve - PG 2 (PA)'!M28</f>
        <v>0</v>
      </c>
      <c r="O200" s="223"/>
      <c r="P200" s="223">
        <f>+'Summary - Reserve - PG 2 (PA)'!O28</f>
        <v>0</v>
      </c>
      <c r="Q200" s="223"/>
      <c r="R200" s="223">
        <f>+'Summary - Reserve - PG 2 (PA)'!Q28</f>
        <v>0</v>
      </c>
      <c r="S200" s="223"/>
      <c r="T200" s="223">
        <f t="shared" si="22"/>
        <v>0</v>
      </c>
      <c r="U200" s="223"/>
      <c r="V200" s="221"/>
    </row>
    <row r="201" spans="1:22" s="220" customFormat="1" hidden="1" outlineLevel="3">
      <c r="A201" s="218"/>
      <c r="C201" s="220" t="s">
        <v>125</v>
      </c>
      <c r="D201" s="223">
        <f>+'Summary - Reserve - PG 2 (PA)'!C29</f>
        <v>9426614.1399999987</v>
      </c>
      <c r="E201" s="222"/>
      <c r="F201" s="223">
        <f>+'Summary - Reserve - PG 2 (PA)'!E29</f>
        <v>0</v>
      </c>
      <c r="G201" s="222"/>
      <c r="H201" s="223">
        <f>+'Summary - Reserve - PG 2 (PA)'!G29</f>
        <v>-698.24</v>
      </c>
      <c r="I201" s="222"/>
      <c r="J201" s="223">
        <f>+'Summary - Reserve - PG 2 (PA)'!I29</f>
        <v>0</v>
      </c>
      <c r="K201" s="222"/>
      <c r="L201" s="223">
        <f>+'Summary - Reserve - PG 2 (PA)'!K29</f>
        <v>0</v>
      </c>
      <c r="M201" s="222"/>
      <c r="N201" s="223">
        <f>+'Summary - Reserve - PG 2 (PA)'!M29</f>
        <v>0</v>
      </c>
      <c r="O201" s="222"/>
      <c r="P201" s="223">
        <f>+'Summary - Reserve - PG 2 (PA)'!O29</f>
        <v>0</v>
      </c>
      <c r="Q201" s="222"/>
      <c r="R201" s="223">
        <f>+'Summary - Reserve - PG 2 (PA)'!Q29</f>
        <v>0</v>
      </c>
      <c r="S201" s="222"/>
      <c r="T201" s="222">
        <f t="shared" si="22"/>
        <v>9425915.8999999985</v>
      </c>
      <c r="U201" s="222"/>
      <c r="V201" s="221"/>
    </row>
    <row r="202" spans="1:22" s="220" customFormat="1" hidden="1" outlineLevel="3">
      <c r="A202" s="218"/>
      <c r="C202" s="220" t="s">
        <v>131</v>
      </c>
      <c r="D202" s="225">
        <f>+'Summary - Reserve - PG 2 (PA)'!C31</f>
        <v>63360.36</v>
      </c>
      <c r="E202" s="222"/>
      <c r="F202" s="225">
        <f>+'Summary - Reserve - PG 2 (PA)'!E31</f>
        <v>0</v>
      </c>
      <c r="G202" s="222"/>
      <c r="H202" s="225">
        <f>+'Summary - Reserve - PG 2 (PA)'!G31</f>
        <v>0</v>
      </c>
      <c r="I202" s="222"/>
      <c r="J202" s="225">
        <f>+'Summary - Reserve - PG 2 (PA)'!I31</f>
        <v>0</v>
      </c>
      <c r="K202" s="222"/>
      <c r="L202" s="225">
        <f>+'Summary - Reserve - PG 2 (PA)'!K31</f>
        <v>0</v>
      </c>
      <c r="M202" s="222"/>
      <c r="N202" s="225">
        <f>+'Summary - Reserve - PG 2 (PA)'!M31</f>
        <v>0</v>
      </c>
      <c r="O202" s="222"/>
      <c r="P202" s="225">
        <f>+'Summary - Reserve - PG 2 (PA)'!O31</f>
        <v>0</v>
      </c>
      <c r="Q202" s="222"/>
      <c r="R202" s="225">
        <f>+'Summary - Reserve - PG 2 (PA)'!Q31</f>
        <v>0</v>
      </c>
      <c r="S202" s="222"/>
      <c r="T202" s="225">
        <f t="shared" si="22"/>
        <v>63360.36</v>
      </c>
      <c r="U202" s="222"/>
      <c r="V202" s="221"/>
    </row>
    <row r="203" spans="1:22" s="220" customFormat="1" hidden="1" outlineLevel="3">
      <c r="A203" s="218"/>
      <c r="C203" s="227"/>
      <c r="D203" s="222">
        <f>SUM(D182:D202)</f>
        <v>1708469903.9200001</v>
      </c>
      <c r="E203" s="222"/>
      <c r="F203" s="222">
        <f>SUM(F182:F202)</f>
        <v>0</v>
      </c>
      <c r="G203" s="222"/>
      <c r="H203" s="222">
        <f>SUM(H182:H202)</f>
        <v>-2153940.6300000004</v>
      </c>
      <c r="I203" s="222"/>
      <c r="J203" s="222">
        <f>SUM(J182:J202)</f>
        <v>0</v>
      </c>
      <c r="K203" s="222"/>
      <c r="L203" s="222">
        <f>SUM(L182:L202)</f>
        <v>0</v>
      </c>
      <c r="M203" s="222"/>
      <c r="N203" s="222">
        <f>SUM(N182:N202)</f>
        <v>0</v>
      </c>
      <c r="O203" s="222"/>
      <c r="P203" s="222">
        <f>SUM(P182:P202)</f>
        <v>0</v>
      </c>
      <c r="Q203" s="222"/>
      <c r="R203" s="222">
        <f>SUM(R182:R202)</f>
        <v>0</v>
      </c>
      <c r="S203" s="222"/>
      <c r="T203" s="222">
        <f>SUM(T182:T202)</f>
        <v>1706315963.29</v>
      </c>
      <c r="U203" s="222"/>
      <c r="V203" s="221"/>
    </row>
    <row r="204" spans="1:22" s="220" customFormat="1" hidden="1" outlineLevel="3">
      <c r="A204" s="218"/>
      <c r="D204" s="239"/>
      <c r="E204" s="239"/>
      <c r="F204" s="239"/>
      <c r="G204" s="239"/>
      <c r="H204" s="239"/>
      <c r="I204" s="239"/>
      <c r="J204" s="226"/>
      <c r="K204" s="239"/>
      <c r="L204" s="239"/>
      <c r="M204" s="239"/>
      <c r="N204" s="239"/>
      <c r="O204" s="239"/>
      <c r="P204" s="239"/>
      <c r="Q204" s="239"/>
      <c r="R204" s="239"/>
      <c r="S204" s="239"/>
      <c r="T204" s="239"/>
      <c r="U204" s="239"/>
      <c r="V204" s="221"/>
    </row>
    <row r="205" spans="1:22" s="220" customFormat="1" hidden="1" outlineLevel="3">
      <c r="A205" s="218"/>
      <c r="B205" s="219" t="s">
        <v>658</v>
      </c>
      <c r="D205" s="223"/>
      <c r="E205" s="223"/>
      <c r="F205" s="223"/>
      <c r="G205" s="223"/>
      <c r="H205" s="223"/>
      <c r="I205" s="223"/>
      <c r="J205" s="223"/>
      <c r="K205" s="223"/>
      <c r="L205" s="223"/>
      <c r="M205" s="223"/>
      <c r="N205" s="223"/>
      <c r="O205" s="223"/>
      <c r="P205" s="223"/>
      <c r="Q205" s="223"/>
      <c r="R205" s="223"/>
      <c r="S205" s="223"/>
      <c r="T205" s="223"/>
      <c r="U205" s="223"/>
      <c r="V205" s="221"/>
    </row>
    <row r="206" spans="1:22" s="220" customFormat="1" hidden="1" outlineLevel="3">
      <c r="A206" s="218"/>
      <c r="C206" s="220" t="s">
        <v>652</v>
      </c>
      <c r="D206" s="223">
        <f>+'Summary - Reserve - PG 2 (PA)'!C81</f>
        <v>11268293.23</v>
      </c>
      <c r="E206" s="223"/>
      <c r="F206" s="223">
        <f>+'Summary - Reserve - PG 2 (PA)'!E81</f>
        <v>0</v>
      </c>
      <c r="G206" s="223"/>
      <c r="H206" s="223">
        <f>+'Summary - Reserve - PG 2 (PA)'!G81</f>
        <v>-793063.15</v>
      </c>
      <c r="I206" s="223"/>
      <c r="J206" s="223">
        <f>+'Summary - Reserve - PG 2 (PA)'!I81</f>
        <v>0</v>
      </c>
      <c r="K206" s="223"/>
      <c r="L206" s="223">
        <f>+'Summary - Reserve - PG 2 (PA)'!K81</f>
        <v>0</v>
      </c>
      <c r="M206" s="223"/>
      <c r="N206" s="223">
        <f>+'Summary - Reserve - PG 2 (PA)'!M81</f>
        <v>0</v>
      </c>
      <c r="O206" s="223"/>
      <c r="P206" s="223">
        <f>+'Summary - Reserve - PG 2 (PA)'!O81</f>
        <v>0</v>
      </c>
      <c r="Q206" s="223"/>
      <c r="R206" s="223">
        <f>+'Summary - Reserve - PG 2 (PA)'!Q81</f>
        <v>0</v>
      </c>
      <c r="S206" s="223"/>
      <c r="T206" s="223">
        <f>R206+P206+N206+L206+J206+H206+F206+D206</f>
        <v>10475230.08</v>
      </c>
      <c r="U206" s="223"/>
      <c r="V206" s="221"/>
    </row>
    <row r="207" spans="1:22" s="220" customFormat="1" hidden="1" outlineLevel="3">
      <c r="A207" s="218"/>
      <c r="C207" s="220" t="s">
        <v>112</v>
      </c>
      <c r="D207" s="223">
        <f>+'Summary - Reserve - PG 2 (PA)'!C82</f>
        <v>0</v>
      </c>
      <c r="E207" s="223"/>
      <c r="F207" s="223">
        <f>+'Summary - Reserve - PG 2 (PA)'!E82</f>
        <v>0</v>
      </c>
      <c r="G207" s="223"/>
      <c r="H207" s="223">
        <f>+'Summary - Reserve - PG 2 (PA)'!G82</f>
        <v>0</v>
      </c>
      <c r="I207" s="223"/>
      <c r="J207" s="223">
        <f>+'Summary - Reserve - PG 2 (PA)'!I82</f>
        <v>0</v>
      </c>
      <c r="K207" s="223"/>
      <c r="L207" s="223">
        <f>+'Summary - Reserve - PG 2 (PA)'!K82</f>
        <v>0</v>
      </c>
      <c r="M207" s="223"/>
      <c r="N207" s="223">
        <f>+'Summary - Reserve - PG 2 (PA)'!M82</f>
        <v>0</v>
      </c>
      <c r="O207" s="223"/>
      <c r="P207" s="223">
        <f>+'Summary - Reserve - PG 2 (PA)'!O82</f>
        <v>0</v>
      </c>
      <c r="Q207" s="223"/>
      <c r="R207" s="223">
        <f>+'Summary - Reserve - PG 2 (PA)'!Q82</f>
        <v>0</v>
      </c>
      <c r="S207" s="223"/>
      <c r="T207" s="223">
        <f>R207+P207+N207+L207+J207+H207+F207+D207</f>
        <v>0</v>
      </c>
      <c r="U207" s="223"/>
      <c r="V207" s="221"/>
    </row>
    <row r="208" spans="1:22" s="220" customFormat="1" hidden="1" outlineLevel="3">
      <c r="A208" s="218"/>
      <c r="C208" s="220" t="s">
        <v>120</v>
      </c>
      <c r="D208" s="225">
        <f>+'Summary - Reserve - PG 2 (PA)'!C83</f>
        <v>119.15999999999997</v>
      </c>
      <c r="E208" s="223"/>
      <c r="F208" s="225">
        <f>+'Summary - Reserve - PG 2 (PA)'!E83</f>
        <v>0</v>
      </c>
      <c r="G208" s="223"/>
      <c r="H208" s="225">
        <f>+'Summary - Reserve - PG 2 (PA)'!G83</f>
        <v>0</v>
      </c>
      <c r="I208" s="223"/>
      <c r="J208" s="225">
        <f>+'Summary - Reserve - PG 2 (PA)'!I83</f>
        <v>0</v>
      </c>
      <c r="K208" s="223"/>
      <c r="L208" s="225">
        <f>+'Summary - Reserve - PG 2 (PA)'!K83</f>
        <v>0</v>
      </c>
      <c r="M208" s="223"/>
      <c r="N208" s="225">
        <f>+'Summary - Reserve - PG 2 (PA)'!M83</f>
        <v>0</v>
      </c>
      <c r="O208" s="223"/>
      <c r="P208" s="225">
        <f>+'Summary - Reserve - PG 2 (PA)'!O83</f>
        <v>0</v>
      </c>
      <c r="Q208" s="223"/>
      <c r="R208" s="225">
        <f>+'Summary - Reserve - PG 2 (PA)'!Q83</f>
        <v>0</v>
      </c>
      <c r="S208" s="223"/>
      <c r="T208" s="225">
        <f>R208+P208+N208+L208+J208+H208+F208+D208</f>
        <v>119.15999999999997</v>
      </c>
      <c r="U208" s="222"/>
      <c r="V208" s="221"/>
    </row>
    <row r="209" spans="1:22" s="220" customFormat="1" hidden="1" outlineLevel="3">
      <c r="A209" s="218"/>
      <c r="C209" s="227" t="s">
        <v>659</v>
      </c>
      <c r="D209" s="222">
        <f>SUM(D206:D208)</f>
        <v>11268412.390000001</v>
      </c>
      <c r="E209" s="222"/>
      <c r="F209" s="222">
        <f>SUM(F206:F208)</f>
        <v>0</v>
      </c>
      <c r="G209" s="222"/>
      <c r="H209" s="222">
        <f>SUM(H206:H208)</f>
        <v>-793063.15</v>
      </c>
      <c r="I209" s="222"/>
      <c r="J209" s="222">
        <f>SUM(J206:J208)</f>
        <v>0</v>
      </c>
      <c r="K209" s="222"/>
      <c r="L209" s="222">
        <f>SUM(L206:L208)</f>
        <v>0</v>
      </c>
      <c r="M209" s="222"/>
      <c r="N209" s="222">
        <f>SUM(N206:N208)</f>
        <v>0</v>
      </c>
      <c r="O209" s="222"/>
      <c r="P209" s="222">
        <f>SUM(P206:P208)</f>
        <v>0</v>
      </c>
      <c r="Q209" s="222"/>
      <c r="R209" s="222">
        <f>SUM(R206:R208)</f>
        <v>0</v>
      </c>
      <c r="S209" s="222"/>
      <c r="T209" s="222">
        <f>SUM(T206:T208)</f>
        <v>10475349.24</v>
      </c>
      <c r="U209" s="222"/>
      <c r="V209" s="221"/>
    </row>
    <row r="210" spans="1:22" s="220" customFormat="1" hidden="1" outlineLevel="3">
      <c r="A210" s="218"/>
      <c r="C210" s="227"/>
      <c r="D210" s="222"/>
      <c r="E210" s="222"/>
      <c r="F210" s="222"/>
      <c r="G210" s="222"/>
      <c r="H210" s="222"/>
      <c r="I210" s="222"/>
      <c r="J210" s="222"/>
      <c r="K210" s="222"/>
      <c r="L210" s="222"/>
      <c r="M210" s="222"/>
      <c r="N210" s="222"/>
      <c r="O210" s="222"/>
      <c r="P210" s="222"/>
      <c r="Q210" s="222"/>
      <c r="R210" s="222"/>
      <c r="S210" s="222"/>
      <c r="T210" s="222"/>
      <c r="U210" s="222"/>
      <c r="V210" s="221"/>
    </row>
    <row r="211" spans="1:22" s="220" customFormat="1" hidden="1" outlineLevel="3">
      <c r="A211" s="220" t="s">
        <v>1143</v>
      </c>
      <c r="B211" s="219" t="s">
        <v>1094</v>
      </c>
    </row>
    <row r="212" spans="1:22" s="220" customFormat="1" hidden="1" outlineLevel="3">
      <c r="C212" s="220" t="s">
        <v>652</v>
      </c>
      <c r="D212" s="223">
        <v>-2770449.12</v>
      </c>
      <c r="F212" s="240">
        <f>+F274</f>
        <v>0</v>
      </c>
      <c r="G212" s="241"/>
      <c r="H212" s="240">
        <f>+H274</f>
        <v>0</v>
      </c>
      <c r="I212" s="241"/>
      <c r="J212" s="240">
        <f>-D212</f>
        <v>2770449.12</v>
      </c>
      <c r="K212" s="241"/>
      <c r="L212" s="240">
        <f>+L274</f>
        <v>0</v>
      </c>
      <c r="M212" s="241"/>
      <c r="N212" s="240">
        <f>+N274</f>
        <v>0</v>
      </c>
      <c r="O212" s="241"/>
      <c r="P212" s="240">
        <f>+P274</f>
        <v>0</v>
      </c>
      <c r="Q212" s="241"/>
      <c r="R212" s="240">
        <f>+R274</f>
        <v>0</v>
      </c>
      <c r="T212" s="225">
        <f>R212+P212+N212+L212+J212+H212+F212+D212</f>
        <v>0</v>
      </c>
      <c r="U212" s="223"/>
    </row>
    <row r="213" spans="1:22" s="220" customFormat="1" hidden="1" outlineLevel="3">
      <c r="C213" s="220" t="s">
        <v>112</v>
      </c>
      <c r="F213" s="240">
        <f t="shared" ref="F213:F214" si="23">+F275</f>
        <v>0</v>
      </c>
      <c r="G213" s="241"/>
      <c r="H213" s="240">
        <f t="shared" ref="H213:J214" si="24">+H275</f>
        <v>0</v>
      </c>
      <c r="I213" s="241"/>
      <c r="J213" s="240">
        <f t="shared" si="24"/>
        <v>0</v>
      </c>
      <c r="K213" s="241"/>
      <c r="L213" s="240">
        <f t="shared" ref="L213:L214" si="25">+L275</f>
        <v>0</v>
      </c>
      <c r="M213" s="241"/>
      <c r="N213" s="240">
        <f t="shared" ref="N213:N214" si="26">+N275</f>
        <v>0</v>
      </c>
      <c r="O213" s="241"/>
      <c r="P213" s="240">
        <f t="shared" ref="P213:P214" si="27">+P275</f>
        <v>0</v>
      </c>
      <c r="Q213" s="241"/>
      <c r="R213" s="240">
        <f t="shared" ref="R213:R214" si="28">+R275</f>
        <v>0</v>
      </c>
      <c r="T213" s="223">
        <v>0</v>
      </c>
      <c r="U213" s="223"/>
    </row>
    <row r="214" spans="1:22" s="220" customFormat="1" hidden="1" outlineLevel="3">
      <c r="C214" s="220" t="s">
        <v>120</v>
      </c>
      <c r="F214" s="240">
        <f t="shared" si="23"/>
        <v>0</v>
      </c>
      <c r="G214" s="241"/>
      <c r="H214" s="240">
        <f t="shared" si="24"/>
        <v>0</v>
      </c>
      <c r="I214" s="241"/>
      <c r="J214" s="240">
        <f t="shared" si="24"/>
        <v>0</v>
      </c>
      <c r="K214" s="241"/>
      <c r="L214" s="240">
        <f t="shared" si="25"/>
        <v>0</v>
      </c>
      <c r="M214" s="241"/>
      <c r="N214" s="240">
        <f t="shared" si="26"/>
        <v>0</v>
      </c>
      <c r="O214" s="241"/>
      <c r="P214" s="240">
        <f t="shared" si="27"/>
        <v>0</v>
      </c>
      <c r="Q214" s="241"/>
      <c r="R214" s="240">
        <f t="shared" si="28"/>
        <v>0</v>
      </c>
      <c r="T214" s="223">
        <v>0</v>
      </c>
      <c r="U214" s="223"/>
    </row>
    <row r="215" spans="1:22" s="220" customFormat="1" hidden="1" outlineLevel="3">
      <c r="D215" s="228">
        <f>SUM(D212:D214)</f>
        <v>-2770449.12</v>
      </c>
      <c r="F215" s="228">
        <f>SUM(F212:F214)</f>
        <v>0</v>
      </c>
      <c r="H215" s="228">
        <f>SUM(H212:H214)</f>
        <v>0</v>
      </c>
      <c r="J215" s="228">
        <f>SUM(J212:J214)</f>
        <v>2770449.12</v>
      </c>
      <c r="L215" s="228">
        <f>SUM(L212:L214)</f>
        <v>0</v>
      </c>
      <c r="N215" s="228">
        <f>SUM(N212:N214)</f>
        <v>0</v>
      </c>
      <c r="P215" s="228">
        <f>SUM(P212:P214)</f>
        <v>0</v>
      </c>
      <c r="R215" s="228">
        <f>SUM(R212:R214)</f>
        <v>0</v>
      </c>
      <c r="T215" s="228">
        <f>SUM(T212:T214)</f>
        <v>0</v>
      </c>
      <c r="U215" s="222"/>
    </row>
    <row r="216" spans="1:22" s="220" customFormat="1" hidden="1" outlineLevel="3">
      <c r="A216" s="218"/>
      <c r="B216" s="219" t="s">
        <v>1125</v>
      </c>
      <c r="C216" s="227"/>
      <c r="D216" s="222"/>
      <c r="E216" s="222"/>
      <c r="F216" s="222"/>
      <c r="G216" s="222"/>
      <c r="H216" s="222"/>
      <c r="I216" s="222"/>
      <c r="J216" s="222"/>
      <c r="K216" s="222"/>
      <c r="L216" s="222"/>
      <c r="M216" s="222"/>
      <c r="N216" s="222"/>
      <c r="O216" s="222"/>
      <c r="P216" s="222"/>
      <c r="Q216" s="222"/>
      <c r="R216" s="222"/>
      <c r="S216" s="222"/>
      <c r="T216" s="222"/>
      <c r="U216" s="222"/>
      <c r="V216" s="221"/>
    </row>
    <row r="217" spans="1:22" s="220" customFormat="1" hidden="1" outlineLevel="3">
      <c r="A217" s="218"/>
      <c r="C217" s="227"/>
      <c r="D217" s="222"/>
      <c r="E217" s="222"/>
      <c r="F217" s="222"/>
      <c r="G217" s="222"/>
      <c r="H217" s="222"/>
      <c r="I217" s="222"/>
      <c r="J217" s="222"/>
      <c r="K217" s="222"/>
      <c r="L217" s="222"/>
      <c r="M217" s="222"/>
      <c r="N217" s="222"/>
      <c r="O217" s="222"/>
      <c r="P217" s="222"/>
      <c r="Q217" s="222"/>
      <c r="R217" s="222"/>
      <c r="S217" s="222"/>
      <c r="T217" s="222"/>
      <c r="U217" s="222"/>
      <c r="V217" s="221"/>
    </row>
    <row r="218" spans="1:22" s="220" customFormat="1" hidden="1" outlineLevel="3">
      <c r="A218" s="229" t="s">
        <v>1133</v>
      </c>
      <c r="B218" s="219"/>
      <c r="C218" s="219" t="s">
        <v>1140</v>
      </c>
      <c r="D218" s="223">
        <f>+D164</f>
        <v>1941046.04</v>
      </c>
      <c r="E218" s="234"/>
      <c r="F218" s="223">
        <f>+F164</f>
        <v>-25000</v>
      </c>
      <c r="G218" s="234"/>
      <c r="H218" s="223">
        <f>+H164</f>
        <v>0</v>
      </c>
      <c r="I218" s="234"/>
      <c r="J218" s="223">
        <f>+J164</f>
        <v>0</v>
      </c>
      <c r="K218" s="234"/>
      <c r="L218" s="223">
        <f>+L164</f>
        <v>0</v>
      </c>
      <c r="M218" s="234"/>
      <c r="N218" s="223">
        <f>+N164</f>
        <v>0</v>
      </c>
      <c r="O218" s="234"/>
      <c r="P218" s="223">
        <f>+P164</f>
        <v>0</v>
      </c>
      <c r="Q218" s="234"/>
      <c r="R218" s="223">
        <f>+R164</f>
        <v>0</v>
      </c>
      <c r="S218" s="234"/>
      <c r="T218" s="223">
        <f>+T164</f>
        <v>1916046.04</v>
      </c>
      <c r="U218" s="223"/>
      <c r="V218" s="221"/>
    </row>
    <row r="219" spans="1:22" s="220" customFormat="1" hidden="1" outlineLevel="3">
      <c r="A219" s="229" t="s">
        <v>1128</v>
      </c>
      <c r="B219" s="219"/>
      <c r="C219" s="219" t="s">
        <v>1129</v>
      </c>
      <c r="D219" s="223">
        <f t="shared" ref="D219:F226" si="29">+D165</f>
        <v>70451.45</v>
      </c>
      <c r="E219" s="234"/>
      <c r="F219" s="223">
        <f t="shared" si="29"/>
        <v>0</v>
      </c>
      <c r="G219" s="234"/>
      <c r="H219" s="223">
        <f t="shared" ref="H219:H226" si="30">+H165</f>
        <v>0</v>
      </c>
      <c r="I219" s="234"/>
      <c r="J219" s="223">
        <f t="shared" ref="J219:J226" si="31">+J165</f>
        <v>0</v>
      </c>
      <c r="K219" s="234"/>
      <c r="L219" s="223">
        <f t="shared" ref="L219:L226" si="32">+L165</f>
        <v>0</v>
      </c>
      <c r="M219" s="234"/>
      <c r="N219" s="223">
        <f t="shared" ref="N219:N226" si="33">+N165</f>
        <v>0</v>
      </c>
      <c r="O219" s="234"/>
      <c r="P219" s="223">
        <f t="shared" ref="P219:P226" si="34">+P165</f>
        <v>0</v>
      </c>
      <c r="Q219" s="234"/>
      <c r="R219" s="223">
        <f t="shared" ref="R219:R226" si="35">+R165</f>
        <v>0</v>
      </c>
      <c r="S219" s="234"/>
      <c r="T219" s="223">
        <f t="shared" ref="T219:T226" si="36">+T165</f>
        <v>70451.45</v>
      </c>
      <c r="U219" s="223"/>
      <c r="V219" s="221"/>
    </row>
    <row r="220" spans="1:22" s="220" customFormat="1" hidden="1" outlineLevel="3">
      <c r="A220" s="229" t="s">
        <v>1130</v>
      </c>
      <c r="B220" s="219"/>
      <c r="C220" s="219" t="s">
        <v>1129</v>
      </c>
      <c r="D220" s="223">
        <f t="shared" si="29"/>
        <v>77375.47</v>
      </c>
      <c r="E220" s="234"/>
      <c r="F220" s="223">
        <f t="shared" si="29"/>
        <v>0</v>
      </c>
      <c r="G220" s="234"/>
      <c r="H220" s="223">
        <f t="shared" si="30"/>
        <v>0</v>
      </c>
      <c r="I220" s="234"/>
      <c r="J220" s="223">
        <f t="shared" si="31"/>
        <v>0</v>
      </c>
      <c r="K220" s="234"/>
      <c r="L220" s="223">
        <f t="shared" si="32"/>
        <v>0</v>
      </c>
      <c r="M220" s="234"/>
      <c r="N220" s="223">
        <f t="shared" si="33"/>
        <v>0</v>
      </c>
      <c r="O220" s="234"/>
      <c r="P220" s="223">
        <f t="shared" si="34"/>
        <v>0</v>
      </c>
      <c r="Q220" s="234"/>
      <c r="R220" s="223">
        <f t="shared" si="35"/>
        <v>0</v>
      </c>
      <c r="S220" s="234"/>
      <c r="T220" s="223">
        <f t="shared" si="36"/>
        <v>77375.47</v>
      </c>
      <c r="U220" s="223"/>
      <c r="V220" s="221"/>
    </row>
    <row r="221" spans="1:22" s="220" customFormat="1" hidden="1" outlineLevel="3">
      <c r="A221" s="229" t="s">
        <v>1131</v>
      </c>
      <c r="B221" s="219"/>
      <c r="C221" s="219" t="s">
        <v>1129</v>
      </c>
      <c r="D221" s="223">
        <f t="shared" si="29"/>
        <v>569589.96</v>
      </c>
      <c r="E221" s="234"/>
      <c r="F221" s="223">
        <f t="shared" si="29"/>
        <v>0</v>
      </c>
      <c r="G221" s="234"/>
      <c r="H221" s="223">
        <f t="shared" si="30"/>
        <v>0</v>
      </c>
      <c r="I221" s="234"/>
      <c r="J221" s="223">
        <f t="shared" si="31"/>
        <v>0</v>
      </c>
      <c r="K221" s="234"/>
      <c r="L221" s="223">
        <f t="shared" si="32"/>
        <v>0</v>
      </c>
      <c r="M221" s="234"/>
      <c r="N221" s="223">
        <f t="shared" si="33"/>
        <v>0</v>
      </c>
      <c r="O221" s="234"/>
      <c r="P221" s="223">
        <f t="shared" si="34"/>
        <v>0</v>
      </c>
      <c r="Q221" s="234"/>
      <c r="R221" s="223">
        <f t="shared" si="35"/>
        <v>0</v>
      </c>
      <c r="S221" s="234"/>
      <c r="T221" s="223">
        <f t="shared" si="36"/>
        <v>569589.96</v>
      </c>
      <c r="U221" s="223"/>
      <c r="V221" s="221"/>
    </row>
    <row r="222" spans="1:22" s="220" customFormat="1" hidden="1" outlineLevel="3">
      <c r="A222" s="229" t="s">
        <v>1132</v>
      </c>
      <c r="B222" s="219"/>
      <c r="C222" s="219" t="s">
        <v>1129</v>
      </c>
      <c r="D222" s="223">
        <f t="shared" si="29"/>
        <v>208142.37</v>
      </c>
      <c r="E222" s="234"/>
      <c r="F222" s="223">
        <f t="shared" si="29"/>
        <v>0</v>
      </c>
      <c r="G222" s="234"/>
      <c r="H222" s="223">
        <f t="shared" si="30"/>
        <v>0</v>
      </c>
      <c r="I222" s="234"/>
      <c r="J222" s="223">
        <f t="shared" si="31"/>
        <v>0</v>
      </c>
      <c r="K222" s="234"/>
      <c r="L222" s="223">
        <f t="shared" si="32"/>
        <v>0</v>
      </c>
      <c r="M222" s="234"/>
      <c r="N222" s="223">
        <f t="shared" si="33"/>
        <v>0</v>
      </c>
      <c r="O222" s="234"/>
      <c r="P222" s="223">
        <f t="shared" si="34"/>
        <v>0</v>
      </c>
      <c r="Q222" s="234"/>
      <c r="R222" s="223">
        <f t="shared" si="35"/>
        <v>0</v>
      </c>
      <c r="S222" s="234"/>
      <c r="T222" s="223">
        <f t="shared" si="36"/>
        <v>208142.37</v>
      </c>
      <c r="U222" s="223"/>
      <c r="V222" s="221"/>
    </row>
    <row r="223" spans="1:22" s="220" customFormat="1" hidden="1" outlineLevel="3">
      <c r="A223" s="229" t="s">
        <v>1126</v>
      </c>
      <c r="B223" s="219"/>
      <c r="C223" s="219" t="s">
        <v>1127</v>
      </c>
      <c r="D223" s="223">
        <f t="shared" si="29"/>
        <v>127911.26</v>
      </c>
      <c r="E223" s="234"/>
      <c r="F223" s="223">
        <f t="shared" si="29"/>
        <v>0</v>
      </c>
      <c r="G223" s="234"/>
      <c r="H223" s="223">
        <f t="shared" si="30"/>
        <v>0</v>
      </c>
      <c r="I223" s="234"/>
      <c r="J223" s="223">
        <f t="shared" si="31"/>
        <v>0</v>
      </c>
      <c r="K223" s="234"/>
      <c r="L223" s="223">
        <f t="shared" si="32"/>
        <v>0</v>
      </c>
      <c r="M223" s="234"/>
      <c r="N223" s="223">
        <f t="shared" si="33"/>
        <v>0</v>
      </c>
      <c r="O223" s="234"/>
      <c r="P223" s="223">
        <f t="shared" si="34"/>
        <v>0</v>
      </c>
      <c r="Q223" s="234"/>
      <c r="R223" s="223">
        <f t="shared" si="35"/>
        <v>0</v>
      </c>
      <c r="S223" s="234"/>
      <c r="T223" s="223">
        <f t="shared" si="36"/>
        <v>127911.26</v>
      </c>
      <c r="U223" s="223"/>
      <c r="V223" s="221"/>
    </row>
    <row r="224" spans="1:22" s="220" customFormat="1" hidden="1" outlineLevel="3">
      <c r="A224" s="229" t="s">
        <v>1135</v>
      </c>
      <c r="B224" s="219"/>
      <c r="C224" s="219" t="s">
        <v>1136</v>
      </c>
      <c r="D224" s="223">
        <f t="shared" si="29"/>
        <v>0</v>
      </c>
      <c r="E224" s="234"/>
      <c r="F224" s="223">
        <f t="shared" si="29"/>
        <v>0</v>
      </c>
      <c r="G224" s="234"/>
      <c r="H224" s="223">
        <f t="shared" si="30"/>
        <v>0</v>
      </c>
      <c r="I224" s="234"/>
      <c r="J224" s="223">
        <f t="shared" si="31"/>
        <v>0</v>
      </c>
      <c r="K224" s="234"/>
      <c r="L224" s="223">
        <f t="shared" si="32"/>
        <v>0</v>
      </c>
      <c r="M224" s="234"/>
      <c r="N224" s="223">
        <f t="shared" si="33"/>
        <v>0</v>
      </c>
      <c r="O224" s="234"/>
      <c r="P224" s="223">
        <f t="shared" si="34"/>
        <v>0</v>
      </c>
      <c r="Q224" s="234"/>
      <c r="R224" s="223">
        <f t="shared" si="35"/>
        <v>0</v>
      </c>
      <c r="S224" s="234"/>
      <c r="T224" s="223">
        <f t="shared" si="36"/>
        <v>0</v>
      </c>
      <c r="U224" s="223"/>
      <c r="V224" s="221"/>
    </row>
    <row r="225" spans="1:31" s="220" customFormat="1" hidden="1" outlineLevel="3">
      <c r="A225" s="229" t="s">
        <v>1135</v>
      </c>
      <c r="B225" s="219"/>
      <c r="C225" s="219" t="s">
        <v>1137</v>
      </c>
      <c r="D225" s="223">
        <f t="shared" si="29"/>
        <v>0</v>
      </c>
      <c r="E225" s="234"/>
      <c r="F225" s="223">
        <f t="shared" si="29"/>
        <v>0</v>
      </c>
      <c r="G225" s="234"/>
      <c r="H225" s="223">
        <f t="shared" si="30"/>
        <v>0</v>
      </c>
      <c r="I225" s="234"/>
      <c r="J225" s="223">
        <f t="shared" si="31"/>
        <v>0</v>
      </c>
      <c r="K225" s="234"/>
      <c r="L225" s="223">
        <f t="shared" si="32"/>
        <v>0</v>
      </c>
      <c r="M225" s="234"/>
      <c r="N225" s="223">
        <f t="shared" si="33"/>
        <v>0</v>
      </c>
      <c r="O225" s="234"/>
      <c r="P225" s="223">
        <f t="shared" si="34"/>
        <v>0</v>
      </c>
      <c r="Q225" s="234"/>
      <c r="R225" s="223">
        <f t="shared" si="35"/>
        <v>0</v>
      </c>
      <c r="S225" s="234"/>
      <c r="T225" s="223">
        <f t="shared" si="36"/>
        <v>0</v>
      </c>
      <c r="U225" s="223"/>
      <c r="V225" s="221"/>
    </row>
    <row r="226" spans="1:31" s="220" customFormat="1" hidden="1" outlineLevel="3">
      <c r="A226" s="229" t="s">
        <v>1135</v>
      </c>
      <c r="B226" s="219"/>
      <c r="C226" s="219" t="s">
        <v>1138</v>
      </c>
      <c r="D226" s="223">
        <f t="shared" si="29"/>
        <v>119.15999999999997</v>
      </c>
      <c r="E226" s="234"/>
      <c r="F226" s="223">
        <f t="shared" si="29"/>
        <v>0</v>
      </c>
      <c r="G226" s="234"/>
      <c r="H226" s="223">
        <f t="shared" si="30"/>
        <v>0</v>
      </c>
      <c r="I226" s="234"/>
      <c r="J226" s="223">
        <f t="shared" si="31"/>
        <v>0</v>
      </c>
      <c r="K226" s="234"/>
      <c r="L226" s="223">
        <f t="shared" si="32"/>
        <v>0</v>
      </c>
      <c r="M226" s="234"/>
      <c r="N226" s="223">
        <f t="shared" si="33"/>
        <v>0</v>
      </c>
      <c r="O226" s="234"/>
      <c r="P226" s="223">
        <f t="shared" si="34"/>
        <v>0</v>
      </c>
      <c r="Q226" s="234"/>
      <c r="R226" s="223">
        <f t="shared" si="35"/>
        <v>0</v>
      </c>
      <c r="S226" s="234"/>
      <c r="T226" s="223">
        <f t="shared" si="36"/>
        <v>119.15999999999997</v>
      </c>
      <c r="U226" s="223"/>
      <c r="V226" s="221"/>
    </row>
    <row r="227" spans="1:31" s="220" customFormat="1" hidden="1" outlineLevel="3">
      <c r="A227" s="218"/>
      <c r="B227" s="219"/>
      <c r="C227" s="220" t="s">
        <v>1141</v>
      </c>
      <c r="D227" s="228">
        <f>SUM(D218:D226)</f>
        <v>2994635.71</v>
      </c>
      <c r="E227" s="223"/>
      <c r="F227" s="228">
        <f>SUM(F218:F226)</f>
        <v>-25000</v>
      </c>
      <c r="G227" s="223"/>
      <c r="H227" s="228">
        <f>SUM(H218:H226)</f>
        <v>0</v>
      </c>
      <c r="I227" s="223"/>
      <c r="J227" s="228">
        <f>SUM(J218:J226)</f>
        <v>0</v>
      </c>
      <c r="K227" s="223"/>
      <c r="L227" s="228">
        <f>SUM(L218:L226)</f>
        <v>0</v>
      </c>
      <c r="M227" s="222"/>
      <c r="N227" s="228">
        <f>SUM(N218:N226)</f>
        <v>0</v>
      </c>
      <c r="O227" s="222"/>
      <c r="P227" s="228">
        <f>SUM(P218:P226)</f>
        <v>0</v>
      </c>
      <c r="Q227" s="222"/>
      <c r="R227" s="228">
        <f>SUM(R218:R226)</f>
        <v>0</v>
      </c>
      <c r="S227" s="223"/>
      <c r="T227" s="228">
        <f>SUM(T218:T226)</f>
        <v>2969635.71</v>
      </c>
      <c r="U227" s="222"/>
      <c r="V227" s="221"/>
    </row>
    <row r="228" spans="1:31" s="220" customFormat="1" hidden="1" outlineLevel="3">
      <c r="A228" s="218"/>
      <c r="B228" s="219"/>
      <c r="D228" s="222"/>
      <c r="E228" s="223"/>
      <c r="F228" s="222"/>
      <c r="G228" s="223"/>
      <c r="H228" s="222"/>
      <c r="I228" s="223"/>
      <c r="J228" s="222"/>
      <c r="K228" s="223"/>
      <c r="L228" s="222"/>
      <c r="M228" s="222"/>
      <c r="N228" s="222"/>
      <c r="O228" s="222"/>
      <c r="P228" s="222"/>
      <c r="Q228" s="222"/>
      <c r="R228" s="222"/>
      <c r="S228" s="223"/>
      <c r="T228" s="222"/>
      <c r="U228" s="222"/>
      <c r="V228" s="221"/>
    </row>
    <row r="229" spans="1:31" s="220" customFormat="1" hidden="1" outlineLevel="3">
      <c r="A229" s="218"/>
      <c r="B229" s="219"/>
      <c r="D229" s="222"/>
      <c r="E229" s="223"/>
      <c r="F229" s="222"/>
      <c r="G229" s="223"/>
      <c r="H229" s="222"/>
      <c r="I229" s="223"/>
      <c r="J229" s="222"/>
      <c r="K229" s="223"/>
      <c r="L229" s="222"/>
      <c r="M229" s="222"/>
      <c r="N229" s="222"/>
      <c r="O229" s="222"/>
      <c r="P229" s="222"/>
      <c r="Q229" s="222"/>
      <c r="R229" s="222"/>
      <c r="S229" s="223"/>
      <c r="T229" s="222"/>
      <c r="U229" s="222"/>
      <c r="V229" s="221"/>
    </row>
    <row r="230" spans="1:31" s="220" customFormat="1" hidden="1" outlineLevel="3">
      <c r="A230" s="218"/>
      <c r="B230" s="219"/>
      <c r="D230" s="222"/>
      <c r="E230" s="223"/>
      <c r="F230" s="222"/>
      <c r="G230" s="223"/>
      <c r="H230" s="222"/>
      <c r="I230" s="223"/>
      <c r="J230" s="222"/>
      <c r="K230" s="223"/>
      <c r="L230" s="222"/>
      <c r="M230" s="222"/>
      <c r="N230" s="222"/>
      <c r="O230" s="222"/>
      <c r="P230" s="222"/>
      <c r="Q230" s="222"/>
      <c r="R230" s="222"/>
      <c r="S230" s="223"/>
      <c r="T230" s="222"/>
      <c r="U230" s="222"/>
      <c r="V230" s="221"/>
    </row>
    <row r="231" spans="1:31" hidden="1" outlineLevel="3">
      <c r="B231" s="184"/>
      <c r="C231" s="11"/>
      <c r="D231" s="188"/>
      <c r="E231" s="181"/>
      <c r="F231" s="188"/>
      <c r="G231" s="181"/>
      <c r="H231" s="188"/>
      <c r="I231" s="181"/>
      <c r="J231" s="188"/>
      <c r="K231" s="181"/>
      <c r="L231" s="188"/>
      <c r="M231" s="181"/>
      <c r="N231" s="188"/>
      <c r="O231" s="181"/>
      <c r="P231" s="188"/>
      <c r="Q231" s="181"/>
      <c r="R231" s="188"/>
      <c r="S231" s="181"/>
      <c r="T231" s="188"/>
      <c r="U231" s="188"/>
    </row>
    <row r="232" spans="1:31" hidden="1" outlineLevel="1" collapsed="1">
      <c r="B232" s="231" t="s">
        <v>1121</v>
      </c>
      <c r="D232" s="233">
        <f>+D203+D209-D227+D215</f>
        <v>1713973231.4800003</v>
      </c>
      <c r="E232" s="233"/>
      <c r="F232" s="233">
        <f>+F203+F209-F227+F215</f>
        <v>25000</v>
      </c>
      <c r="G232" s="233"/>
      <c r="H232" s="233">
        <f>+H203+H209-H227+H215</f>
        <v>-2947003.7800000003</v>
      </c>
      <c r="I232" s="233"/>
      <c r="J232" s="233">
        <f>+J203+J209-J227+J215</f>
        <v>2770449.12</v>
      </c>
      <c r="K232" s="233"/>
      <c r="L232" s="233">
        <f>+L203+L209-L227+L215</f>
        <v>0</v>
      </c>
      <c r="M232" s="233"/>
      <c r="N232" s="233">
        <f>+N203+N209-N227+N215</f>
        <v>0</v>
      </c>
      <c r="O232" s="233"/>
      <c r="P232" s="233">
        <f>+P203+P209-P227+P215</f>
        <v>0</v>
      </c>
      <c r="Q232" s="233"/>
      <c r="R232" s="233">
        <f>+R203+R209-R227+R215</f>
        <v>0</v>
      </c>
      <c r="S232" s="233"/>
      <c r="T232" s="233">
        <f>+T203+T209+T215-T227</f>
        <v>1713821676.8199999</v>
      </c>
      <c r="U232" s="233"/>
      <c r="V232" s="242">
        <f>+F232-SUM(+'Recon Depr Exp to IS P4 (PA)'!E38-'Recon Depr Exp to IS P4 (PA)'!G38-'Recon Depr Exp to IS P4 (PA)'!I38-'Recon Depr Exp to IS P4 (PA)'!K38-'Recon Depr Exp to IS P4 (PA)'!M38)</f>
        <v>25000</v>
      </c>
      <c r="X232" s="243">
        <f>+H232</f>
        <v>-2947003.7800000003</v>
      </c>
      <c r="Y232" s="243">
        <f>+J232-J215</f>
        <v>0</v>
      </c>
      <c r="Z232" s="211">
        <f>+'Recon Depr Exp to IS P4 (PA)'!E38-'Recon Depr Exp to IS P4 (PA)'!G38-'Recon Depr Exp to IS P4 (PA)'!I38-'Recon Depr Exp to IS P4 (PA)'!K38-'Recon Depr Exp to IS P4 (PA)'!M38+J215</f>
        <v>2770449.12</v>
      </c>
      <c r="AA232" s="211">
        <f>+N232+P232+R232</f>
        <v>0</v>
      </c>
      <c r="AD232" s="211">
        <f>SUM(V232:AB232)</f>
        <v>-151554.66000000015</v>
      </c>
      <c r="AE232" s="211">
        <f>+T232-D232-AD232</f>
        <v>-3.2410025596618652E-7</v>
      </c>
    </row>
    <row r="233" spans="1:31" hidden="1" outlineLevel="1">
      <c r="B233" s="184"/>
      <c r="C233" s="11"/>
      <c r="D233" s="188">
        <f>+D232-D12</f>
        <v>3419220220.8800001</v>
      </c>
      <c r="E233" s="181"/>
      <c r="F233" s="188"/>
      <c r="G233" s="181"/>
      <c r="H233" s="188"/>
      <c r="I233" s="181"/>
      <c r="J233" s="188"/>
      <c r="K233" s="181"/>
      <c r="L233" s="188"/>
      <c r="M233" s="181"/>
      <c r="N233" s="188"/>
      <c r="O233" s="181"/>
      <c r="P233" s="188"/>
      <c r="Q233" s="181"/>
      <c r="R233" s="188"/>
      <c r="S233" s="181"/>
      <c r="T233" s="188">
        <f>+T232-T12</f>
        <v>3480791703.3800001</v>
      </c>
      <c r="U233" s="188"/>
      <c r="V233" s="238"/>
    </row>
    <row r="234" spans="1:31" hidden="1" outlineLevel="1">
      <c r="B234" s="184"/>
      <c r="C234" s="11"/>
      <c r="D234" s="188"/>
      <c r="E234" s="181"/>
      <c r="F234" s="188"/>
      <c r="G234" s="181"/>
      <c r="H234" s="188"/>
      <c r="I234" s="181"/>
      <c r="J234" s="188"/>
      <c r="K234" s="181"/>
      <c r="L234" s="188"/>
      <c r="M234" s="181"/>
      <c r="N234" s="188"/>
      <c r="O234" s="181"/>
      <c r="P234" s="188"/>
      <c r="Q234" s="181"/>
      <c r="R234" s="188"/>
      <c r="S234" s="181"/>
      <c r="T234" s="188">
        <f>+T232-R232-P232-N232-L232-J232-H232-F232-D232</f>
        <v>0</v>
      </c>
      <c r="U234" s="188"/>
    </row>
    <row r="235" spans="1:31" s="220" customFormat="1" ht="15" hidden="1" outlineLevel="3">
      <c r="A235" s="218"/>
      <c r="B235" s="219" t="s">
        <v>653</v>
      </c>
      <c r="D235" s="244"/>
      <c r="E235" s="226"/>
      <c r="F235" s="244"/>
      <c r="G235" s="226"/>
      <c r="H235" s="244"/>
      <c r="I235" s="226"/>
      <c r="J235" s="244"/>
      <c r="K235" s="226"/>
      <c r="L235" s="244"/>
      <c r="M235" s="226"/>
      <c r="N235" s="244"/>
      <c r="O235" s="226"/>
      <c r="P235" s="244"/>
      <c r="Q235" s="226"/>
      <c r="R235" s="244"/>
      <c r="S235" s="226"/>
      <c r="T235" s="244"/>
      <c r="U235" s="244"/>
      <c r="V235" s="221"/>
    </row>
    <row r="236" spans="1:31" s="220" customFormat="1" hidden="1" outlineLevel="3">
      <c r="A236" s="218"/>
      <c r="C236" s="220" t="s">
        <v>455</v>
      </c>
      <c r="D236" s="222">
        <f>+'Summary - Reserve - PG 2 (PA)'!C35</f>
        <v>0</v>
      </c>
      <c r="E236" s="222"/>
      <c r="F236" s="222">
        <f>+'Summary - Reserve - PG 2 (PA)'!E35</f>
        <v>0</v>
      </c>
      <c r="G236" s="222"/>
      <c r="H236" s="222">
        <f>+'Summary - Reserve - PG 2 (PA)'!G35</f>
        <v>0</v>
      </c>
      <c r="I236" s="222"/>
      <c r="J236" s="222">
        <f>+'Summary - Reserve - PG 2 (PA)'!I35</f>
        <v>0</v>
      </c>
      <c r="K236" s="222"/>
      <c r="L236" s="222">
        <f>+'Summary - Reserve - PG 2 (PA)'!K35</f>
        <v>0</v>
      </c>
      <c r="M236" s="222"/>
      <c r="N236" s="222">
        <f>+'Summary - Reserve - PG 2 (PA)'!M35</f>
        <v>0</v>
      </c>
      <c r="O236" s="222"/>
      <c r="P236" s="222">
        <f>+'Summary - Reserve - PG 2 (PA)'!O35</f>
        <v>0</v>
      </c>
      <c r="Q236" s="222"/>
      <c r="R236" s="222">
        <f>+'Summary - Reserve - PG 2 (PA)'!Q35</f>
        <v>0</v>
      </c>
      <c r="S236" s="222"/>
      <c r="T236" s="222">
        <f t="shared" ref="T236:T248" si="37">R236+P236+N236+L236+J236+H236+F236+D236</f>
        <v>0</v>
      </c>
      <c r="U236" s="222"/>
      <c r="V236" s="221"/>
    </row>
    <row r="237" spans="1:31" s="220" customFormat="1" hidden="1" outlineLevel="3">
      <c r="A237" s="218"/>
      <c r="C237" s="220" t="s">
        <v>113</v>
      </c>
      <c r="D237" s="222">
        <f>+'Summary - Reserve - PG 2 (PA)'!C36</f>
        <v>0</v>
      </c>
      <c r="E237" s="222"/>
      <c r="F237" s="222">
        <f>+'Summary - Reserve - PG 2 (PA)'!E36</f>
        <v>0</v>
      </c>
      <c r="G237" s="222"/>
      <c r="H237" s="222">
        <f>+'Summary - Reserve - PG 2 (PA)'!G36</f>
        <v>0</v>
      </c>
      <c r="I237" s="222"/>
      <c r="J237" s="222">
        <f>+'Summary - Reserve - PG 2 (PA)'!I36</f>
        <v>0</v>
      </c>
      <c r="K237" s="222"/>
      <c r="L237" s="222">
        <f>+'Summary - Reserve - PG 2 (PA)'!K36</f>
        <v>0</v>
      </c>
      <c r="M237" s="222"/>
      <c r="N237" s="222">
        <f>+'Summary - Reserve - PG 2 (PA)'!M36</f>
        <v>0</v>
      </c>
      <c r="O237" s="222"/>
      <c r="P237" s="222">
        <f>+'Summary - Reserve - PG 2 (PA)'!O36</f>
        <v>0</v>
      </c>
      <c r="Q237" s="222"/>
      <c r="R237" s="222">
        <f>+'Summary - Reserve - PG 2 (PA)'!Q36</f>
        <v>0</v>
      </c>
      <c r="S237" s="222"/>
      <c r="T237" s="222">
        <f t="shared" si="37"/>
        <v>0</v>
      </c>
      <c r="U237" s="222"/>
      <c r="V237" s="221"/>
    </row>
    <row r="238" spans="1:31" s="220" customFormat="1" hidden="1" outlineLevel="3">
      <c r="A238" s="218"/>
      <c r="C238" s="220" t="s">
        <v>114</v>
      </c>
      <c r="D238" s="222">
        <f>+'Summary - Reserve - PG 2 (PA)'!C37</f>
        <v>0</v>
      </c>
      <c r="E238" s="222"/>
      <c r="F238" s="222">
        <f>+'Summary - Reserve - PG 2 (PA)'!E37</f>
        <v>0</v>
      </c>
      <c r="G238" s="222"/>
      <c r="H238" s="222">
        <f>+'Summary - Reserve - PG 2 (PA)'!G37</f>
        <v>0</v>
      </c>
      <c r="I238" s="222"/>
      <c r="J238" s="222">
        <f>+'Summary - Reserve - PG 2 (PA)'!I37</f>
        <v>0</v>
      </c>
      <c r="K238" s="222"/>
      <c r="L238" s="222">
        <f>+'Summary - Reserve - PG 2 (PA)'!K37</f>
        <v>0</v>
      </c>
      <c r="M238" s="222"/>
      <c r="N238" s="222">
        <f>+'Summary - Reserve - PG 2 (PA)'!M37</f>
        <v>0</v>
      </c>
      <c r="O238" s="222"/>
      <c r="P238" s="222">
        <f>+'Summary - Reserve - PG 2 (PA)'!O37</f>
        <v>0</v>
      </c>
      <c r="Q238" s="222"/>
      <c r="R238" s="222">
        <f>+'Summary - Reserve - PG 2 (PA)'!Q37</f>
        <v>0</v>
      </c>
      <c r="S238" s="222"/>
      <c r="T238" s="222">
        <f t="shared" si="37"/>
        <v>0</v>
      </c>
      <c r="U238" s="222"/>
      <c r="V238" s="221"/>
    </row>
    <row r="239" spans="1:31" s="220" customFormat="1" hidden="1" outlineLevel="3">
      <c r="A239" s="218"/>
      <c r="C239" s="220" t="s">
        <v>115</v>
      </c>
      <c r="D239" s="222">
        <f>+'Summary - Reserve - PG 2 (PA)'!C38</f>
        <v>0</v>
      </c>
      <c r="E239" s="222"/>
      <c r="F239" s="222">
        <f>+'Summary - Reserve - PG 2 (PA)'!E38</f>
        <v>0</v>
      </c>
      <c r="G239" s="222"/>
      <c r="H239" s="222">
        <f>+'Summary - Reserve - PG 2 (PA)'!G38</f>
        <v>0</v>
      </c>
      <c r="I239" s="222"/>
      <c r="J239" s="222">
        <f>+'Summary - Reserve - PG 2 (PA)'!I38</f>
        <v>0</v>
      </c>
      <c r="K239" s="222"/>
      <c r="L239" s="222">
        <f>+'Summary - Reserve - PG 2 (PA)'!K38</f>
        <v>0</v>
      </c>
      <c r="M239" s="222"/>
      <c r="N239" s="222">
        <f>+'Summary - Reserve - PG 2 (PA)'!M38</f>
        <v>0</v>
      </c>
      <c r="O239" s="222"/>
      <c r="P239" s="222">
        <f>+'Summary - Reserve - PG 2 (PA)'!O38</f>
        <v>0</v>
      </c>
      <c r="Q239" s="222"/>
      <c r="R239" s="222">
        <f>+'Summary - Reserve - PG 2 (PA)'!Q38</f>
        <v>0</v>
      </c>
      <c r="S239" s="222"/>
      <c r="T239" s="222">
        <f t="shared" si="37"/>
        <v>0</v>
      </c>
      <c r="U239" s="222"/>
      <c r="V239" s="221"/>
    </row>
    <row r="240" spans="1:31" s="220" customFormat="1" hidden="1" outlineLevel="3">
      <c r="A240" s="218"/>
      <c r="C240" s="220" t="s">
        <v>117</v>
      </c>
      <c r="D240" s="222">
        <f>+'Summary - Reserve - PG 2 (PA)'!C39</f>
        <v>0</v>
      </c>
      <c r="E240" s="222"/>
      <c r="F240" s="222">
        <f>+'Summary - Reserve - PG 2 (PA)'!E39</f>
        <v>0</v>
      </c>
      <c r="G240" s="222"/>
      <c r="H240" s="222">
        <f>+'Summary - Reserve - PG 2 (PA)'!G39</f>
        <v>0</v>
      </c>
      <c r="I240" s="222"/>
      <c r="J240" s="222">
        <f>+'Summary - Reserve - PG 2 (PA)'!I39</f>
        <v>0</v>
      </c>
      <c r="K240" s="222"/>
      <c r="L240" s="222">
        <f>+'Summary - Reserve - PG 2 (PA)'!K39</f>
        <v>0</v>
      </c>
      <c r="M240" s="222"/>
      <c r="N240" s="222">
        <f>+'Summary - Reserve - PG 2 (PA)'!M39</f>
        <v>0</v>
      </c>
      <c r="O240" s="222"/>
      <c r="P240" s="222">
        <f>+'Summary - Reserve - PG 2 (PA)'!O39</f>
        <v>0</v>
      </c>
      <c r="Q240" s="222"/>
      <c r="R240" s="222">
        <f>+'Summary - Reserve - PG 2 (PA)'!Q39</f>
        <v>0</v>
      </c>
      <c r="S240" s="222"/>
      <c r="T240" s="222">
        <f t="shared" si="37"/>
        <v>0</v>
      </c>
      <c r="U240" s="222"/>
      <c r="V240" s="221"/>
    </row>
    <row r="241" spans="1:22" s="220" customFormat="1" hidden="1" outlineLevel="3">
      <c r="A241" s="218"/>
      <c r="C241" s="220" t="s">
        <v>118</v>
      </c>
      <c r="D241" s="222">
        <f>+'Summary - Reserve - PG 2 (PA)'!C40</f>
        <v>0</v>
      </c>
      <c r="E241" s="222"/>
      <c r="F241" s="222">
        <f>+'Summary - Reserve - PG 2 (PA)'!E40</f>
        <v>0</v>
      </c>
      <c r="G241" s="222"/>
      <c r="H241" s="222">
        <f>+'Summary - Reserve - PG 2 (PA)'!G40</f>
        <v>0</v>
      </c>
      <c r="I241" s="222"/>
      <c r="J241" s="222">
        <f>+'Summary - Reserve - PG 2 (PA)'!I40</f>
        <v>0</v>
      </c>
      <c r="K241" s="222"/>
      <c r="L241" s="222">
        <f>+'Summary - Reserve - PG 2 (PA)'!K40</f>
        <v>0</v>
      </c>
      <c r="M241" s="222"/>
      <c r="N241" s="222">
        <f>+'Summary - Reserve - PG 2 (PA)'!M40</f>
        <v>0</v>
      </c>
      <c r="O241" s="222"/>
      <c r="P241" s="222">
        <f>+'Summary - Reserve - PG 2 (PA)'!O40</f>
        <v>0</v>
      </c>
      <c r="Q241" s="222"/>
      <c r="R241" s="222">
        <f>+'Summary - Reserve - PG 2 (PA)'!Q40</f>
        <v>0</v>
      </c>
      <c r="S241" s="222"/>
      <c r="T241" s="222">
        <f t="shared" si="37"/>
        <v>0</v>
      </c>
      <c r="U241" s="222"/>
      <c r="V241" s="221"/>
    </row>
    <row r="242" spans="1:22" s="220" customFormat="1" hidden="1" outlineLevel="3">
      <c r="A242" s="218"/>
      <c r="C242" s="220" t="s">
        <v>119</v>
      </c>
      <c r="D242" s="222">
        <f>+'Summary - Reserve - PG 2 (PA)'!C41</f>
        <v>0</v>
      </c>
      <c r="E242" s="222"/>
      <c r="F242" s="222">
        <f>+'Summary - Reserve - PG 2 (PA)'!E41</f>
        <v>0</v>
      </c>
      <c r="G242" s="222"/>
      <c r="H242" s="222">
        <f>+'Summary - Reserve - PG 2 (PA)'!G41</f>
        <v>0</v>
      </c>
      <c r="I242" s="222"/>
      <c r="J242" s="222">
        <f>+'Summary - Reserve - PG 2 (PA)'!I41</f>
        <v>0</v>
      </c>
      <c r="K242" s="222"/>
      <c r="L242" s="222">
        <f>+'Summary - Reserve - PG 2 (PA)'!K41</f>
        <v>0</v>
      </c>
      <c r="M242" s="222"/>
      <c r="N242" s="222">
        <f>+'Summary - Reserve - PG 2 (PA)'!M41</f>
        <v>0</v>
      </c>
      <c r="O242" s="222"/>
      <c r="P242" s="222">
        <f>+'Summary - Reserve - PG 2 (PA)'!O41</f>
        <v>0</v>
      </c>
      <c r="Q242" s="222"/>
      <c r="R242" s="222">
        <f>+'Summary - Reserve - PG 2 (PA)'!Q41</f>
        <v>0</v>
      </c>
      <c r="S242" s="222"/>
      <c r="T242" s="222">
        <f t="shared" si="37"/>
        <v>0</v>
      </c>
      <c r="U242" s="222"/>
      <c r="V242" s="221"/>
    </row>
    <row r="243" spans="1:22" s="220" customFormat="1" hidden="1" outlineLevel="3">
      <c r="A243" s="218"/>
      <c r="C243" s="220" t="s">
        <v>121</v>
      </c>
      <c r="D243" s="222">
        <f>+'Summary - Reserve - PG 2 (PA)'!C42</f>
        <v>0</v>
      </c>
      <c r="E243" s="222"/>
      <c r="F243" s="222">
        <f>+'Summary - Reserve - PG 2 (PA)'!E42</f>
        <v>0</v>
      </c>
      <c r="G243" s="222"/>
      <c r="H243" s="222">
        <f>+'Summary - Reserve - PG 2 (PA)'!G42</f>
        <v>0</v>
      </c>
      <c r="I243" s="222"/>
      <c r="J243" s="222">
        <f>+'Summary - Reserve - PG 2 (PA)'!I42</f>
        <v>0</v>
      </c>
      <c r="K243" s="222"/>
      <c r="L243" s="222">
        <f>+'Summary - Reserve - PG 2 (PA)'!K42</f>
        <v>0</v>
      </c>
      <c r="M243" s="222"/>
      <c r="N243" s="222">
        <f>+'Summary - Reserve - PG 2 (PA)'!M42</f>
        <v>0</v>
      </c>
      <c r="O243" s="222"/>
      <c r="P243" s="222">
        <f>+'Summary - Reserve - PG 2 (PA)'!O42</f>
        <v>0</v>
      </c>
      <c r="Q243" s="222"/>
      <c r="R243" s="222">
        <f>+'Summary - Reserve - PG 2 (PA)'!Q42</f>
        <v>0</v>
      </c>
      <c r="S243" s="222"/>
      <c r="T243" s="222">
        <f t="shared" si="37"/>
        <v>0</v>
      </c>
      <c r="U243" s="222"/>
      <c r="V243" s="221"/>
    </row>
    <row r="244" spans="1:22" s="220" customFormat="1" hidden="1" outlineLevel="3">
      <c r="A244" s="218"/>
      <c r="C244" s="220" t="s">
        <v>122</v>
      </c>
      <c r="D244" s="222">
        <f>+'Summary - Reserve - PG 2 (PA)'!C43</f>
        <v>0</v>
      </c>
      <c r="E244" s="222"/>
      <c r="F244" s="222">
        <f>+'Summary - Reserve - PG 2 (PA)'!E43</f>
        <v>0</v>
      </c>
      <c r="G244" s="222"/>
      <c r="H244" s="222">
        <f>+'Summary - Reserve - PG 2 (PA)'!G43</f>
        <v>0</v>
      </c>
      <c r="I244" s="222"/>
      <c r="J244" s="222">
        <f>+'Summary - Reserve - PG 2 (PA)'!I43</f>
        <v>0</v>
      </c>
      <c r="K244" s="222"/>
      <c r="L244" s="222">
        <f>+'Summary - Reserve - PG 2 (PA)'!K43</f>
        <v>0</v>
      </c>
      <c r="M244" s="222"/>
      <c r="N244" s="222">
        <f>+'Summary - Reserve - PG 2 (PA)'!M43</f>
        <v>0</v>
      </c>
      <c r="O244" s="222"/>
      <c r="P244" s="222">
        <f>+'Summary - Reserve - PG 2 (PA)'!O43</f>
        <v>0</v>
      </c>
      <c r="Q244" s="222"/>
      <c r="R244" s="222">
        <f>+'Summary - Reserve - PG 2 (PA)'!Q43</f>
        <v>0</v>
      </c>
      <c r="S244" s="222"/>
      <c r="T244" s="222">
        <f t="shared" si="37"/>
        <v>0</v>
      </c>
      <c r="U244" s="222"/>
      <c r="V244" s="221"/>
    </row>
    <row r="245" spans="1:22" s="220" customFormat="1" hidden="1" outlineLevel="3">
      <c r="A245" s="218"/>
      <c r="C245" s="220" t="s">
        <v>124</v>
      </c>
      <c r="D245" s="222">
        <f>+'Summary - Reserve - PG 2 (PA)'!C44</f>
        <v>0</v>
      </c>
      <c r="E245" s="222"/>
      <c r="F245" s="222">
        <f>+'Summary - Reserve - PG 2 (PA)'!E44</f>
        <v>0</v>
      </c>
      <c r="G245" s="222"/>
      <c r="H245" s="222">
        <f>+'Summary - Reserve - PG 2 (PA)'!G44</f>
        <v>0</v>
      </c>
      <c r="I245" s="222"/>
      <c r="J245" s="222">
        <f>+'Summary - Reserve - PG 2 (PA)'!I44</f>
        <v>0</v>
      </c>
      <c r="K245" s="222"/>
      <c r="L245" s="222">
        <f>+'Summary - Reserve - PG 2 (PA)'!K44</f>
        <v>0</v>
      </c>
      <c r="M245" s="222"/>
      <c r="N245" s="222">
        <f>+'Summary - Reserve - PG 2 (PA)'!M44</f>
        <v>0</v>
      </c>
      <c r="O245" s="222"/>
      <c r="P245" s="222">
        <f>+'Summary - Reserve - PG 2 (PA)'!O44</f>
        <v>0</v>
      </c>
      <c r="Q245" s="222"/>
      <c r="R245" s="222">
        <f>+'Summary - Reserve - PG 2 (PA)'!Q44</f>
        <v>0</v>
      </c>
      <c r="S245" s="222"/>
      <c r="T245" s="222">
        <f t="shared" si="37"/>
        <v>0</v>
      </c>
      <c r="U245" s="222"/>
      <c r="V245" s="221"/>
    </row>
    <row r="246" spans="1:22" s="220" customFormat="1" hidden="1" outlineLevel="3">
      <c r="A246" s="218"/>
      <c r="C246" s="220" t="s">
        <v>129</v>
      </c>
      <c r="D246" s="222">
        <f>+'Summary - Reserve - PG 2 (PA)'!C45</f>
        <v>0</v>
      </c>
      <c r="E246" s="222"/>
      <c r="F246" s="222">
        <f>+'Summary - Reserve - PG 2 (PA)'!E45</f>
        <v>0</v>
      </c>
      <c r="G246" s="222"/>
      <c r="H246" s="222">
        <f>+'Summary - Reserve - PG 2 (PA)'!G45</f>
        <v>0</v>
      </c>
      <c r="I246" s="222"/>
      <c r="J246" s="222">
        <f>+'Summary - Reserve - PG 2 (PA)'!I45</f>
        <v>0</v>
      </c>
      <c r="K246" s="222"/>
      <c r="L246" s="222">
        <f>+'Summary - Reserve - PG 2 (PA)'!K45</f>
        <v>0</v>
      </c>
      <c r="M246" s="222"/>
      <c r="N246" s="222">
        <f>+'Summary - Reserve - PG 2 (PA)'!M45</f>
        <v>0</v>
      </c>
      <c r="O246" s="222"/>
      <c r="P246" s="222">
        <f>+'Summary - Reserve - PG 2 (PA)'!O45</f>
        <v>0</v>
      </c>
      <c r="Q246" s="222"/>
      <c r="R246" s="222">
        <f>+'Summary - Reserve - PG 2 (PA)'!Q45</f>
        <v>0</v>
      </c>
      <c r="S246" s="222"/>
      <c r="T246" s="222">
        <f t="shared" si="37"/>
        <v>0</v>
      </c>
      <c r="U246" s="222"/>
      <c r="V246" s="221"/>
    </row>
    <row r="247" spans="1:22" s="220" customFormat="1" hidden="1" outlineLevel="3">
      <c r="A247" s="218"/>
      <c r="C247" s="220" t="s">
        <v>125</v>
      </c>
      <c r="D247" s="222">
        <f>+'Summary - Reserve - PG 2 (PA)'!C46</f>
        <v>0</v>
      </c>
      <c r="E247" s="222"/>
      <c r="F247" s="222">
        <f>+'Summary - Reserve - PG 2 (PA)'!E46</f>
        <v>0</v>
      </c>
      <c r="G247" s="222"/>
      <c r="H247" s="222">
        <f>+'Summary - Reserve - PG 2 (PA)'!G46</f>
        <v>0</v>
      </c>
      <c r="I247" s="222"/>
      <c r="J247" s="222">
        <f>+'Summary - Reserve - PG 2 (PA)'!I46</f>
        <v>0</v>
      </c>
      <c r="K247" s="222"/>
      <c r="L247" s="222">
        <f>+'Summary - Reserve - PG 2 (PA)'!K46</f>
        <v>0</v>
      </c>
      <c r="M247" s="222"/>
      <c r="N247" s="222">
        <f>+'Summary - Reserve - PG 2 (PA)'!M46</f>
        <v>0</v>
      </c>
      <c r="O247" s="222"/>
      <c r="P247" s="222">
        <f>+'Summary - Reserve - PG 2 (PA)'!O46</f>
        <v>0</v>
      </c>
      <c r="Q247" s="222"/>
      <c r="R247" s="222">
        <f>+'Summary - Reserve - PG 2 (PA)'!Q46</f>
        <v>0</v>
      </c>
      <c r="S247" s="222"/>
      <c r="T247" s="222">
        <f t="shared" si="37"/>
        <v>0</v>
      </c>
      <c r="U247" s="222"/>
      <c r="V247" s="221"/>
    </row>
    <row r="248" spans="1:22" s="220" customFormat="1" hidden="1" outlineLevel="3">
      <c r="A248" s="218"/>
      <c r="C248" s="220" t="s">
        <v>131</v>
      </c>
      <c r="D248" s="225">
        <f>+'Summary - Reserve - PG 2 (PA)'!C47</f>
        <v>0</v>
      </c>
      <c r="E248" s="222"/>
      <c r="F248" s="225">
        <f>+'Summary - Reserve - PG 2 (PA)'!E47</f>
        <v>0</v>
      </c>
      <c r="G248" s="222"/>
      <c r="H248" s="225">
        <f>+'Summary - Reserve - PG 2 (PA)'!G47</f>
        <v>0</v>
      </c>
      <c r="I248" s="222"/>
      <c r="J248" s="225">
        <f>+'Summary - Reserve - PG 2 (PA)'!I47</f>
        <v>0</v>
      </c>
      <c r="K248" s="222"/>
      <c r="L248" s="225">
        <f>+'Summary - Reserve - PG 2 (PA)'!K47</f>
        <v>0</v>
      </c>
      <c r="M248" s="222"/>
      <c r="N248" s="225">
        <f>+'Summary - Reserve - PG 2 (PA)'!M47</f>
        <v>0</v>
      </c>
      <c r="O248" s="222"/>
      <c r="P248" s="225">
        <f>+'Summary - Reserve - PG 2 (PA)'!O47</f>
        <v>0</v>
      </c>
      <c r="Q248" s="222"/>
      <c r="R248" s="225">
        <f>+'Summary - Reserve - PG 2 (PA)'!Q47</f>
        <v>0</v>
      </c>
      <c r="S248" s="222"/>
      <c r="T248" s="225">
        <f t="shared" si="37"/>
        <v>0</v>
      </c>
      <c r="U248" s="222"/>
      <c r="V248" s="221"/>
    </row>
    <row r="249" spans="1:22" s="220" customFormat="1" hidden="1" outlineLevel="3">
      <c r="A249" s="218"/>
      <c r="C249" s="227"/>
      <c r="D249" s="222">
        <f>SUM(D236:D248)</f>
        <v>0</v>
      </c>
      <c r="E249" s="222"/>
      <c r="F249" s="222">
        <f>SUM(F236:F248)</f>
        <v>0</v>
      </c>
      <c r="G249" s="222"/>
      <c r="H249" s="222">
        <f>SUM(H236:H248)</f>
        <v>0</v>
      </c>
      <c r="I249" s="222"/>
      <c r="J249" s="222">
        <f>SUM(J236:J248)</f>
        <v>0</v>
      </c>
      <c r="K249" s="222"/>
      <c r="L249" s="222">
        <f>SUM(L236:L248)</f>
        <v>0</v>
      </c>
      <c r="M249" s="222"/>
      <c r="N249" s="222">
        <f>SUM(N236:N248)</f>
        <v>0</v>
      </c>
      <c r="O249" s="222"/>
      <c r="P249" s="222">
        <f>SUM(P236:P248)</f>
        <v>0</v>
      </c>
      <c r="Q249" s="222"/>
      <c r="R249" s="222">
        <f>SUM(R236:R248)</f>
        <v>0</v>
      </c>
      <c r="S249" s="222"/>
      <c r="T249" s="222">
        <f>SUM(T236:T248)</f>
        <v>0</v>
      </c>
      <c r="U249" s="222"/>
      <c r="V249" s="221"/>
    </row>
    <row r="250" spans="1:22" s="220" customFormat="1" hidden="1" outlineLevel="3">
      <c r="A250" s="218"/>
      <c r="D250" s="239"/>
      <c r="E250" s="239"/>
      <c r="F250" s="239"/>
      <c r="G250" s="239"/>
      <c r="H250" s="239"/>
      <c r="I250" s="239"/>
      <c r="J250" s="226"/>
      <c r="K250" s="239"/>
      <c r="L250" s="239"/>
      <c r="M250" s="239"/>
      <c r="N250" s="239"/>
      <c r="O250" s="239"/>
      <c r="P250" s="239"/>
      <c r="Q250" s="239"/>
      <c r="R250" s="239"/>
      <c r="S250" s="239"/>
      <c r="T250" s="239"/>
      <c r="U250" s="239"/>
      <c r="V250" s="221"/>
    </row>
    <row r="251" spans="1:22" s="220" customFormat="1" ht="15" hidden="1" outlineLevel="3">
      <c r="A251" s="218"/>
      <c r="B251" s="219" t="s">
        <v>654</v>
      </c>
      <c r="D251" s="244"/>
      <c r="E251" s="226"/>
      <c r="F251" s="244"/>
      <c r="G251" s="226"/>
      <c r="H251" s="244"/>
      <c r="I251" s="226"/>
      <c r="J251" s="244"/>
      <c r="K251" s="226"/>
      <c r="L251" s="244"/>
      <c r="M251" s="226"/>
      <c r="N251" s="244"/>
      <c r="O251" s="226"/>
      <c r="P251" s="244"/>
      <c r="Q251" s="226"/>
      <c r="R251" s="244"/>
      <c r="S251" s="226"/>
      <c r="T251" s="244"/>
      <c r="U251" s="244"/>
      <c r="V251" s="221"/>
    </row>
    <row r="252" spans="1:22" s="220" customFormat="1" hidden="1" outlineLevel="3">
      <c r="A252" s="218"/>
      <c r="C252" s="220" t="s">
        <v>455</v>
      </c>
      <c r="D252" s="222">
        <f>+'Summary - Reserve - PG 2 (PA)'!C51</f>
        <v>0</v>
      </c>
      <c r="E252" s="222"/>
      <c r="F252" s="222">
        <f>+'Summary - Reserve - PG 2 (PA)'!E51</f>
        <v>0</v>
      </c>
      <c r="G252" s="222"/>
      <c r="H252" s="222">
        <f>+'Summary - Reserve - PG 2 (PA)'!G51</f>
        <v>0</v>
      </c>
      <c r="I252" s="222"/>
      <c r="J252" s="222">
        <f>+'Summary - Reserve - PG 2 (PA)'!I51</f>
        <v>0</v>
      </c>
      <c r="K252" s="222"/>
      <c r="L252" s="222">
        <f>+'Summary - Reserve - PG 2 (PA)'!K51</f>
        <v>0</v>
      </c>
      <c r="M252" s="222"/>
      <c r="N252" s="222">
        <f>+'Summary - Reserve - PG 2 (PA)'!M51</f>
        <v>0</v>
      </c>
      <c r="O252" s="222"/>
      <c r="P252" s="222">
        <f>+'Summary - Reserve - PG 2 (PA)'!O51</f>
        <v>0</v>
      </c>
      <c r="Q252" s="222"/>
      <c r="R252" s="222">
        <f>+'Summary - Reserve - PG 2 (PA)'!Q51</f>
        <v>0</v>
      </c>
      <c r="S252" s="222"/>
      <c r="T252" s="222">
        <f t="shared" ref="T252:T264" si="38">R252+P252+N252+L252+J252+H252+F252+D252</f>
        <v>0</v>
      </c>
      <c r="U252" s="222"/>
      <c r="V252" s="221"/>
    </row>
    <row r="253" spans="1:22" s="220" customFormat="1" hidden="1" outlineLevel="3">
      <c r="A253" s="218"/>
      <c r="C253" s="220" t="s">
        <v>113</v>
      </c>
      <c r="D253" s="222">
        <f>+'Summary - Reserve - PG 2 (PA)'!C52</f>
        <v>0</v>
      </c>
      <c r="E253" s="222"/>
      <c r="F253" s="222">
        <f>+'Summary - Reserve - PG 2 (PA)'!E52</f>
        <v>0</v>
      </c>
      <c r="G253" s="222"/>
      <c r="H253" s="222">
        <f>+'Summary - Reserve - PG 2 (PA)'!G52</f>
        <v>0</v>
      </c>
      <c r="I253" s="222"/>
      <c r="J253" s="222">
        <f>+'Summary - Reserve - PG 2 (PA)'!I52</f>
        <v>0</v>
      </c>
      <c r="K253" s="222"/>
      <c r="L253" s="222">
        <f>+'Summary - Reserve - PG 2 (PA)'!K52</f>
        <v>0</v>
      </c>
      <c r="M253" s="222"/>
      <c r="N253" s="222">
        <f>+'Summary - Reserve - PG 2 (PA)'!M52</f>
        <v>0</v>
      </c>
      <c r="O253" s="222"/>
      <c r="P253" s="222">
        <f>+'Summary - Reserve - PG 2 (PA)'!O52</f>
        <v>0</v>
      </c>
      <c r="Q253" s="222"/>
      <c r="R253" s="222">
        <f>+'Summary - Reserve - PG 2 (PA)'!Q52</f>
        <v>0</v>
      </c>
      <c r="S253" s="222"/>
      <c r="T253" s="222">
        <f t="shared" si="38"/>
        <v>0</v>
      </c>
      <c r="U253" s="222"/>
      <c r="V253" s="221"/>
    </row>
    <row r="254" spans="1:22" s="220" customFormat="1" hidden="1" outlineLevel="3">
      <c r="A254" s="218"/>
      <c r="C254" s="220" t="s">
        <v>114</v>
      </c>
      <c r="D254" s="222">
        <f>+'Summary - Reserve - PG 2 (PA)'!C53</f>
        <v>0</v>
      </c>
      <c r="E254" s="222"/>
      <c r="F254" s="222">
        <f>+'Summary - Reserve - PG 2 (PA)'!E53</f>
        <v>0</v>
      </c>
      <c r="G254" s="222"/>
      <c r="H254" s="222">
        <f>+'Summary - Reserve - PG 2 (PA)'!G53</f>
        <v>0</v>
      </c>
      <c r="I254" s="222"/>
      <c r="J254" s="222">
        <f>+'Summary - Reserve - PG 2 (PA)'!I53</f>
        <v>0</v>
      </c>
      <c r="K254" s="222"/>
      <c r="L254" s="222">
        <f>+'Summary - Reserve - PG 2 (PA)'!K53</f>
        <v>0</v>
      </c>
      <c r="M254" s="222"/>
      <c r="N254" s="222">
        <f>+'Summary - Reserve - PG 2 (PA)'!M53</f>
        <v>0</v>
      </c>
      <c r="O254" s="222"/>
      <c r="P254" s="222">
        <f>+'Summary - Reserve - PG 2 (PA)'!O53</f>
        <v>0</v>
      </c>
      <c r="Q254" s="222"/>
      <c r="R254" s="222">
        <f>+'Summary - Reserve - PG 2 (PA)'!Q53</f>
        <v>0</v>
      </c>
      <c r="S254" s="222"/>
      <c r="T254" s="222">
        <f t="shared" si="38"/>
        <v>0</v>
      </c>
      <c r="U254" s="222"/>
      <c r="V254" s="221"/>
    </row>
    <row r="255" spans="1:22" s="220" customFormat="1" hidden="1" outlineLevel="3">
      <c r="A255" s="218"/>
      <c r="C255" s="220" t="s">
        <v>115</v>
      </c>
      <c r="D255" s="222">
        <f>+'Summary - Reserve - PG 2 (PA)'!C54</f>
        <v>0</v>
      </c>
      <c r="E255" s="222"/>
      <c r="F255" s="222">
        <f>+'Summary - Reserve - PG 2 (PA)'!E54</f>
        <v>0</v>
      </c>
      <c r="G255" s="222"/>
      <c r="H255" s="222">
        <f>+'Summary - Reserve - PG 2 (PA)'!G54</f>
        <v>0</v>
      </c>
      <c r="I255" s="222"/>
      <c r="J255" s="222">
        <f>+'Summary - Reserve - PG 2 (PA)'!I54</f>
        <v>0</v>
      </c>
      <c r="K255" s="222"/>
      <c r="L255" s="222">
        <f>+'Summary - Reserve - PG 2 (PA)'!K54</f>
        <v>0</v>
      </c>
      <c r="M255" s="222"/>
      <c r="N255" s="222">
        <f>+'Summary - Reserve - PG 2 (PA)'!M54</f>
        <v>0</v>
      </c>
      <c r="O255" s="222"/>
      <c r="P255" s="222">
        <f>+'Summary - Reserve - PG 2 (PA)'!O54</f>
        <v>0</v>
      </c>
      <c r="Q255" s="222"/>
      <c r="R255" s="222">
        <f>+'Summary - Reserve - PG 2 (PA)'!Q54</f>
        <v>0</v>
      </c>
      <c r="S255" s="222"/>
      <c r="T255" s="222">
        <f t="shared" si="38"/>
        <v>0</v>
      </c>
      <c r="U255" s="222"/>
      <c r="V255" s="221"/>
    </row>
    <row r="256" spans="1:22" s="220" customFormat="1" hidden="1" outlineLevel="3">
      <c r="A256" s="218"/>
      <c r="C256" s="220" t="s">
        <v>117</v>
      </c>
      <c r="D256" s="222">
        <f>+'Summary - Reserve - PG 2 (PA)'!C55</f>
        <v>0</v>
      </c>
      <c r="E256" s="222"/>
      <c r="F256" s="222">
        <f>+'Summary - Reserve - PG 2 (PA)'!E55</f>
        <v>0</v>
      </c>
      <c r="G256" s="222"/>
      <c r="H256" s="222">
        <f>+'Summary - Reserve - PG 2 (PA)'!G55</f>
        <v>0</v>
      </c>
      <c r="I256" s="222"/>
      <c r="J256" s="222">
        <f>+'Summary - Reserve - PG 2 (PA)'!I55</f>
        <v>0</v>
      </c>
      <c r="K256" s="222"/>
      <c r="L256" s="222">
        <f>+'Summary - Reserve - PG 2 (PA)'!K55</f>
        <v>0</v>
      </c>
      <c r="M256" s="222"/>
      <c r="N256" s="222">
        <f>+'Summary - Reserve - PG 2 (PA)'!M55</f>
        <v>0</v>
      </c>
      <c r="O256" s="222"/>
      <c r="P256" s="222">
        <f>+'Summary - Reserve - PG 2 (PA)'!O55</f>
        <v>0</v>
      </c>
      <c r="Q256" s="222"/>
      <c r="R256" s="222">
        <f>+'Summary - Reserve - PG 2 (PA)'!Q55</f>
        <v>0</v>
      </c>
      <c r="S256" s="222"/>
      <c r="T256" s="222">
        <f t="shared" si="38"/>
        <v>0</v>
      </c>
      <c r="U256" s="222"/>
      <c r="V256" s="221"/>
    </row>
    <row r="257" spans="1:22" s="220" customFormat="1" hidden="1" outlineLevel="3">
      <c r="A257" s="218"/>
      <c r="C257" s="220" t="s">
        <v>118</v>
      </c>
      <c r="D257" s="222">
        <f>+'Summary - Reserve - PG 2 (PA)'!C56</f>
        <v>0</v>
      </c>
      <c r="E257" s="222"/>
      <c r="F257" s="222">
        <f>+'Summary - Reserve - PG 2 (PA)'!E56</f>
        <v>0</v>
      </c>
      <c r="G257" s="222"/>
      <c r="H257" s="222">
        <f>+'Summary - Reserve - PG 2 (PA)'!G56</f>
        <v>0</v>
      </c>
      <c r="I257" s="222"/>
      <c r="J257" s="222">
        <f>+'Summary - Reserve - PG 2 (PA)'!I56</f>
        <v>0</v>
      </c>
      <c r="K257" s="222"/>
      <c r="L257" s="222">
        <f>+'Summary - Reserve - PG 2 (PA)'!K56</f>
        <v>0</v>
      </c>
      <c r="M257" s="222"/>
      <c r="N257" s="222">
        <f>+'Summary - Reserve - PG 2 (PA)'!M56</f>
        <v>0</v>
      </c>
      <c r="O257" s="222"/>
      <c r="P257" s="222">
        <f>+'Summary - Reserve - PG 2 (PA)'!O56</f>
        <v>0</v>
      </c>
      <c r="Q257" s="222"/>
      <c r="R257" s="222">
        <f>+'Summary - Reserve - PG 2 (PA)'!Q56</f>
        <v>0</v>
      </c>
      <c r="S257" s="222"/>
      <c r="T257" s="222">
        <f t="shared" si="38"/>
        <v>0</v>
      </c>
      <c r="U257" s="222"/>
      <c r="V257" s="221"/>
    </row>
    <row r="258" spans="1:22" s="220" customFormat="1" hidden="1" outlineLevel="3">
      <c r="A258" s="218"/>
      <c r="C258" s="220" t="s">
        <v>119</v>
      </c>
      <c r="D258" s="222">
        <f>+'Summary - Reserve - PG 2 (PA)'!C57</f>
        <v>0</v>
      </c>
      <c r="E258" s="222"/>
      <c r="F258" s="222">
        <f>+'Summary - Reserve - PG 2 (PA)'!E57</f>
        <v>0</v>
      </c>
      <c r="G258" s="222"/>
      <c r="H258" s="222">
        <f>+'Summary - Reserve - PG 2 (PA)'!G57</f>
        <v>0</v>
      </c>
      <c r="I258" s="222"/>
      <c r="J258" s="222">
        <f>+'Summary - Reserve - PG 2 (PA)'!I57</f>
        <v>0</v>
      </c>
      <c r="K258" s="222"/>
      <c r="L258" s="222">
        <f>+'Summary - Reserve - PG 2 (PA)'!K57</f>
        <v>0</v>
      </c>
      <c r="M258" s="222"/>
      <c r="N258" s="222">
        <f>+'Summary - Reserve - PG 2 (PA)'!M57</f>
        <v>0</v>
      </c>
      <c r="O258" s="222"/>
      <c r="P258" s="222">
        <f>+'Summary - Reserve - PG 2 (PA)'!O57</f>
        <v>0</v>
      </c>
      <c r="Q258" s="222"/>
      <c r="R258" s="222">
        <f>+'Summary - Reserve - PG 2 (PA)'!Q57</f>
        <v>0</v>
      </c>
      <c r="S258" s="222"/>
      <c r="T258" s="222">
        <f t="shared" si="38"/>
        <v>0</v>
      </c>
      <c r="U258" s="222"/>
      <c r="V258" s="221"/>
    </row>
    <row r="259" spans="1:22" s="220" customFormat="1" hidden="1" outlineLevel="3">
      <c r="A259" s="218"/>
      <c r="C259" s="220" t="s">
        <v>121</v>
      </c>
      <c r="D259" s="222">
        <f>+'Summary - Reserve - PG 2 (PA)'!C58</f>
        <v>0</v>
      </c>
      <c r="E259" s="222"/>
      <c r="F259" s="222">
        <f>+'Summary - Reserve - PG 2 (PA)'!E58</f>
        <v>0</v>
      </c>
      <c r="G259" s="222"/>
      <c r="H259" s="222">
        <f>+'Summary - Reserve - PG 2 (PA)'!G58</f>
        <v>0</v>
      </c>
      <c r="I259" s="222"/>
      <c r="J259" s="222">
        <f>+'Summary - Reserve - PG 2 (PA)'!I58</f>
        <v>0</v>
      </c>
      <c r="K259" s="222"/>
      <c r="L259" s="222">
        <f>+'Summary - Reserve - PG 2 (PA)'!K58</f>
        <v>0</v>
      </c>
      <c r="M259" s="222"/>
      <c r="N259" s="222">
        <f>+'Summary - Reserve - PG 2 (PA)'!M58</f>
        <v>0</v>
      </c>
      <c r="O259" s="222"/>
      <c r="P259" s="222">
        <f>+'Summary - Reserve - PG 2 (PA)'!O58</f>
        <v>0</v>
      </c>
      <c r="Q259" s="222"/>
      <c r="R259" s="222">
        <f>+'Summary - Reserve - PG 2 (PA)'!Q58</f>
        <v>0</v>
      </c>
      <c r="S259" s="222"/>
      <c r="T259" s="222">
        <f t="shared" si="38"/>
        <v>0</v>
      </c>
      <c r="U259" s="222"/>
      <c r="V259" s="221"/>
    </row>
    <row r="260" spans="1:22" s="220" customFormat="1" hidden="1" outlineLevel="3">
      <c r="A260" s="218"/>
      <c r="C260" s="220" t="s">
        <v>122</v>
      </c>
      <c r="D260" s="222">
        <f>+'Summary - Reserve - PG 2 (PA)'!C59</f>
        <v>0</v>
      </c>
      <c r="E260" s="222"/>
      <c r="F260" s="222">
        <f>+'Summary - Reserve - PG 2 (PA)'!E59</f>
        <v>0</v>
      </c>
      <c r="G260" s="222"/>
      <c r="H260" s="222">
        <f>+'Summary - Reserve - PG 2 (PA)'!G59</f>
        <v>0</v>
      </c>
      <c r="I260" s="222"/>
      <c r="J260" s="222">
        <f>+'Summary - Reserve - PG 2 (PA)'!I59</f>
        <v>0</v>
      </c>
      <c r="K260" s="222"/>
      <c r="L260" s="222">
        <f>+'Summary - Reserve - PG 2 (PA)'!K59</f>
        <v>0</v>
      </c>
      <c r="M260" s="222"/>
      <c r="N260" s="222">
        <f>+'Summary - Reserve - PG 2 (PA)'!M59</f>
        <v>0</v>
      </c>
      <c r="O260" s="222"/>
      <c r="P260" s="222">
        <f>+'Summary - Reserve - PG 2 (PA)'!O59</f>
        <v>0</v>
      </c>
      <c r="Q260" s="222"/>
      <c r="R260" s="222">
        <f>+'Summary - Reserve - PG 2 (PA)'!Q59</f>
        <v>0</v>
      </c>
      <c r="S260" s="222"/>
      <c r="T260" s="222">
        <f t="shared" si="38"/>
        <v>0</v>
      </c>
      <c r="U260" s="222"/>
      <c r="V260" s="221"/>
    </row>
    <row r="261" spans="1:22" s="220" customFormat="1" hidden="1" outlineLevel="3">
      <c r="A261" s="218"/>
      <c r="C261" s="220" t="s">
        <v>124</v>
      </c>
      <c r="D261" s="222">
        <f>+'Summary - Reserve - PG 2 (PA)'!C60</f>
        <v>0</v>
      </c>
      <c r="E261" s="222"/>
      <c r="F261" s="222">
        <f>+'Summary - Reserve - PG 2 (PA)'!E60</f>
        <v>0</v>
      </c>
      <c r="G261" s="222"/>
      <c r="H261" s="222">
        <f>+'Summary - Reserve - PG 2 (PA)'!G60</f>
        <v>0</v>
      </c>
      <c r="I261" s="222"/>
      <c r="J261" s="222">
        <f>+'Summary - Reserve - PG 2 (PA)'!I60</f>
        <v>0</v>
      </c>
      <c r="K261" s="222"/>
      <c r="L261" s="222">
        <f>+'Summary - Reserve - PG 2 (PA)'!K60</f>
        <v>0</v>
      </c>
      <c r="M261" s="222"/>
      <c r="N261" s="222">
        <f>+'Summary - Reserve - PG 2 (PA)'!M60</f>
        <v>0</v>
      </c>
      <c r="O261" s="222"/>
      <c r="P261" s="222">
        <f>+'Summary - Reserve - PG 2 (PA)'!O60</f>
        <v>0</v>
      </c>
      <c r="Q261" s="222"/>
      <c r="R261" s="222">
        <f>+'Summary - Reserve - PG 2 (PA)'!Q60</f>
        <v>0</v>
      </c>
      <c r="S261" s="222"/>
      <c r="T261" s="222">
        <f t="shared" si="38"/>
        <v>0</v>
      </c>
      <c r="U261" s="222"/>
      <c r="V261" s="221"/>
    </row>
    <row r="262" spans="1:22" s="220" customFormat="1" hidden="1" outlineLevel="3">
      <c r="A262" s="218"/>
      <c r="C262" s="220" t="s">
        <v>129</v>
      </c>
      <c r="D262" s="222">
        <f>+'Summary - Reserve - PG 2 (PA)'!C61</f>
        <v>0</v>
      </c>
      <c r="E262" s="222"/>
      <c r="F262" s="222">
        <f>+'Summary - Reserve - PG 2 (PA)'!E61</f>
        <v>0</v>
      </c>
      <c r="G262" s="222"/>
      <c r="H262" s="222">
        <f>+'Summary - Reserve - PG 2 (PA)'!G61</f>
        <v>0</v>
      </c>
      <c r="I262" s="222"/>
      <c r="J262" s="222">
        <f>+'Summary - Reserve - PG 2 (PA)'!I61</f>
        <v>0</v>
      </c>
      <c r="K262" s="222"/>
      <c r="L262" s="222">
        <f>+'Summary - Reserve - PG 2 (PA)'!K61</f>
        <v>0</v>
      </c>
      <c r="M262" s="222"/>
      <c r="N262" s="222">
        <f>+'Summary - Reserve - PG 2 (PA)'!M61</f>
        <v>0</v>
      </c>
      <c r="O262" s="222"/>
      <c r="P262" s="222">
        <f>+'Summary - Reserve - PG 2 (PA)'!O61</f>
        <v>0</v>
      </c>
      <c r="Q262" s="222"/>
      <c r="R262" s="222">
        <f>+'Summary - Reserve - PG 2 (PA)'!Q61</f>
        <v>0</v>
      </c>
      <c r="S262" s="222"/>
      <c r="T262" s="222">
        <f t="shared" si="38"/>
        <v>0</v>
      </c>
      <c r="U262" s="222"/>
      <c r="V262" s="221"/>
    </row>
    <row r="263" spans="1:22" s="220" customFormat="1" hidden="1" outlineLevel="3">
      <c r="A263" s="218"/>
      <c r="C263" s="220" t="s">
        <v>125</v>
      </c>
      <c r="D263" s="222">
        <f>+'Summary - Reserve - PG 2 (PA)'!C62</f>
        <v>0</v>
      </c>
      <c r="E263" s="222"/>
      <c r="F263" s="222">
        <f>+'Summary - Reserve - PG 2 (PA)'!E62</f>
        <v>0</v>
      </c>
      <c r="G263" s="222"/>
      <c r="H263" s="222">
        <f>+'Summary - Reserve - PG 2 (PA)'!G62</f>
        <v>0</v>
      </c>
      <c r="I263" s="222"/>
      <c r="J263" s="222">
        <f>+'Summary - Reserve - PG 2 (PA)'!I62</f>
        <v>0</v>
      </c>
      <c r="K263" s="222"/>
      <c r="L263" s="222">
        <f>+'Summary - Reserve - PG 2 (PA)'!K62</f>
        <v>0</v>
      </c>
      <c r="M263" s="222"/>
      <c r="N263" s="222">
        <f>+'Summary - Reserve - PG 2 (PA)'!M62</f>
        <v>0</v>
      </c>
      <c r="O263" s="222"/>
      <c r="P263" s="222">
        <f>+'Summary - Reserve - PG 2 (PA)'!O62</f>
        <v>0</v>
      </c>
      <c r="Q263" s="222"/>
      <c r="R263" s="222">
        <f>+'Summary - Reserve - PG 2 (PA)'!Q62</f>
        <v>0</v>
      </c>
      <c r="S263" s="222"/>
      <c r="T263" s="222">
        <f t="shared" si="38"/>
        <v>0</v>
      </c>
      <c r="U263" s="222"/>
      <c r="V263" s="221"/>
    </row>
    <row r="264" spans="1:22" s="220" customFormat="1" hidden="1" outlineLevel="3">
      <c r="A264" s="218"/>
      <c r="C264" s="220" t="s">
        <v>131</v>
      </c>
      <c r="D264" s="225">
        <f>+'Summary - Reserve - PG 2 (PA)'!C63</f>
        <v>0</v>
      </c>
      <c r="E264" s="222"/>
      <c r="F264" s="225">
        <f>+'Summary - Reserve - PG 2 (PA)'!E63</f>
        <v>0</v>
      </c>
      <c r="G264" s="222"/>
      <c r="H264" s="225">
        <f>+'Summary - Reserve - PG 2 (PA)'!G63</f>
        <v>0</v>
      </c>
      <c r="I264" s="222"/>
      <c r="J264" s="225">
        <f>+'Summary - Reserve - PG 2 (PA)'!I63</f>
        <v>0</v>
      </c>
      <c r="K264" s="222"/>
      <c r="L264" s="225">
        <f>+'Summary - Reserve - PG 2 (PA)'!K63</f>
        <v>0</v>
      </c>
      <c r="M264" s="222"/>
      <c r="N264" s="225">
        <f>+'Summary - Reserve - PG 2 (PA)'!M63</f>
        <v>0</v>
      </c>
      <c r="O264" s="222"/>
      <c r="P264" s="225">
        <f>+'Summary - Reserve - PG 2 (PA)'!O63</f>
        <v>0</v>
      </c>
      <c r="Q264" s="222"/>
      <c r="R264" s="225">
        <f>+'Summary - Reserve - PG 2 (PA)'!Q63</f>
        <v>0</v>
      </c>
      <c r="S264" s="222"/>
      <c r="T264" s="225">
        <f t="shared" si="38"/>
        <v>0</v>
      </c>
      <c r="U264" s="222"/>
      <c r="V264" s="221"/>
    </row>
    <row r="265" spans="1:22" s="220" customFormat="1" hidden="1" outlineLevel="3">
      <c r="A265" s="218"/>
      <c r="C265" s="227"/>
      <c r="D265" s="222">
        <f>SUM(D252:D264)</f>
        <v>0</v>
      </c>
      <c r="E265" s="222"/>
      <c r="F265" s="222">
        <f>SUM(F252:F264)</f>
        <v>0</v>
      </c>
      <c r="G265" s="222"/>
      <c r="H265" s="222">
        <f>SUM(H252:H264)</f>
        <v>0</v>
      </c>
      <c r="I265" s="222"/>
      <c r="J265" s="222">
        <f>SUM(J252:J264)</f>
        <v>0</v>
      </c>
      <c r="K265" s="222"/>
      <c r="L265" s="222">
        <f>SUM(L252:L264)</f>
        <v>0</v>
      </c>
      <c r="M265" s="222"/>
      <c r="N265" s="222">
        <f>SUM(N252:N264)</f>
        <v>0</v>
      </c>
      <c r="O265" s="222"/>
      <c r="P265" s="222">
        <f>SUM(P252:P264)</f>
        <v>0</v>
      </c>
      <c r="Q265" s="222"/>
      <c r="R265" s="222">
        <f>SUM(R252:R264)</f>
        <v>0</v>
      </c>
      <c r="S265" s="222"/>
      <c r="T265" s="222">
        <f>SUM(T252:T264)</f>
        <v>0</v>
      </c>
      <c r="U265" s="222"/>
      <c r="V265" s="221"/>
    </row>
    <row r="266" spans="1:22" s="220" customFormat="1" hidden="1" outlineLevel="3">
      <c r="A266" s="218"/>
      <c r="D266" s="222"/>
      <c r="E266" s="222"/>
      <c r="F266" s="222"/>
      <c r="G266" s="222"/>
      <c r="H266" s="222"/>
      <c r="I266" s="222"/>
      <c r="J266" s="222"/>
      <c r="K266" s="222"/>
      <c r="L266" s="222"/>
      <c r="M266" s="222"/>
      <c r="N266" s="222"/>
      <c r="O266" s="222"/>
      <c r="P266" s="222"/>
      <c r="Q266" s="222"/>
      <c r="R266" s="222"/>
      <c r="S266" s="222"/>
      <c r="T266" s="222"/>
      <c r="U266" s="222"/>
      <c r="V266" s="221"/>
    </row>
    <row r="267" spans="1:22" s="220" customFormat="1" hidden="1" outlineLevel="3">
      <c r="A267" s="218"/>
      <c r="B267" s="219" t="s">
        <v>656</v>
      </c>
      <c r="D267" s="223"/>
      <c r="E267" s="223"/>
      <c r="F267" s="223"/>
      <c r="G267" s="223"/>
      <c r="H267" s="223"/>
      <c r="I267" s="223"/>
      <c r="J267" s="223"/>
      <c r="K267" s="223"/>
      <c r="L267" s="223"/>
      <c r="M267" s="223"/>
      <c r="N267" s="223"/>
      <c r="O267" s="223"/>
      <c r="P267" s="223"/>
      <c r="Q267" s="223"/>
      <c r="R267" s="223"/>
      <c r="S267" s="223"/>
      <c r="T267" s="223"/>
      <c r="U267" s="223"/>
      <c r="V267" s="221"/>
    </row>
    <row r="268" spans="1:22" s="220" customFormat="1" hidden="1" outlineLevel="3">
      <c r="A268" s="218"/>
      <c r="C268" s="220" t="s">
        <v>652</v>
      </c>
      <c r="D268" s="223">
        <f>+'Summary - Reserve - PG 2 (PA)'!C73</f>
        <v>0</v>
      </c>
      <c r="E268" s="223"/>
      <c r="F268" s="223">
        <f>+'Summary - Reserve - PG 2 (PA)'!E73</f>
        <v>0</v>
      </c>
      <c r="G268" s="223"/>
      <c r="H268" s="223">
        <f>+'Summary - Reserve - PG 2 (PA)'!G73</f>
        <v>0</v>
      </c>
      <c r="I268" s="223"/>
      <c r="J268" s="223">
        <f>+'Summary - Reserve - PG 2 (PA)'!I73</f>
        <v>0</v>
      </c>
      <c r="K268" s="223"/>
      <c r="L268" s="223">
        <f>+'Summary - Reserve - PG 2 (PA)'!K73</f>
        <v>0</v>
      </c>
      <c r="M268" s="223"/>
      <c r="N268" s="223">
        <f>+'Summary - Reserve - PG 2 (PA)'!M73</f>
        <v>0</v>
      </c>
      <c r="O268" s="223"/>
      <c r="P268" s="223">
        <f>+'Summary - Reserve - PG 2 (PA)'!O73</f>
        <v>0</v>
      </c>
      <c r="Q268" s="223"/>
      <c r="R268" s="223">
        <f>+'Summary - Reserve - PG 2 (PA)'!Q73</f>
        <v>0</v>
      </c>
      <c r="S268" s="223"/>
      <c r="T268" s="223">
        <f>R268+P268+N268+L268+J268+H268+F268+D268</f>
        <v>0</v>
      </c>
      <c r="U268" s="223"/>
      <c r="V268" s="221"/>
    </row>
    <row r="269" spans="1:22" s="220" customFormat="1" hidden="1" outlineLevel="3">
      <c r="A269" s="218"/>
      <c r="C269" s="220" t="s">
        <v>112</v>
      </c>
      <c r="D269" s="223">
        <f>+'Summary - Reserve - PG 2 (PA)'!C74</f>
        <v>0</v>
      </c>
      <c r="E269" s="223"/>
      <c r="F269" s="223">
        <f>+'Summary - Reserve - PG 2 (PA)'!E74</f>
        <v>0</v>
      </c>
      <c r="G269" s="223"/>
      <c r="H269" s="223">
        <f>+'Summary - Reserve - PG 2 (PA)'!G74</f>
        <v>0</v>
      </c>
      <c r="I269" s="223"/>
      <c r="J269" s="223">
        <f>+'Summary - Reserve - PG 2 (PA)'!I74</f>
        <v>0</v>
      </c>
      <c r="K269" s="223"/>
      <c r="L269" s="223">
        <f>+'Summary - Reserve - PG 2 (PA)'!K74</f>
        <v>0</v>
      </c>
      <c r="M269" s="223"/>
      <c r="N269" s="223">
        <f>+'Summary - Reserve - PG 2 (PA)'!M74</f>
        <v>0</v>
      </c>
      <c r="O269" s="223"/>
      <c r="P269" s="223">
        <f>+'Summary - Reserve - PG 2 (PA)'!O74</f>
        <v>0</v>
      </c>
      <c r="Q269" s="223"/>
      <c r="R269" s="223">
        <f>+'Summary - Reserve - PG 2 (PA)'!Q74</f>
        <v>0</v>
      </c>
      <c r="S269" s="223"/>
      <c r="T269" s="223">
        <f>R269+P269+N269+L269+J269+H269+F269+D269</f>
        <v>0</v>
      </c>
      <c r="U269" s="223"/>
      <c r="V269" s="221"/>
    </row>
    <row r="270" spans="1:22" s="220" customFormat="1" hidden="1" outlineLevel="3">
      <c r="A270" s="218"/>
      <c r="C270" s="220" t="s">
        <v>120</v>
      </c>
      <c r="D270" s="225">
        <f>+'Summary - Reserve - PG 2 (PA)'!C75</f>
        <v>0</v>
      </c>
      <c r="E270" s="223"/>
      <c r="F270" s="225">
        <f>+'Summary - Reserve - PG 2 (PA)'!E75</f>
        <v>0</v>
      </c>
      <c r="G270" s="223"/>
      <c r="H270" s="225">
        <f>+'Summary - Reserve - PG 2 (PA)'!G75</f>
        <v>0</v>
      </c>
      <c r="I270" s="223"/>
      <c r="J270" s="225">
        <f>+'Summary - Reserve - PG 2 (PA)'!I75</f>
        <v>0</v>
      </c>
      <c r="K270" s="223"/>
      <c r="L270" s="225">
        <f>+'Summary - Reserve - PG 2 (PA)'!K75</f>
        <v>0</v>
      </c>
      <c r="M270" s="223"/>
      <c r="N270" s="225">
        <f>+'Summary - Reserve - PG 2 (PA)'!M75</f>
        <v>0</v>
      </c>
      <c r="O270" s="223"/>
      <c r="P270" s="225">
        <f>+'Summary - Reserve - PG 2 (PA)'!O75</f>
        <v>0</v>
      </c>
      <c r="Q270" s="223"/>
      <c r="R270" s="225">
        <f>+'Summary - Reserve - PG 2 (PA)'!Q75</f>
        <v>0</v>
      </c>
      <c r="S270" s="223"/>
      <c r="T270" s="223">
        <f>R270+P270+N270+L270+J270+H270+F270+D270</f>
        <v>0</v>
      </c>
      <c r="U270" s="223"/>
      <c r="V270" s="221"/>
    </row>
    <row r="271" spans="1:22" s="220" customFormat="1" hidden="1" outlineLevel="3">
      <c r="A271" s="218"/>
      <c r="C271" s="227"/>
      <c r="D271" s="228">
        <f>SUM(D268:D270)</f>
        <v>0</v>
      </c>
      <c r="E271" s="223"/>
      <c r="F271" s="228">
        <f>SUM(F268:F270)</f>
        <v>0</v>
      </c>
      <c r="G271" s="223"/>
      <c r="H271" s="228">
        <f>SUM(H268:H270)</f>
        <v>0</v>
      </c>
      <c r="I271" s="223"/>
      <c r="J271" s="228">
        <f>SUM(J268:J270)</f>
        <v>0</v>
      </c>
      <c r="K271" s="223"/>
      <c r="L271" s="228">
        <f>SUM(L268:L270)</f>
        <v>0</v>
      </c>
      <c r="M271" s="223"/>
      <c r="N271" s="228">
        <f>SUM(N268:N270)</f>
        <v>0</v>
      </c>
      <c r="O271" s="223"/>
      <c r="P271" s="228">
        <f>SUM(P268:P270)</f>
        <v>0</v>
      </c>
      <c r="Q271" s="223"/>
      <c r="R271" s="228">
        <f>SUM(R268:R270)</f>
        <v>0</v>
      </c>
      <c r="S271" s="223"/>
      <c r="T271" s="228">
        <f>SUM(T268:T270)</f>
        <v>0</v>
      </c>
      <c r="U271" s="222"/>
      <c r="V271" s="221"/>
    </row>
    <row r="272" spans="1:22" s="220" customFormat="1" hidden="1" outlineLevel="3">
      <c r="A272" s="218"/>
      <c r="D272" s="223"/>
      <c r="E272" s="223"/>
      <c r="F272" s="223"/>
      <c r="G272" s="223"/>
      <c r="H272" s="223"/>
      <c r="I272" s="223"/>
      <c r="J272" s="223"/>
      <c r="K272" s="223"/>
      <c r="L272" s="223"/>
      <c r="M272" s="223"/>
      <c r="N272" s="223"/>
      <c r="O272" s="223"/>
      <c r="P272" s="223"/>
      <c r="Q272" s="223"/>
      <c r="R272" s="223"/>
      <c r="S272" s="223"/>
      <c r="T272" s="223"/>
      <c r="U272" s="223"/>
      <c r="V272" s="221"/>
    </row>
    <row r="273" spans="1:31" s="220" customFormat="1" hidden="1" outlineLevel="3">
      <c r="A273" s="220" t="s">
        <v>1144</v>
      </c>
      <c r="B273" s="219" t="s">
        <v>1094</v>
      </c>
    </row>
    <row r="274" spans="1:31" s="220" customFormat="1" hidden="1" outlineLevel="3">
      <c r="C274" s="220" t="s">
        <v>652</v>
      </c>
      <c r="D274" s="223">
        <v>-2770449.12</v>
      </c>
      <c r="F274" s="241"/>
      <c r="G274" s="241"/>
      <c r="H274" s="241"/>
      <c r="I274" s="241"/>
      <c r="J274" s="240">
        <f>-D274</f>
        <v>2770449.12</v>
      </c>
      <c r="K274" s="241"/>
      <c r="L274" s="241"/>
      <c r="M274" s="241"/>
      <c r="N274" s="241"/>
      <c r="O274" s="241"/>
      <c r="P274" s="241"/>
      <c r="Q274" s="241"/>
      <c r="R274" s="241"/>
      <c r="T274" s="223" t="e">
        <f>+'RWIP BY ACCOUNT - PG 2A (PA)'!S17</f>
        <v>#REF!</v>
      </c>
      <c r="U274" s="223"/>
    </row>
    <row r="275" spans="1:31" s="220" customFormat="1" hidden="1" outlineLevel="3">
      <c r="C275" s="220" t="s">
        <v>112</v>
      </c>
      <c r="T275" s="223">
        <f>+'RWIP BY ACCOUNT - PG 2A (PA)'!S18</f>
        <v>0</v>
      </c>
      <c r="U275" s="223"/>
    </row>
    <row r="276" spans="1:31" s="220" customFormat="1" hidden="1" outlineLevel="3">
      <c r="C276" s="220" t="s">
        <v>120</v>
      </c>
      <c r="T276" s="223">
        <f>+'RWIP BY ACCOUNT - PG 2A (PA)'!S19</f>
        <v>0</v>
      </c>
      <c r="U276" s="223"/>
    </row>
    <row r="277" spans="1:31" s="220" customFormat="1" hidden="1" outlineLevel="3">
      <c r="D277" s="228">
        <f>SUM(D274:D276)</f>
        <v>-2770449.12</v>
      </c>
      <c r="F277" s="228">
        <f>SUM(F274:F276)</f>
        <v>0</v>
      </c>
      <c r="H277" s="228">
        <f>SUM(H274:H276)</f>
        <v>0</v>
      </c>
      <c r="J277" s="228">
        <f>SUM(J274:J276)</f>
        <v>2770449.12</v>
      </c>
      <c r="L277" s="228">
        <f>SUM(L274:L276)</f>
        <v>0</v>
      </c>
      <c r="N277" s="228">
        <f>SUM(N274:N276)</f>
        <v>0</v>
      </c>
      <c r="P277" s="228">
        <f>SUM(P274:P276)</f>
        <v>0</v>
      </c>
      <c r="R277" s="228">
        <f>SUM(R274:R276)</f>
        <v>0</v>
      </c>
      <c r="T277" s="228" t="e">
        <f>+'RWIP BY ACCOUNT - PG 2A (PA)'!S20</f>
        <v>#REF!</v>
      </c>
      <c r="U277" s="222"/>
    </row>
    <row r="278" spans="1:31" s="220" customFormat="1" hidden="1" outlineLevel="3">
      <c r="A278" s="220" t="s">
        <v>1144</v>
      </c>
      <c r="B278" s="219" t="s">
        <v>1095</v>
      </c>
    </row>
    <row r="279" spans="1:31" s="220" customFormat="1" hidden="1" outlineLevel="3">
      <c r="C279" s="220" t="s">
        <v>652</v>
      </c>
      <c r="D279" s="223">
        <v>0</v>
      </c>
      <c r="F279" s="241"/>
      <c r="G279" s="241"/>
      <c r="H279" s="241"/>
      <c r="I279" s="241"/>
      <c r="J279" s="241"/>
      <c r="K279" s="241"/>
      <c r="L279" s="241"/>
      <c r="M279" s="241"/>
      <c r="N279" s="241"/>
      <c r="O279" s="241"/>
      <c r="P279" s="241"/>
      <c r="Q279" s="241"/>
      <c r="R279" s="241"/>
      <c r="T279" s="223">
        <v>0</v>
      </c>
      <c r="U279" s="223"/>
    </row>
    <row r="280" spans="1:31" s="220" customFormat="1" hidden="1" outlineLevel="3">
      <c r="C280" s="220" t="s">
        <v>112</v>
      </c>
      <c r="D280" s="223">
        <v>1378237.1</v>
      </c>
      <c r="F280" s="241"/>
      <c r="G280" s="241"/>
      <c r="H280" s="241"/>
      <c r="I280" s="241"/>
      <c r="J280" s="241"/>
      <c r="K280" s="241"/>
      <c r="L280" s="241"/>
      <c r="M280" s="241"/>
      <c r="N280" s="240">
        <f>2103715.6-1378237.1+6175.87-11787.81</f>
        <v>719866.55999999994</v>
      </c>
      <c r="O280" s="241"/>
      <c r="P280" s="241"/>
      <c r="Q280" s="241"/>
      <c r="R280" s="241"/>
      <c r="T280" s="223">
        <f>+'RWIP BY ACCOUNT - PG 2A (PA)'!S23</f>
        <v>0</v>
      </c>
      <c r="U280" s="223"/>
    </row>
    <row r="281" spans="1:31" s="220" customFormat="1" hidden="1" outlineLevel="3">
      <c r="C281" s="220" t="s">
        <v>120</v>
      </c>
      <c r="D281" s="223">
        <v>314141.18</v>
      </c>
      <c r="F281" s="241"/>
      <c r="G281" s="241"/>
      <c r="H281" s="241"/>
      <c r="I281" s="241"/>
      <c r="J281" s="241"/>
      <c r="K281" s="241"/>
      <c r="L281" s="241"/>
      <c r="M281" s="241"/>
      <c r="N281" s="240">
        <f>640151.18-314141.18+108823.93</f>
        <v>434833.93000000005</v>
      </c>
      <c r="O281" s="241"/>
      <c r="P281" s="241"/>
      <c r="Q281" s="241"/>
      <c r="R281" s="241"/>
      <c r="T281" s="223">
        <f>+'RWIP BY ACCOUNT - PG 2A (PA)'!S24</f>
        <v>0</v>
      </c>
      <c r="U281" s="223"/>
    </row>
    <row r="282" spans="1:31" s="220" customFormat="1" hidden="1" outlineLevel="3">
      <c r="D282" s="228">
        <f>SUM(D279:D281)</f>
        <v>1692378.28</v>
      </c>
      <c r="F282" s="228">
        <f>SUM(F279:F281)</f>
        <v>0</v>
      </c>
      <c r="H282" s="228">
        <f>SUM(H279:H281)</f>
        <v>0</v>
      </c>
      <c r="J282" s="228">
        <f>SUM(J279:J281)</f>
        <v>0</v>
      </c>
      <c r="L282" s="228">
        <f>SUM(L279:L281)</f>
        <v>0</v>
      </c>
      <c r="N282" s="228">
        <f>SUM(N279:N281)</f>
        <v>1154700.49</v>
      </c>
      <c r="P282" s="228">
        <f>SUM(P279:P281)</f>
        <v>0</v>
      </c>
      <c r="R282" s="228">
        <f>SUM(R279:R281)</f>
        <v>0</v>
      </c>
      <c r="T282" s="228">
        <f>SUM(T279:T281)</f>
        <v>0</v>
      </c>
      <c r="U282" s="222"/>
    </row>
    <row r="283" spans="1:31" s="220" customFormat="1" hidden="1" outlineLevel="3">
      <c r="A283" s="218"/>
      <c r="D283" s="223"/>
      <c r="E283" s="223"/>
      <c r="F283" s="223"/>
      <c r="G283" s="223"/>
      <c r="H283" s="223"/>
      <c r="I283" s="223"/>
      <c r="J283" s="223"/>
      <c r="K283" s="223"/>
      <c r="L283" s="223"/>
      <c r="M283" s="223"/>
      <c r="N283" s="223"/>
      <c r="O283" s="223"/>
      <c r="P283" s="223"/>
      <c r="Q283" s="223"/>
      <c r="R283" s="223"/>
      <c r="S283" s="223"/>
      <c r="T283" s="223">
        <f>+T282-R282-P282-N282-L282-J282-H282-F282-D282</f>
        <v>-2847078.77</v>
      </c>
      <c r="U283" s="223"/>
      <c r="V283" s="221"/>
    </row>
    <row r="284" spans="1:31" s="220" customFormat="1" hidden="1" outlineLevel="3">
      <c r="A284" s="218"/>
      <c r="D284" s="223"/>
      <c r="E284" s="223"/>
      <c r="F284" s="223"/>
      <c r="G284" s="223"/>
      <c r="H284" s="223"/>
      <c r="I284" s="223"/>
      <c r="J284" s="223"/>
      <c r="K284" s="223"/>
      <c r="L284" s="223"/>
      <c r="M284" s="223"/>
      <c r="N284" s="223"/>
      <c r="O284" s="223"/>
      <c r="P284" s="223"/>
      <c r="Q284" s="223"/>
      <c r="R284" s="223"/>
      <c r="S284" s="223"/>
      <c r="T284" s="223"/>
      <c r="U284" s="223"/>
      <c r="V284" s="221"/>
    </row>
    <row r="285" spans="1:31" hidden="1" outlineLevel="3">
      <c r="B285" s="184"/>
      <c r="D285" s="181"/>
      <c r="E285" s="181"/>
      <c r="F285" s="181"/>
      <c r="G285" s="181"/>
      <c r="H285" s="181"/>
      <c r="I285" s="181"/>
      <c r="J285" s="181"/>
      <c r="K285" s="181"/>
      <c r="L285" s="181"/>
      <c r="M285" s="181"/>
      <c r="N285" s="181"/>
      <c r="O285" s="181"/>
      <c r="P285" s="181"/>
      <c r="Q285" s="181"/>
      <c r="R285" s="181"/>
      <c r="S285" s="181"/>
      <c r="T285" s="181"/>
      <c r="U285" s="181"/>
    </row>
    <row r="286" spans="1:31" hidden="1" outlineLevel="3">
      <c r="B286" s="184"/>
      <c r="D286" s="181"/>
      <c r="E286" s="181"/>
      <c r="F286" s="181"/>
      <c r="G286" s="181"/>
      <c r="H286" s="181"/>
      <c r="I286" s="181"/>
      <c r="J286" s="181"/>
      <c r="K286" s="181"/>
      <c r="L286" s="181"/>
      <c r="M286" s="181"/>
      <c r="N286" s="181"/>
      <c r="O286" s="181"/>
      <c r="P286" s="181"/>
      <c r="Q286" s="181"/>
      <c r="R286" s="181"/>
      <c r="S286" s="181"/>
      <c r="T286" s="181"/>
      <c r="U286" s="181"/>
    </row>
    <row r="287" spans="1:31" hidden="1" outlineLevel="1" collapsed="1">
      <c r="B287" s="245" t="s">
        <v>1124</v>
      </c>
      <c r="D287" s="211">
        <f>+D249+D265+D271-D282-D277</f>
        <v>1078070.8400000001</v>
      </c>
      <c r="E287" s="211"/>
      <c r="F287" s="211">
        <f>+F249+F265+F271-F282-F277</f>
        <v>0</v>
      </c>
      <c r="G287" s="211"/>
      <c r="H287" s="211">
        <f>+H249+H265+H271-H282-H277</f>
        <v>0</v>
      </c>
      <c r="I287" s="211"/>
      <c r="J287" s="211">
        <f>+J249+J265+J271-J282-J277</f>
        <v>-2770449.12</v>
      </c>
      <c r="K287" s="211"/>
      <c r="L287" s="211">
        <f>+L249+L265+L271-L282-L277</f>
        <v>0</v>
      </c>
      <c r="M287" s="211"/>
      <c r="N287" s="211">
        <f>+N249+N265+N271-N282-N277</f>
        <v>-1154700.49</v>
      </c>
      <c r="O287" s="211"/>
      <c r="P287" s="211">
        <f>+P249+P265+P271-P282-P277</f>
        <v>0</v>
      </c>
      <c r="Q287" s="211"/>
      <c r="R287" s="211">
        <f>+R249+R265+R271-R282-R277</f>
        <v>0</v>
      </c>
      <c r="S287" s="211"/>
      <c r="T287" s="211" t="e">
        <f>+T249+T265+T271-T282-T277</f>
        <v>#REF!</v>
      </c>
      <c r="U287" s="211"/>
      <c r="V287" s="211">
        <f>+F287</f>
        <v>0</v>
      </c>
      <c r="W287" s="163"/>
      <c r="X287" s="243">
        <f>+H287+L287</f>
        <v>0</v>
      </c>
      <c r="Y287" s="243">
        <f>+J287+J274</f>
        <v>0</v>
      </c>
      <c r="Z287" s="211">
        <f>-J274</f>
        <v>-2770449.12</v>
      </c>
      <c r="AA287" s="211">
        <f>+N287+P287+R287</f>
        <v>-1154700.49</v>
      </c>
      <c r="AD287" s="211">
        <f>SUM(V287:AB287)</f>
        <v>-3925149.6100000003</v>
      </c>
      <c r="AE287" s="211" t="e">
        <f>+T287-D287-AD287</f>
        <v>#REF!</v>
      </c>
    </row>
    <row r="288" spans="1:31" hidden="1" outlineLevel="1">
      <c r="D288" s="211">
        <f>+D287-D15</f>
        <v>256735640.52000001</v>
      </c>
      <c r="T288" s="211" t="e">
        <f>+T287-T15</f>
        <v>#REF!</v>
      </c>
      <c r="U288" s="211"/>
    </row>
    <row r="289" spans="2:31" hidden="1" outlineLevel="1">
      <c r="D289" s="211"/>
      <c r="T289" s="211" t="e">
        <f>+T287-D287-F287-H287-J287-L287-N287-P287-R287</f>
        <v>#REF!</v>
      </c>
      <c r="U289" s="211"/>
      <c r="V289" s="246">
        <f t="shared" ref="V289:AB289" si="39">SUM(V23:V288)</f>
        <v>0</v>
      </c>
      <c r="W289" s="246">
        <f t="shared" si="39"/>
        <v>0</v>
      </c>
      <c r="X289" s="246">
        <f t="shared" si="39"/>
        <v>-4.6566128730773926E-10</v>
      </c>
      <c r="Y289" s="246">
        <f t="shared" si="39"/>
        <v>0</v>
      </c>
      <c r="Z289" s="246">
        <f t="shared" si="39"/>
        <v>0</v>
      </c>
      <c r="AA289" s="246">
        <f t="shared" si="39"/>
        <v>-1154700.49</v>
      </c>
      <c r="AB289" s="246">
        <f t="shared" si="39"/>
        <v>0</v>
      </c>
      <c r="AC289" s="246"/>
      <c r="AD289" s="246"/>
      <c r="AE289" s="246"/>
    </row>
    <row r="290" spans="2:31" hidden="1" outlineLevel="1">
      <c r="B290" s="184"/>
      <c r="D290" s="243"/>
      <c r="E290" s="243"/>
      <c r="F290" s="243"/>
      <c r="G290" s="243"/>
      <c r="H290" s="243"/>
      <c r="I290" s="243"/>
      <c r="J290" s="243"/>
      <c r="K290" s="243"/>
      <c r="L290" s="243"/>
      <c r="M290" s="243"/>
      <c r="N290" s="243"/>
      <c r="O290" s="243"/>
      <c r="P290" s="243"/>
      <c r="Q290" s="243"/>
      <c r="R290" s="243"/>
      <c r="S290" s="243"/>
      <c r="T290" s="243"/>
      <c r="U290" s="243"/>
    </row>
    <row r="291" spans="2:31" hidden="1" outlineLevel="1">
      <c r="B291" s="184"/>
      <c r="D291" s="243"/>
      <c r="E291" s="243"/>
      <c r="F291" s="243"/>
      <c r="G291" s="243"/>
      <c r="H291" s="243"/>
      <c r="I291" s="243"/>
      <c r="J291" s="243"/>
      <c r="K291" s="243"/>
      <c r="L291" s="243"/>
      <c r="M291" s="243"/>
      <c r="N291" s="243"/>
      <c r="O291" s="243"/>
      <c r="P291" s="243"/>
      <c r="Q291" s="243"/>
      <c r="R291" s="243"/>
      <c r="S291" s="243"/>
      <c r="T291" s="243" t="e">
        <f>+T287-D287</f>
        <v>#REF!</v>
      </c>
      <c r="U291" s="243"/>
    </row>
    <row r="292" spans="2:31" hidden="1" outlineLevel="1">
      <c r="B292" s="184"/>
      <c r="D292" s="243"/>
      <c r="E292" s="243"/>
      <c r="F292" s="243"/>
      <c r="G292" s="243"/>
      <c r="H292" s="243"/>
      <c r="I292" s="243"/>
      <c r="J292" s="243"/>
      <c r="K292" s="243"/>
      <c r="L292" s="243"/>
      <c r="M292" s="243"/>
      <c r="N292" s="243"/>
      <c r="O292" s="243"/>
      <c r="P292" s="243"/>
      <c r="Q292" s="243"/>
      <c r="R292" s="243"/>
      <c r="S292" s="243"/>
      <c r="T292" s="243"/>
      <c r="U292" s="243"/>
    </row>
    <row r="293" spans="2:31" hidden="1" outlineLevel="1"/>
    <row r="294" spans="2:31" collapsed="1"/>
  </sheetData>
  <mergeCells count="5">
    <mergeCell ref="A1:AE1"/>
    <mergeCell ref="A2:AE2"/>
    <mergeCell ref="A3:AE3"/>
    <mergeCell ref="V6:Z6"/>
    <mergeCell ref="AA6:AB6"/>
  </mergeCells>
  <pageMargins left="0.45" right="0.45" top="0.75" bottom="0.75" header="0.3" footer="0.3"/>
  <pageSetup scale="57" orientation="landscape" r:id="rId1"/>
  <headerFooter>
    <oddFooter>&amp;L&amp;Z
&amp;F&amp;C&amp;A&amp;R2B.&amp;P</oddFooter>
  </headerFooter>
  <legacyDrawing r:id="rId2"/>
</worksheet>
</file>

<file path=xl/worksheets/sheet121.xml><?xml version="1.0" encoding="utf-8"?>
<worksheet xmlns="http://schemas.openxmlformats.org/spreadsheetml/2006/main" xmlns:r="http://schemas.openxmlformats.org/officeDocument/2006/relationships">
  <sheetPr codeName="Sheet124">
    <pageSetUpPr fitToPage="1"/>
  </sheetPr>
  <dimension ref="A1:Y399"/>
  <sheetViews>
    <sheetView zoomScaleNormal="100" workbookViewId="0">
      <pane xSplit="2" ySplit="8" topLeftCell="C9" activePane="bottomRight" state="frozen"/>
      <selection activeCell="C38" sqref="C38"/>
      <selection pane="topRight" activeCell="C38" sqref="C38"/>
      <selection pane="bottomLeft" activeCell="C38" sqref="C38"/>
      <selection pane="bottomRight" activeCell="C9" sqref="C9"/>
    </sheetView>
  </sheetViews>
  <sheetFormatPr defaultRowHeight="12.75"/>
  <cols>
    <col min="1" max="1" width="12" style="10" customWidth="1"/>
    <col min="2" max="2" width="38.140625" style="10" customWidth="1"/>
    <col min="3" max="3" width="18.7109375" style="10" bestFit="1" customWidth="1"/>
    <col min="4" max="4" width="3" style="10" customWidth="1"/>
    <col min="5" max="5" width="17.7109375" style="10" customWidth="1"/>
    <col min="6" max="6" width="1.7109375" style="10" customWidth="1"/>
    <col min="7" max="7" width="17.7109375" style="10" customWidth="1"/>
    <col min="8" max="8" width="1.7109375" style="10" customWidth="1"/>
    <col min="9" max="9" width="17.7109375" style="10" customWidth="1"/>
    <col min="10" max="10" width="2" style="10" customWidth="1"/>
    <col min="11" max="11" width="17.7109375" style="10" customWidth="1"/>
    <col min="12" max="12" width="1.42578125" style="10" customWidth="1"/>
    <col min="13" max="13" width="17.7109375" style="10" customWidth="1"/>
    <col min="14" max="14" width="1.7109375" style="10" customWidth="1"/>
    <col min="15" max="15" width="17.7109375" style="10" customWidth="1"/>
    <col min="16" max="16" width="1.7109375" style="10" customWidth="1"/>
    <col min="17" max="17" width="17.7109375" style="10" customWidth="1"/>
    <col min="18" max="18" width="2.28515625" style="10" customWidth="1"/>
    <col min="19" max="19" width="18.7109375" style="10" bestFit="1" customWidth="1"/>
    <col min="20" max="16384" width="9.140625" style="10"/>
  </cols>
  <sheetData>
    <row r="1" spans="1:25">
      <c r="A1" s="359" t="s">
        <v>134</v>
      </c>
      <c r="B1" s="359"/>
      <c r="C1" s="359"/>
      <c r="D1" s="359"/>
      <c r="E1" s="359"/>
      <c r="F1" s="359"/>
      <c r="G1" s="359"/>
      <c r="H1" s="359"/>
      <c r="I1" s="359"/>
      <c r="J1" s="359"/>
      <c r="K1" s="359"/>
      <c r="L1" s="359"/>
      <c r="M1" s="359"/>
      <c r="N1" s="359"/>
      <c r="O1" s="359"/>
      <c r="P1" s="359"/>
      <c r="Q1" s="359"/>
      <c r="R1" s="359"/>
      <c r="S1" s="359"/>
    </row>
    <row r="2" spans="1:25">
      <c r="A2" s="359" t="s">
        <v>1151</v>
      </c>
      <c r="B2" s="359"/>
      <c r="C2" s="359"/>
      <c r="D2" s="359"/>
      <c r="E2" s="359"/>
      <c r="F2" s="359"/>
      <c r="G2" s="359"/>
      <c r="H2" s="359"/>
      <c r="I2" s="359"/>
      <c r="J2" s="359"/>
      <c r="K2" s="359"/>
      <c r="L2" s="359"/>
      <c r="M2" s="359"/>
      <c r="N2" s="359"/>
      <c r="O2" s="359"/>
      <c r="P2" s="359"/>
      <c r="Q2" s="359"/>
      <c r="R2" s="359"/>
      <c r="S2" s="359"/>
    </row>
    <row r="3" spans="1:25">
      <c r="A3" s="361" t="str">
        <f>'Summary - Cost - PG 1 (PA)'!A3:N3</f>
        <v>MARCH 2012</v>
      </c>
      <c r="B3" s="361"/>
      <c r="C3" s="361"/>
      <c r="D3" s="361"/>
      <c r="E3" s="361"/>
      <c r="F3" s="361"/>
      <c r="G3" s="361"/>
      <c r="H3" s="361"/>
      <c r="I3" s="361"/>
      <c r="J3" s="361"/>
      <c r="K3" s="361"/>
      <c r="L3" s="361"/>
      <c r="M3" s="361"/>
      <c r="N3" s="361"/>
      <c r="O3" s="361"/>
      <c r="P3" s="361"/>
      <c r="Q3" s="361"/>
      <c r="R3" s="361"/>
      <c r="S3" s="361"/>
    </row>
    <row r="4" spans="1:25">
      <c r="A4" s="191"/>
      <c r="B4" s="191"/>
      <c r="C4" s="191"/>
      <c r="D4" s="191"/>
      <c r="E4" s="191"/>
      <c r="F4" s="191"/>
      <c r="G4" s="191"/>
      <c r="H4" s="191"/>
      <c r="I4" s="191"/>
      <c r="J4" s="191"/>
      <c r="K4" s="191"/>
      <c r="L4" s="191"/>
      <c r="M4" s="329"/>
      <c r="N4" s="329"/>
      <c r="O4" s="191"/>
      <c r="P4" s="191"/>
      <c r="Q4" s="191"/>
      <c r="R4" s="191"/>
      <c r="S4" s="191"/>
      <c r="T4" s="191"/>
      <c r="U4" s="191"/>
      <c r="V4" s="191"/>
      <c r="W4" s="191"/>
      <c r="X4" s="191"/>
      <c r="Y4" s="191"/>
    </row>
    <row r="5" spans="1:25">
      <c r="A5" s="191"/>
      <c r="B5" s="191"/>
      <c r="C5" s="191"/>
      <c r="D5" s="191"/>
      <c r="E5" s="191"/>
      <c r="F5" s="191"/>
      <c r="G5" s="191"/>
      <c r="H5" s="191"/>
      <c r="I5" s="191"/>
      <c r="J5" s="191"/>
      <c r="K5" s="191"/>
      <c r="L5" s="191"/>
      <c r="M5" s="329"/>
      <c r="N5" s="329"/>
      <c r="O5" s="191"/>
      <c r="P5" s="191"/>
      <c r="Q5" s="191"/>
      <c r="R5" s="191"/>
      <c r="S5" s="191"/>
      <c r="T5" s="191"/>
      <c r="U5" s="191"/>
      <c r="V5" s="191"/>
      <c r="W5" s="191"/>
      <c r="X5" s="191"/>
      <c r="Y5" s="191"/>
    </row>
    <row r="6" spans="1:25">
      <c r="A6" s="31"/>
      <c r="B6" s="57"/>
      <c r="C6" s="266"/>
      <c r="D6" s="191"/>
      <c r="E6" s="261"/>
      <c r="F6" s="191"/>
      <c r="G6" s="191"/>
      <c r="H6" s="191"/>
      <c r="I6" s="308"/>
      <c r="J6" s="191"/>
      <c r="K6" s="317"/>
      <c r="L6" s="191"/>
      <c r="M6" s="329"/>
      <c r="N6" s="329"/>
      <c r="O6" s="330"/>
      <c r="P6" s="191"/>
      <c r="Q6" s="191"/>
      <c r="R6" s="191"/>
      <c r="S6" s="191"/>
      <c r="T6" s="9"/>
      <c r="U6" s="191"/>
      <c r="V6" s="191"/>
      <c r="W6" s="191"/>
      <c r="X6" s="191"/>
      <c r="Y6" s="191"/>
    </row>
    <row r="7" spans="1:25">
      <c r="A7" s="31"/>
      <c r="B7" s="9"/>
      <c r="C7" s="84" t="s">
        <v>612</v>
      </c>
      <c r="D7" s="84"/>
      <c r="E7" s="84" t="s">
        <v>612</v>
      </c>
      <c r="F7" s="22"/>
      <c r="G7" s="84" t="s">
        <v>612</v>
      </c>
      <c r="H7" s="84"/>
      <c r="I7" s="84" t="s">
        <v>612</v>
      </c>
      <c r="J7" s="84"/>
      <c r="K7" s="84" t="s">
        <v>612</v>
      </c>
      <c r="L7" s="84"/>
      <c r="M7" s="84" t="s">
        <v>612</v>
      </c>
      <c r="N7" s="84"/>
      <c r="O7" s="84" t="s">
        <v>612</v>
      </c>
      <c r="P7" s="84"/>
      <c r="Q7" s="84"/>
      <c r="R7" s="22"/>
      <c r="S7" s="84" t="s">
        <v>26</v>
      </c>
      <c r="T7" s="191"/>
      <c r="U7" s="191"/>
      <c r="V7" s="191"/>
      <c r="W7" s="191"/>
      <c r="X7" s="191"/>
    </row>
    <row r="8" spans="1:25">
      <c r="A8" s="59"/>
      <c r="B8" s="12"/>
      <c r="C8" s="43" t="s">
        <v>613</v>
      </c>
      <c r="D8" s="85"/>
      <c r="E8" s="43" t="s">
        <v>613</v>
      </c>
      <c r="F8" s="23"/>
      <c r="G8" s="43" t="s">
        <v>613</v>
      </c>
      <c r="H8" s="85"/>
      <c r="I8" s="43" t="s">
        <v>613</v>
      </c>
      <c r="J8" s="85"/>
      <c r="K8" s="43" t="s">
        <v>613</v>
      </c>
      <c r="L8" s="85"/>
      <c r="M8" s="43" t="s">
        <v>613</v>
      </c>
      <c r="N8" s="85"/>
      <c r="O8" s="43" t="s">
        <v>613</v>
      </c>
      <c r="P8" s="85"/>
      <c r="Q8" s="43"/>
      <c r="R8" s="23"/>
      <c r="S8" s="43" t="s">
        <v>27</v>
      </c>
      <c r="T8" s="191"/>
      <c r="U8" s="191"/>
      <c r="V8" s="191"/>
      <c r="W8" s="191"/>
      <c r="X8" s="191"/>
    </row>
    <row r="9" spans="1:25">
      <c r="A9" s="32">
        <v>101</v>
      </c>
      <c r="B9" s="12" t="s">
        <v>610</v>
      </c>
      <c r="U9" s="191"/>
      <c r="V9" s="191"/>
      <c r="W9" s="191"/>
      <c r="X9" s="191"/>
      <c r="Y9" s="191"/>
    </row>
    <row r="10" spans="1:25">
      <c r="A10" s="32"/>
      <c r="B10" s="58" t="s">
        <v>652</v>
      </c>
      <c r="U10" s="191"/>
      <c r="V10" s="191"/>
      <c r="W10" s="191"/>
      <c r="X10" s="191"/>
      <c r="Y10" s="191"/>
    </row>
    <row r="11" spans="1:25">
      <c r="A11" s="32"/>
      <c r="B11" s="10" t="s">
        <v>455</v>
      </c>
      <c r="C11" s="24">
        <v>0</v>
      </c>
      <c r="D11" s="24"/>
      <c r="E11" s="24">
        <v>0</v>
      </c>
      <c r="F11" s="24"/>
      <c r="G11" s="24">
        <v>0</v>
      </c>
      <c r="H11" s="24"/>
      <c r="I11" s="24">
        <v>0</v>
      </c>
      <c r="J11" s="24"/>
      <c r="K11" s="24">
        <v>0</v>
      </c>
      <c r="L11" s="24"/>
      <c r="M11" s="24">
        <v>0</v>
      </c>
      <c r="N11" s="24"/>
      <c r="O11" s="24">
        <v>0</v>
      </c>
      <c r="P11" s="24"/>
      <c r="Q11" s="24"/>
      <c r="R11" s="24"/>
      <c r="S11" s="24">
        <f>SUM(C11:R11)</f>
        <v>0</v>
      </c>
      <c r="T11" s="191"/>
      <c r="U11" s="191"/>
      <c r="V11" s="191"/>
      <c r="W11" s="191"/>
      <c r="X11" s="191"/>
    </row>
    <row r="12" spans="1:25">
      <c r="A12" s="32"/>
      <c r="B12" s="10" t="s">
        <v>111</v>
      </c>
      <c r="C12" s="28">
        <v>0</v>
      </c>
      <c r="D12" s="27"/>
      <c r="E12" s="28">
        <v>0</v>
      </c>
      <c r="F12" s="27"/>
      <c r="G12" s="28">
        <v>0</v>
      </c>
      <c r="H12" s="27"/>
      <c r="I12" s="28">
        <v>0</v>
      </c>
      <c r="J12" s="27"/>
      <c r="K12" s="28">
        <v>0</v>
      </c>
      <c r="L12" s="27"/>
      <c r="M12" s="28">
        <v>0</v>
      </c>
      <c r="N12" s="27"/>
      <c r="O12" s="28">
        <v>0</v>
      </c>
      <c r="P12" s="27"/>
      <c r="Q12" s="28"/>
      <c r="R12" s="27"/>
      <c r="S12" s="28">
        <f>SUM(C12:R12)</f>
        <v>0</v>
      </c>
      <c r="T12" s="191"/>
      <c r="U12" s="191"/>
      <c r="V12" s="191"/>
      <c r="W12" s="191"/>
      <c r="X12" s="191"/>
    </row>
    <row r="13" spans="1:25">
      <c r="A13" s="32"/>
      <c r="B13" s="11"/>
      <c r="C13" s="27">
        <f>C11+C12</f>
        <v>0</v>
      </c>
      <c r="D13" s="27"/>
      <c r="E13" s="27">
        <f>E11+E12</f>
        <v>0</v>
      </c>
      <c r="F13" s="27"/>
      <c r="G13" s="27">
        <f>G11+G12</f>
        <v>0</v>
      </c>
      <c r="H13" s="27"/>
      <c r="I13" s="27">
        <f>I11+I12</f>
        <v>0</v>
      </c>
      <c r="J13" s="27"/>
      <c r="K13" s="27">
        <f>K11+K12</f>
        <v>0</v>
      </c>
      <c r="L13" s="27"/>
      <c r="M13" s="27">
        <f>M11+M12</f>
        <v>0</v>
      </c>
      <c r="N13" s="27"/>
      <c r="O13" s="27">
        <f>O11+O12</f>
        <v>0</v>
      </c>
      <c r="P13" s="27"/>
      <c r="Q13" s="27">
        <f>Q11+Q12</f>
        <v>0</v>
      </c>
      <c r="R13" s="27"/>
      <c r="S13" s="27">
        <f>S11+S12</f>
        <v>0</v>
      </c>
      <c r="T13" s="191"/>
      <c r="U13" s="191"/>
      <c r="V13" s="191"/>
      <c r="W13" s="191"/>
      <c r="X13" s="191"/>
    </row>
    <row r="14" spans="1:25">
      <c r="A14" s="32"/>
      <c r="B14" s="12"/>
      <c r="F14" s="27"/>
      <c r="H14" s="27"/>
      <c r="J14" s="27"/>
      <c r="L14" s="27"/>
      <c r="N14" s="27"/>
      <c r="P14" s="27"/>
      <c r="R14" s="27"/>
      <c r="S14" s="27"/>
      <c r="T14" s="27"/>
      <c r="U14" s="191"/>
      <c r="V14" s="191"/>
      <c r="W14" s="191"/>
      <c r="X14" s="191"/>
      <c r="Y14" s="191"/>
    </row>
    <row r="15" spans="1:25">
      <c r="A15" s="32"/>
      <c r="B15" s="58" t="s">
        <v>112</v>
      </c>
      <c r="F15" s="27"/>
      <c r="H15" s="27"/>
      <c r="J15" s="27"/>
      <c r="L15" s="27"/>
      <c r="N15" s="27"/>
      <c r="P15" s="27"/>
      <c r="R15" s="27"/>
      <c r="S15" s="27"/>
      <c r="T15" s="27"/>
      <c r="U15" s="191"/>
      <c r="V15" s="191"/>
      <c r="W15" s="191"/>
      <c r="X15" s="191"/>
      <c r="Y15" s="191"/>
    </row>
    <row r="16" spans="1:25">
      <c r="A16" s="32"/>
      <c r="B16" s="10" t="s">
        <v>113</v>
      </c>
      <c r="C16" s="27">
        <v>0</v>
      </c>
      <c r="D16" s="27"/>
      <c r="E16" s="27">
        <v>0</v>
      </c>
      <c r="F16" s="27"/>
      <c r="G16" s="27">
        <v>0</v>
      </c>
      <c r="H16" s="27"/>
      <c r="I16" s="27">
        <v>0</v>
      </c>
      <c r="J16" s="27"/>
      <c r="K16" s="27">
        <v>0</v>
      </c>
      <c r="L16" s="27"/>
      <c r="M16" s="27">
        <v>0</v>
      </c>
      <c r="N16" s="27"/>
      <c r="O16" s="27">
        <v>0</v>
      </c>
      <c r="P16" s="27"/>
      <c r="Q16" s="27"/>
      <c r="R16" s="27"/>
      <c r="S16" s="27">
        <f t="shared" ref="S16:S22" si="0">SUM(C16:R16)</f>
        <v>0</v>
      </c>
      <c r="T16" s="191"/>
      <c r="U16" s="191"/>
      <c r="V16" s="191"/>
      <c r="W16" s="191"/>
      <c r="X16" s="191"/>
    </row>
    <row r="17" spans="1:25">
      <c r="A17" s="32"/>
      <c r="B17" s="10" t="s">
        <v>114</v>
      </c>
      <c r="C17" s="27">
        <v>0</v>
      </c>
      <c r="D17" s="27"/>
      <c r="E17" s="27">
        <v>0</v>
      </c>
      <c r="F17" s="27"/>
      <c r="G17" s="27">
        <v>0</v>
      </c>
      <c r="H17" s="27"/>
      <c r="I17" s="27">
        <v>0</v>
      </c>
      <c r="J17" s="27"/>
      <c r="K17" s="27">
        <v>0</v>
      </c>
      <c r="L17" s="27"/>
      <c r="M17" s="27">
        <v>0</v>
      </c>
      <c r="N17" s="27"/>
      <c r="O17" s="27">
        <v>0</v>
      </c>
      <c r="P17" s="27"/>
      <c r="Q17" s="27"/>
      <c r="R17" s="27"/>
      <c r="S17" s="27">
        <f t="shared" si="0"/>
        <v>0</v>
      </c>
      <c r="T17" s="191"/>
      <c r="U17" s="191"/>
      <c r="V17" s="191"/>
      <c r="W17" s="191"/>
      <c r="X17" s="191"/>
    </row>
    <row r="18" spans="1:25">
      <c r="A18" s="32"/>
      <c r="B18" s="10" t="s">
        <v>115</v>
      </c>
      <c r="C18" s="27">
        <v>0</v>
      </c>
      <c r="D18" s="27"/>
      <c r="E18" s="27">
        <v>0</v>
      </c>
      <c r="F18" s="27"/>
      <c r="G18" s="27">
        <v>0</v>
      </c>
      <c r="H18" s="27"/>
      <c r="I18" s="27">
        <v>0</v>
      </c>
      <c r="J18" s="27"/>
      <c r="K18" s="27">
        <v>0</v>
      </c>
      <c r="L18" s="27"/>
      <c r="M18" s="27">
        <v>0</v>
      </c>
      <c r="N18" s="27"/>
      <c r="O18" s="27">
        <v>0</v>
      </c>
      <c r="P18" s="27"/>
      <c r="Q18" s="27"/>
      <c r="R18" s="27"/>
      <c r="S18" s="27">
        <f t="shared" si="0"/>
        <v>0</v>
      </c>
      <c r="T18" s="191"/>
      <c r="U18" s="191"/>
      <c r="V18" s="191"/>
      <c r="W18" s="191"/>
      <c r="X18" s="191"/>
    </row>
    <row r="19" spans="1:25">
      <c r="A19" s="32"/>
      <c r="B19" s="10" t="s">
        <v>116</v>
      </c>
      <c r="C19" s="27">
        <v>0</v>
      </c>
      <c r="D19" s="27"/>
      <c r="E19" s="27">
        <v>0</v>
      </c>
      <c r="F19" s="27"/>
      <c r="G19" s="27">
        <v>0</v>
      </c>
      <c r="H19" s="27"/>
      <c r="I19" s="27">
        <v>0</v>
      </c>
      <c r="J19" s="27"/>
      <c r="K19" s="27">
        <v>0</v>
      </c>
      <c r="L19" s="27"/>
      <c r="M19" s="27">
        <v>0</v>
      </c>
      <c r="N19" s="27"/>
      <c r="O19" s="27">
        <v>0</v>
      </c>
      <c r="P19" s="27"/>
      <c r="Q19" s="27"/>
      <c r="R19" s="27"/>
      <c r="S19" s="27">
        <f t="shared" si="0"/>
        <v>0</v>
      </c>
      <c r="T19" s="191"/>
      <c r="U19" s="191"/>
      <c r="V19" s="191"/>
      <c r="W19" s="191"/>
      <c r="X19" s="191"/>
    </row>
    <row r="20" spans="1:25">
      <c r="A20" s="32"/>
      <c r="B20" s="10" t="s">
        <v>117</v>
      </c>
      <c r="C20" s="27">
        <v>0</v>
      </c>
      <c r="D20" s="27"/>
      <c r="E20" s="27">
        <v>0</v>
      </c>
      <c r="F20" s="27"/>
      <c r="G20" s="27">
        <v>0</v>
      </c>
      <c r="H20" s="27"/>
      <c r="I20" s="27">
        <v>0</v>
      </c>
      <c r="J20" s="27"/>
      <c r="K20" s="27">
        <v>0</v>
      </c>
      <c r="L20" s="27"/>
      <c r="M20" s="27">
        <v>0</v>
      </c>
      <c r="N20" s="27"/>
      <c r="O20" s="27">
        <v>0</v>
      </c>
      <c r="P20" s="27"/>
      <c r="Q20" s="27"/>
      <c r="R20" s="27"/>
      <c r="S20" s="27">
        <f t="shared" si="0"/>
        <v>0</v>
      </c>
      <c r="T20" s="191"/>
      <c r="U20" s="191"/>
      <c r="V20" s="191"/>
      <c r="W20" s="191"/>
      <c r="X20" s="191"/>
    </row>
    <row r="21" spans="1:25">
      <c r="A21" s="32"/>
      <c r="B21" s="10" t="s">
        <v>118</v>
      </c>
      <c r="C21" s="27">
        <v>0</v>
      </c>
      <c r="D21" s="27"/>
      <c r="E21" s="27">
        <v>0</v>
      </c>
      <c r="F21" s="27"/>
      <c r="G21" s="27">
        <v>0</v>
      </c>
      <c r="H21" s="27"/>
      <c r="I21" s="27">
        <v>0</v>
      </c>
      <c r="J21" s="27"/>
      <c r="K21" s="27">
        <v>0</v>
      </c>
      <c r="L21" s="27"/>
      <c r="M21" s="27">
        <v>0</v>
      </c>
      <c r="N21" s="27"/>
      <c r="O21" s="27">
        <v>0</v>
      </c>
      <c r="P21" s="27"/>
      <c r="Q21" s="27"/>
      <c r="R21" s="27"/>
      <c r="S21" s="27">
        <f t="shared" si="0"/>
        <v>0</v>
      </c>
      <c r="T21" s="191"/>
      <c r="U21" s="191"/>
      <c r="V21" s="191"/>
      <c r="W21" s="191"/>
      <c r="X21" s="191"/>
    </row>
    <row r="22" spans="1:25">
      <c r="A22" s="32"/>
      <c r="B22" s="10" t="s">
        <v>119</v>
      </c>
      <c r="C22" s="28">
        <v>0</v>
      </c>
      <c r="D22" s="27"/>
      <c r="E22" s="28">
        <v>0</v>
      </c>
      <c r="F22" s="27"/>
      <c r="G22" s="28">
        <v>0</v>
      </c>
      <c r="H22" s="27"/>
      <c r="I22" s="28">
        <v>0</v>
      </c>
      <c r="J22" s="27"/>
      <c r="K22" s="28">
        <v>0</v>
      </c>
      <c r="L22" s="27"/>
      <c r="M22" s="28">
        <v>0</v>
      </c>
      <c r="N22" s="27"/>
      <c r="O22" s="28">
        <v>0</v>
      </c>
      <c r="P22" s="27"/>
      <c r="Q22" s="28"/>
      <c r="R22" s="27"/>
      <c r="S22" s="28">
        <f t="shared" si="0"/>
        <v>0</v>
      </c>
      <c r="T22" s="191"/>
      <c r="U22" s="191"/>
      <c r="V22" s="191"/>
      <c r="W22" s="191"/>
      <c r="X22" s="191"/>
    </row>
    <row r="23" spans="1:25">
      <c r="A23" s="32"/>
      <c r="B23" s="11"/>
      <c r="C23" s="27">
        <f>SUM(C16:C22)</f>
        <v>0</v>
      </c>
      <c r="D23" s="27"/>
      <c r="E23" s="27">
        <f>SUM(E16:E22)</f>
        <v>0</v>
      </c>
      <c r="F23" s="27"/>
      <c r="G23" s="27">
        <f>SUM(G16:G22)</f>
        <v>0</v>
      </c>
      <c r="H23" s="27"/>
      <c r="I23" s="27">
        <f>SUM(I16:I22)</f>
        <v>0</v>
      </c>
      <c r="J23" s="27"/>
      <c r="K23" s="27">
        <f>SUM(K16:K22)</f>
        <v>0</v>
      </c>
      <c r="L23" s="27"/>
      <c r="M23" s="27">
        <f>SUM(M16:M22)</f>
        <v>0</v>
      </c>
      <c r="N23" s="27"/>
      <c r="O23" s="27">
        <f>SUM(O16:O22)</f>
        <v>0</v>
      </c>
      <c r="P23" s="27"/>
      <c r="Q23" s="27">
        <f>SUM(Q16:Q22)</f>
        <v>0</v>
      </c>
      <c r="R23" s="27"/>
      <c r="S23" s="27">
        <f>SUM(S16:S22)</f>
        <v>0</v>
      </c>
      <c r="T23" s="191"/>
      <c r="U23" s="191"/>
      <c r="V23" s="191"/>
      <c r="W23" s="191"/>
      <c r="X23" s="191"/>
    </row>
    <row r="24" spans="1:25">
      <c r="A24" s="32"/>
      <c r="B24" s="12"/>
      <c r="F24" s="27"/>
      <c r="H24" s="27"/>
      <c r="J24" s="27"/>
      <c r="L24" s="27"/>
      <c r="N24" s="27"/>
      <c r="P24" s="27"/>
      <c r="R24" s="27"/>
      <c r="S24" s="27"/>
      <c r="T24" s="27"/>
      <c r="U24" s="191"/>
      <c r="V24" s="191"/>
      <c r="W24" s="191"/>
      <c r="X24" s="191"/>
      <c r="Y24" s="191"/>
    </row>
    <row r="25" spans="1:25">
      <c r="A25" s="32"/>
      <c r="B25" s="58" t="s">
        <v>120</v>
      </c>
      <c r="F25" s="24"/>
      <c r="H25" s="24"/>
      <c r="J25" s="24"/>
      <c r="L25" s="24"/>
      <c r="N25" s="24"/>
      <c r="P25" s="24"/>
      <c r="R25" s="24"/>
      <c r="S25" s="24"/>
      <c r="T25" s="24"/>
      <c r="U25" s="191"/>
      <c r="V25" s="191"/>
      <c r="W25" s="191"/>
      <c r="X25" s="191"/>
      <c r="Y25" s="191"/>
    </row>
    <row r="26" spans="1:25">
      <c r="A26" s="32"/>
      <c r="B26" s="10" t="s">
        <v>121</v>
      </c>
      <c r="C26" s="24">
        <v>0</v>
      </c>
      <c r="D26" s="24"/>
      <c r="E26" s="24">
        <v>0</v>
      </c>
      <c r="F26" s="24"/>
      <c r="G26" s="24">
        <v>0</v>
      </c>
      <c r="H26" s="24"/>
      <c r="I26" s="24">
        <v>0</v>
      </c>
      <c r="J26" s="24"/>
      <c r="K26" s="24">
        <v>0</v>
      </c>
      <c r="L26" s="24"/>
      <c r="M26" s="24">
        <v>0</v>
      </c>
      <c r="N26" s="24"/>
      <c r="O26" s="24">
        <v>0</v>
      </c>
      <c r="P26" s="24"/>
      <c r="Q26" s="24"/>
      <c r="R26" s="24"/>
      <c r="S26" s="24">
        <f>SUM(C26:R26)</f>
        <v>0</v>
      </c>
      <c r="T26" s="191"/>
      <c r="U26" s="191"/>
      <c r="V26" s="191"/>
      <c r="W26" s="191"/>
      <c r="X26" s="191"/>
    </row>
    <row r="27" spans="1:25">
      <c r="A27" s="32"/>
      <c r="B27" s="10" t="s">
        <v>122</v>
      </c>
      <c r="C27" s="24">
        <v>0</v>
      </c>
      <c r="D27" s="24"/>
      <c r="E27" s="24">
        <v>0</v>
      </c>
      <c r="F27" s="24"/>
      <c r="G27" s="24">
        <v>0</v>
      </c>
      <c r="H27" s="24"/>
      <c r="I27" s="24">
        <v>0</v>
      </c>
      <c r="J27" s="24"/>
      <c r="K27" s="24">
        <v>0</v>
      </c>
      <c r="L27" s="24"/>
      <c r="M27" s="24">
        <v>0</v>
      </c>
      <c r="N27" s="24"/>
      <c r="O27" s="24">
        <v>0</v>
      </c>
      <c r="P27" s="24"/>
      <c r="Q27" s="24"/>
      <c r="R27" s="24"/>
      <c r="S27" s="24">
        <f>SUM(C27:R27)</f>
        <v>0</v>
      </c>
      <c r="T27" s="191"/>
      <c r="U27" s="191"/>
      <c r="V27" s="191"/>
      <c r="W27" s="191"/>
      <c r="X27" s="191"/>
    </row>
    <row r="28" spans="1:25">
      <c r="A28" s="32"/>
      <c r="B28" s="10" t="s">
        <v>123</v>
      </c>
      <c r="C28" s="24">
        <v>0</v>
      </c>
      <c r="D28" s="24"/>
      <c r="E28" s="24">
        <v>0</v>
      </c>
      <c r="F28" s="24"/>
      <c r="G28" s="24">
        <v>0</v>
      </c>
      <c r="H28" s="24"/>
      <c r="I28" s="24">
        <v>0</v>
      </c>
      <c r="J28" s="24"/>
      <c r="K28" s="24">
        <v>0</v>
      </c>
      <c r="L28" s="24"/>
      <c r="M28" s="24">
        <v>0</v>
      </c>
      <c r="N28" s="24"/>
      <c r="O28" s="24">
        <v>0</v>
      </c>
      <c r="P28" s="24"/>
      <c r="Q28" s="24"/>
      <c r="R28" s="24"/>
      <c r="S28" s="24">
        <f>SUM(C28:R28)</f>
        <v>0</v>
      </c>
      <c r="T28" s="191"/>
      <c r="U28" s="191"/>
      <c r="V28" s="191"/>
      <c r="W28" s="191"/>
      <c r="X28" s="191"/>
    </row>
    <row r="29" spans="1:25">
      <c r="A29" s="32"/>
      <c r="B29" s="10" t="s">
        <v>124</v>
      </c>
      <c r="C29" s="24">
        <v>0</v>
      </c>
      <c r="D29" s="24"/>
      <c r="E29" s="24">
        <v>0</v>
      </c>
      <c r="F29" s="24"/>
      <c r="G29" s="24">
        <v>0</v>
      </c>
      <c r="H29" s="24"/>
      <c r="I29" s="24">
        <v>0</v>
      </c>
      <c r="J29" s="24"/>
      <c r="K29" s="24">
        <v>0</v>
      </c>
      <c r="L29" s="24"/>
      <c r="M29" s="24">
        <v>0</v>
      </c>
      <c r="N29" s="24"/>
      <c r="O29" s="24">
        <v>0</v>
      </c>
      <c r="P29" s="24"/>
      <c r="Q29" s="24"/>
      <c r="R29" s="24"/>
      <c r="S29" s="24">
        <f>SUM(C29:R29)</f>
        <v>0</v>
      </c>
      <c r="T29" s="191"/>
      <c r="U29" s="191"/>
      <c r="V29" s="191"/>
      <c r="W29" s="191"/>
      <c r="X29" s="191"/>
    </row>
    <row r="30" spans="1:25">
      <c r="A30" s="32"/>
      <c r="B30" s="10" t="s">
        <v>125</v>
      </c>
      <c r="C30" s="28">
        <v>0</v>
      </c>
      <c r="D30" s="27"/>
      <c r="E30" s="28">
        <v>0</v>
      </c>
      <c r="F30" s="24"/>
      <c r="G30" s="28">
        <v>0</v>
      </c>
      <c r="H30" s="27"/>
      <c r="I30" s="28">
        <v>0</v>
      </c>
      <c r="J30" s="27"/>
      <c r="K30" s="28">
        <v>0</v>
      </c>
      <c r="L30" s="27"/>
      <c r="M30" s="28">
        <v>0</v>
      </c>
      <c r="N30" s="27"/>
      <c r="O30" s="28">
        <v>0</v>
      </c>
      <c r="P30" s="27"/>
      <c r="Q30" s="28"/>
      <c r="R30" s="24"/>
      <c r="S30" s="28">
        <f>SUM(C30:R30)</f>
        <v>0</v>
      </c>
      <c r="T30" s="191"/>
      <c r="U30" s="191"/>
      <c r="V30" s="191"/>
      <c r="W30" s="191"/>
      <c r="X30" s="191"/>
    </row>
    <row r="31" spans="1:25">
      <c r="A31" s="32"/>
      <c r="B31" s="11"/>
      <c r="C31" s="27">
        <f>SUM(C26:C30)</f>
        <v>0</v>
      </c>
      <c r="D31" s="27"/>
      <c r="E31" s="27">
        <f>SUM(E26:E30)</f>
        <v>0</v>
      </c>
      <c r="F31" s="27"/>
      <c r="G31" s="27">
        <f>SUM(G26:G30)</f>
        <v>0</v>
      </c>
      <c r="H31" s="27"/>
      <c r="I31" s="27">
        <f>SUM(I26:I30)</f>
        <v>0</v>
      </c>
      <c r="J31" s="27"/>
      <c r="K31" s="27">
        <f>SUM(K26:K30)</f>
        <v>0</v>
      </c>
      <c r="L31" s="27"/>
      <c r="M31" s="27">
        <f>SUM(M26:M30)</f>
        <v>0</v>
      </c>
      <c r="N31" s="27"/>
      <c r="O31" s="27">
        <f>SUM(O26:O30)</f>
        <v>0</v>
      </c>
      <c r="P31" s="27"/>
      <c r="Q31" s="27">
        <f>SUM(Q26:Q30)</f>
        <v>0</v>
      </c>
      <c r="R31" s="27"/>
      <c r="S31" s="27">
        <f>SUM(S26:S30)</f>
        <v>0</v>
      </c>
      <c r="T31" s="191"/>
      <c r="U31" s="191"/>
      <c r="V31" s="191"/>
      <c r="W31" s="191"/>
      <c r="X31" s="191"/>
    </row>
    <row r="32" spans="1:25">
      <c r="A32" s="32"/>
      <c r="C32" s="24"/>
      <c r="D32" s="24"/>
      <c r="E32" s="24"/>
      <c r="F32" s="24"/>
      <c r="G32" s="24"/>
      <c r="H32" s="24"/>
      <c r="I32" s="24"/>
      <c r="J32" s="24"/>
      <c r="K32" s="24"/>
      <c r="L32" s="24"/>
      <c r="M32" s="24"/>
      <c r="N32" s="24"/>
      <c r="O32" s="24"/>
      <c r="P32" s="24"/>
      <c r="Q32" s="24"/>
      <c r="R32" s="24"/>
      <c r="S32" s="24"/>
      <c r="T32" s="191"/>
      <c r="U32" s="191"/>
      <c r="V32" s="191"/>
      <c r="W32" s="191"/>
      <c r="X32" s="191"/>
    </row>
    <row r="33" spans="1:25">
      <c r="A33" s="32"/>
      <c r="B33" s="12" t="s">
        <v>126</v>
      </c>
      <c r="C33" s="25">
        <f>C13+C23+C31</f>
        <v>0</v>
      </c>
      <c r="D33" s="27"/>
      <c r="E33" s="25">
        <f>E13+E23+E31</f>
        <v>0</v>
      </c>
      <c r="F33" s="24"/>
      <c r="G33" s="25">
        <f>G13+G23+G31</f>
        <v>0</v>
      </c>
      <c r="H33" s="27"/>
      <c r="I33" s="25">
        <f>I13+I23+I31</f>
        <v>0</v>
      </c>
      <c r="J33" s="27"/>
      <c r="K33" s="25">
        <f>K13+K23+K31</f>
        <v>0</v>
      </c>
      <c r="L33" s="27"/>
      <c r="M33" s="25">
        <f>M13+M23+M31</f>
        <v>0</v>
      </c>
      <c r="N33" s="27"/>
      <c r="O33" s="25">
        <f>O13+O23+O31</f>
        <v>0</v>
      </c>
      <c r="P33" s="27"/>
      <c r="Q33" s="25">
        <f>Q13+Q23+Q31</f>
        <v>0</v>
      </c>
      <c r="R33" s="24"/>
      <c r="S33" s="25">
        <f>S13+S23+S31</f>
        <v>0</v>
      </c>
      <c r="T33" s="191"/>
      <c r="U33" s="191"/>
      <c r="V33" s="191"/>
      <c r="W33" s="191"/>
      <c r="X33" s="191"/>
    </row>
    <row r="34" spans="1:25">
      <c r="A34" s="32"/>
      <c r="B34" s="58"/>
      <c r="C34" s="12"/>
      <c r="D34" s="12"/>
      <c r="E34" s="12"/>
      <c r="F34" s="27"/>
      <c r="G34" s="12"/>
      <c r="H34" s="24"/>
      <c r="I34" s="12"/>
      <c r="J34" s="24"/>
      <c r="K34" s="12"/>
      <c r="L34" s="24"/>
      <c r="M34" s="12"/>
      <c r="N34" s="24"/>
      <c r="O34" s="12"/>
      <c r="P34" s="24"/>
      <c r="Q34" s="12"/>
      <c r="R34" s="27"/>
      <c r="S34" s="24"/>
      <c r="T34" s="27"/>
      <c r="U34" s="191"/>
      <c r="V34" s="191"/>
      <c r="W34" s="191"/>
      <c r="X34" s="191"/>
      <c r="Y34" s="191"/>
    </row>
    <row r="35" spans="1:25">
      <c r="A35" s="32"/>
      <c r="B35" s="58"/>
      <c r="F35" s="24"/>
      <c r="H35" s="24"/>
      <c r="J35" s="24"/>
      <c r="L35" s="24"/>
      <c r="N35" s="24"/>
      <c r="P35" s="24"/>
      <c r="R35" s="24"/>
      <c r="S35" s="24"/>
      <c r="T35" s="24"/>
      <c r="U35" s="191"/>
      <c r="V35" s="191"/>
      <c r="W35" s="191"/>
      <c r="X35" s="191"/>
      <c r="Y35" s="191"/>
    </row>
    <row r="36" spans="1:25">
      <c r="A36" s="32">
        <v>102</v>
      </c>
      <c r="B36" s="12" t="s">
        <v>1108</v>
      </c>
      <c r="F36" s="24"/>
      <c r="H36" s="24"/>
      <c r="J36" s="24"/>
      <c r="L36" s="24"/>
      <c r="N36" s="24"/>
      <c r="P36" s="24"/>
      <c r="R36" s="24"/>
      <c r="S36" s="24"/>
      <c r="T36" s="24"/>
      <c r="U36" s="191"/>
      <c r="V36" s="191"/>
      <c r="W36" s="191"/>
      <c r="X36" s="191"/>
      <c r="Y36" s="191"/>
    </row>
    <row r="37" spans="1:25">
      <c r="A37" s="32"/>
      <c r="B37" s="12" t="s">
        <v>112</v>
      </c>
      <c r="F37" s="24"/>
      <c r="H37" s="24"/>
      <c r="J37" s="24"/>
      <c r="L37" s="24"/>
      <c r="N37" s="24"/>
      <c r="P37" s="24"/>
      <c r="R37" s="24"/>
      <c r="S37" s="24"/>
      <c r="T37" s="24"/>
      <c r="U37" s="191"/>
      <c r="V37" s="191"/>
      <c r="W37" s="191"/>
      <c r="X37" s="191"/>
      <c r="Y37" s="191"/>
    </row>
    <row r="38" spans="1:25">
      <c r="A38" s="32"/>
      <c r="B38" s="10" t="s">
        <v>118</v>
      </c>
      <c r="C38" s="28"/>
      <c r="D38" s="27"/>
      <c r="E38" s="28"/>
      <c r="F38" s="24"/>
      <c r="G38" s="28"/>
      <c r="H38" s="27"/>
      <c r="I38" s="28"/>
      <c r="J38" s="27"/>
      <c r="K38" s="28"/>
      <c r="L38" s="27"/>
      <c r="M38" s="28"/>
      <c r="N38" s="27"/>
      <c r="O38" s="28"/>
      <c r="P38" s="27"/>
      <c r="Q38" s="28"/>
      <c r="R38" s="24"/>
      <c r="S38" s="28">
        <f>SUM(C38:R38)</f>
        <v>0</v>
      </c>
      <c r="T38" s="191"/>
      <c r="U38" s="191"/>
      <c r="V38" s="191"/>
      <c r="W38" s="191"/>
      <c r="X38" s="191"/>
    </row>
    <row r="39" spans="1:25">
      <c r="A39" s="32"/>
      <c r="B39" s="11"/>
      <c r="C39" s="27">
        <f>SUM(C38)</f>
        <v>0</v>
      </c>
      <c r="D39" s="27"/>
      <c r="E39" s="27">
        <f>SUM(E38)</f>
        <v>0</v>
      </c>
      <c r="F39" s="27"/>
      <c r="G39" s="27">
        <f>SUM(G38)</f>
        <v>0</v>
      </c>
      <c r="H39" s="27"/>
      <c r="I39" s="27">
        <f>SUM(I38)</f>
        <v>0</v>
      </c>
      <c r="J39" s="27"/>
      <c r="K39" s="27">
        <f>SUM(K38)</f>
        <v>0</v>
      </c>
      <c r="L39" s="27"/>
      <c r="M39" s="27">
        <f>SUM(M38)</f>
        <v>0</v>
      </c>
      <c r="N39" s="27"/>
      <c r="O39" s="27">
        <f>SUM(O38)</f>
        <v>0</v>
      </c>
      <c r="P39" s="27"/>
      <c r="Q39" s="27">
        <f>SUM(Q38)</f>
        <v>0</v>
      </c>
      <c r="R39" s="27"/>
      <c r="S39" s="27">
        <f>SUM(S38)</f>
        <v>0</v>
      </c>
      <c r="T39" s="191"/>
      <c r="U39" s="191"/>
      <c r="V39" s="191"/>
      <c r="W39" s="191"/>
      <c r="X39" s="191"/>
    </row>
    <row r="40" spans="1:25">
      <c r="A40" s="32"/>
      <c r="C40" s="24"/>
      <c r="D40" s="24"/>
      <c r="E40" s="24"/>
      <c r="F40" s="24"/>
      <c r="G40" s="24"/>
      <c r="H40" s="24"/>
      <c r="I40" s="24"/>
      <c r="J40" s="24"/>
      <c r="K40" s="24"/>
      <c r="L40" s="24"/>
      <c r="M40" s="24"/>
      <c r="N40" s="24"/>
      <c r="O40" s="24"/>
      <c r="P40" s="24"/>
      <c r="Q40" s="24"/>
      <c r="R40" s="24"/>
      <c r="S40" s="24"/>
      <c r="T40" s="191"/>
      <c r="U40" s="191"/>
      <c r="V40" s="191"/>
      <c r="W40" s="191"/>
      <c r="X40" s="191"/>
    </row>
    <row r="41" spans="1:25">
      <c r="A41" s="32"/>
      <c r="B41" s="12" t="s">
        <v>127</v>
      </c>
      <c r="C41" s="25">
        <f>C39</f>
        <v>0</v>
      </c>
      <c r="D41" s="27"/>
      <c r="E41" s="25">
        <f>E39</f>
        <v>0</v>
      </c>
      <c r="F41" s="24"/>
      <c r="G41" s="25">
        <f>G39</f>
        <v>0</v>
      </c>
      <c r="H41" s="27"/>
      <c r="I41" s="25">
        <f>I39</f>
        <v>0</v>
      </c>
      <c r="J41" s="27"/>
      <c r="K41" s="25">
        <f>K39</f>
        <v>0</v>
      </c>
      <c r="L41" s="27"/>
      <c r="M41" s="25">
        <f>M39</f>
        <v>0</v>
      </c>
      <c r="N41" s="27"/>
      <c r="O41" s="25">
        <f>O39</f>
        <v>0</v>
      </c>
      <c r="P41" s="27"/>
      <c r="Q41" s="25">
        <f>Q39</f>
        <v>0</v>
      </c>
      <c r="R41" s="24"/>
      <c r="S41" s="25">
        <f>S39</f>
        <v>0</v>
      </c>
      <c r="T41" s="191"/>
      <c r="U41" s="191"/>
      <c r="V41" s="191"/>
      <c r="W41" s="191"/>
      <c r="X41" s="191"/>
    </row>
    <row r="42" spans="1:25">
      <c r="A42" s="32"/>
      <c r="C42" s="24"/>
      <c r="D42" s="24"/>
      <c r="E42" s="24"/>
      <c r="F42" s="24"/>
      <c r="G42" s="24"/>
      <c r="H42" s="24"/>
      <c r="I42" s="24"/>
      <c r="J42" s="24"/>
      <c r="K42" s="24"/>
      <c r="L42" s="24"/>
      <c r="M42" s="24"/>
      <c r="N42" s="24"/>
      <c r="O42" s="24"/>
      <c r="P42" s="24"/>
      <c r="Q42" s="24"/>
      <c r="R42" s="24"/>
      <c r="S42" s="24"/>
      <c r="T42" s="191"/>
      <c r="U42" s="191"/>
      <c r="V42" s="191"/>
      <c r="W42" s="191"/>
      <c r="X42" s="191"/>
    </row>
    <row r="43" spans="1:25">
      <c r="A43" s="32"/>
      <c r="B43" s="58"/>
      <c r="F43" s="24"/>
      <c r="H43" s="24"/>
      <c r="J43" s="24"/>
      <c r="L43" s="24"/>
      <c r="N43" s="24"/>
      <c r="P43" s="24"/>
      <c r="R43" s="24"/>
      <c r="S43" s="24"/>
      <c r="T43" s="24"/>
      <c r="U43" s="191"/>
      <c r="V43" s="191"/>
      <c r="W43" s="191"/>
      <c r="X43" s="191"/>
      <c r="Y43" s="191"/>
    </row>
    <row r="44" spans="1:25">
      <c r="A44" s="32">
        <v>105</v>
      </c>
      <c r="B44" s="12" t="s">
        <v>611</v>
      </c>
      <c r="F44" s="24"/>
      <c r="H44" s="24"/>
      <c r="J44" s="24"/>
      <c r="L44" s="24"/>
      <c r="N44" s="24"/>
      <c r="P44" s="24"/>
      <c r="R44" s="24"/>
      <c r="S44" s="24"/>
      <c r="T44" s="24"/>
      <c r="U44" s="191"/>
      <c r="V44" s="191"/>
      <c r="W44" s="191"/>
      <c r="X44" s="191"/>
      <c r="Y44" s="191"/>
    </row>
    <row r="45" spans="1:25">
      <c r="A45" s="32"/>
      <c r="B45" s="58" t="s">
        <v>112</v>
      </c>
      <c r="F45" s="24"/>
      <c r="H45" s="24"/>
      <c r="J45" s="24"/>
      <c r="L45" s="24"/>
      <c r="N45" s="24"/>
      <c r="P45" s="24"/>
      <c r="R45" s="24"/>
      <c r="S45" s="24"/>
      <c r="T45" s="24"/>
      <c r="U45" s="191"/>
      <c r="V45" s="191"/>
      <c r="W45" s="191"/>
      <c r="X45" s="191"/>
      <c r="Y45" s="191"/>
    </row>
    <row r="46" spans="1:25">
      <c r="A46" s="32"/>
      <c r="B46" s="10" t="s">
        <v>113</v>
      </c>
      <c r="C46" s="24"/>
      <c r="D46" s="24"/>
      <c r="E46" s="24"/>
      <c r="F46" s="24"/>
      <c r="G46" s="24"/>
      <c r="H46" s="24"/>
      <c r="I46" s="24"/>
      <c r="J46" s="24"/>
      <c r="K46" s="24"/>
      <c r="L46" s="24"/>
      <c r="M46" s="24"/>
      <c r="N46" s="24"/>
      <c r="O46" s="24"/>
      <c r="P46" s="24"/>
      <c r="Q46" s="24"/>
      <c r="R46" s="24"/>
      <c r="S46" s="27">
        <f>SUM(C46:R46)</f>
        <v>0</v>
      </c>
      <c r="T46" s="191"/>
      <c r="U46" s="191"/>
      <c r="V46" s="191"/>
      <c r="W46" s="191"/>
      <c r="X46" s="191"/>
    </row>
    <row r="47" spans="1:25">
      <c r="A47" s="32"/>
      <c r="B47" s="10" t="s">
        <v>118</v>
      </c>
      <c r="C47" s="28">
        <v>0</v>
      </c>
      <c r="D47" s="27"/>
      <c r="E47" s="28">
        <v>0</v>
      </c>
      <c r="F47" s="27"/>
      <c r="G47" s="28">
        <v>0</v>
      </c>
      <c r="H47" s="27"/>
      <c r="I47" s="28">
        <v>0</v>
      </c>
      <c r="J47" s="27"/>
      <c r="K47" s="28">
        <v>0</v>
      </c>
      <c r="L47" s="27"/>
      <c r="M47" s="28">
        <v>0</v>
      </c>
      <c r="N47" s="27"/>
      <c r="O47" s="28">
        <v>0</v>
      </c>
      <c r="P47" s="27"/>
      <c r="Q47" s="28"/>
      <c r="R47" s="27"/>
      <c r="S47" s="28">
        <f>SUM(C47:R47)</f>
        <v>0</v>
      </c>
      <c r="T47" s="191"/>
      <c r="U47" s="191"/>
      <c r="V47" s="191"/>
      <c r="W47" s="191"/>
      <c r="X47" s="191"/>
    </row>
    <row r="48" spans="1:25">
      <c r="A48" s="32"/>
      <c r="B48" s="11"/>
      <c r="C48" s="27">
        <f>SUM(C46:C47)</f>
        <v>0</v>
      </c>
      <c r="D48" s="27"/>
      <c r="E48" s="27">
        <f>SUM(E46:E47)</f>
        <v>0</v>
      </c>
      <c r="F48" s="27"/>
      <c r="G48" s="27">
        <f>SUM(G46:G47)</f>
        <v>0</v>
      </c>
      <c r="H48" s="27"/>
      <c r="I48" s="27">
        <f>SUM(I46:I47)</f>
        <v>0</v>
      </c>
      <c r="J48" s="27"/>
      <c r="K48" s="27">
        <f>SUM(K46:K47)</f>
        <v>0</v>
      </c>
      <c r="L48" s="27"/>
      <c r="M48" s="27">
        <f>SUM(M46:M47)</f>
        <v>0</v>
      </c>
      <c r="N48" s="27"/>
      <c r="O48" s="27">
        <f>SUM(O46:O47)</f>
        <v>0</v>
      </c>
      <c r="P48" s="27"/>
      <c r="Q48" s="27">
        <f>SUM(Q46:Q47)</f>
        <v>0</v>
      </c>
      <c r="R48" s="27"/>
      <c r="S48" s="27">
        <f>SUM(S46:S47)</f>
        <v>0</v>
      </c>
      <c r="T48" s="191"/>
      <c r="U48" s="191"/>
      <c r="V48" s="191"/>
      <c r="W48" s="191"/>
      <c r="X48" s="191"/>
    </row>
    <row r="49" spans="1:25">
      <c r="A49" s="32"/>
      <c r="C49" s="24"/>
      <c r="D49" s="24"/>
      <c r="E49" s="24"/>
      <c r="F49" s="24"/>
      <c r="G49" s="24"/>
      <c r="H49" s="24"/>
      <c r="I49" s="24"/>
      <c r="J49" s="24"/>
      <c r="K49" s="24"/>
      <c r="L49" s="24"/>
      <c r="M49" s="24"/>
      <c r="N49" s="24"/>
      <c r="O49" s="24"/>
      <c r="P49" s="24"/>
      <c r="Q49" s="24"/>
      <c r="R49" s="24"/>
      <c r="S49" s="24"/>
      <c r="T49" s="191"/>
      <c r="U49" s="191"/>
      <c r="V49" s="191"/>
      <c r="W49" s="191"/>
      <c r="X49" s="191"/>
    </row>
    <row r="50" spans="1:25">
      <c r="A50" s="32"/>
      <c r="B50" s="12" t="s">
        <v>128</v>
      </c>
      <c r="C50" s="25">
        <f>C48</f>
        <v>0</v>
      </c>
      <c r="D50" s="27"/>
      <c r="E50" s="25">
        <f>E48</f>
        <v>0</v>
      </c>
      <c r="F50" s="24"/>
      <c r="G50" s="25">
        <f>G48</f>
        <v>0</v>
      </c>
      <c r="H50" s="27"/>
      <c r="I50" s="25">
        <f>I48</f>
        <v>0</v>
      </c>
      <c r="J50" s="27"/>
      <c r="K50" s="25">
        <f>K48</f>
        <v>0</v>
      </c>
      <c r="L50" s="27"/>
      <c r="M50" s="25">
        <f>M48</f>
        <v>0</v>
      </c>
      <c r="N50" s="27"/>
      <c r="O50" s="25">
        <f>O48</f>
        <v>0</v>
      </c>
      <c r="P50" s="27"/>
      <c r="Q50" s="25">
        <f>Q48</f>
        <v>0</v>
      </c>
      <c r="R50" s="24"/>
      <c r="S50" s="25">
        <f>S48</f>
        <v>0</v>
      </c>
      <c r="T50" s="191"/>
      <c r="U50" s="191"/>
      <c r="V50" s="191"/>
      <c r="W50" s="191"/>
      <c r="X50" s="191"/>
    </row>
    <row r="51" spans="1:25">
      <c r="A51" s="32"/>
      <c r="B51" s="58"/>
      <c r="F51" s="24"/>
      <c r="H51" s="24"/>
      <c r="J51" s="24"/>
      <c r="L51" s="24"/>
      <c r="N51" s="24"/>
      <c r="P51" s="24"/>
      <c r="R51" s="24"/>
      <c r="S51" s="24"/>
      <c r="T51" s="24"/>
      <c r="U51" s="191"/>
      <c r="V51" s="191"/>
      <c r="W51" s="191"/>
      <c r="X51" s="191"/>
      <c r="Y51" s="191"/>
    </row>
    <row r="52" spans="1:25">
      <c r="A52" s="32"/>
      <c r="B52" s="58"/>
      <c r="F52" s="24"/>
      <c r="H52" s="24"/>
      <c r="J52" s="24"/>
      <c r="L52" s="24"/>
      <c r="N52" s="24"/>
      <c r="P52" s="24"/>
      <c r="R52" s="24"/>
      <c r="S52" s="24"/>
      <c r="T52" s="24"/>
      <c r="U52" s="191"/>
      <c r="V52" s="191"/>
      <c r="W52" s="191"/>
      <c r="X52" s="191"/>
      <c r="Y52" s="191"/>
    </row>
    <row r="53" spans="1:25">
      <c r="A53" s="32"/>
      <c r="B53" s="58"/>
      <c r="F53" s="24"/>
      <c r="H53" s="24"/>
      <c r="J53" s="24"/>
      <c r="L53" s="24"/>
      <c r="N53" s="24"/>
      <c r="P53" s="24"/>
      <c r="R53" s="24"/>
      <c r="S53" s="24"/>
      <c r="T53" s="24"/>
      <c r="U53" s="191"/>
      <c r="V53" s="191"/>
      <c r="W53" s="191"/>
      <c r="X53" s="191"/>
      <c r="Y53" s="191"/>
    </row>
    <row r="54" spans="1:25">
      <c r="A54" s="32">
        <v>106</v>
      </c>
      <c r="B54" s="58"/>
      <c r="F54" s="24"/>
      <c r="H54" s="24"/>
      <c r="J54" s="24"/>
      <c r="L54" s="24"/>
      <c r="N54" s="24"/>
      <c r="P54" s="24"/>
      <c r="R54" s="24"/>
      <c r="S54" s="24"/>
      <c r="T54" s="24"/>
      <c r="U54" s="191"/>
      <c r="V54" s="191"/>
      <c r="W54" s="191"/>
      <c r="X54" s="191"/>
      <c r="Y54" s="191"/>
    </row>
    <row r="55" spans="1:25">
      <c r="A55" s="32"/>
      <c r="B55" s="12" t="s">
        <v>450</v>
      </c>
      <c r="F55" s="24"/>
      <c r="H55" s="24"/>
      <c r="J55" s="24"/>
      <c r="L55" s="24"/>
      <c r="N55" s="24"/>
      <c r="P55" s="24"/>
      <c r="R55" s="24"/>
      <c r="S55" s="24"/>
      <c r="T55" s="24"/>
      <c r="U55" s="191"/>
      <c r="V55" s="191"/>
      <c r="W55" s="191"/>
      <c r="X55" s="191"/>
      <c r="Y55" s="191"/>
    </row>
    <row r="56" spans="1:25">
      <c r="A56" s="32"/>
      <c r="B56" s="58" t="s">
        <v>652</v>
      </c>
      <c r="F56" s="24"/>
      <c r="H56" s="24"/>
      <c r="J56" s="24"/>
      <c r="L56" s="24"/>
      <c r="N56" s="24"/>
      <c r="P56" s="24"/>
      <c r="R56" s="24"/>
      <c r="S56" s="24"/>
      <c r="T56" s="24"/>
      <c r="U56" s="191"/>
      <c r="V56" s="191"/>
      <c r="W56" s="191"/>
      <c r="X56" s="191"/>
      <c r="Y56" s="191"/>
    </row>
    <row r="57" spans="1:25">
      <c r="A57" s="32"/>
      <c r="B57" s="10" t="s">
        <v>455</v>
      </c>
      <c r="C57" s="24"/>
      <c r="D57" s="24"/>
      <c r="E57" s="24"/>
      <c r="F57" s="24"/>
      <c r="G57" s="24"/>
      <c r="H57" s="24"/>
      <c r="I57" s="24"/>
      <c r="J57" s="24"/>
      <c r="K57" s="24"/>
      <c r="L57" s="24"/>
      <c r="M57" s="24"/>
      <c r="N57" s="24"/>
      <c r="O57" s="24"/>
      <c r="P57" s="24"/>
      <c r="Q57" s="24"/>
      <c r="R57" s="24"/>
      <c r="S57" s="24">
        <f>SUM(C57:R57)</f>
        <v>0</v>
      </c>
      <c r="T57" s="191"/>
      <c r="U57" s="191"/>
      <c r="V57" s="191"/>
      <c r="W57" s="191"/>
      <c r="X57" s="191"/>
    </row>
    <row r="58" spans="1:25">
      <c r="A58" s="32"/>
      <c r="B58" s="10" t="s">
        <v>111</v>
      </c>
      <c r="C58" s="28"/>
      <c r="D58" s="27"/>
      <c r="E58" s="28"/>
      <c r="F58" s="27"/>
      <c r="G58" s="28"/>
      <c r="H58" s="27"/>
      <c r="I58" s="28"/>
      <c r="J58" s="27"/>
      <c r="K58" s="28"/>
      <c r="L58" s="27"/>
      <c r="M58" s="28"/>
      <c r="N58" s="27"/>
      <c r="O58" s="28"/>
      <c r="P58" s="27"/>
      <c r="Q58" s="28"/>
      <c r="R58" s="27"/>
      <c r="S58" s="28">
        <f>SUM(C58:R58)</f>
        <v>0</v>
      </c>
      <c r="T58" s="191"/>
      <c r="U58" s="191"/>
      <c r="V58" s="191"/>
      <c r="W58" s="191"/>
      <c r="X58" s="191"/>
    </row>
    <row r="59" spans="1:25">
      <c r="C59" s="27">
        <f>C57+C58</f>
        <v>0</v>
      </c>
      <c r="D59" s="27"/>
      <c r="E59" s="27">
        <f>E57+E58</f>
        <v>0</v>
      </c>
      <c r="F59" s="27"/>
      <c r="G59" s="27">
        <f>G57+G58</f>
        <v>0</v>
      </c>
      <c r="H59" s="27"/>
      <c r="I59" s="27">
        <f>I57+I58</f>
        <v>0</v>
      </c>
      <c r="J59" s="27"/>
      <c r="K59" s="27">
        <f>K57+K58</f>
        <v>0</v>
      </c>
      <c r="L59" s="27"/>
      <c r="M59" s="27">
        <f>M57+M58</f>
        <v>0</v>
      </c>
      <c r="N59" s="27"/>
      <c r="O59" s="27">
        <f>O57+O58</f>
        <v>0</v>
      </c>
      <c r="P59" s="27"/>
      <c r="Q59" s="27">
        <f>Q57+Q58</f>
        <v>0</v>
      </c>
      <c r="R59" s="27"/>
      <c r="S59" s="27">
        <f>S57+S58</f>
        <v>0</v>
      </c>
      <c r="T59" s="191"/>
      <c r="U59" s="191"/>
      <c r="V59" s="191"/>
      <c r="W59" s="191"/>
      <c r="X59" s="191"/>
    </row>
    <row r="60" spans="1:25">
      <c r="A60" s="32"/>
      <c r="B60" s="11"/>
      <c r="F60" s="27"/>
      <c r="H60" s="27"/>
      <c r="J60" s="27"/>
      <c r="L60" s="27"/>
      <c r="N60" s="27"/>
      <c r="P60" s="27"/>
      <c r="R60" s="27"/>
      <c r="S60" s="27"/>
      <c r="T60" s="27"/>
      <c r="U60" s="191"/>
      <c r="V60" s="191"/>
      <c r="W60" s="191"/>
      <c r="X60" s="191"/>
      <c r="Y60" s="191"/>
    </row>
    <row r="61" spans="1:25">
      <c r="A61" s="32"/>
      <c r="B61" s="12"/>
      <c r="F61" s="27"/>
      <c r="H61" s="27"/>
      <c r="J61" s="27"/>
      <c r="L61" s="27"/>
      <c r="N61" s="27"/>
      <c r="P61" s="27"/>
      <c r="R61" s="27"/>
      <c r="S61" s="27"/>
      <c r="T61" s="27"/>
      <c r="U61" s="191"/>
      <c r="V61" s="191"/>
      <c r="W61" s="191"/>
      <c r="X61" s="191"/>
      <c r="Y61" s="191"/>
    </row>
    <row r="62" spans="1:25">
      <c r="A62" s="32"/>
      <c r="B62" s="58" t="s">
        <v>112</v>
      </c>
      <c r="T62" s="191"/>
      <c r="U62" s="191"/>
      <c r="V62" s="191"/>
      <c r="W62" s="191"/>
      <c r="X62" s="191"/>
    </row>
    <row r="63" spans="1:25">
      <c r="A63" s="32"/>
      <c r="B63" s="10" t="s">
        <v>113</v>
      </c>
      <c r="C63" s="27"/>
      <c r="D63" s="27"/>
      <c r="E63" s="27"/>
      <c r="F63" s="27"/>
      <c r="G63" s="27"/>
      <c r="H63" s="27"/>
      <c r="I63" s="27"/>
      <c r="J63" s="27"/>
      <c r="K63" s="27"/>
      <c r="L63" s="27"/>
      <c r="M63" s="27"/>
      <c r="N63" s="27"/>
      <c r="O63" s="27"/>
      <c r="P63" s="27"/>
      <c r="Q63" s="27"/>
      <c r="R63" s="27"/>
      <c r="S63" s="27">
        <f t="shared" ref="S63:S69" si="1">SUM(C63:R63)</f>
        <v>0</v>
      </c>
      <c r="T63" s="191"/>
      <c r="U63" s="191"/>
      <c r="V63" s="191"/>
      <c r="W63" s="191"/>
      <c r="X63" s="191"/>
    </row>
    <row r="64" spans="1:25">
      <c r="A64" s="32"/>
      <c r="B64" s="10" t="s">
        <v>114</v>
      </c>
      <c r="C64" s="27"/>
      <c r="D64" s="27"/>
      <c r="E64" s="27"/>
      <c r="F64" s="27"/>
      <c r="G64" s="27"/>
      <c r="H64" s="27"/>
      <c r="I64" s="27"/>
      <c r="J64" s="27"/>
      <c r="K64" s="27"/>
      <c r="L64" s="27"/>
      <c r="M64" s="27"/>
      <c r="N64" s="27"/>
      <c r="O64" s="27"/>
      <c r="P64" s="27"/>
      <c r="Q64" s="27"/>
      <c r="R64" s="27"/>
      <c r="S64" s="27">
        <f t="shared" si="1"/>
        <v>0</v>
      </c>
      <c r="T64" s="191"/>
      <c r="U64" s="191"/>
      <c r="V64" s="191"/>
      <c r="W64" s="191"/>
      <c r="X64" s="191"/>
    </row>
    <row r="65" spans="1:25">
      <c r="A65" s="32"/>
      <c r="B65" s="10" t="s">
        <v>115</v>
      </c>
      <c r="C65" s="27"/>
      <c r="D65" s="27"/>
      <c r="E65" s="27"/>
      <c r="F65" s="27"/>
      <c r="G65" s="27"/>
      <c r="H65" s="27"/>
      <c r="I65" s="27"/>
      <c r="J65" s="27"/>
      <c r="K65" s="27"/>
      <c r="L65" s="27"/>
      <c r="M65" s="27"/>
      <c r="N65" s="27"/>
      <c r="O65" s="27"/>
      <c r="P65" s="27"/>
      <c r="Q65" s="27"/>
      <c r="R65" s="27"/>
      <c r="S65" s="27">
        <f t="shared" si="1"/>
        <v>0</v>
      </c>
      <c r="T65" s="191"/>
      <c r="U65" s="191"/>
      <c r="V65" s="191"/>
      <c r="W65" s="191"/>
      <c r="X65" s="191"/>
    </row>
    <row r="66" spans="1:25">
      <c r="A66" s="32"/>
      <c r="B66" s="10" t="s">
        <v>116</v>
      </c>
      <c r="C66" s="27"/>
      <c r="D66" s="27"/>
      <c r="E66" s="27"/>
      <c r="F66" s="27"/>
      <c r="G66" s="27"/>
      <c r="H66" s="27"/>
      <c r="I66" s="27"/>
      <c r="J66" s="27"/>
      <c r="K66" s="27"/>
      <c r="L66" s="27"/>
      <c r="M66" s="27"/>
      <c r="N66" s="27"/>
      <c r="O66" s="27"/>
      <c r="P66" s="27"/>
      <c r="Q66" s="27"/>
      <c r="R66" s="27"/>
      <c r="S66" s="27">
        <f t="shared" si="1"/>
        <v>0</v>
      </c>
      <c r="T66" s="191"/>
      <c r="U66" s="191"/>
      <c r="V66" s="191"/>
      <c r="W66" s="191"/>
      <c r="X66" s="191"/>
    </row>
    <row r="67" spans="1:25">
      <c r="A67" s="32"/>
      <c r="B67" s="10" t="s">
        <v>117</v>
      </c>
      <c r="C67" s="27"/>
      <c r="D67" s="27"/>
      <c r="E67" s="27"/>
      <c r="F67" s="27"/>
      <c r="G67" s="27"/>
      <c r="H67" s="27"/>
      <c r="I67" s="27"/>
      <c r="J67" s="27"/>
      <c r="K67" s="27"/>
      <c r="L67" s="27"/>
      <c r="M67" s="27"/>
      <c r="N67" s="27"/>
      <c r="O67" s="27"/>
      <c r="P67" s="27"/>
      <c r="Q67" s="27"/>
      <c r="R67" s="27"/>
      <c r="S67" s="27">
        <f t="shared" si="1"/>
        <v>0</v>
      </c>
      <c r="T67" s="191"/>
      <c r="U67" s="191"/>
      <c r="V67" s="191"/>
      <c r="W67" s="191"/>
      <c r="X67" s="191"/>
    </row>
    <row r="68" spans="1:25">
      <c r="A68" s="32"/>
      <c r="B68" s="10" t="s">
        <v>118</v>
      </c>
      <c r="C68" s="27"/>
      <c r="D68" s="27"/>
      <c r="E68" s="27"/>
      <c r="F68" s="27"/>
      <c r="G68" s="27"/>
      <c r="H68" s="27"/>
      <c r="I68" s="27"/>
      <c r="J68" s="27"/>
      <c r="K68" s="27"/>
      <c r="L68" s="27"/>
      <c r="M68" s="27"/>
      <c r="N68" s="27"/>
      <c r="O68" s="27"/>
      <c r="P68" s="27"/>
      <c r="Q68" s="27"/>
      <c r="R68" s="27"/>
      <c r="S68" s="27">
        <f t="shared" si="1"/>
        <v>0</v>
      </c>
      <c r="T68" s="191"/>
      <c r="U68" s="191"/>
      <c r="V68" s="191"/>
      <c r="W68" s="191"/>
      <c r="X68" s="191"/>
    </row>
    <row r="69" spans="1:25">
      <c r="A69" s="32"/>
      <c r="B69" s="10" t="s">
        <v>119</v>
      </c>
      <c r="C69" s="28"/>
      <c r="D69" s="27"/>
      <c r="E69" s="28"/>
      <c r="F69" s="27"/>
      <c r="G69" s="28"/>
      <c r="H69" s="27"/>
      <c r="I69" s="28"/>
      <c r="J69" s="27"/>
      <c r="K69" s="28"/>
      <c r="L69" s="27"/>
      <c r="M69" s="28"/>
      <c r="N69" s="27"/>
      <c r="O69" s="28"/>
      <c r="P69" s="27"/>
      <c r="Q69" s="28"/>
      <c r="R69" s="27"/>
      <c r="S69" s="28">
        <f t="shared" si="1"/>
        <v>0</v>
      </c>
      <c r="T69" s="191"/>
      <c r="U69" s="191"/>
      <c r="V69" s="191"/>
      <c r="W69" s="191"/>
      <c r="X69" s="191"/>
    </row>
    <row r="70" spans="1:25">
      <c r="A70" s="32"/>
      <c r="B70" s="11"/>
      <c r="C70" s="27">
        <f>SUM(C63:C69)</f>
        <v>0</v>
      </c>
      <c r="D70" s="27"/>
      <c r="E70" s="27">
        <f>SUM(E63:E69)</f>
        <v>0</v>
      </c>
      <c r="F70" s="27"/>
      <c r="G70" s="27">
        <f>SUM(G63:G69)</f>
        <v>0</v>
      </c>
      <c r="H70" s="27"/>
      <c r="I70" s="27">
        <f>SUM(I63:I69)</f>
        <v>0</v>
      </c>
      <c r="J70" s="27"/>
      <c r="K70" s="27">
        <f>SUM(K63:K69)</f>
        <v>0</v>
      </c>
      <c r="L70" s="27"/>
      <c r="M70" s="27">
        <f>SUM(M63:M69)</f>
        <v>0</v>
      </c>
      <c r="N70" s="27"/>
      <c r="O70" s="27">
        <f>SUM(O63:O69)</f>
        <v>0</v>
      </c>
      <c r="P70" s="27"/>
      <c r="Q70" s="27">
        <f>SUM(Q63:Q69)</f>
        <v>0</v>
      </c>
      <c r="R70" s="27"/>
      <c r="S70" s="27">
        <f>SUM(S63:S69)</f>
        <v>0</v>
      </c>
      <c r="T70" s="27"/>
      <c r="U70" s="191"/>
      <c r="V70" s="191"/>
      <c r="W70" s="191"/>
      <c r="X70" s="191"/>
      <c r="Y70" s="191"/>
    </row>
    <row r="71" spans="1:25">
      <c r="A71" s="32"/>
      <c r="B71" s="12"/>
      <c r="F71" s="27"/>
      <c r="H71" s="27"/>
      <c r="J71" s="27"/>
      <c r="L71" s="27"/>
      <c r="N71" s="27"/>
      <c r="P71" s="27"/>
      <c r="R71" s="27"/>
      <c r="S71" s="27"/>
      <c r="T71" s="27"/>
      <c r="U71" s="191"/>
      <c r="V71" s="191"/>
      <c r="W71" s="191"/>
      <c r="X71" s="191"/>
      <c r="Y71" s="191"/>
    </row>
    <row r="72" spans="1:25">
      <c r="A72" s="32"/>
      <c r="B72" s="58" t="s">
        <v>120</v>
      </c>
      <c r="T72" s="191"/>
      <c r="U72" s="191"/>
      <c r="V72" s="191"/>
      <c r="W72" s="191"/>
      <c r="X72" s="191"/>
    </row>
    <row r="73" spans="1:25">
      <c r="A73" s="32"/>
      <c r="B73" s="10" t="s">
        <v>121</v>
      </c>
      <c r="C73" s="24"/>
      <c r="D73" s="24"/>
      <c r="E73" s="24"/>
      <c r="F73" s="24"/>
      <c r="G73" s="24"/>
      <c r="H73" s="24"/>
      <c r="I73" s="24"/>
      <c r="J73" s="24"/>
      <c r="K73" s="24"/>
      <c r="L73" s="24"/>
      <c r="M73" s="24"/>
      <c r="N73" s="24"/>
      <c r="O73" s="24"/>
      <c r="P73" s="24"/>
      <c r="Q73" s="24"/>
      <c r="R73" s="24"/>
      <c r="S73" s="24">
        <f>SUM(C73:R73)</f>
        <v>0</v>
      </c>
      <c r="T73" s="191"/>
      <c r="U73" s="191"/>
      <c r="V73" s="191"/>
      <c r="W73" s="191"/>
      <c r="X73" s="191"/>
    </row>
    <row r="74" spans="1:25">
      <c r="A74" s="32"/>
      <c r="B74" s="10" t="s">
        <v>122</v>
      </c>
      <c r="C74" s="24"/>
      <c r="D74" s="24"/>
      <c r="E74" s="24"/>
      <c r="F74" s="24"/>
      <c r="G74" s="24"/>
      <c r="H74" s="24"/>
      <c r="I74" s="24"/>
      <c r="J74" s="24"/>
      <c r="K74" s="24"/>
      <c r="L74" s="24"/>
      <c r="M74" s="24"/>
      <c r="N74" s="24"/>
      <c r="O74" s="24"/>
      <c r="P74" s="24"/>
      <c r="Q74" s="24"/>
      <c r="R74" s="24"/>
      <c r="S74" s="24">
        <f>SUM(C74:R74)</f>
        <v>0</v>
      </c>
      <c r="T74" s="191"/>
      <c r="U74" s="191"/>
      <c r="V74" s="191"/>
      <c r="W74" s="191"/>
      <c r="X74" s="191"/>
    </row>
    <row r="75" spans="1:25">
      <c r="A75" s="32"/>
      <c r="B75" s="10" t="s">
        <v>123</v>
      </c>
      <c r="C75" s="24"/>
      <c r="D75" s="24"/>
      <c r="E75" s="24"/>
      <c r="F75" s="24"/>
      <c r="G75" s="24"/>
      <c r="H75" s="24"/>
      <c r="I75" s="24"/>
      <c r="J75" s="24"/>
      <c r="K75" s="24"/>
      <c r="L75" s="24"/>
      <c r="M75" s="24"/>
      <c r="N75" s="24"/>
      <c r="O75" s="24"/>
      <c r="P75" s="24"/>
      <c r="Q75" s="24"/>
      <c r="R75" s="24"/>
      <c r="S75" s="24">
        <f>SUM(C75:R75)</f>
        <v>0</v>
      </c>
      <c r="T75" s="191"/>
      <c r="U75" s="191"/>
      <c r="V75" s="191"/>
      <c r="W75" s="191"/>
      <c r="X75" s="191"/>
    </row>
    <row r="76" spans="1:25">
      <c r="A76" s="32"/>
      <c r="B76" s="10" t="s">
        <v>124</v>
      </c>
      <c r="C76" s="24"/>
      <c r="D76" s="24"/>
      <c r="E76" s="24"/>
      <c r="F76" s="24"/>
      <c r="G76" s="24"/>
      <c r="H76" s="24"/>
      <c r="I76" s="24"/>
      <c r="J76" s="24"/>
      <c r="K76" s="24"/>
      <c r="L76" s="24"/>
      <c r="M76" s="24"/>
      <c r="N76" s="24"/>
      <c r="O76" s="24"/>
      <c r="P76" s="24"/>
      <c r="Q76" s="24"/>
      <c r="R76" s="24"/>
      <c r="S76" s="24">
        <f>SUM(C76:R76)</f>
        <v>0</v>
      </c>
      <c r="T76" s="191"/>
      <c r="U76" s="191"/>
      <c r="V76" s="191"/>
      <c r="W76" s="191"/>
      <c r="X76" s="191"/>
    </row>
    <row r="77" spans="1:25">
      <c r="A77" s="32"/>
      <c r="B77" s="10" t="s">
        <v>125</v>
      </c>
      <c r="C77" s="28"/>
      <c r="D77" s="27"/>
      <c r="E77" s="28"/>
      <c r="F77" s="24"/>
      <c r="G77" s="28"/>
      <c r="H77" s="27"/>
      <c r="I77" s="28"/>
      <c r="J77" s="27"/>
      <c r="K77" s="28"/>
      <c r="L77" s="27"/>
      <c r="M77" s="28"/>
      <c r="N77" s="24"/>
      <c r="O77" s="28"/>
      <c r="P77" s="24"/>
      <c r="Q77" s="28"/>
      <c r="R77" s="24"/>
      <c r="S77" s="28">
        <f>SUM(C77:R77)</f>
        <v>0</v>
      </c>
      <c r="T77" s="191"/>
      <c r="U77" s="191"/>
      <c r="V77" s="191"/>
      <c r="W77" s="191"/>
      <c r="X77" s="191"/>
    </row>
    <row r="78" spans="1:25">
      <c r="A78" s="32"/>
      <c r="B78" s="11"/>
      <c r="C78" s="27">
        <f>SUM(C73:C77)</f>
        <v>0</v>
      </c>
      <c r="D78" s="27"/>
      <c r="E78" s="27">
        <f>SUM(E73:E77)</f>
        <v>0</v>
      </c>
      <c r="F78" s="27"/>
      <c r="G78" s="27">
        <f>SUM(G73:G77)</f>
        <v>0</v>
      </c>
      <c r="H78" s="27"/>
      <c r="I78" s="27">
        <f>SUM(I73:I77)</f>
        <v>0</v>
      </c>
      <c r="J78" s="27"/>
      <c r="K78" s="27">
        <f>SUM(K73:K77)</f>
        <v>0</v>
      </c>
      <c r="L78" s="27"/>
      <c r="M78" s="27">
        <f>SUM(M73:M77)</f>
        <v>0</v>
      </c>
      <c r="N78" s="27"/>
      <c r="O78" s="27">
        <f>SUM(O73:O77)</f>
        <v>0</v>
      </c>
      <c r="P78" s="27"/>
      <c r="Q78" s="27">
        <f>SUM(Q73:Q77)</f>
        <v>0</v>
      </c>
      <c r="R78" s="27"/>
      <c r="S78" s="27">
        <f>SUM(S73:S77)</f>
        <v>0</v>
      </c>
      <c r="T78" s="191"/>
      <c r="U78" s="191"/>
      <c r="V78" s="191"/>
      <c r="W78" s="191"/>
      <c r="X78" s="191"/>
    </row>
    <row r="79" spans="1:25">
      <c r="A79" s="32"/>
      <c r="C79" s="24"/>
      <c r="D79" s="24"/>
      <c r="E79" s="24"/>
      <c r="F79" s="24"/>
      <c r="G79" s="24"/>
      <c r="H79" s="24"/>
      <c r="I79" s="24"/>
      <c r="J79" s="24"/>
      <c r="K79" s="24"/>
      <c r="L79" s="24"/>
      <c r="M79" s="24"/>
      <c r="N79" s="24"/>
      <c r="O79" s="24"/>
      <c r="P79" s="24"/>
      <c r="Q79" s="24"/>
      <c r="R79" s="24"/>
      <c r="S79" s="24"/>
      <c r="T79" s="191"/>
      <c r="U79" s="191"/>
      <c r="V79" s="191"/>
      <c r="W79" s="191"/>
      <c r="X79" s="191"/>
    </row>
    <row r="80" spans="1:25">
      <c r="A80" s="32"/>
      <c r="B80" s="12" t="s">
        <v>136</v>
      </c>
      <c r="C80" s="25">
        <f>C59+C70+C78</f>
        <v>0</v>
      </c>
      <c r="D80" s="27"/>
      <c r="E80" s="25">
        <f>E59+E70+E78</f>
        <v>0</v>
      </c>
      <c r="F80" s="24"/>
      <c r="G80" s="25">
        <f>G59+G70+G78</f>
        <v>0</v>
      </c>
      <c r="H80" s="27"/>
      <c r="I80" s="25">
        <f>I59+I70+I78</f>
        <v>0</v>
      </c>
      <c r="J80" s="27"/>
      <c r="K80" s="25">
        <f>K59+K70+K78</f>
        <v>0</v>
      </c>
      <c r="L80" s="27"/>
      <c r="M80" s="25">
        <f>M59+M70+M78</f>
        <v>0</v>
      </c>
      <c r="N80" s="24"/>
      <c r="O80" s="25">
        <f>O59+O70+O78</f>
        <v>0</v>
      </c>
      <c r="P80" s="24"/>
      <c r="Q80" s="25">
        <f>Q59+Q70+Q78</f>
        <v>0</v>
      </c>
      <c r="R80" s="24"/>
      <c r="S80" s="25">
        <f>S59+S70+S78</f>
        <v>0</v>
      </c>
      <c r="T80" s="191"/>
      <c r="U80" s="191"/>
      <c r="V80" s="191"/>
      <c r="W80" s="191"/>
      <c r="X80" s="191"/>
    </row>
    <row r="81" spans="1:25">
      <c r="A81" s="32"/>
      <c r="F81" s="24"/>
      <c r="H81" s="24"/>
      <c r="J81" s="24"/>
      <c r="L81" s="24"/>
      <c r="N81" s="24"/>
      <c r="P81" s="24"/>
      <c r="R81" s="24"/>
      <c r="S81" s="24"/>
      <c r="T81" s="24"/>
      <c r="U81" s="191"/>
      <c r="V81" s="191"/>
      <c r="W81" s="191"/>
      <c r="X81" s="191"/>
      <c r="Y81" s="191"/>
    </row>
    <row r="82" spans="1:25">
      <c r="A82" s="32">
        <v>117</v>
      </c>
      <c r="B82" s="58"/>
      <c r="F82" s="24"/>
      <c r="H82" s="24"/>
      <c r="J82" s="24"/>
      <c r="L82" s="24"/>
      <c r="N82" s="24"/>
      <c r="P82" s="24"/>
      <c r="R82" s="24"/>
      <c r="S82" s="24"/>
      <c r="T82" s="24"/>
      <c r="U82" s="191"/>
      <c r="V82" s="191"/>
      <c r="W82" s="191"/>
      <c r="X82" s="191"/>
      <c r="Y82" s="191"/>
    </row>
    <row r="83" spans="1:25">
      <c r="A83" s="32"/>
      <c r="B83" s="12" t="s">
        <v>453</v>
      </c>
      <c r="F83" s="24"/>
      <c r="H83" s="24"/>
      <c r="J83" s="24"/>
      <c r="L83" s="24"/>
      <c r="N83" s="24"/>
      <c r="P83" s="24"/>
      <c r="R83" s="24"/>
      <c r="S83" s="24"/>
      <c r="T83" s="24"/>
      <c r="U83" s="191"/>
      <c r="V83" s="191"/>
      <c r="W83" s="191"/>
      <c r="X83" s="191"/>
      <c r="Y83" s="191"/>
    </row>
    <row r="84" spans="1:25">
      <c r="A84" s="32"/>
      <c r="B84" s="58" t="s">
        <v>120</v>
      </c>
      <c r="T84" s="191"/>
      <c r="U84" s="191"/>
      <c r="V84" s="191"/>
      <c r="W84" s="191"/>
      <c r="X84" s="191"/>
    </row>
    <row r="85" spans="1:25">
      <c r="A85" s="32"/>
      <c r="B85" s="10" t="s">
        <v>129</v>
      </c>
      <c r="C85" s="28">
        <v>0</v>
      </c>
      <c r="D85" s="27"/>
      <c r="E85" s="28"/>
      <c r="F85" s="27"/>
      <c r="G85" s="28"/>
      <c r="H85" s="27"/>
      <c r="I85" s="28"/>
      <c r="J85" s="27"/>
      <c r="K85" s="28"/>
      <c r="L85" s="27"/>
      <c r="M85" s="28"/>
      <c r="N85" s="27"/>
      <c r="O85" s="28"/>
      <c r="P85" s="27"/>
      <c r="Q85" s="28"/>
      <c r="R85" s="27"/>
      <c r="S85" s="28">
        <f>SUM(C85:R85)</f>
        <v>0</v>
      </c>
      <c r="T85" s="191"/>
      <c r="U85" s="191"/>
      <c r="V85" s="191"/>
      <c r="W85" s="191"/>
      <c r="X85" s="191"/>
    </row>
    <row r="86" spans="1:25">
      <c r="A86" s="32"/>
      <c r="B86" s="11"/>
      <c r="C86" s="27">
        <f>SUM(C85)</f>
        <v>0</v>
      </c>
      <c r="D86" s="27"/>
      <c r="E86" s="27">
        <f>SUM(E85)</f>
        <v>0</v>
      </c>
      <c r="F86" s="27"/>
      <c r="G86" s="27">
        <f>SUM(G85)</f>
        <v>0</v>
      </c>
      <c r="H86" s="27"/>
      <c r="I86" s="27">
        <f>SUM(I85)</f>
        <v>0</v>
      </c>
      <c r="J86" s="27"/>
      <c r="K86" s="27">
        <f>SUM(K85)</f>
        <v>0</v>
      </c>
      <c r="L86" s="27"/>
      <c r="M86" s="27">
        <f>SUM(M85)</f>
        <v>0</v>
      </c>
      <c r="N86" s="27"/>
      <c r="O86" s="27">
        <f>SUM(O85)</f>
        <v>0</v>
      </c>
      <c r="P86" s="27"/>
      <c r="Q86" s="27">
        <f>SUM(Q85)</f>
        <v>0</v>
      </c>
      <c r="R86" s="27"/>
      <c r="S86" s="27">
        <f>SUM(S85)</f>
        <v>0</v>
      </c>
      <c r="T86" s="191"/>
      <c r="U86" s="191"/>
      <c r="V86" s="191"/>
      <c r="W86" s="191"/>
      <c r="X86" s="191"/>
    </row>
    <row r="87" spans="1:25">
      <c r="A87" s="32"/>
      <c r="C87" s="24"/>
      <c r="D87" s="24"/>
      <c r="E87" s="24"/>
      <c r="F87" s="24"/>
      <c r="G87" s="24"/>
      <c r="H87" s="24"/>
      <c r="I87" s="24"/>
      <c r="J87" s="24"/>
      <c r="K87" s="24"/>
      <c r="L87" s="24"/>
      <c r="M87" s="24"/>
      <c r="N87" s="24"/>
      <c r="O87" s="24"/>
      <c r="P87" s="24"/>
      <c r="Q87" s="24"/>
      <c r="R87" s="24"/>
      <c r="S87" s="24"/>
      <c r="T87" s="191"/>
      <c r="U87" s="191"/>
      <c r="V87" s="191"/>
      <c r="W87" s="191"/>
      <c r="X87" s="191"/>
    </row>
    <row r="88" spans="1:25">
      <c r="A88" s="32"/>
      <c r="B88" s="12" t="s">
        <v>130</v>
      </c>
      <c r="C88" s="25">
        <f>C86</f>
        <v>0</v>
      </c>
      <c r="D88" s="27"/>
      <c r="E88" s="25">
        <f>E86</f>
        <v>0</v>
      </c>
      <c r="F88" s="24"/>
      <c r="G88" s="25">
        <f>G86</f>
        <v>0</v>
      </c>
      <c r="H88" s="27"/>
      <c r="I88" s="25">
        <f>I86</f>
        <v>0</v>
      </c>
      <c r="J88" s="27"/>
      <c r="K88" s="25">
        <f>K86</f>
        <v>0</v>
      </c>
      <c r="L88" s="27"/>
      <c r="M88" s="25">
        <f>M86</f>
        <v>0</v>
      </c>
      <c r="N88" s="24"/>
      <c r="O88" s="25">
        <f>O86</f>
        <v>0</v>
      </c>
      <c r="P88" s="24"/>
      <c r="Q88" s="25">
        <f>Q86</f>
        <v>0</v>
      </c>
      <c r="R88" s="24"/>
      <c r="S88" s="25">
        <f>S86</f>
        <v>0</v>
      </c>
      <c r="T88" s="191"/>
      <c r="U88" s="191"/>
      <c r="V88" s="191"/>
      <c r="W88" s="191"/>
      <c r="X88" s="191"/>
    </row>
    <row r="89" spans="1:25">
      <c r="A89" s="32"/>
      <c r="F89" s="24"/>
      <c r="H89" s="24"/>
      <c r="J89" s="24"/>
      <c r="L89" s="24"/>
      <c r="N89" s="24"/>
      <c r="P89" s="24"/>
      <c r="R89" s="24"/>
      <c r="S89" s="24"/>
      <c r="T89" s="24"/>
      <c r="U89" s="191"/>
      <c r="V89" s="191"/>
      <c r="W89" s="191"/>
      <c r="X89" s="191"/>
      <c r="Y89" s="191"/>
    </row>
    <row r="90" spans="1:25">
      <c r="A90" s="32">
        <v>121</v>
      </c>
      <c r="B90" s="58"/>
      <c r="F90" s="24"/>
      <c r="H90" s="24"/>
      <c r="J90" s="24"/>
      <c r="L90" s="24"/>
      <c r="N90" s="24"/>
      <c r="P90" s="24"/>
      <c r="R90" s="24"/>
      <c r="S90" s="24"/>
      <c r="T90" s="24"/>
      <c r="U90" s="191"/>
      <c r="V90" s="191"/>
      <c r="W90" s="191"/>
      <c r="X90" s="191"/>
      <c r="Y90" s="191"/>
    </row>
    <row r="91" spans="1:25">
      <c r="A91" s="32"/>
      <c r="B91" s="12" t="s">
        <v>451</v>
      </c>
      <c r="F91" s="24"/>
      <c r="H91" s="24"/>
      <c r="J91" s="24"/>
      <c r="L91" s="24"/>
      <c r="N91" s="24"/>
      <c r="P91" s="24"/>
      <c r="R91" s="24"/>
      <c r="S91" s="24"/>
      <c r="T91" s="24"/>
      <c r="U91" s="191"/>
      <c r="V91" s="191"/>
      <c r="W91" s="191"/>
      <c r="X91" s="191"/>
      <c r="Y91" s="191"/>
    </row>
    <row r="92" spans="1:25">
      <c r="A92" s="32"/>
      <c r="B92" s="58" t="s">
        <v>652</v>
      </c>
      <c r="T92" s="191"/>
      <c r="U92" s="191"/>
      <c r="V92" s="191"/>
      <c r="W92" s="191"/>
      <c r="X92" s="191"/>
    </row>
    <row r="93" spans="1:25">
      <c r="A93" s="32"/>
      <c r="B93" s="10" t="s">
        <v>131</v>
      </c>
      <c r="C93" s="28">
        <f>+'Summary - Cost - PG 1 (PA)'!J97</f>
        <v>0</v>
      </c>
      <c r="D93" s="27"/>
      <c r="E93" s="28"/>
      <c r="F93" s="24"/>
      <c r="G93" s="28"/>
      <c r="H93" s="27"/>
      <c r="I93" s="28"/>
      <c r="J93" s="27"/>
      <c r="K93" s="28"/>
      <c r="L93" s="27"/>
      <c r="M93" s="28"/>
      <c r="N93" s="24"/>
      <c r="O93" s="28"/>
      <c r="P93" s="24"/>
      <c r="Q93" s="28"/>
      <c r="R93" s="24"/>
      <c r="S93" s="28">
        <f>SUM(C93:R93)</f>
        <v>0</v>
      </c>
      <c r="T93" s="191"/>
      <c r="U93" s="191"/>
      <c r="V93" s="191"/>
      <c r="W93" s="191"/>
      <c r="X93" s="191"/>
    </row>
    <row r="94" spans="1:25">
      <c r="A94" s="32"/>
      <c r="B94" s="11"/>
      <c r="C94" s="27">
        <f>SUM(C93)</f>
        <v>0</v>
      </c>
      <c r="D94" s="27"/>
      <c r="E94" s="27">
        <f>SUM(E93)</f>
        <v>0</v>
      </c>
      <c r="F94" s="27"/>
      <c r="G94" s="27">
        <f>SUM(G93)</f>
        <v>0</v>
      </c>
      <c r="H94" s="27"/>
      <c r="I94" s="27">
        <f>SUM(I93)</f>
        <v>0</v>
      </c>
      <c r="J94" s="27"/>
      <c r="K94" s="27">
        <f>SUM(K93)</f>
        <v>0</v>
      </c>
      <c r="L94" s="27"/>
      <c r="M94" s="27">
        <f>SUM(M93)</f>
        <v>0</v>
      </c>
      <c r="N94" s="27"/>
      <c r="O94" s="27">
        <f>SUM(O93)</f>
        <v>0</v>
      </c>
      <c r="P94" s="27"/>
      <c r="Q94" s="27">
        <f>SUM(Q93)</f>
        <v>0</v>
      </c>
      <c r="R94" s="27"/>
      <c r="S94" s="27">
        <f>SUM(S93)</f>
        <v>0</v>
      </c>
      <c r="T94" s="191"/>
      <c r="U94" s="191"/>
      <c r="V94" s="191"/>
      <c r="W94" s="191"/>
      <c r="X94" s="191"/>
    </row>
    <row r="95" spans="1:25">
      <c r="A95" s="32"/>
      <c r="C95" s="24"/>
      <c r="D95" s="24"/>
      <c r="E95" s="24"/>
      <c r="F95" s="24"/>
      <c r="G95" s="24"/>
      <c r="H95" s="24"/>
      <c r="I95" s="24"/>
      <c r="J95" s="24"/>
      <c r="K95" s="24"/>
      <c r="L95" s="24"/>
      <c r="M95" s="24"/>
      <c r="N95" s="24"/>
      <c r="O95" s="24"/>
      <c r="P95" s="24"/>
      <c r="Q95" s="24"/>
      <c r="R95" s="24"/>
      <c r="S95" s="24"/>
      <c r="T95" s="191"/>
      <c r="U95" s="191"/>
      <c r="V95" s="191"/>
      <c r="W95" s="191"/>
      <c r="X95" s="191"/>
    </row>
    <row r="96" spans="1:25">
      <c r="A96" s="32"/>
      <c r="B96" s="12" t="s">
        <v>132</v>
      </c>
      <c r="C96" s="25">
        <f>C94</f>
        <v>0</v>
      </c>
      <c r="D96" s="27"/>
      <c r="E96" s="25">
        <f>E94</f>
        <v>0</v>
      </c>
      <c r="F96" s="24"/>
      <c r="G96" s="25">
        <f>G94</f>
        <v>0</v>
      </c>
      <c r="H96" s="27"/>
      <c r="I96" s="25">
        <f>I94</f>
        <v>0</v>
      </c>
      <c r="J96" s="27"/>
      <c r="K96" s="25">
        <f>K94</f>
        <v>0</v>
      </c>
      <c r="L96" s="27"/>
      <c r="M96" s="25">
        <f>M94</f>
        <v>0</v>
      </c>
      <c r="N96" s="24"/>
      <c r="O96" s="25">
        <f>O94</f>
        <v>0</v>
      </c>
      <c r="P96" s="24"/>
      <c r="Q96" s="25">
        <f>Q94</f>
        <v>0</v>
      </c>
      <c r="R96" s="24"/>
      <c r="S96" s="25">
        <f>S94</f>
        <v>0</v>
      </c>
      <c r="T96" s="191"/>
      <c r="U96" s="191"/>
      <c r="V96" s="191"/>
      <c r="W96" s="191"/>
      <c r="X96" s="191"/>
    </row>
    <row r="97" spans="1:25">
      <c r="A97" s="32"/>
      <c r="F97" s="24"/>
      <c r="H97" s="24"/>
      <c r="J97" s="24"/>
      <c r="L97" s="24"/>
      <c r="N97" s="24"/>
      <c r="P97" s="24"/>
      <c r="R97" s="24"/>
      <c r="S97" s="24"/>
      <c r="T97" s="24"/>
      <c r="U97" s="191"/>
      <c r="V97" s="191"/>
      <c r="W97" s="191"/>
      <c r="X97" s="191"/>
      <c r="Y97" s="191"/>
    </row>
    <row r="98" spans="1:25">
      <c r="A98" s="32">
        <v>107</v>
      </c>
      <c r="B98" s="58"/>
      <c r="F98" s="24"/>
      <c r="H98" s="24"/>
      <c r="J98" s="24"/>
      <c r="L98" s="24"/>
      <c r="N98" s="24"/>
      <c r="P98" s="24"/>
      <c r="R98" s="24"/>
      <c r="S98" s="24"/>
      <c r="T98" s="24"/>
      <c r="U98" s="191"/>
      <c r="V98" s="191"/>
      <c r="W98" s="191"/>
      <c r="X98" s="191"/>
      <c r="Y98" s="191"/>
    </row>
    <row r="99" spans="1:25">
      <c r="A99" s="32"/>
      <c r="B99" s="12" t="s">
        <v>452</v>
      </c>
      <c r="F99" s="24"/>
      <c r="H99" s="24"/>
      <c r="J99" s="24"/>
      <c r="L99" s="24"/>
      <c r="N99" s="24"/>
      <c r="P99" s="24"/>
      <c r="R99" s="24"/>
      <c r="S99" s="24"/>
      <c r="T99" s="24"/>
      <c r="U99" s="191"/>
      <c r="V99" s="191"/>
      <c r="W99" s="191"/>
      <c r="X99" s="191"/>
      <c r="Y99" s="191"/>
    </row>
    <row r="100" spans="1:25">
      <c r="A100" s="32"/>
      <c r="B100" s="58" t="s">
        <v>133</v>
      </c>
      <c r="F100" s="24"/>
      <c r="H100" s="24"/>
      <c r="J100" s="24"/>
      <c r="L100" s="24"/>
      <c r="N100" s="24"/>
      <c r="P100" s="24"/>
      <c r="R100" s="24"/>
      <c r="S100" s="24"/>
      <c r="T100" s="24"/>
      <c r="U100" s="191"/>
      <c r="V100" s="191"/>
      <c r="W100" s="191"/>
      <c r="X100" s="191"/>
      <c r="Y100" s="191"/>
    </row>
    <row r="101" spans="1:25">
      <c r="A101" s="32"/>
      <c r="B101" s="58"/>
      <c r="T101" s="191"/>
      <c r="U101" s="191"/>
      <c r="V101" s="191"/>
      <c r="W101" s="191"/>
      <c r="X101" s="191"/>
    </row>
    <row r="102" spans="1:25">
      <c r="A102" s="32"/>
      <c r="B102" s="10" t="s">
        <v>652</v>
      </c>
      <c r="C102" s="24">
        <v>0</v>
      </c>
      <c r="D102" s="24"/>
      <c r="E102" s="24"/>
      <c r="F102" s="24"/>
      <c r="G102" s="24"/>
      <c r="H102" s="24"/>
      <c r="I102" s="24"/>
      <c r="J102" s="24"/>
      <c r="K102" s="24"/>
      <c r="L102" s="24"/>
      <c r="M102" s="24"/>
      <c r="N102" s="24"/>
      <c r="O102" s="24"/>
      <c r="P102" s="24"/>
      <c r="Q102" s="24"/>
      <c r="R102" s="24"/>
      <c r="S102" s="24">
        <v>0</v>
      </c>
      <c r="T102" s="191"/>
      <c r="U102" s="191"/>
      <c r="V102" s="191"/>
      <c r="W102" s="191"/>
      <c r="X102" s="191"/>
    </row>
    <row r="103" spans="1:25">
      <c r="A103" s="32"/>
      <c r="B103" s="10" t="s">
        <v>112</v>
      </c>
      <c r="C103" s="24">
        <v>0</v>
      </c>
      <c r="D103" s="24"/>
      <c r="E103" s="24"/>
      <c r="F103" s="24"/>
      <c r="G103" s="24"/>
      <c r="H103" s="24"/>
      <c r="I103" s="24"/>
      <c r="J103" s="24"/>
      <c r="K103" s="24"/>
      <c r="L103" s="24"/>
      <c r="M103" s="24"/>
      <c r="N103" s="24"/>
      <c r="O103" s="24"/>
      <c r="P103" s="24"/>
      <c r="Q103" s="24"/>
      <c r="R103" s="24"/>
      <c r="S103" s="24">
        <v>0</v>
      </c>
      <c r="T103" s="191"/>
      <c r="U103" s="191"/>
      <c r="V103" s="191"/>
      <c r="W103" s="191"/>
      <c r="X103" s="191"/>
    </row>
    <row r="104" spans="1:25">
      <c r="A104" s="32"/>
      <c r="B104" s="10" t="s">
        <v>120</v>
      </c>
      <c r="C104" s="28">
        <v>0</v>
      </c>
      <c r="D104" s="27"/>
      <c r="E104" s="28"/>
      <c r="F104" s="24"/>
      <c r="G104" s="28"/>
      <c r="H104" s="27"/>
      <c r="I104" s="28"/>
      <c r="J104" s="27"/>
      <c r="K104" s="28"/>
      <c r="L104" s="27"/>
      <c r="M104" s="28"/>
      <c r="N104" s="24"/>
      <c r="O104" s="28"/>
      <c r="P104" s="24"/>
      <c r="Q104" s="28"/>
      <c r="R104" s="24"/>
      <c r="S104" s="28">
        <v>0</v>
      </c>
      <c r="T104" s="191"/>
      <c r="U104" s="191"/>
      <c r="V104" s="191"/>
      <c r="W104" s="191"/>
      <c r="X104" s="191"/>
    </row>
    <row r="105" spans="1:25">
      <c r="A105" s="32"/>
      <c r="B105" s="11"/>
      <c r="C105" s="27">
        <f>SUM(C102:C104)</f>
        <v>0</v>
      </c>
      <c r="D105" s="27"/>
      <c r="E105" s="27">
        <f>SUM(E102:E104)</f>
        <v>0</v>
      </c>
      <c r="F105" s="27"/>
      <c r="G105" s="27">
        <f>SUM(G102:G104)</f>
        <v>0</v>
      </c>
      <c r="H105" s="27"/>
      <c r="I105" s="27">
        <f>SUM(I102:I104)</f>
        <v>0</v>
      </c>
      <c r="J105" s="27"/>
      <c r="K105" s="27">
        <f>SUM(K102:K104)</f>
        <v>0</v>
      </c>
      <c r="L105" s="27"/>
      <c r="M105" s="27">
        <f>SUM(M102:M104)</f>
        <v>0</v>
      </c>
      <c r="N105" s="27"/>
      <c r="O105" s="27">
        <f>SUM(O102:O104)</f>
        <v>0</v>
      </c>
      <c r="P105" s="27"/>
      <c r="Q105" s="27">
        <f>SUM(Q102:Q104)</f>
        <v>0</v>
      </c>
      <c r="R105" s="27"/>
      <c r="S105" s="27">
        <f>SUM(S102:S104)</f>
        <v>0</v>
      </c>
      <c r="T105" s="191"/>
      <c r="U105" s="191"/>
      <c r="V105" s="191"/>
      <c r="W105" s="191"/>
      <c r="X105" s="191"/>
    </row>
    <row r="106" spans="1:25">
      <c r="A106" s="191"/>
      <c r="B106" s="11"/>
      <c r="C106" s="191"/>
      <c r="D106" s="191"/>
      <c r="E106" s="191"/>
      <c r="F106" s="191"/>
      <c r="G106" s="191"/>
      <c r="H106" s="191"/>
      <c r="I106" s="191"/>
      <c r="J106" s="191"/>
      <c r="K106" s="191"/>
      <c r="L106" s="191"/>
      <c r="M106" s="329"/>
      <c r="N106" s="329"/>
      <c r="O106" s="191"/>
      <c r="P106" s="191"/>
      <c r="Q106" s="191"/>
      <c r="R106" s="191"/>
      <c r="S106" s="191"/>
      <c r="T106" s="191"/>
      <c r="U106" s="191"/>
      <c r="V106" s="191"/>
      <c r="W106" s="191"/>
      <c r="X106" s="191"/>
      <c r="Y106" s="191"/>
    </row>
    <row r="107" spans="1:25">
      <c r="B107" s="191"/>
    </row>
    <row r="108" spans="1:25">
      <c r="C108" s="84" t="s">
        <v>612</v>
      </c>
      <c r="D108" s="84"/>
      <c r="E108" s="84" t="s">
        <v>612</v>
      </c>
      <c r="G108" s="84" t="s">
        <v>612</v>
      </c>
      <c r="H108" s="84"/>
      <c r="I108" s="84" t="s">
        <v>612</v>
      </c>
      <c r="K108" s="84" t="s">
        <v>612</v>
      </c>
      <c r="M108" s="84" t="s">
        <v>612</v>
      </c>
      <c r="O108" s="84" t="s">
        <v>612</v>
      </c>
      <c r="Q108" s="84" t="s">
        <v>612</v>
      </c>
      <c r="S108" s="84" t="s">
        <v>26</v>
      </c>
    </row>
    <row r="109" spans="1:25">
      <c r="C109" s="43" t="s">
        <v>613</v>
      </c>
      <c r="D109" s="85"/>
      <c r="E109" s="43" t="s">
        <v>613</v>
      </c>
      <c r="G109" s="43" t="s">
        <v>613</v>
      </c>
      <c r="H109" s="85"/>
      <c r="I109" s="43" t="s">
        <v>613</v>
      </c>
      <c r="K109" s="43" t="s">
        <v>613</v>
      </c>
      <c r="M109" s="43" t="s">
        <v>613</v>
      </c>
      <c r="O109" s="43" t="s">
        <v>613</v>
      </c>
      <c r="Q109" s="43" t="s">
        <v>613</v>
      </c>
      <c r="S109" s="43" t="s">
        <v>27</v>
      </c>
    </row>
    <row r="110" spans="1:25">
      <c r="C110" s="85"/>
      <c r="D110" s="85"/>
      <c r="E110" s="85"/>
      <c r="G110" s="85"/>
      <c r="H110" s="85"/>
      <c r="I110" s="85"/>
      <c r="K110" s="85"/>
      <c r="M110" s="85"/>
      <c r="O110" s="85"/>
      <c r="Q110" s="85"/>
      <c r="S110" s="85"/>
    </row>
    <row r="111" spans="1:25">
      <c r="A111" s="12" t="s">
        <v>137</v>
      </c>
      <c r="C111" s="22"/>
      <c r="D111" s="22"/>
      <c r="E111" s="22"/>
      <c r="F111" s="22"/>
      <c r="G111" s="22"/>
      <c r="H111" s="22"/>
      <c r="I111" s="22"/>
      <c r="J111" s="22"/>
      <c r="K111" s="22"/>
      <c r="L111" s="22"/>
      <c r="M111" s="22"/>
      <c r="N111" s="22"/>
      <c r="O111" s="22"/>
      <c r="P111" s="22"/>
      <c r="Q111" s="22"/>
      <c r="R111" s="22"/>
      <c r="S111" s="22"/>
    </row>
    <row r="112" spans="1:25">
      <c r="C112" s="24"/>
      <c r="D112" s="24"/>
      <c r="E112" s="24"/>
      <c r="F112" s="24"/>
      <c r="G112" s="24"/>
      <c r="H112" s="24"/>
      <c r="I112" s="24"/>
      <c r="J112" s="24"/>
      <c r="K112" s="24"/>
      <c r="L112" s="24"/>
      <c r="M112" s="24"/>
      <c r="N112" s="24"/>
      <c r="O112" s="24"/>
      <c r="P112" s="24"/>
      <c r="Q112" s="24"/>
      <c r="R112" s="24"/>
      <c r="S112" s="24"/>
    </row>
    <row r="113" spans="2:19">
      <c r="B113" s="10" t="s">
        <v>455</v>
      </c>
      <c r="C113" s="24">
        <v>0</v>
      </c>
      <c r="D113" s="24"/>
      <c r="E113" s="24">
        <v>0</v>
      </c>
      <c r="F113" s="24"/>
      <c r="G113" s="24">
        <v>0</v>
      </c>
      <c r="H113" s="24"/>
      <c r="I113" s="24">
        <v>0</v>
      </c>
      <c r="J113" s="24"/>
      <c r="K113" s="24">
        <v>0</v>
      </c>
      <c r="L113" s="24"/>
      <c r="M113" s="24">
        <v>0</v>
      </c>
      <c r="N113" s="24"/>
      <c r="O113" s="24">
        <v>0</v>
      </c>
      <c r="P113" s="24"/>
      <c r="Q113" s="24">
        <v>0</v>
      </c>
      <c r="R113" s="24"/>
      <c r="S113" s="24">
        <f t="shared" ref="S113:S133" si="2">SUM(C113:R113)</f>
        <v>0</v>
      </c>
    </row>
    <row r="114" spans="2:19">
      <c r="B114" s="10" t="s">
        <v>851</v>
      </c>
      <c r="C114" s="24">
        <v>0</v>
      </c>
      <c r="D114" s="24"/>
      <c r="E114" s="24">
        <v>0</v>
      </c>
      <c r="F114" s="24"/>
      <c r="G114" s="24">
        <v>0</v>
      </c>
      <c r="H114" s="24"/>
      <c r="I114" s="24">
        <v>0</v>
      </c>
      <c r="J114" s="24"/>
      <c r="K114" s="24">
        <v>0</v>
      </c>
      <c r="L114" s="24"/>
      <c r="M114" s="24">
        <v>0</v>
      </c>
      <c r="N114" s="24"/>
      <c r="O114" s="24">
        <v>0</v>
      </c>
      <c r="P114" s="24"/>
      <c r="Q114" s="24">
        <v>0</v>
      </c>
      <c r="R114" s="24"/>
      <c r="S114" s="24">
        <f t="shared" si="2"/>
        <v>0</v>
      </c>
    </row>
    <row r="115" spans="2:19">
      <c r="B115" s="10" t="s">
        <v>113</v>
      </c>
      <c r="C115" s="24">
        <v>0</v>
      </c>
      <c r="D115" s="24"/>
      <c r="E115" s="24">
        <v>0</v>
      </c>
      <c r="F115" s="24"/>
      <c r="G115" s="24">
        <v>0</v>
      </c>
      <c r="H115" s="24"/>
      <c r="I115" s="24">
        <v>0</v>
      </c>
      <c r="J115" s="24"/>
      <c r="K115" s="24">
        <v>0</v>
      </c>
      <c r="L115" s="24"/>
      <c r="M115" s="24">
        <v>0</v>
      </c>
      <c r="N115" s="24"/>
      <c r="O115" s="24">
        <v>0</v>
      </c>
      <c r="P115" s="24"/>
      <c r="Q115" s="24">
        <v>0</v>
      </c>
      <c r="R115" s="24"/>
      <c r="S115" s="24">
        <f t="shared" si="2"/>
        <v>0</v>
      </c>
    </row>
    <row r="116" spans="2:19">
      <c r="B116" s="10" t="s">
        <v>852</v>
      </c>
      <c r="C116" s="24">
        <v>0</v>
      </c>
      <c r="D116" s="24"/>
      <c r="E116" s="24">
        <v>0</v>
      </c>
      <c r="F116" s="24"/>
      <c r="G116" s="24">
        <v>0</v>
      </c>
      <c r="H116" s="24"/>
      <c r="I116" s="24">
        <v>0</v>
      </c>
      <c r="J116" s="24"/>
      <c r="K116" s="24">
        <v>0</v>
      </c>
      <c r="L116" s="24"/>
      <c r="M116" s="24">
        <v>0</v>
      </c>
      <c r="N116" s="24"/>
      <c r="O116" s="24">
        <v>0</v>
      </c>
      <c r="P116" s="24"/>
      <c r="Q116" s="24">
        <v>0</v>
      </c>
      <c r="R116" s="24"/>
      <c r="S116" s="24">
        <f t="shared" si="2"/>
        <v>0</v>
      </c>
    </row>
    <row r="117" spans="2:19">
      <c r="B117" s="10" t="s">
        <v>114</v>
      </c>
      <c r="C117" s="24">
        <v>0</v>
      </c>
      <c r="D117" s="24"/>
      <c r="E117" s="24">
        <v>0</v>
      </c>
      <c r="F117" s="24"/>
      <c r="G117" s="24">
        <v>0</v>
      </c>
      <c r="H117" s="24"/>
      <c r="I117" s="24">
        <v>0</v>
      </c>
      <c r="J117" s="24"/>
      <c r="K117" s="24">
        <v>0</v>
      </c>
      <c r="L117" s="24"/>
      <c r="M117" s="24">
        <v>0</v>
      </c>
      <c r="N117" s="24"/>
      <c r="O117" s="24">
        <v>0</v>
      </c>
      <c r="P117" s="24"/>
      <c r="Q117" s="24">
        <v>0</v>
      </c>
      <c r="R117" s="24"/>
      <c r="S117" s="24">
        <f t="shared" si="2"/>
        <v>0</v>
      </c>
    </row>
    <row r="118" spans="2:19">
      <c r="B118" s="10" t="s">
        <v>115</v>
      </c>
      <c r="C118" s="24">
        <v>0</v>
      </c>
      <c r="D118" s="24"/>
      <c r="E118" s="24">
        <v>0</v>
      </c>
      <c r="F118" s="24"/>
      <c r="G118" s="24">
        <v>0</v>
      </c>
      <c r="H118" s="24"/>
      <c r="I118" s="24">
        <v>0</v>
      </c>
      <c r="J118" s="24"/>
      <c r="K118" s="24">
        <v>0</v>
      </c>
      <c r="L118" s="24"/>
      <c r="M118" s="24">
        <v>0</v>
      </c>
      <c r="N118" s="24"/>
      <c r="O118" s="24">
        <v>0</v>
      </c>
      <c r="P118" s="24"/>
      <c r="Q118" s="24">
        <v>0</v>
      </c>
      <c r="R118" s="24"/>
      <c r="S118" s="24">
        <f t="shared" si="2"/>
        <v>0</v>
      </c>
    </row>
    <row r="119" spans="2:19">
      <c r="B119" s="10" t="s">
        <v>853</v>
      </c>
      <c r="C119" s="24">
        <v>0</v>
      </c>
      <c r="D119" s="24"/>
      <c r="E119" s="24">
        <v>0</v>
      </c>
      <c r="F119" s="24"/>
      <c r="G119" s="24">
        <v>0</v>
      </c>
      <c r="H119" s="24"/>
      <c r="I119" s="24">
        <v>0</v>
      </c>
      <c r="J119" s="24"/>
      <c r="K119" s="24">
        <v>0</v>
      </c>
      <c r="L119" s="24"/>
      <c r="M119" s="24">
        <v>0</v>
      </c>
      <c r="N119" s="24"/>
      <c r="O119" s="24">
        <v>0</v>
      </c>
      <c r="P119" s="24"/>
      <c r="Q119" s="24">
        <v>0</v>
      </c>
      <c r="R119" s="24"/>
      <c r="S119" s="24">
        <f t="shared" si="2"/>
        <v>0</v>
      </c>
    </row>
    <row r="120" spans="2:19">
      <c r="B120" s="10" t="s">
        <v>117</v>
      </c>
      <c r="C120" s="24">
        <v>0</v>
      </c>
      <c r="D120" s="24"/>
      <c r="E120" s="24">
        <v>0</v>
      </c>
      <c r="F120" s="24"/>
      <c r="G120" s="24">
        <v>0</v>
      </c>
      <c r="H120" s="24"/>
      <c r="I120" s="24">
        <v>0</v>
      </c>
      <c r="J120" s="24"/>
      <c r="K120" s="24">
        <v>0</v>
      </c>
      <c r="L120" s="24"/>
      <c r="M120" s="24">
        <v>0</v>
      </c>
      <c r="N120" s="24"/>
      <c r="O120" s="24">
        <v>0</v>
      </c>
      <c r="P120" s="24"/>
      <c r="Q120" s="24">
        <v>0</v>
      </c>
      <c r="R120" s="24"/>
      <c r="S120" s="24">
        <f t="shared" si="2"/>
        <v>0</v>
      </c>
    </row>
    <row r="121" spans="2:19">
      <c r="B121" s="10" t="s">
        <v>953</v>
      </c>
      <c r="C121" s="24">
        <v>0</v>
      </c>
      <c r="D121" s="24"/>
      <c r="E121" s="24">
        <v>0</v>
      </c>
      <c r="F121" s="24"/>
      <c r="G121" s="24">
        <v>0</v>
      </c>
      <c r="H121" s="24"/>
      <c r="I121" s="24">
        <v>0</v>
      </c>
      <c r="J121" s="24"/>
      <c r="K121" s="24">
        <v>0</v>
      </c>
      <c r="L121" s="24"/>
      <c r="M121" s="24">
        <v>0</v>
      </c>
      <c r="N121" s="24"/>
      <c r="O121" s="24">
        <v>0</v>
      </c>
      <c r="P121" s="24"/>
      <c r="Q121" s="24">
        <v>0</v>
      </c>
      <c r="R121" s="24"/>
      <c r="S121" s="24">
        <f t="shared" si="2"/>
        <v>0</v>
      </c>
    </row>
    <row r="122" spans="2:19">
      <c r="B122" s="10" t="s">
        <v>118</v>
      </c>
      <c r="C122" s="24">
        <v>0</v>
      </c>
      <c r="D122" s="24"/>
      <c r="E122" s="24">
        <v>0</v>
      </c>
      <c r="F122" s="24"/>
      <c r="G122" s="24">
        <v>0</v>
      </c>
      <c r="H122" s="24"/>
      <c r="I122" s="24">
        <v>0</v>
      </c>
      <c r="J122" s="24"/>
      <c r="K122" s="24">
        <v>0</v>
      </c>
      <c r="L122" s="24"/>
      <c r="M122" s="24">
        <v>0</v>
      </c>
      <c r="N122" s="24"/>
      <c r="O122" s="24">
        <v>0</v>
      </c>
      <c r="P122" s="24"/>
      <c r="Q122" s="24">
        <v>0</v>
      </c>
      <c r="R122" s="24"/>
      <c r="S122" s="24">
        <f t="shared" si="2"/>
        <v>0</v>
      </c>
    </row>
    <row r="123" spans="2:19">
      <c r="B123" s="10" t="s">
        <v>949</v>
      </c>
      <c r="C123" s="24">
        <v>0</v>
      </c>
      <c r="D123" s="24"/>
      <c r="E123" s="24">
        <v>0</v>
      </c>
      <c r="F123" s="24"/>
      <c r="G123" s="24">
        <v>0</v>
      </c>
      <c r="H123" s="24"/>
      <c r="I123" s="24">
        <v>0</v>
      </c>
      <c r="J123" s="24"/>
      <c r="K123" s="24">
        <v>0</v>
      </c>
      <c r="L123" s="24"/>
      <c r="M123" s="24">
        <v>0</v>
      </c>
      <c r="N123" s="24"/>
      <c r="O123" s="24">
        <v>0</v>
      </c>
      <c r="P123" s="24"/>
      <c r="Q123" s="24">
        <v>0</v>
      </c>
      <c r="R123" s="24"/>
      <c r="S123" s="24">
        <f t="shared" si="2"/>
        <v>0</v>
      </c>
    </row>
    <row r="124" spans="2:19">
      <c r="B124" s="10" t="s">
        <v>119</v>
      </c>
      <c r="C124" s="24">
        <v>0</v>
      </c>
      <c r="D124" s="24"/>
      <c r="E124" s="24">
        <v>0</v>
      </c>
      <c r="F124" s="24"/>
      <c r="G124" s="24">
        <v>0</v>
      </c>
      <c r="H124" s="24"/>
      <c r="I124" s="24">
        <v>0</v>
      </c>
      <c r="J124" s="24"/>
      <c r="K124" s="24">
        <v>0</v>
      </c>
      <c r="L124" s="24"/>
      <c r="M124" s="24">
        <v>0</v>
      </c>
      <c r="N124" s="24"/>
      <c r="O124" s="24">
        <v>0</v>
      </c>
      <c r="P124" s="24"/>
      <c r="Q124" s="24">
        <v>0</v>
      </c>
      <c r="R124" s="24"/>
      <c r="S124" s="187">
        <f t="shared" si="2"/>
        <v>0</v>
      </c>
    </row>
    <row r="125" spans="2:19">
      <c r="B125" s="10" t="s">
        <v>950</v>
      </c>
      <c r="C125" s="24">
        <v>0</v>
      </c>
      <c r="D125" s="24"/>
      <c r="E125" s="24">
        <v>0</v>
      </c>
      <c r="F125" s="24"/>
      <c r="G125" s="24">
        <v>0</v>
      </c>
      <c r="H125" s="24"/>
      <c r="I125" s="24">
        <v>0</v>
      </c>
      <c r="J125" s="24"/>
      <c r="K125" s="24">
        <v>0</v>
      </c>
      <c r="L125" s="24"/>
      <c r="M125" s="24">
        <v>0</v>
      </c>
      <c r="N125" s="24"/>
      <c r="O125" s="24">
        <v>0</v>
      </c>
      <c r="P125" s="24"/>
      <c r="Q125" s="24">
        <v>0</v>
      </c>
      <c r="R125" s="24"/>
      <c r="S125" s="24">
        <f t="shared" si="2"/>
        <v>0</v>
      </c>
    </row>
    <row r="126" spans="2:19">
      <c r="B126" s="10" t="s">
        <v>121</v>
      </c>
      <c r="C126" s="24">
        <v>0</v>
      </c>
      <c r="D126" s="24"/>
      <c r="E126" s="24">
        <v>0</v>
      </c>
      <c r="F126" s="24"/>
      <c r="G126" s="24">
        <v>0</v>
      </c>
      <c r="H126" s="24"/>
      <c r="I126" s="24">
        <v>0</v>
      </c>
      <c r="J126" s="24"/>
      <c r="K126" s="24">
        <v>0</v>
      </c>
      <c r="L126" s="24"/>
      <c r="M126" s="24">
        <v>0</v>
      </c>
      <c r="N126" s="24"/>
      <c r="O126" s="24">
        <v>0</v>
      </c>
      <c r="P126" s="24"/>
      <c r="Q126" s="24">
        <v>0</v>
      </c>
      <c r="R126" s="24"/>
      <c r="S126" s="24">
        <f t="shared" si="2"/>
        <v>0</v>
      </c>
    </row>
    <row r="127" spans="2:19">
      <c r="B127" s="10" t="s">
        <v>951</v>
      </c>
      <c r="C127" s="24">
        <v>0</v>
      </c>
      <c r="D127" s="24"/>
      <c r="E127" s="24">
        <v>0</v>
      </c>
      <c r="F127" s="24"/>
      <c r="G127" s="24">
        <v>0</v>
      </c>
      <c r="H127" s="24"/>
      <c r="I127" s="24">
        <v>0</v>
      </c>
      <c r="J127" s="24"/>
      <c r="K127" s="24">
        <v>0</v>
      </c>
      <c r="L127" s="24"/>
      <c r="M127" s="24">
        <v>0</v>
      </c>
      <c r="N127" s="24"/>
      <c r="O127" s="24">
        <v>0</v>
      </c>
      <c r="P127" s="24"/>
      <c r="Q127" s="24">
        <v>0</v>
      </c>
      <c r="R127" s="24"/>
      <c r="S127" s="24">
        <f t="shared" si="2"/>
        <v>0</v>
      </c>
    </row>
    <row r="128" spans="2:19">
      <c r="B128" s="10" t="s">
        <v>122</v>
      </c>
      <c r="C128" s="24">
        <v>0</v>
      </c>
      <c r="D128" s="24"/>
      <c r="E128" s="24">
        <v>0</v>
      </c>
      <c r="F128" s="24"/>
      <c r="G128" s="24">
        <v>0</v>
      </c>
      <c r="H128" s="24"/>
      <c r="I128" s="24">
        <v>0</v>
      </c>
      <c r="J128" s="24"/>
      <c r="K128" s="24">
        <v>0</v>
      </c>
      <c r="L128" s="24"/>
      <c r="M128" s="24">
        <v>0</v>
      </c>
      <c r="N128" s="24"/>
      <c r="O128" s="24">
        <v>0</v>
      </c>
      <c r="P128" s="24"/>
      <c r="Q128" s="24">
        <v>0</v>
      </c>
      <c r="R128" s="24"/>
      <c r="S128" s="24">
        <f t="shared" si="2"/>
        <v>0</v>
      </c>
    </row>
    <row r="129" spans="1:19">
      <c r="B129" s="10" t="s">
        <v>124</v>
      </c>
      <c r="C129" s="24">
        <v>0</v>
      </c>
      <c r="D129" s="24"/>
      <c r="E129" s="24">
        <v>0</v>
      </c>
      <c r="F129" s="24"/>
      <c r="G129" s="24">
        <v>0</v>
      </c>
      <c r="H129" s="24"/>
      <c r="I129" s="24">
        <v>0</v>
      </c>
      <c r="J129" s="24"/>
      <c r="K129" s="24">
        <v>0</v>
      </c>
      <c r="L129" s="24"/>
      <c r="M129" s="24">
        <v>0</v>
      </c>
      <c r="N129" s="24"/>
      <c r="O129" s="24">
        <v>0</v>
      </c>
      <c r="P129" s="24"/>
      <c r="Q129" s="24">
        <v>0</v>
      </c>
      <c r="R129" s="24"/>
      <c r="S129" s="24">
        <f t="shared" si="2"/>
        <v>0</v>
      </c>
    </row>
    <row r="130" spans="1:19">
      <c r="B130" s="10" t="s">
        <v>952</v>
      </c>
      <c r="C130" s="24">
        <v>0</v>
      </c>
      <c r="D130" s="24"/>
      <c r="E130" s="24">
        <v>0</v>
      </c>
      <c r="F130" s="24"/>
      <c r="G130" s="24">
        <v>0</v>
      </c>
      <c r="H130" s="24"/>
      <c r="I130" s="24">
        <v>0</v>
      </c>
      <c r="J130" s="24"/>
      <c r="K130" s="24">
        <v>0</v>
      </c>
      <c r="L130" s="24"/>
      <c r="M130" s="24">
        <v>0</v>
      </c>
      <c r="N130" s="24"/>
      <c r="O130" s="24">
        <v>0</v>
      </c>
      <c r="P130" s="24"/>
      <c r="Q130" s="24">
        <v>0</v>
      </c>
      <c r="R130" s="24"/>
      <c r="S130" s="24">
        <f t="shared" si="2"/>
        <v>0</v>
      </c>
    </row>
    <row r="131" spans="1:19">
      <c r="B131" s="10" t="s">
        <v>129</v>
      </c>
      <c r="C131" s="27">
        <v>0</v>
      </c>
      <c r="D131" s="27"/>
      <c r="E131" s="27">
        <v>0</v>
      </c>
      <c r="F131" s="27"/>
      <c r="G131" s="27">
        <v>0</v>
      </c>
      <c r="H131" s="27"/>
      <c r="I131" s="27">
        <v>0</v>
      </c>
      <c r="J131" s="27"/>
      <c r="K131" s="27">
        <v>0</v>
      </c>
      <c r="L131" s="27"/>
      <c r="M131" s="27">
        <v>0</v>
      </c>
      <c r="N131" s="27"/>
      <c r="O131" s="27">
        <v>0</v>
      </c>
      <c r="P131" s="27"/>
      <c r="Q131" s="27">
        <v>0</v>
      </c>
      <c r="R131" s="27"/>
      <c r="S131" s="27">
        <f t="shared" si="2"/>
        <v>0</v>
      </c>
    </row>
    <row r="132" spans="1:19">
      <c r="B132" s="10" t="s">
        <v>125</v>
      </c>
      <c r="C132" s="27">
        <v>0</v>
      </c>
      <c r="D132" s="27"/>
      <c r="E132" s="27">
        <v>0</v>
      </c>
      <c r="F132" s="27"/>
      <c r="G132" s="27">
        <v>0</v>
      </c>
      <c r="H132" s="27"/>
      <c r="I132" s="27">
        <v>0</v>
      </c>
      <c r="J132" s="27"/>
      <c r="K132" s="27">
        <v>0</v>
      </c>
      <c r="L132" s="27"/>
      <c r="M132" s="27">
        <v>0</v>
      </c>
      <c r="N132" s="27"/>
      <c r="O132" s="27">
        <v>0</v>
      </c>
      <c r="P132" s="27"/>
      <c r="Q132" s="27">
        <v>0</v>
      </c>
      <c r="R132" s="27"/>
      <c r="S132" s="27">
        <f t="shared" si="2"/>
        <v>0</v>
      </c>
    </row>
    <row r="133" spans="1:19">
      <c r="B133" s="10" t="s">
        <v>1239</v>
      </c>
      <c r="C133" s="28">
        <v>0</v>
      </c>
      <c r="D133" s="27"/>
      <c r="E133" s="28">
        <v>0</v>
      </c>
      <c r="F133" s="27"/>
      <c r="G133" s="28">
        <v>0</v>
      </c>
      <c r="H133" s="27"/>
      <c r="I133" s="28">
        <v>0</v>
      </c>
      <c r="J133" s="27"/>
      <c r="K133" s="28">
        <v>0</v>
      </c>
      <c r="L133" s="27"/>
      <c r="M133" s="28">
        <v>0</v>
      </c>
      <c r="N133" s="27"/>
      <c r="O133" s="28">
        <v>0</v>
      </c>
      <c r="P133" s="27"/>
      <c r="Q133" s="28">
        <v>0</v>
      </c>
      <c r="R133" s="27"/>
      <c r="S133" s="28">
        <f t="shared" si="2"/>
        <v>0</v>
      </c>
    </row>
    <row r="134" spans="1:19">
      <c r="B134" s="10" t="s">
        <v>147</v>
      </c>
      <c r="C134" s="27">
        <f>SUM(C112:C133)</f>
        <v>0</v>
      </c>
      <c r="D134" s="27"/>
      <c r="E134" s="27">
        <f>SUM(E112:E133)</f>
        <v>0</v>
      </c>
      <c r="F134" s="27"/>
      <c r="G134" s="27">
        <f>SUM(G112:G133)</f>
        <v>0</v>
      </c>
      <c r="H134" s="27"/>
      <c r="I134" s="27">
        <f>SUM(I112:I133)</f>
        <v>0</v>
      </c>
      <c r="J134" s="27"/>
      <c r="K134" s="27">
        <f>SUM(K112:K133)</f>
        <v>0</v>
      </c>
      <c r="L134" s="27"/>
      <c r="M134" s="27">
        <f>SUM(M112:M133)</f>
        <v>0</v>
      </c>
      <c r="N134" s="27"/>
      <c r="O134" s="27">
        <f>SUM(O112:O133)</f>
        <v>0</v>
      </c>
      <c r="P134" s="27"/>
      <c r="Q134" s="27">
        <f>SUM(Q112:Q133)</f>
        <v>0</v>
      </c>
      <c r="R134" s="27"/>
      <c r="S134" s="27">
        <f>SUM(S112:S133)</f>
        <v>0</v>
      </c>
    </row>
    <row r="135" spans="1:19">
      <c r="B135" s="11"/>
      <c r="C135" s="71"/>
      <c r="D135" s="71"/>
      <c r="E135" s="71"/>
      <c r="F135" s="71"/>
      <c r="G135" s="71"/>
      <c r="H135" s="71"/>
      <c r="I135" s="71"/>
      <c r="J135" s="71"/>
      <c r="K135" s="71"/>
      <c r="L135" s="71"/>
      <c r="M135" s="71"/>
      <c r="N135" s="71"/>
      <c r="O135" s="71"/>
      <c r="P135" s="71"/>
      <c r="Q135" s="71"/>
      <c r="R135" s="71"/>
      <c r="S135" s="71"/>
    </row>
    <row r="136" spans="1:19" ht="15">
      <c r="A136" s="12" t="s">
        <v>653</v>
      </c>
      <c r="C136" s="87"/>
      <c r="D136" s="87"/>
      <c r="E136" s="87"/>
      <c r="F136" s="74"/>
      <c r="G136" s="87"/>
      <c r="H136" s="87"/>
      <c r="I136" s="87"/>
      <c r="J136" s="74"/>
      <c r="K136" s="87"/>
      <c r="L136" s="74"/>
      <c r="M136" s="87"/>
      <c r="N136" s="74"/>
      <c r="O136" s="87"/>
      <c r="P136" s="74"/>
      <c r="Q136" s="87"/>
      <c r="R136" s="74"/>
      <c r="S136" s="87"/>
    </row>
    <row r="137" spans="1:19">
      <c r="C137" s="27"/>
      <c r="D137" s="27"/>
      <c r="E137" s="27"/>
      <c r="F137" s="27"/>
      <c r="G137" s="27"/>
      <c r="H137" s="27"/>
      <c r="I137" s="27"/>
      <c r="J137" s="27"/>
      <c r="K137" s="27"/>
      <c r="L137" s="27"/>
      <c r="M137" s="27"/>
      <c r="N137" s="27"/>
      <c r="O137" s="27"/>
      <c r="P137" s="27"/>
      <c r="Q137" s="27"/>
      <c r="R137" s="27"/>
      <c r="S137" s="27"/>
    </row>
    <row r="138" spans="1:19">
      <c r="B138" s="10" t="s">
        <v>455</v>
      </c>
      <c r="C138" s="24"/>
      <c r="D138" s="24"/>
      <c r="E138" s="24"/>
      <c r="F138" s="24"/>
      <c r="G138" s="24"/>
      <c r="H138" s="24"/>
      <c r="I138" s="24"/>
      <c r="J138" s="24"/>
      <c r="K138" s="24"/>
      <c r="L138" s="24"/>
      <c r="M138" s="24"/>
      <c r="N138" s="24"/>
      <c r="O138" s="24"/>
      <c r="P138" s="24"/>
      <c r="Q138" s="24"/>
      <c r="R138" s="24"/>
      <c r="S138" s="24">
        <f t="shared" ref="S138:S139" si="3">SUM(C138:R138)</f>
        <v>0</v>
      </c>
    </row>
    <row r="139" spans="1:19">
      <c r="B139" s="10" t="s">
        <v>113</v>
      </c>
      <c r="C139" s="24"/>
      <c r="D139" s="24"/>
      <c r="E139" s="24"/>
      <c r="F139" s="24"/>
      <c r="G139" s="24"/>
      <c r="H139" s="24"/>
      <c r="I139" s="24"/>
      <c r="J139" s="24"/>
      <c r="K139" s="24"/>
      <c r="L139" s="24"/>
      <c r="M139" s="24"/>
      <c r="N139" s="24"/>
      <c r="O139" s="24"/>
      <c r="P139" s="24"/>
      <c r="Q139" s="24"/>
      <c r="R139" s="24"/>
      <c r="S139" s="24">
        <f t="shared" si="3"/>
        <v>0</v>
      </c>
    </row>
    <row r="140" spans="1:19">
      <c r="B140" s="10" t="s">
        <v>114</v>
      </c>
      <c r="C140" s="24"/>
      <c r="D140" s="24"/>
      <c r="E140" s="24"/>
      <c r="F140" s="24"/>
      <c r="G140" s="24"/>
      <c r="H140" s="24"/>
      <c r="I140" s="24"/>
      <c r="J140" s="24"/>
      <c r="K140" s="24"/>
      <c r="L140" s="24"/>
      <c r="M140" s="24"/>
      <c r="N140" s="24"/>
      <c r="O140" s="24"/>
      <c r="P140" s="24"/>
      <c r="Q140" s="24"/>
      <c r="R140" s="24"/>
      <c r="S140" s="24">
        <f t="shared" ref="S140:S149" si="4">SUM(C140:R140)</f>
        <v>0</v>
      </c>
    </row>
    <row r="141" spans="1:19">
      <c r="B141" s="10" t="s">
        <v>115</v>
      </c>
      <c r="C141" s="24"/>
      <c r="D141" s="24"/>
      <c r="E141" s="24"/>
      <c r="F141" s="24"/>
      <c r="G141" s="24"/>
      <c r="H141" s="24"/>
      <c r="I141" s="24"/>
      <c r="J141" s="24"/>
      <c r="K141" s="24"/>
      <c r="L141" s="24"/>
      <c r="M141" s="24"/>
      <c r="N141" s="24"/>
      <c r="O141" s="24"/>
      <c r="P141" s="24"/>
      <c r="Q141" s="24"/>
      <c r="R141" s="24"/>
      <c r="S141" s="24">
        <f t="shared" si="4"/>
        <v>0</v>
      </c>
    </row>
    <row r="142" spans="1:19">
      <c r="B142" s="10" t="s">
        <v>117</v>
      </c>
      <c r="C142" s="24"/>
      <c r="D142" s="24"/>
      <c r="E142" s="24"/>
      <c r="F142" s="24"/>
      <c r="G142" s="24"/>
      <c r="H142" s="24"/>
      <c r="I142" s="24"/>
      <c r="J142" s="24"/>
      <c r="K142" s="24"/>
      <c r="L142" s="24"/>
      <c r="M142" s="24"/>
      <c r="N142" s="24"/>
      <c r="O142" s="24"/>
      <c r="P142" s="24"/>
      <c r="Q142" s="24"/>
      <c r="R142" s="24"/>
      <c r="S142" s="24">
        <f t="shared" si="4"/>
        <v>0</v>
      </c>
    </row>
    <row r="143" spans="1:19">
      <c r="B143" s="10" t="s">
        <v>118</v>
      </c>
      <c r="C143" s="24"/>
      <c r="D143" s="24"/>
      <c r="E143" s="24"/>
      <c r="F143" s="24"/>
      <c r="G143" s="24"/>
      <c r="H143" s="24"/>
      <c r="I143" s="24"/>
      <c r="J143" s="24"/>
      <c r="K143" s="24"/>
      <c r="L143" s="24"/>
      <c r="M143" s="24"/>
      <c r="N143" s="24"/>
      <c r="O143" s="24"/>
      <c r="P143" s="24"/>
      <c r="Q143" s="24"/>
      <c r="R143" s="24"/>
      <c r="S143" s="24">
        <f t="shared" si="4"/>
        <v>0</v>
      </c>
    </row>
    <row r="144" spans="1:19">
      <c r="B144" s="10" t="s">
        <v>119</v>
      </c>
      <c r="C144" s="24"/>
      <c r="D144" s="24"/>
      <c r="E144" s="24"/>
      <c r="F144" s="24"/>
      <c r="G144" s="24"/>
      <c r="H144" s="24"/>
      <c r="I144" s="24"/>
      <c r="J144" s="24"/>
      <c r="K144" s="24"/>
      <c r="L144" s="24"/>
      <c r="M144" s="24"/>
      <c r="N144" s="24"/>
      <c r="O144" s="24"/>
      <c r="P144" s="24"/>
      <c r="Q144" s="24"/>
      <c r="R144" s="24"/>
      <c r="S144" s="24">
        <f t="shared" si="4"/>
        <v>0</v>
      </c>
    </row>
    <row r="145" spans="1:19">
      <c r="B145" s="10" t="s">
        <v>121</v>
      </c>
      <c r="C145" s="24"/>
      <c r="D145" s="24"/>
      <c r="E145" s="24"/>
      <c r="F145" s="24"/>
      <c r="G145" s="24"/>
      <c r="H145" s="24"/>
      <c r="I145" s="24"/>
      <c r="J145" s="24"/>
      <c r="K145" s="24"/>
      <c r="L145" s="24"/>
      <c r="M145" s="24"/>
      <c r="N145" s="24"/>
      <c r="O145" s="24"/>
      <c r="P145" s="24"/>
      <c r="Q145" s="24"/>
      <c r="R145" s="24"/>
      <c r="S145" s="24">
        <f t="shared" si="4"/>
        <v>0</v>
      </c>
    </row>
    <row r="146" spans="1:19">
      <c r="B146" s="10" t="s">
        <v>122</v>
      </c>
      <c r="C146" s="24"/>
      <c r="D146" s="24"/>
      <c r="E146" s="24"/>
      <c r="F146" s="24"/>
      <c r="G146" s="24"/>
      <c r="H146" s="24"/>
      <c r="I146" s="24"/>
      <c r="J146" s="24"/>
      <c r="K146" s="24"/>
      <c r="L146" s="24"/>
      <c r="M146" s="24"/>
      <c r="N146" s="24"/>
      <c r="O146" s="24"/>
      <c r="P146" s="24"/>
      <c r="Q146" s="24"/>
      <c r="R146" s="24"/>
      <c r="S146" s="24">
        <f t="shared" si="4"/>
        <v>0</v>
      </c>
    </row>
    <row r="147" spans="1:19">
      <c r="B147" s="10" t="s">
        <v>124</v>
      </c>
      <c r="C147" s="24"/>
      <c r="D147" s="24"/>
      <c r="E147" s="24"/>
      <c r="F147" s="24"/>
      <c r="G147" s="24"/>
      <c r="H147" s="24"/>
      <c r="I147" s="24"/>
      <c r="J147" s="24"/>
      <c r="K147" s="24"/>
      <c r="L147" s="24"/>
      <c r="M147" s="24"/>
      <c r="N147" s="24"/>
      <c r="O147" s="24"/>
      <c r="P147" s="24"/>
      <c r="Q147" s="24"/>
      <c r="R147" s="24"/>
      <c r="S147" s="24">
        <f t="shared" si="4"/>
        <v>0</v>
      </c>
    </row>
    <row r="148" spans="1:19">
      <c r="B148" s="10" t="s">
        <v>129</v>
      </c>
      <c r="C148" s="24"/>
      <c r="D148" s="24"/>
      <c r="E148" s="24"/>
      <c r="F148" s="24"/>
      <c r="G148" s="24"/>
      <c r="H148" s="24"/>
      <c r="I148" s="24"/>
      <c r="J148" s="24"/>
      <c r="K148" s="24"/>
      <c r="L148" s="24"/>
      <c r="M148" s="24"/>
      <c r="N148" s="24"/>
      <c r="O148" s="24"/>
      <c r="P148" s="24"/>
      <c r="Q148" s="24"/>
      <c r="R148" s="24"/>
      <c r="S148" s="24">
        <f t="shared" si="4"/>
        <v>0</v>
      </c>
    </row>
    <row r="149" spans="1:19">
      <c r="B149" s="10" t="s">
        <v>125</v>
      </c>
      <c r="C149" s="28"/>
      <c r="D149" s="24"/>
      <c r="E149" s="28"/>
      <c r="F149" s="24"/>
      <c r="G149" s="28"/>
      <c r="H149" s="24"/>
      <c r="I149" s="28"/>
      <c r="J149" s="24"/>
      <c r="K149" s="28"/>
      <c r="L149" s="24"/>
      <c r="M149" s="28"/>
      <c r="N149" s="24"/>
      <c r="O149" s="28"/>
      <c r="P149" s="24"/>
      <c r="Q149" s="28"/>
      <c r="R149" s="24"/>
      <c r="S149" s="28">
        <f t="shared" si="4"/>
        <v>0</v>
      </c>
    </row>
    <row r="150" spans="1:19">
      <c r="B150" s="10" t="s">
        <v>147</v>
      </c>
      <c r="C150" s="27">
        <f>SUM(C137:C149)</f>
        <v>0</v>
      </c>
      <c r="D150" s="27"/>
      <c r="E150" s="27">
        <f>SUM(E137:E149)</f>
        <v>0</v>
      </c>
      <c r="F150" s="27"/>
      <c r="G150" s="27">
        <f>SUM(G137:G149)</f>
        <v>0</v>
      </c>
      <c r="H150" s="27"/>
      <c r="I150" s="27">
        <f>SUM(I137:I149)</f>
        <v>0</v>
      </c>
      <c r="J150" s="27"/>
      <c r="K150" s="27">
        <f>SUM(K137:K149)</f>
        <v>0</v>
      </c>
      <c r="L150" s="27"/>
      <c r="M150" s="27">
        <f>SUM(M137:M149)</f>
        <v>0</v>
      </c>
      <c r="N150" s="27"/>
      <c r="O150" s="27">
        <f>SUM(O137:O149)</f>
        <v>0</v>
      </c>
      <c r="P150" s="27"/>
      <c r="Q150" s="27">
        <f>SUM(Q137:Q149)</f>
        <v>0</v>
      </c>
      <c r="R150" s="27"/>
      <c r="S150" s="27">
        <f>SUM(S137:S149)</f>
        <v>0</v>
      </c>
    </row>
    <row r="151" spans="1:19">
      <c r="B151" s="11"/>
      <c r="C151" s="71"/>
      <c r="D151" s="71"/>
      <c r="E151" s="71"/>
      <c r="F151" s="71"/>
      <c r="G151" s="71"/>
      <c r="H151" s="71"/>
      <c r="I151" s="71"/>
      <c r="J151" s="71"/>
      <c r="K151" s="71"/>
      <c r="L151" s="71"/>
      <c r="M151" s="71"/>
      <c r="N151" s="71"/>
      <c r="O151" s="71"/>
      <c r="P151" s="71"/>
      <c r="Q151" s="71"/>
      <c r="R151" s="71"/>
      <c r="S151" s="71"/>
    </row>
    <row r="152" spans="1:19" ht="15">
      <c r="A152" s="12" t="s">
        <v>654</v>
      </c>
      <c r="C152" s="87"/>
      <c r="D152" s="87"/>
      <c r="E152" s="87"/>
      <c r="F152" s="74"/>
      <c r="G152" s="87"/>
      <c r="H152" s="87"/>
      <c r="I152" s="87"/>
      <c r="J152" s="74"/>
      <c r="K152" s="87"/>
      <c r="L152" s="74"/>
      <c r="M152" s="87"/>
      <c r="N152" s="74"/>
      <c r="O152" s="87"/>
      <c r="P152" s="74"/>
      <c r="Q152" s="87"/>
      <c r="R152" s="74"/>
      <c r="S152" s="87"/>
    </row>
    <row r="153" spans="1:19">
      <c r="B153" s="10" t="s">
        <v>455</v>
      </c>
      <c r="C153" s="27"/>
      <c r="D153" s="27"/>
      <c r="E153" s="27"/>
      <c r="F153" s="27"/>
      <c r="G153" s="27"/>
      <c r="H153" s="27"/>
      <c r="I153" s="27"/>
      <c r="J153" s="27"/>
      <c r="K153" s="27"/>
      <c r="L153" s="27"/>
      <c r="M153" s="27"/>
      <c r="N153" s="27"/>
      <c r="O153" s="27"/>
      <c r="P153" s="27"/>
      <c r="Q153" s="27"/>
      <c r="R153" s="27"/>
      <c r="S153" s="27">
        <f t="shared" ref="S153:S165" si="5">SUM(C153:R153)</f>
        <v>0</v>
      </c>
    </row>
    <row r="154" spans="1:19">
      <c r="B154" s="10" t="s">
        <v>113</v>
      </c>
      <c r="C154" s="27"/>
      <c r="D154" s="27"/>
      <c r="E154" s="27"/>
      <c r="F154" s="27"/>
      <c r="G154" s="27"/>
      <c r="H154" s="27"/>
      <c r="I154" s="27"/>
      <c r="J154" s="27"/>
      <c r="K154" s="27"/>
      <c r="L154" s="27"/>
      <c r="M154" s="27"/>
      <c r="N154" s="27"/>
      <c r="O154" s="27"/>
      <c r="P154" s="27"/>
      <c r="Q154" s="27"/>
      <c r="R154" s="27"/>
      <c r="S154" s="27">
        <f t="shared" si="5"/>
        <v>0</v>
      </c>
    </row>
    <row r="155" spans="1:19">
      <c r="B155" s="10" t="s">
        <v>114</v>
      </c>
      <c r="C155" s="27"/>
      <c r="D155" s="27"/>
      <c r="E155" s="27"/>
      <c r="F155" s="27"/>
      <c r="G155" s="27"/>
      <c r="H155" s="27"/>
      <c r="I155" s="27"/>
      <c r="J155" s="27"/>
      <c r="K155" s="27"/>
      <c r="L155" s="27"/>
      <c r="M155" s="27"/>
      <c r="N155" s="27"/>
      <c r="O155" s="27"/>
      <c r="P155" s="27"/>
      <c r="Q155" s="27"/>
      <c r="R155" s="27"/>
      <c r="S155" s="27">
        <f t="shared" si="5"/>
        <v>0</v>
      </c>
    </row>
    <row r="156" spans="1:19">
      <c r="B156" s="10" t="s">
        <v>115</v>
      </c>
      <c r="C156" s="27"/>
      <c r="D156" s="27"/>
      <c r="E156" s="27"/>
      <c r="F156" s="27"/>
      <c r="G156" s="27"/>
      <c r="H156" s="27"/>
      <c r="I156" s="27"/>
      <c r="J156" s="27"/>
      <c r="K156" s="27"/>
      <c r="L156" s="27"/>
      <c r="M156" s="27"/>
      <c r="N156" s="27"/>
      <c r="O156" s="27"/>
      <c r="P156" s="27"/>
      <c r="Q156" s="27"/>
      <c r="R156" s="27"/>
      <c r="S156" s="27">
        <f t="shared" si="5"/>
        <v>0</v>
      </c>
    </row>
    <row r="157" spans="1:19">
      <c r="B157" s="10" t="s">
        <v>117</v>
      </c>
      <c r="C157" s="27"/>
      <c r="D157" s="27"/>
      <c r="E157" s="27"/>
      <c r="F157" s="27"/>
      <c r="G157" s="27"/>
      <c r="H157" s="27"/>
      <c r="I157" s="27"/>
      <c r="J157" s="27"/>
      <c r="K157" s="27"/>
      <c r="L157" s="27"/>
      <c r="M157" s="27"/>
      <c r="N157" s="27"/>
      <c r="O157" s="27"/>
      <c r="P157" s="27"/>
      <c r="Q157" s="27"/>
      <c r="R157" s="27"/>
      <c r="S157" s="27">
        <f t="shared" si="5"/>
        <v>0</v>
      </c>
    </row>
    <row r="158" spans="1:19">
      <c r="B158" s="10" t="s">
        <v>118</v>
      </c>
      <c r="C158" s="27"/>
      <c r="D158" s="27"/>
      <c r="E158" s="27"/>
      <c r="F158" s="27"/>
      <c r="G158" s="27"/>
      <c r="H158" s="27"/>
      <c r="I158" s="27"/>
      <c r="J158" s="27"/>
      <c r="K158" s="27"/>
      <c r="L158" s="27"/>
      <c r="M158" s="27"/>
      <c r="N158" s="27"/>
      <c r="O158" s="27"/>
      <c r="P158" s="27"/>
      <c r="Q158" s="27"/>
      <c r="R158" s="27"/>
      <c r="S158" s="27">
        <f t="shared" si="5"/>
        <v>0</v>
      </c>
    </row>
    <row r="159" spans="1:19">
      <c r="B159" s="10" t="s">
        <v>119</v>
      </c>
      <c r="C159" s="27"/>
      <c r="D159" s="27"/>
      <c r="E159" s="27"/>
      <c r="F159" s="27"/>
      <c r="G159" s="27"/>
      <c r="H159" s="27"/>
      <c r="I159" s="27"/>
      <c r="J159" s="27"/>
      <c r="K159" s="27"/>
      <c r="L159" s="27"/>
      <c r="M159" s="27"/>
      <c r="N159" s="27"/>
      <c r="O159" s="27"/>
      <c r="P159" s="27"/>
      <c r="Q159" s="27"/>
      <c r="R159" s="27"/>
      <c r="S159" s="27">
        <f t="shared" si="5"/>
        <v>0</v>
      </c>
    </row>
    <row r="160" spans="1:19">
      <c r="B160" s="10" t="s">
        <v>121</v>
      </c>
      <c r="C160" s="27"/>
      <c r="D160" s="27"/>
      <c r="E160" s="27"/>
      <c r="F160" s="27"/>
      <c r="G160" s="27"/>
      <c r="H160" s="27"/>
      <c r="I160" s="27"/>
      <c r="J160" s="27"/>
      <c r="K160" s="27"/>
      <c r="L160" s="27"/>
      <c r="M160" s="27"/>
      <c r="N160" s="27"/>
      <c r="O160" s="27"/>
      <c r="P160" s="27"/>
      <c r="Q160" s="27"/>
      <c r="R160" s="27"/>
      <c r="S160" s="27">
        <f t="shared" si="5"/>
        <v>0</v>
      </c>
    </row>
    <row r="161" spans="1:20">
      <c r="B161" s="10" t="s">
        <v>122</v>
      </c>
      <c r="C161" s="27"/>
      <c r="D161" s="27"/>
      <c r="E161" s="27"/>
      <c r="F161" s="27"/>
      <c r="G161" s="27"/>
      <c r="H161" s="27"/>
      <c r="I161" s="27"/>
      <c r="J161" s="27"/>
      <c r="K161" s="27"/>
      <c r="L161" s="27"/>
      <c r="M161" s="27"/>
      <c r="N161" s="27"/>
      <c r="O161" s="27"/>
      <c r="P161" s="27"/>
      <c r="Q161" s="27"/>
      <c r="R161" s="27"/>
      <c r="S161" s="27">
        <f t="shared" si="5"/>
        <v>0</v>
      </c>
    </row>
    <row r="162" spans="1:20">
      <c r="B162" s="10" t="s">
        <v>124</v>
      </c>
      <c r="C162" s="27"/>
      <c r="D162" s="27"/>
      <c r="E162" s="27"/>
      <c r="F162" s="27"/>
      <c r="G162" s="27"/>
      <c r="H162" s="27"/>
      <c r="I162" s="27"/>
      <c r="J162" s="27"/>
      <c r="K162" s="27"/>
      <c r="L162" s="27"/>
      <c r="M162" s="27"/>
      <c r="N162" s="27"/>
      <c r="O162" s="27"/>
      <c r="P162" s="27"/>
      <c r="Q162" s="27"/>
      <c r="R162" s="27"/>
      <c r="S162" s="27">
        <f t="shared" si="5"/>
        <v>0</v>
      </c>
    </row>
    <row r="163" spans="1:20">
      <c r="B163" s="10" t="s">
        <v>129</v>
      </c>
      <c r="C163" s="27"/>
      <c r="D163" s="27"/>
      <c r="E163" s="27"/>
      <c r="F163" s="27"/>
      <c r="G163" s="27"/>
      <c r="H163" s="27"/>
      <c r="I163" s="27"/>
      <c r="J163" s="27"/>
      <c r="K163" s="27"/>
      <c r="L163" s="27"/>
      <c r="M163" s="27"/>
      <c r="N163" s="27"/>
      <c r="O163" s="27"/>
      <c r="P163" s="27"/>
      <c r="Q163" s="27"/>
      <c r="R163" s="27"/>
      <c r="S163" s="27">
        <f t="shared" si="5"/>
        <v>0</v>
      </c>
    </row>
    <row r="164" spans="1:20">
      <c r="B164" s="10" t="s">
        <v>125</v>
      </c>
      <c r="C164" s="27"/>
      <c r="D164" s="27"/>
      <c r="E164" s="27"/>
      <c r="F164" s="27"/>
      <c r="G164" s="27"/>
      <c r="H164" s="27"/>
      <c r="I164" s="27"/>
      <c r="J164" s="27"/>
      <c r="K164" s="27"/>
      <c r="L164" s="27"/>
      <c r="M164" s="27"/>
      <c r="N164" s="27"/>
      <c r="O164" s="27"/>
      <c r="P164" s="27"/>
      <c r="Q164" s="27"/>
      <c r="R164" s="27"/>
      <c r="S164" s="27">
        <f t="shared" si="5"/>
        <v>0</v>
      </c>
    </row>
    <row r="165" spans="1:20">
      <c r="B165" s="10" t="s">
        <v>131</v>
      </c>
      <c r="C165" s="28"/>
      <c r="D165" s="27"/>
      <c r="E165" s="28"/>
      <c r="F165" s="27"/>
      <c r="G165" s="28"/>
      <c r="H165" s="27"/>
      <c r="I165" s="28"/>
      <c r="J165" s="27"/>
      <c r="K165" s="28"/>
      <c r="L165" s="27"/>
      <c r="M165" s="28"/>
      <c r="N165" s="27"/>
      <c r="O165" s="28"/>
      <c r="P165" s="27"/>
      <c r="Q165" s="28"/>
      <c r="R165" s="27"/>
      <c r="S165" s="28">
        <f t="shared" si="5"/>
        <v>0</v>
      </c>
    </row>
    <row r="166" spans="1:20">
      <c r="B166" s="11"/>
      <c r="C166" s="27">
        <f>SUM(C153:C165)</f>
        <v>0</v>
      </c>
      <c r="D166" s="27"/>
      <c r="E166" s="27">
        <f>SUM(E153:E165)</f>
        <v>0</v>
      </c>
      <c r="F166" s="27"/>
      <c r="G166" s="27">
        <f>SUM(G153:G165)</f>
        <v>0</v>
      </c>
      <c r="H166" s="27"/>
      <c r="I166" s="27">
        <f>SUM(I153:I165)</f>
        <v>0</v>
      </c>
      <c r="J166" s="27"/>
      <c r="K166" s="27">
        <f>SUM(K153:K165)</f>
        <v>0</v>
      </c>
      <c r="L166" s="27"/>
      <c r="M166" s="27">
        <f>SUM(M153:M165)</f>
        <v>0</v>
      </c>
      <c r="N166" s="27"/>
      <c r="O166" s="27">
        <f>SUM(O153:O165)</f>
        <v>0</v>
      </c>
      <c r="P166" s="27"/>
      <c r="Q166" s="27">
        <f>SUM(Q153:Q165)</f>
        <v>0</v>
      </c>
      <c r="R166" s="27"/>
      <c r="S166" s="27">
        <f>SUM(S153:S165)</f>
        <v>0</v>
      </c>
    </row>
    <row r="167" spans="1:20">
      <c r="C167" s="27"/>
      <c r="D167" s="27"/>
      <c r="E167" s="27"/>
      <c r="F167" s="27"/>
      <c r="G167" s="27"/>
      <c r="H167" s="27"/>
      <c r="I167" s="27"/>
      <c r="J167" s="27"/>
      <c r="K167" s="27"/>
      <c r="L167" s="27"/>
      <c r="M167" s="27"/>
      <c r="N167" s="27"/>
      <c r="O167" s="27"/>
      <c r="P167" s="27"/>
      <c r="Q167" s="27"/>
      <c r="R167" s="27"/>
      <c r="S167" s="27"/>
    </row>
    <row r="168" spans="1:20">
      <c r="A168" s="12" t="s">
        <v>655</v>
      </c>
      <c r="C168" s="24"/>
      <c r="D168" s="24"/>
      <c r="E168" s="24"/>
      <c r="F168" s="24"/>
      <c r="G168" s="24"/>
      <c r="H168" s="24"/>
      <c r="I168" s="24"/>
      <c r="J168" s="24"/>
      <c r="K168" s="24"/>
      <c r="L168" s="24"/>
      <c r="M168" s="24"/>
      <c r="N168" s="24"/>
      <c r="O168" s="24"/>
      <c r="P168" s="24"/>
      <c r="Q168" s="24"/>
      <c r="R168" s="24"/>
      <c r="S168" s="24"/>
    </row>
    <row r="169" spans="1:20">
      <c r="B169" s="10" t="s">
        <v>652</v>
      </c>
      <c r="C169" s="24">
        <f>C153+C138+C113+C165+C114+C133</f>
        <v>0</v>
      </c>
      <c r="D169" s="24"/>
      <c r="E169" s="24">
        <f>E153+E137+E112+E113+E165+E149+E133</f>
        <v>0</v>
      </c>
      <c r="F169" s="24"/>
      <c r="G169" s="24">
        <f>G153+G137+G112+G113+G165+G149+G133</f>
        <v>0</v>
      </c>
      <c r="H169" s="24"/>
      <c r="I169" s="24">
        <f>I153+I137+I112+I113+I165+I149+I133</f>
        <v>0</v>
      </c>
      <c r="J169" s="24"/>
      <c r="K169" s="24">
        <f>K153+K137+K112+K113+K165+K149+K133</f>
        <v>0</v>
      </c>
      <c r="L169" s="24"/>
      <c r="M169" s="24">
        <f>M153+M137+M112+M113+M165+M149+M133</f>
        <v>0</v>
      </c>
      <c r="N169" s="24"/>
      <c r="O169" s="24">
        <f>O153+O137+O112+O113+O165+O149+O133</f>
        <v>0</v>
      </c>
      <c r="P169" s="24"/>
      <c r="Q169" s="24">
        <f>Q153+Q137+Q112+Q113+Q165+Q149+Q133</f>
        <v>0</v>
      </c>
      <c r="R169" s="24"/>
      <c r="S169" s="24">
        <f t="shared" ref="S169:S171" si="6">SUM(C169:R169)</f>
        <v>0</v>
      </c>
    </row>
    <row r="170" spans="1:20">
      <c r="B170" s="10" t="s">
        <v>112</v>
      </c>
      <c r="C170" s="27">
        <f>C154+C155+C156+C157+C158+C159+C139+C140+C141+C142+C143+C115+C116+C117+C118+C119+C120+C121+C122+C123+C124+C144+C125</f>
        <v>0</v>
      </c>
      <c r="D170" s="27"/>
      <c r="E170" s="27">
        <f>E154+E155+E156+E157+E158+E159+E138+E139+E140+E141+E142+E143+E114+E115+E116+E117+E118+E119+E120+E121+E122+E123+E124+E144+E125</f>
        <v>0</v>
      </c>
      <c r="F170" s="27"/>
      <c r="G170" s="27">
        <f>G154+G155+G156+G157+G158+G159+G138+G139+G140+G141+G142+G143+G114+G115+G116+G117+G118+G119+G120+G121+G122+G123+G124+G144+G125</f>
        <v>0</v>
      </c>
      <c r="H170" s="27"/>
      <c r="I170" s="27">
        <f>I154+I155+I156+I157+I158+I159+I138+I139+I140+I141+I142+I143+I114+I115+I116+I117+I118+I119+I120+I121+I122+I123+I124+I144+I125</f>
        <v>0</v>
      </c>
      <c r="J170" s="27"/>
      <c r="K170" s="27">
        <f>K154+K155+K156+K157+K158+K159+K138+K139+K140+K141+K142+K143+K114+K115+K116+K117+K118+K119+K120+K121+K122+K123+K124+K144+K125</f>
        <v>0</v>
      </c>
      <c r="L170" s="27"/>
      <c r="M170" s="27">
        <f>M154+M155+M156+M157+M158+M159+M138+M139+M140+M141+M142+M143+M114+M115+M116+M117+M118+M119+M120+M121+M122+M123+M124+M144+M125</f>
        <v>0</v>
      </c>
      <c r="N170" s="27"/>
      <c r="O170" s="27">
        <f>O154+O155+O156+O157+O158+O159+O138+O139+O140+O141+O142+O143+O114+O115+O116+O117+O118+O119+O120+O121+O122+O123+O124+O144+O125</f>
        <v>0</v>
      </c>
      <c r="P170" s="27"/>
      <c r="Q170" s="27">
        <f>Q154+Q155+Q156+Q157+Q158+Q159+Q138+Q139+Q140+Q141+Q142+Q143+Q114+Q115+Q116+Q117+Q118+Q119+Q120+Q121+Q122+Q123+Q124+Q144+Q125</f>
        <v>0</v>
      </c>
      <c r="R170" s="27"/>
      <c r="S170" s="27">
        <f t="shared" si="6"/>
        <v>0</v>
      </c>
    </row>
    <row r="171" spans="1:20">
      <c r="B171" s="10" t="s">
        <v>120</v>
      </c>
      <c r="C171" s="28">
        <f>C160+C161+C162+C163+C164+C145+C146+C147+C148+C126+C127+C128+C129+C130+C131+C149+C132</f>
        <v>0</v>
      </c>
      <c r="D171" s="27"/>
      <c r="E171" s="28">
        <f>E160+E161+E162+E163+E164+E145+E146+E147+E148+E126+E127+E128+E129+E130+E131</f>
        <v>0</v>
      </c>
      <c r="F171" s="27"/>
      <c r="G171" s="28">
        <f>G160+G161+G162+G163+G164+G145+G146+G147+G148+G126+G127+G128+G129+G130+G131</f>
        <v>0</v>
      </c>
      <c r="H171" s="27"/>
      <c r="I171" s="28">
        <f>I160+I161+I162+I163+I164+I145+I146+I147+I148+I126+I127+I128+I129+I130+I131</f>
        <v>0</v>
      </c>
      <c r="J171" s="27"/>
      <c r="K171" s="28">
        <f>K160+K161+K162+K163+K164+K145+K146+K147+K148+K126+K127+K128+K129+K130+K131</f>
        <v>0</v>
      </c>
      <c r="L171" s="27"/>
      <c r="M171" s="28">
        <f>M160+M161+M162+M163+M164+M145+M146+M147+M148+M126+M127+M128+M129+M130+M131</f>
        <v>0</v>
      </c>
      <c r="N171" s="27"/>
      <c r="O171" s="28">
        <f>O160+O161+O162+O163+O164+O145+O146+O147+O148+O126+O127+O128+O129+O130+O131</f>
        <v>0</v>
      </c>
      <c r="P171" s="27"/>
      <c r="Q171" s="28">
        <f>Q160+Q161+Q162+Q163+Q164+Q145+Q146+Q147+Q148+Q126+Q127+Q128+Q129+Q130+Q131</f>
        <v>0</v>
      </c>
      <c r="R171" s="27"/>
      <c r="S171" s="28">
        <f t="shared" si="6"/>
        <v>0</v>
      </c>
    </row>
    <row r="172" spans="1:20">
      <c r="B172" s="11"/>
      <c r="C172" s="27">
        <f>SUM(C169:C171)</f>
        <v>0</v>
      </c>
      <c r="D172" s="27"/>
      <c r="E172" s="27">
        <f>SUM(E169:E171)</f>
        <v>0</v>
      </c>
      <c r="F172" s="27"/>
      <c r="G172" s="27">
        <f>SUM(G169:G171)</f>
        <v>0</v>
      </c>
      <c r="H172" s="27"/>
      <c r="I172" s="27">
        <f>SUM(I169:I171)</f>
        <v>0</v>
      </c>
      <c r="J172" s="27"/>
      <c r="K172" s="27">
        <f>SUM(K169:K171)</f>
        <v>0</v>
      </c>
      <c r="L172" s="27"/>
      <c r="M172" s="27">
        <f>SUM(M169:M171)</f>
        <v>0</v>
      </c>
      <c r="N172" s="27"/>
      <c r="O172" s="27">
        <f>SUM(O169:O171)</f>
        <v>0</v>
      </c>
      <c r="P172" s="27"/>
      <c r="Q172" s="27">
        <f>SUM(Q169:Q171)</f>
        <v>0</v>
      </c>
      <c r="R172" s="27"/>
      <c r="S172" s="27">
        <f>SUM(S169:S171)</f>
        <v>0</v>
      </c>
    </row>
    <row r="173" spans="1:20">
      <c r="C173" s="27"/>
      <c r="D173" s="27"/>
      <c r="E173" s="27"/>
      <c r="F173" s="27"/>
      <c r="G173" s="27"/>
      <c r="H173" s="27"/>
      <c r="I173" s="27"/>
      <c r="J173" s="27"/>
      <c r="K173" s="27"/>
      <c r="L173" s="27"/>
      <c r="M173" s="27"/>
      <c r="N173" s="27"/>
      <c r="O173" s="27"/>
      <c r="P173" s="27"/>
      <c r="Q173" s="27"/>
      <c r="R173" s="27"/>
      <c r="S173" s="27"/>
    </row>
    <row r="174" spans="1:20">
      <c r="A174" s="12" t="s">
        <v>656</v>
      </c>
      <c r="C174" s="24"/>
      <c r="D174" s="24"/>
      <c r="E174" s="24"/>
      <c r="F174" s="24"/>
      <c r="G174" s="24"/>
      <c r="H174" s="24"/>
      <c r="I174" s="24"/>
      <c r="J174" s="24"/>
      <c r="K174" s="24"/>
      <c r="L174" s="24"/>
      <c r="M174" s="24"/>
      <c r="N174" s="24"/>
      <c r="O174" s="24"/>
      <c r="P174" s="24"/>
      <c r="Q174" s="24"/>
      <c r="R174" s="24"/>
      <c r="S174" s="24"/>
    </row>
    <row r="175" spans="1:20">
      <c r="B175" s="10" t="s">
        <v>652</v>
      </c>
      <c r="C175" s="24"/>
      <c r="D175" s="24"/>
      <c r="E175" s="24"/>
      <c r="F175" s="24"/>
      <c r="G175" s="24"/>
      <c r="H175" s="24"/>
      <c r="I175" s="24"/>
      <c r="J175" s="24"/>
      <c r="K175" s="24"/>
      <c r="L175" s="24"/>
      <c r="M175" s="24"/>
      <c r="N175" s="24"/>
      <c r="O175" s="24"/>
      <c r="P175" s="24"/>
      <c r="Q175" s="24"/>
      <c r="R175" s="24"/>
      <c r="S175" s="24">
        <f t="shared" ref="S175:S177" si="7">SUM(C175:R175)</f>
        <v>0</v>
      </c>
      <c r="T175" s="21"/>
    </row>
    <row r="176" spans="1:20">
      <c r="B176" s="10" t="s">
        <v>112</v>
      </c>
      <c r="C176" s="24"/>
      <c r="D176" s="24"/>
      <c r="E176" s="24"/>
      <c r="F176" s="24"/>
      <c r="G176" s="24"/>
      <c r="H176" s="24"/>
      <c r="I176" s="24"/>
      <c r="J176" s="119"/>
      <c r="K176" s="24"/>
      <c r="L176" s="119"/>
      <c r="M176" s="24"/>
      <c r="N176" s="24"/>
      <c r="O176" s="24"/>
      <c r="P176" s="24"/>
      <c r="Q176" s="24"/>
      <c r="R176" s="24"/>
      <c r="S176" s="27">
        <f t="shared" si="7"/>
        <v>0</v>
      </c>
      <c r="T176" s="21"/>
    </row>
    <row r="177" spans="1:20">
      <c r="B177" s="10" t="s">
        <v>120</v>
      </c>
      <c r="C177" s="24"/>
      <c r="D177" s="24"/>
      <c r="E177" s="24"/>
      <c r="F177" s="24"/>
      <c r="G177" s="24"/>
      <c r="H177" s="24"/>
      <c r="I177" s="24"/>
      <c r="J177" s="119"/>
      <c r="K177" s="24"/>
      <c r="L177" s="24"/>
      <c r="M177" s="24"/>
      <c r="N177" s="24"/>
      <c r="O177" s="24"/>
      <c r="P177" s="24"/>
      <c r="Q177" s="24"/>
      <c r="R177" s="24"/>
      <c r="S177" s="28">
        <f t="shared" si="7"/>
        <v>0</v>
      </c>
      <c r="T177" s="21"/>
    </row>
    <row r="178" spans="1:20">
      <c r="B178" s="11"/>
      <c r="C178" s="25">
        <f>SUM(C175:C177)</f>
        <v>0</v>
      </c>
      <c r="D178" s="27"/>
      <c r="E178" s="25">
        <f>SUM(E175:E177)</f>
        <v>0</v>
      </c>
      <c r="F178" s="24"/>
      <c r="G178" s="25">
        <f>SUM(G175:G177)</f>
        <v>0</v>
      </c>
      <c r="H178" s="27"/>
      <c r="I178" s="25">
        <f>SUM(I175:I177)</f>
        <v>0</v>
      </c>
      <c r="J178" s="24"/>
      <c r="K178" s="25">
        <f>SUM(K175:K177)</f>
        <v>0</v>
      </c>
      <c r="L178" s="24"/>
      <c r="M178" s="25">
        <f>SUM(M175:M177)</f>
        <v>0</v>
      </c>
      <c r="N178" s="24"/>
      <c r="O178" s="25">
        <f>SUM(O175:O177)</f>
        <v>0</v>
      </c>
      <c r="P178" s="24"/>
      <c r="Q178" s="25">
        <f>SUM(Q175:Q177)</f>
        <v>0</v>
      </c>
      <c r="R178" s="24"/>
      <c r="S178" s="25">
        <f>SUM(S175:S177)</f>
        <v>0</v>
      </c>
      <c r="T178" s="21"/>
    </row>
    <row r="179" spans="1:20">
      <c r="C179" s="24"/>
      <c r="D179" s="24"/>
      <c r="E179" s="24"/>
      <c r="F179" s="24"/>
      <c r="G179" s="24"/>
      <c r="H179" s="24"/>
      <c r="I179" s="24"/>
      <c r="J179" s="24"/>
      <c r="K179" s="24"/>
      <c r="L179" s="24"/>
      <c r="M179" s="24"/>
      <c r="N179" s="24"/>
      <c r="O179" s="24"/>
      <c r="P179" s="24"/>
      <c r="Q179" s="24"/>
      <c r="R179" s="24"/>
      <c r="S179" s="24"/>
      <c r="T179" s="21"/>
    </row>
    <row r="180" spans="1:20">
      <c r="B180" s="11" t="s">
        <v>657</v>
      </c>
      <c r="C180" s="28">
        <f>C172-C178</f>
        <v>0</v>
      </c>
      <c r="D180" s="27"/>
      <c r="E180" s="28">
        <f>E172-E178</f>
        <v>0</v>
      </c>
      <c r="F180" s="24"/>
      <c r="G180" s="28">
        <f>G172-G178</f>
        <v>0</v>
      </c>
      <c r="H180" s="27"/>
      <c r="I180" s="28">
        <f>I172-I178</f>
        <v>0</v>
      </c>
      <c r="J180" s="24"/>
      <c r="K180" s="28">
        <f>K172-K178</f>
        <v>0</v>
      </c>
      <c r="L180" s="24"/>
      <c r="M180" s="28">
        <f>M172-M178</f>
        <v>0</v>
      </c>
      <c r="N180" s="24"/>
      <c r="O180" s="28">
        <f>O172-O178</f>
        <v>0</v>
      </c>
      <c r="P180" s="24"/>
      <c r="Q180" s="28">
        <f>Q172-Q178</f>
        <v>0</v>
      </c>
      <c r="R180" s="24"/>
      <c r="S180" s="28">
        <f>S172+S178</f>
        <v>0</v>
      </c>
      <c r="T180" s="21"/>
    </row>
    <row r="181" spans="1:20">
      <c r="C181" s="24"/>
      <c r="D181" s="24"/>
      <c r="E181" s="24"/>
      <c r="F181" s="24"/>
      <c r="G181" s="24"/>
      <c r="H181" s="24"/>
      <c r="I181" s="24"/>
      <c r="J181" s="24"/>
      <c r="K181" s="24"/>
      <c r="L181" s="24"/>
      <c r="M181" s="24"/>
      <c r="N181" s="24"/>
      <c r="O181" s="24"/>
      <c r="P181" s="24"/>
      <c r="Q181" s="24"/>
      <c r="R181" s="24"/>
      <c r="S181" s="24"/>
      <c r="T181" s="21"/>
    </row>
    <row r="182" spans="1:20">
      <c r="A182" s="12" t="s">
        <v>658</v>
      </c>
      <c r="C182" s="24"/>
      <c r="D182" s="24"/>
      <c r="E182" s="24"/>
      <c r="F182" s="24"/>
      <c r="G182" s="24"/>
      <c r="H182" s="24"/>
      <c r="I182" s="24"/>
      <c r="J182" s="24"/>
      <c r="K182" s="24"/>
      <c r="L182" s="24"/>
      <c r="M182" s="24"/>
      <c r="N182" s="24"/>
      <c r="O182" s="24"/>
      <c r="P182" s="24"/>
      <c r="Q182" s="24"/>
      <c r="R182" s="24"/>
      <c r="S182" s="24"/>
      <c r="T182" s="21"/>
    </row>
    <row r="183" spans="1:20">
      <c r="B183" s="10" t="s">
        <v>652</v>
      </c>
      <c r="C183" s="24"/>
      <c r="D183" s="24"/>
      <c r="E183" s="24"/>
      <c r="F183" s="24"/>
      <c r="G183" s="24"/>
      <c r="H183" s="24"/>
      <c r="I183" s="24"/>
      <c r="J183" s="24"/>
      <c r="K183" s="24"/>
      <c r="L183" s="24"/>
      <c r="M183" s="24"/>
      <c r="N183" s="24"/>
      <c r="O183" s="24"/>
      <c r="P183" s="24"/>
      <c r="Q183" s="24"/>
      <c r="R183" s="24"/>
      <c r="S183" s="24">
        <f t="shared" ref="S183:S185" si="8">SUM(C183:R183)</f>
        <v>0</v>
      </c>
      <c r="T183" s="21"/>
    </row>
    <row r="184" spans="1:20">
      <c r="B184" s="10" t="s">
        <v>112</v>
      </c>
      <c r="C184" s="24"/>
      <c r="D184" s="24"/>
      <c r="E184" s="24"/>
      <c r="F184" s="24"/>
      <c r="G184" s="24"/>
      <c r="H184" s="24"/>
      <c r="I184" s="24"/>
      <c r="J184" s="24"/>
      <c r="K184" s="24"/>
      <c r="L184" s="24"/>
      <c r="M184" s="24"/>
      <c r="N184" s="24"/>
      <c r="O184" s="24"/>
      <c r="P184" s="24"/>
      <c r="Q184" s="24"/>
      <c r="R184" s="24"/>
      <c r="S184" s="27">
        <f t="shared" si="8"/>
        <v>0</v>
      </c>
      <c r="T184" s="21"/>
    </row>
    <row r="185" spans="1:20">
      <c r="B185" s="10" t="s">
        <v>120</v>
      </c>
      <c r="C185" s="28"/>
      <c r="D185" s="27"/>
      <c r="E185" s="28"/>
      <c r="F185" s="24"/>
      <c r="G185" s="28"/>
      <c r="H185" s="27"/>
      <c r="I185" s="28"/>
      <c r="J185" s="24"/>
      <c r="K185" s="28"/>
      <c r="L185" s="24"/>
      <c r="M185" s="28"/>
      <c r="N185" s="24"/>
      <c r="O185" s="28"/>
      <c r="P185" s="24"/>
      <c r="Q185" s="28"/>
      <c r="R185" s="24"/>
      <c r="S185" s="28">
        <f t="shared" si="8"/>
        <v>0</v>
      </c>
      <c r="T185" s="21"/>
    </row>
    <row r="186" spans="1:20">
      <c r="B186" s="11" t="s">
        <v>659</v>
      </c>
      <c r="C186" s="27">
        <f>SUM(C183:C185)</f>
        <v>0</v>
      </c>
      <c r="D186" s="27"/>
      <c r="E186" s="27">
        <f>SUM(E183:E185)</f>
        <v>0</v>
      </c>
      <c r="F186" s="27"/>
      <c r="G186" s="27">
        <f>SUM(G183:G185)</f>
        <v>0</v>
      </c>
      <c r="H186" s="27"/>
      <c r="I186" s="27">
        <f>SUM(I183:I185)</f>
        <v>0</v>
      </c>
      <c r="J186" s="27"/>
      <c r="K186" s="27">
        <f>SUM(K183:K185)</f>
        <v>0</v>
      </c>
      <c r="L186" s="27"/>
      <c r="M186" s="27">
        <f>SUM(M183:M185)</f>
        <v>0</v>
      </c>
      <c r="N186" s="27"/>
      <c r="O186" s="27">
        <f>SUM(O183:O185)</f>
        <v>0</v>
      </c>
      <c r="P186" s="27"/>
      <c r="Q186" s="27">
        <f>SUM(Q183:Q185)</f>
        <v>0</v>
      </c>
      <c r="R186" s="27"/>
      <c r="S186" s="27">
        <f>SUM(S183:S185)</f>
        <v>0</v>
      </c>
      <c r="T186" s="82"/>
    </row>
    <row r="187" spans="1:20">
      <c r="B187" s="11"/>
      <c r="C187" s="27"/>
      <c r="D187" s="27"/>
      <c r="E187" s="27"/>
      <c r="F187" s="24"/>
      <c r="G187" s="27"/>
      <c r="H187" s="27"/>
      <c r="I187" s="27"/>
      <c r="J187" s="24"/>
      <c r="K187" s="27"/>
      <c r="L187" s="24"/>
      <c r="M187" s="27"/>
      <c r="N187" s="24"/>
      <c r="O187" s="27"/>
      <c r="P187" s="24"/>
      <c r="Q187" s="27"/>
      <c r="R187" s="24"/>
      <c r="S187" s="27"/>
      <c r="T187" s="21"/>
    </row>
    <row r="188" spans="1:20">
      <c r="C188" s="24"/>
      <c r="D188" s="24"/>
      <c r="E188" s="24"/>
      <c r="F188" s="24"/>
      <c r="G188" s="24"/>
      <c r="H188" s="24"/>
      <c r="I188" s="24"/>
      <c r="J188" s="24"/>
      <c r="K188" s="24"/>
      <c r="L188" s="24"/>
      <c r="M188" s="24"/>
      <c r="N188" s="24"/>
      <c r="O188" s="24"/>
      <c r="P188" s="24"/>
      <c r="Q188" s="24"/>
      <c r="R188" s="24"/>
      <c r="S188" s="24"/>
      <c r="T188" s="21"/>
    </row>
    <row r="189" spans="1:20" ht="13.5" thickBot="1">
      <c r="B189" s="11" t="s">
        <v>660</v>
      </c>
      <c r="C189" s="73">
        <f>C180+C186</f>
        <v>0</v>
      </c>
      <c r="D189" s="27"/>
      <c r="E189" s="73">
        <f>E180+E186</f>
        <v>0</v>
      </c>
      <c r="F189" s="24"/>
      <c r="G189" s="73">
        <f>G180+G186</f>
        <v>0</v>
      </c>
      <c r="H189" s="27"/>
      <c r="I189" s="73">
        <f>I180+I186</f>
        <v>0</v>
      </c>
      <c r="J189" s="24"/>
      <c r="K189" s="73">
        <f>K180+K186</f>
        <v>0</v>
      </c>
      <c r="L189" s="24"/>
      <c r="M189" s="73">
        <f>M180+M186</f>
        <v>0</v>
      </c>
      <c r="N189" s="24"/>
      <c r="O189" s="73">
        <f>O180+O186</f>
        <v>0</v>
      </c>
      <c r="P189" s="24"/>
      <c r="Q189" s="73">
        <f>Q180+Q186</f>
        <v>0</v>
      </c>
      <c r="R189" s="24"/>
      <c r="S189" s="73">
        <f>S180+S186</f>
        <v>0</v>
      </c>
      <c r="T189" s="21"/>
    </row>
    <row r="190" spans="1:20" ht="13.5" thickTop="1">
      <c r="B190" s="11"/>
      <c r="C190" s="27"/>
      <c r="D190" s="27"/>
      <c r="E190" s="27"/>
      <c r="F190" s="24"/>
      <c r="G190" s="27"/>
      <c r="H190" s="27"/>
      <c r="I190" s="27"/>
      <c r="J190" s="24"/>
      <c r="K190" s="27"/>
      <c r="L190" s="24"/>
      <c r="M190" s="27"/>
      <c r="N190" s="24"/>
      <c r="O190" s="27"/>
      <c r="P190" s="24"/>
      <c r="Q190" s="27"/>
      <c r="R190" s="24"/>
      <c r="S190" s="27"/>
      <c r="T190" s="21"/>
    </row>
    <row r="191" spans="1:20">
      <c r="C191" s="24"/>
      <c r="D191" s="24"/>
      <c r="E191" s="24"/>
      <c r="F191" s="24"/>
      <c r="G191" s="24"/>
      <c r="H191" s="24"/>
      <c r="I191" s="24"/>
      <c r="J191" s="24"/>
      <c r="K191" s="24"/>
      <c r="L191" s="24"/>
      <c r="M191" s="24"/>
      <c r="N191" s="24"/>
      <c r="O191" s="24"/>
      <c r="P191" s="24"/>
      <c r="Q191" s="24"/>
      <c r="R191" s="24"/>
      <c r="S191" s="24"/>
      <c r="T191" s="21"/>
    </row>
    <row r="192" spans="1:20">
      <c r="A192" s="269"/>
      <c r="B192" s="12"/>
      <c r="C192" s="21"/>
      <c r="D192" s="21"/>
      <c r="E192" s="21"/>
      <c r="F192" s="21"/>
      <c r="G192" s="21"/>
      <c r="H192" s="21"/>
      <c r="I192" s="21"/>
      <c r="J192" s="21"/>
      <c r="K192" s="21"/>
      <c r="L192" s="21"/>
      <c r="M192" s="21"/>
      <c r="N192" s="21"/>
      <c r="O192" s="21"/>
      <c r="P192" s="21"/>
    </row>
    <row r="193" spans="1:20">
      <c r="C193" s="21"/>
      <c r="D193" s="21"/>
      <c r="E193" s="21"/>
      <c r="F193" s="21"/>
      <c r="G193" s="21"/>
      <c r="H193" s="21"/>
      <c r="I193" s="21"/>
      <c r="J193" s="21"/>
      <c r="K193" s="21"/>
      <c r="L193" s="21"/>
      <c r="M193" s="21"/>
      <c r="N193" s="21"/>
      <c r="O193" s="21"/>
      <c r="P193" s="21"/>
    </row>
    <row r="194" spans="1:20">
      <c r="A194" s="269"/>
      <c r="B194" s="12"/>
      <c r="C194" s="21"/>
      <c r="D194" s="21"/>
      <c r="E194" s="21"/>
      <c r="F194" s="21"/>
      <c r="G194" s="21"/>
      <c r="H194" s="21"/>
      <c r="I194" s="21"/>
      <c r="J194" s="21"/>
      <c r="K194" s="21"/>
      <c r="L194" s="21"/>
      <c r="M194" s="21"/>
      <c r="N194" s="21"/>
      <c r="O194" s="21"/>
      <c r="P194" s="21"/>
    </row>
    <row r="195" spans="1:20">
      <c r="C195" s="21"/>
      <c r="D195" s="21"/>
      <c r="E195" s="21"/>
      <c r="F195" s="21"/>
      <c r="G195" s="21"/>
      <c r="H195" s="21"/>
      <c r="I195" s="21"/>
      <c r="J195" s="21"/>
      <c r="K195" s="21"/>
      <c r="L195" s="21"/>
      <c r="M195" s="21"/>
      <c r="N195" s="21"/>
      <c r="O195" s="21"/>
      <c r="P195" s="21"/>
    </row>
    <row r="196" spans="1:20">
      <c r="C196" s="21"/>
      <c r="D196" s="21"/>
      <c r="E196" s="21"/>
      <c r="F196" s="21"/>
      <c r="G196" s="21"/>
      <c r="H196" s="21"/>
      <c r="I196" s="21"/>
      <c r="J196" s="21"/>
      <c r="K196" s="21"/>
      <c r="L196" s="21"/>
      <c r="M196" s="21"/>
      <c r="N196" s="21"/>
      <c r="O196" s="21"/>
      <c r="P196" s="21"/>
      <c r="Q196" s="21"/>
      <c r="R196" s="21"/>
      <c r="S196" s="21"/>
      <c r="T196" s="21"/>
    </row>
    <row r="197" spans="1:20">
      <c r="C197" s="21"/>
      <c r="D197" s="21"/>
      <c r="E197" s="21"/>
      <c r="F197" s="21"/>
      <c r="G197" s="21"/>
      <c r="H197" s="21"/>
      <c r="I197" s="21"/>
      <c r="J197" s="21"/>
      <c r="K197" s="21"/>
      <c r="L197" s="21"/>
      <c r="M197" s="21"/>
      <c r="N197" s="21"/>
      <c r="O197" s="21"/>
      <c r="P197" s="21"/>
      <c r="Q197" s="21"/>
      <c r="R197" s="21"/>
      <c r="S197" s="21"/>
      <c r="T197" s="21"/>
    </row>
    <row r="198" spans="1:20">
      <c r="C198" s="21"/>
      <c r="D198" s="21"/>
      <c r="E198" s="21"/>
      <c r="F198" s="21"/>
      <c r="G198" s="21"/>
      <c r="H198" s="21"/>
      <c r="I198" s="21"/>
      <c r="J198" s="21"/>
      <c r="K198" s="21"/>
      <c r="L198" s="21"/>
      <c r="M198" s="21"/>
      <c r="N198" s="21"/>
      <c r="O198" s="21"/>
      <c r="P198" s="21"/>
      <c r="Q198" s="21"/>
      <c r="R198" s="21"/>
      <c r="S198" s="21"/>
      <c r="T198" s="21"/>
    </row>
    <row r="199" spans="1:20">
      <c r="C199" s="21"/>
      <c r="D199" s="21"/>
      <c r="E199" s="21"/>
      <c r="F199" s="21"/>
      <c r="G199" s="21"/>
      <c r="H199" s="21"/>
      <c r="I199" s="21"/>
      <c r="J199" s="21"/>
      <c r="K199" s="21"/>
      <c r="L199" s="21"/>
      <c r="M199" s="21"/>
      <c r="N199" s="21"/>
      <c r="O199" s="21"/>
      <c r="P199" s="21"/>
      <c r="Q199" s="21"/>
      <c r="R199" s="21"/>
      <c r="S199" s="21"/>
      <c r="T199" s="21"/>
    </row>
    <row r="200" spans="1:20">
      <c r="C200" s="21"/>
      <c r="D200" s="21"/>
      <c r="E200" s="21"/>
      <c r="F200" s="21"/>
      <c r="G200" s="21"/>
      <c r="H200" s="21"/>
      <c r="I200" s="21"/>
      <c r="J200" s="21"/>
      <c r="K200" s="21"/>
      <c r="L200" s="21"/>
      <c r="M200" s="21"/>
      <c r="N200" s="21"/>
      <c r="O200" s="21"/>
      <c r="P200" s="21"/>
      <c r="Q200" s="21"/>
      <c r="R200" s="21"/>
      <c r="S200" s="21"/>
      <c r="T200" s="21"/>
    </row>
    <row r="201" spans="1:20">
      <c r="C201" s="21"/>
      <c r="D201" s="21"/>
      <c r="E201" s="21"/>
      <c r="F201" s="21"/>
      <c r="G201" s="21"/>
      <c r="H201" s="21"/>
      <c r="I201" s="21"/>
      <c r="J201" s="21"/>
      <c r="K201" s="21"/>
      <c r="L201" s="21"/>
      <c r="M201" s="21"/>
      <c r="N201" s="21"/>
      <c r="O201" s="21"/>
      <c r="P201" s="21"/>
      <c r="Q201" s="21"/>
      <c r="R201" s="21"/>
      <c r="S201" s="21"/>
      <c r="T201" s="21"/>
    </row>
    <row r="202" spans="1:20">
      <c r="C202" s="21"/>
      <c r="D202" s="21"/>
      <c r="E202" s="21"/>
      <c r="F202" s="21"/>
      <c r="G202" s="21"/>
      <c r="H202" s="21"/>
      <c r="I202" s="21"/>
      <c r="J202" s="21"/>
      <c r="K202" s="21"/>
      <c r="L202" s="21"/>
      <c r="M202" s="21"/>
      <c r="N202" s="21"/>
      <c r="O202" s="21"/>
      <c r="P202" s="21"/>
      <c r="Q202" s="21"/>
      <c r="R202" s="21"/>
      <c r="S202" s="21"/>
      <c r="T202" s="21"/>
    </row>
    <row r="203" spans="1:20">
      <c r="C203" s="21"/>
      <c r="D203" s="21"/>
      <c r="E203" s="21"/>
      <c r="F203" s="21"/>
      <c r="G203" s="21"/>
      <c r="H203" s="21"/>
      <c r="I203" s="21"/>
      <c r="J203" s="21"/>
      <c r="K203" s="21"/>
      <c r="L203" s="21"/>
      <c r="M203" s="21"/>
      <c r="N203" s="21"/>
      <c r="O203" s="21"/>
      <c r="P203" s="21"/>
      <c r="Q203" s="21"/>
      <c r="R203" s="21"/>
      <c r="S203" s="21"/>
      <c r="T203" s="21"/>
    </row>
    <row r="204" spans="1:20">
      <c r="C204" s="21"/>
      <c r="D204" s="21"/>
      <c r="E204" s="21"/>
      <c r="F204" s="21"/>
      <c r="G204" s="21"/>
      <c r="H204" s="21"/>
      <c r="I204" s="21"/>
      <c r="J204" s="21"/>
      <c r="K204" s="21"/>
      <c r="L204" s="21"/>
      <c r="M204" s="21"/>
      <c r="N204" s="21"/>
      <c r="O204" s="21"/>
      <c r="P204" s="21"/>
      <c r="Q204" s="21"/>
      <c r="R204" s="21"/>
      <c r="S204" s="21"/>
      <c r="T204" s="21"/>
    </row>
    <row r="205" spans="1:20">
      <c r="C205" s="21"/>
      <c r="D205" s="21"/>
      <c r="E205" s="21"/>
      <c r="F205" s="21"/>
      <c r="G205" s="21"/>
      <c r="H205" s="21"/>
      <c r="I205" s="21"/>
      <c r="J205" s="21"/>
      <c r="K205" s="21"/>
      <c r="L205" s="21"/>
      <c r="M205" s="21"/>
      <c r="N205" s="21"/>
      <c r="O205" s="21"/>
      <c r="P205" s="21"/>
      <c r="Q205" s="21"/>
      <c r="R205" s="21"/>
      <c r="S205" s="21"/>
      <c r="T205" s="21"/>
    </row>
    <row r="206" spans="1:20">
      <c r="C206" s="21"/>
      <c r="D206" s="21"/>
      <c r="E206" s="21"/>
      <c r="F206" s="21"/>
      <c r="G206" s="21"/>
      <c r="H206" s="21"/>
      <c r="I206" s="21"/>
      <c r="J206" s="21"/>
      <c r="K206" s="21"/>
      <c r="L206" s="21"/>
      <c r="M206" s="21"/>
      <c r="N206" s="21"/>
      <c r="O206" s="21"/>
      <c r="P206" s="21"/>
      <c r="Q206" s="21"/>
      <c r="R206" s="21"/>
      <c r="S206" s="21"/>
      <c r="T206" s="21"/>
    </row>
    <row r="207" spans="1:20">
      <c r="C207" s="21"/>
      <c r="D207" s="21"/>
      <c r="E207" s="21"/>
      <c r="F207" s="21"/>
      <c r="G207" s="21"/>
      <c r="H207" s="21"/>
      <c r="I207" s="21"/>
      <c r="J207" s="21"/>
      <c r="K207" s="21"/>
      <c r="L207" s="21"/>
      <c r="M207" s="21"/>
      <c r="N207" s="21"/>
      <c r="O207" s="21"/>
      <c r="P207" s="21"/>
      <c r="Q207" s="21"/>
      <c r="R207" s="21"/>
      <c r="S207" s="21"/>
      <c r="T207" s="21"/>
    </row>
    <row r="208" spans="1:20">
      <c r="C208" s="21"/>
      <c r="D208" s="21"/>
      <c r="E208" s="21"/>
      <c r="F208" s="21"/>
      <c r="G208" s="21"/>
      <c r="H208" s="21"/>
      <c r="I208" s="21"/>
      <c r="J208" s="21"/>
      <c r="K208" s="21"/>
      <c r="L208" s="21"/>
      <c r="M208" s="21"/>
      <c r="N208" s="21"/>
      <c r="O208" s="21"/>
      <c r="P208" s="21"/>
      <c r="Q208" s="21"/>
      <c r="R208" s="21"/>
      <c r="S208" s="21"/>
      <c r="T208" s="21"/>
    </row>
    <row r="209" spans="3:20">
      <c r="C209" s="21"/>
      <c r="D209" s="21"/>
      <c r="E209" s="21"/>
      <c r="F209" s="21"/>
      <c r="G209" s="21"/>
      <c r="H209" s="21"/>
      <c r="I209" s="21"/>
      <c r="J209" s="21"/>
      <c r="K209" s="21"/>
      <c r="L209" s="21"/>
      <c r="M209" s="21"/>
      <c r="N209" s="21"/>
      <c r="O209" s="21"/>
      <c r="P209" s="21"/>
      <c r="Q209" s="21"/>
      <c r="R209" s="21"/>
      <c r="S209" s="21"/>
      <c r="T209" s="21"/>
    </row>
    <row r="210" spans="3:20">
      <c r="C210" s="21"/>
      <c r="D210" s="21"/>
      <c r="E210" s="21"/>
      <c r="F210" s="21"/>
      <c r="G210" s="21"/>
      <c r="H210" s="21"/>
      <c r="I210" s="21"/>
      <c r="J210" s="21"/>
      <c r="K210" s="21"/>
      <c r="L210" s="21"/>
      <c r="M210" s="21"/>
      <c r="N210" s="21"/>
      <c r="O210" s="21"/>
      <c r="P210" s="21"/>
      <c r="Q210" s="21"/>
      <c r="R210" s="21"/>
      <c r="S210" s="21"/>
      <c r="T210" s="21"/>
    </row>
    <row r="211" spans="3:20">
      <c r="C211" s="21"/>
      <c r="D211" s="21"/>
      <c r="E211" s="21"/>
      <c r="F211" s="21"/>
      <c r="G211" s="21"/>
      <c r="H211" s="21"/>
      <c r="I211" s="21"/>
      <c r="J211" s="21"/>
      <c r="K211" s="21"/>
      <c r="L211" s="21"/>
      <c r="M211" s="21"/>
      <c r="N211" s="21"/>
      <c r="O211" s="21"/>
      <c r="P211" s="21"/>
      <c r="Q211" s="21"/>
      <c r="R211" s="21"/>
      <c r="S211" s="21"/>
      <c r="T211" s="21"/>
    </row>
    <row r="212" spans="3:20">
      <c r="C212" s="21"/>
      <c r="D212" s="21"/>
      <c r="E212" s="21"/>
      <c r="F212" s="21"/>
      <c r="G212" s="21"/>
      <c r="H212" s="21"/>
      <c r="I212" s="21"/>
      <c r="J212" s="21"/>
      <c r="K212" s="21"/>
      <c r="L212" s="21"/>
      <c r="M212" s="21"/>
      <c r="N212" s="21"/>
      <c r="O212" s="21"/>
      <c r="P212" s="21"/>
      <c r="Q212" s="21"/>
      <c r="R212" s="21"/>
      <c r="S212" s="21"/>
      <c r="T212" s="21"/>
    </row>
    <row r="213" spans="3:20">
      <c r="C213" s="21"/>
      <c r="D213" s="21"/>
      <c r="E213" s="21"/>
      <c r="F213" s="21"/>
      <c r="G213" s="21"/>
      <c r="H213" s="21"/>
      <c r="I213" s="21"/>
      <c r="J213" s="21"/>
      <c r="K213" s="21"/>
      <c r="L213" s="21"/>
      <c r="M213" s="21"/>
      <c r="N213" s="21"/>
      <c r="O213" s="21"/>
      <c r="P213" s="21"/>
      <c r="Q213" s="21"/>
      <c r="R213" s="21"/>
      <c r="S213" s="21"/>
      <c r="T213" s="21"/>
    </row>
    <row r="214" spans="3:20">
      <c r="C214" s="21"/>
      <c r="D214" s="21"/>
      <c r="E214" s="21"/>
      <c r="F214" s="21"/>
      <c r="G214" s="21"/>
      <c r="H214" s="21"/>
      <c r="I214" s="21"/>
      <c r="J214" s="21"/>
      <c r="K214" s="21"/>
      <c r="L214" s="21"/>
      <c r="M214" s="21"/>
      <c r="N214" s="21"/>
      <c r="O214" s="21"/>
      <c r="P214" s="21"/>
      <c r="Q214" s="21"/>
      <c r="R214" s="21"/>
      <c r="S214" s="21"/>
      <c r="T214" s="21"/>
    </row>
    <row r="215" spans="3:20">
      <c r="C215" s="21"/>
      <c r="D215" s="21"/>
      <c r="E215" s="21"/>
      <c r="F215" s="21"/>
      <c r="G215" s="21"/>
      <c r="H215" s="21"/>
      <c r="I215" s="21"/>
      <c r="J215" s="21"/>
      <c r="K215" s="21"/>
      <c r="L215" s="21"/>
      <c r="M215" s="21"/>
      <c r="N215" s="21"/>
      <c r="O215" s="21"/>
      <c r="P215" s="21"/>
      <c r="Q215" s="21"/>
      <c r="R215" s="21"/>
      <c r="S215" s="21"/>
      <c r="T215" s="21"/>
    </row>
    <row r="216" spans="3:20">
      <c r="C216" s="21"/>
      <c r="D216" s="21"/>
      <c r="E216" s="21"/>
      <c r="F216" s="21"/>
      <c r="G216" s="21"/>
      <c r="H216" s="21"/>
      <c r="I216" s="21"/>
      <c r="J216" s="21"/>
      <c r="K216" s="21"/>
      <c r="L216" s="21"/>
      <c r="M216" s="21"/>
      <c r="N216" s="21"/>
      <c r="O216" s="21"/>
      <c r="P216" s="21"/>
      <c r="Q216" s="21"/>
      <c r="R216" s="21"/>
      <c r="S216" s="21"/>
      <c r="T216" s="21"/>
    </row>
    <row r="217" spans="3:20">
      <c r="C217" s="21"/>
      <c r="D217" s="21"/>
      <c r="E217" s="21"/>
      <c r="F217" s="21"/>
      <c r="G217" s="21"/>
      <c r="H217" s="21"/>
      <c r="I217" s="21"/>
      <c r="J217" s="21"/>
      <c r="K217" s="21"/>
      <c r="L217" s="21"/>
      <c r="M217" s="21"/>
      <c r="N217" s="21"/>
      <c r="O217" s="21"/>
      <c r="P217" s="21"/>
      <c r="Q217" s="21"/>
      <c r="R217" s="21"/>
      <c r="S217" s="21"/>
      <c r="T217" s="21"/>
    </row>
    <row r="218" spans="3:20">
      <c r="C218" s="21"/>
      <c r="D218" s="21"/>
      <c r="E218" s="21"/>
      <c r="F218" s="21"/>
      <c r="G218" s="21"/>
      <c r="H218" s="21"/>
      <c r="I218" s="21"/>
      <c r="J218" s="21"/>
      <c r="K218" s="21"/>
      <c r="L218" s="21"/>
      <c r="M218" s="21"/>
      <c r="N218" s="21"/>
      <c r="O218" s="21"/>
      <c r="P218" s="21"/>
      <c r="Q218" s="21"/>
      <c r="R218" s="21"/>
      <c r="S218" s="21"/>
      <c r="T218" s="21"/>
    </row>
    <row r="219" spans="3:20">
      <c r="C219" s="21"/>
      <c r="D219" s="21"/>
      <c r="E219" s="21"/>
      <c r="F219" s="21"/>
      <c r="G219" s="21"/>
      <c r="H219" s="21"/>
      <c r="I219" s="21"/>
      <c r="J219" s="21"/>
      <c r="K219" s="21"/>
      <c r="L219" s="21"/>
      <c r="M219" s="21"/>
      <c r="N219" s="21"/>
      <c r="O219" s="21"/>
      <c r="P219" s="21"/>
      <c r="Q219" s="21"/>
      <c r="R219" s="21"/>
      <c r="S219" s="21"/>
      <c r="T219" s="21"/>
    </row>
    <row r="220" spans="3:20">
      <c r="C220" s="21"/>
      <c r="D220" s="21"/>
      <c r="E220" s="21"/>
      <c r="F220" s="21"/>
      <c r="G220" s="21"/>
      <c r="H220" s="21"/>
      <c r="I220" s="21"/>
      <c r="J220" s="21"/>
      <c r="K220" s="21"/>
      <c r="L220" s="21"/>
      <c r="M220" s="21"/>
      <c r="N220" s="21"/>
      <c r="O220" s="21"/>
      <c r="P220" s="21"/>
      <c r="Q220" s="21"/>
      <c r="R220" s="21"/>
      <c r="S220" s="21"/>
      <c r="T220" s="21"/>
    </row>
    <row r="221" spans="3:20">
      <c r="C221" s="21"/>
      <c r="D221" s="21"/>
      <c r="E221" s="21"/>
      <c r="F221" s="21"/>
      <c r="G221" s="21"/>
      <c r="H221" s="21"/>
      <c r="I221" s="21"/>
      <c r="J221" s="21"/>
      <c r="K221" s="21"/>
      <c r="L221" s="21"/>
      <c r="M221" s="21"/>
      <c r="N221" s="21"/>
      <c r="O221" s="21"/>
      <c r="P221" s="21"/>
      <c r="Q221" s="21"/>
      <c r="R221" s="21"/>
      <c r="S221" s="21"/>
      <c r="T221" s="21"/>
    </row>
    <row r="222" spans="3:20">
      <c r="C222" s="21"/>
      <c r="D222" s="21"/>
      <c r="E222" s="21"/>
      <c r="F222" s="21"/>
      <c r="G222" s="21"/>
      <c r="H222" s="21"/>
      <c r="I222" s="21"/>
      <c r="J222" s="21"/>
      <c r="K222" s="21"/>
      <c r="L222" s="21"/>
      <c r="M222" s="21"/>
      <c r="N222" s="21"/>
      <c r="O222" s="21"/>
      <c r="P222" s="21"/>
      <c r="Q222" s="21"/>
      <c r="R222" s="21"/>
      <c r="S222" s="21"/>
      <c r="T222" s="21"/>
    </row>
    <row r="223" spans="3:20">
      <c r="C223" s="21"/>
      <c r="D223" s="21"/>
      <c r="E223" s="21"/>
      <c r="F223" s="21"/>
      <c r="G223" s="21"/>
      <c r="H223" s="21"/>
      <c r="I223" s="21"/>
      <c r="J223" s="21"/>
      <c r="K223" s="21"/>
      <c r="L223" s="21"/>
      <c r="M223" s="21"/>
      <c r="N223" s="21"/>
      <c r="O223" s="21"/>
      <c r="P223" s="21"/>
      <c r="Q223" s="21"/>
      <c r="R223" s="21"/>
      <c r="S223" s="21"/>
      <c r="T223" s="21"/>
    </row>
    <row r="224" spans="3:20">
      <c r="C224" s="21"/>
      <c r="D224" s="21"/>
      <c r="E224" s="21"/>
      <c r="F224" s="21"/>
      <c r="G224" s="21"/>
      <c r="H224" s="21"/>
      <c r="I224" s="21"/>
      <c r="J224" s="21"/>
      <c r="K224" s="21"/>
      <c r="L224" s="21"/>
      <c r="M224" s="21"/>
      <c r="N224" s="21"/>
      <c r="O224" s="21"/>
      <c r="P224" s="21"/>
      <c r="Q224" s="21"/>
      <c r="R224" s="21"/>
      <c r="S224" s="21"/>
      <c r="T224" s="21"/>
    </row>
    <row r="225" spans="3:20">
      <c r="C225" s="21"/>
      <c r="D225" s="21"/>
      <c r="E225" s="21"/>
      <c r="F225" s="21"/>
      <c r="G225" s="21"/>
      <c r="H225" s="21"/>
      <c r="I225" s="21"/>
      <c r="J225" s="21"/>
      <c r="K225" s="21"/>
      <c r="L225" s="21"/>
      <c r="M225" s="21"/>
      <c r="N225" s="21"/>
      <c r="O225" s="21"/>
      <c r="P225" s="21"/>
      <c r="Q225" s="21"/>
      <c r="R225" s="21"/>
      <c r="S225" s="21"/>
      <c r="T225" s="21"/>
    </row>
    <row r="226" spans="3:20">
      <c r="C226" s="21"/>
      <c r="D226" s="21"/>
      <c r="E226" s="21"/>
      <c r="F226" s="21"/>
      <c r="G226" s="21"/>
      <c r="H226" s="21"/>
      <c r="I226" s="21"/>
      <c r="J226" s="21"/>
      <c r="K226" s="21"/>
      <c r="L226" s="21"/>
      <c r="M226" s="21"/>
      <c r="N226" s="21"/>
      <c r="O226" s="21"/>
      <c r="P226" s="21"/>
      <c r="Q226" s="21"/>
      <c r="R226" s="21"/>
      <c r="S226" s="21"/>
      <c r="T226" s="21"/>
    </row>
    <row r="227" spans="3:20">
      <c r="C227" s="21"/>
      <c r="D227" s="21"/>
      <c r="E227" s="21"/>
      <c r="F227" s="21"/>
      <c r="G227" s="21"/>
      <c r="H227" s="21"/>
      <c r="I227" s="21"/>
      <c r="J227" s="21"/>
      <c r="K227" s="21"/>
      <c r="L227" s="21"/>
      <c r="M227" s="21"/>
      <c r="N227" s="21"/>
      <c r="O227" s="21"/>
      <c r="P227" s="21"/>
      <c r="Q227" s="21"/>
      <c r="R227" s="21"/>
      <c r="S227" s="21"/>
      <c r="T227" s="21"/>
    </row>
    <row r="228" spans="3:20">
      <c r="C228" s="21"/>
      <c r="D228" s="21"/>
      <c r="E228" s="21"/>
      <c r="F228" s="21"/>
      <c r="G228" s="21"/>
      <c r="H228" s="21"/>
      <c r="I228" s="21"/>
      <c r="J228" s="21"/>
      <c r="K228" s="21"/>
      <c r="L228" s="21"/>
      <c r="M228" s="21"/>
      <c r="N228" s="21"/>
      <c r="O228" s="21"/>
      <c r="P228" s="21"/>
      <c r="Q228" s="21"/>
      <c r="R228" s="21"/>
      <c r="S228" s="21"/>
      <c r="T228" s="21"/>
    </row>
    <row r="229" spans="3:20">
      <c r="C229" s="21"/>
      <c r="D229" s="21"/>
      <c r="E229" s="21"/>
      <c r="F229" s="21"/>
      <c r="G229" s="21"/>
      <c r="H229" s="21"/>
      <c r="I229" s="21"/>
      <c r="J229" s="21"/>
      <c r="K229" s="21"/>
      <c r="L229" s="21"/>
      <c r="M229" s="21"/>
      <c r="N229" s="21"/>
      <c r="O229" s="21"/>
      <c r="P229" s="21"/>
      <c r="Q229" s="21"/>
      <c r="R229" s="21"/>
      <c r="S229" s="21"/>
      <c r="T229" s="21"/>
    </row>
    <row r="230" spans="3:20">
      <c r="C230" s="21"/>
      <c r="D230" s="21"/>
      <c r="E230" s="21"/>
      <c r="F230" s="21"/>
      <c r="G230" s="21"/>
      <c r="H230" s="21"/>
      <c r="I230" s="21"/>
      <c r="J230" s="21"/>
      <c r="K230" s="21"/>
      <c r="L230" s="21"/>
      <c r="M230" s="21"/>
      <c r="N230" s="21"/>
      <c r="O230" s="21"/>
      <c r="P230" s="21"/>
      <c r="Q230" s="21"/>
      <c r="R230" s="21"/>
      <c r="S230" s="21"/>
      <c r="T230" s="21"/>
    </row>
    <row r="231" spans="3:20">
      <c r="C231" s="21"/>
      <c r="D231" s="21"/>
      <c r="E231" s="21"/>
      <c r="F231" s="21"/>
      <c r="G231" s="21"/>
      <c r="H231" s="21"/>
      <c r="I231" s="21"/>
      <c r="J231" s="21"/>
      <c r="K231" s="21"/>
      <c r="L231" s="21"/>
      <c r="M231" s="21"/>
      <c r="N231" s="21"/>
      <c r="O231" s="21"/>
      <c r="P231" s="21"/>
      <c r="Q231" s="21"/>
      <c r="R231" s="21"/>
      <c r="S231" s="21"/>
      <c r="T231" s="21"/>
    </row>
    <row r="232" spans="3:20">
      <c r="C232" s="21"/>
      <c r="D232" s="21"/>
      <c r="E232" s="21"/>
      <c r="F232" s="21"/>
      <c r="G232" s="21"/>
      <c r="H232" s="21"/>
      <c r="I232" s="21"/>
      <c r="J232" s="21"/>
      <c r="K232" s="21"/>
      <c r="L232" s="21"/>
      <c r="M232" s="21"/>
      <c r="N232" s="21"/>
      <c r="O232" s="21"/>
      <c r="P232" s="21"/>
      <c r="Q232" s="21"/>
      <c r="R232" s="21"/>
      <c r="S232" s="21"/>
      <c r="T232" s="21"/>
    </row>
    <row r="233" spans="3:20">
      <c r="C233" s="21"/>
      <c r="D233" s="21"/>
      <c r="E233" s="21"/>
      <c r="F233" s="21"/>
      <c r="G233" s="21"/>
      <c r="H233" s="21"/>
      <c r="I233" s="21"/>
      <c r="J233" s="21"/>
      <c r="K233" s="21"/>
      <c r="L233" s="21"/>
      <c r="M233" s="21"/>
      <c r="N233" s="21"/>
      <c r="O233" s="21"/>
      <c r="P233" s="21"/>
      <c r="Q233" s="21"/>
      <c r="R233" s="21"/>
      <c r="S233" s="21"/>
      <c r="T233" s="21"/>
    </row>
    <row r="234" spans="3:20">
      <c r="C234" s="21"/>
      <c r="D234" s="21"/>
      <c r="E234" s="21"/>
      <c r="F234" s="21"/>
      <c r="G234" s="21"/>
      <c r="H234" s="21"/>
      <c r="I234" s="21"/>
      <c r="J234" s="21"/>
      <c r="K234" s="21"/>
      <c r="L234" s="21"/>
      <c r="M234" s="21"/>
      <c r="N234" s="21"/>
      <c r="O234" s="21"/>
      <c r="P234" s="21"/>
      <c r="Q234" s="21"/>
      <c r="R234" s="21"/>
      <c r="S234" s="21"/>
      <c r="T234" s="21"/>
    </row>
    <row r="235" spans="3:20">
      <c r="C235" s="21"/>
      <c r="D235" s="21"/>
      <c r="E235" s="21"/>
      <c r="F235" s="21"/>
      <c r="G235" s="21"/>
      <c r="H235" s="21"/>
      <c r="I235" s="21"/>
      <c r="J235" s="21"/>
      <c r="K235" s="21"/>
      <c r="L235" s="21"/>
      <c r="M235" s="21"/>
      <c r="N235" s="21"/>
      <c r="O235" s="21"/>
      <c r="P235" s="21"/>
      <c r="Q235" s="21"/>
      <c r="R235" s="21"/>
      <c r="S235" s="21"/>
      <c r="T235" s="21"/>
    </row>
    <row r="236" spans="3:20">
      <c r="C236" s="21"/>
      <c r="D236" s="21"/>
      <c r="E236" s="21"/>
      <c r="F236" s="21"/>
      <c r="G236" s="21"/>
      <c r="H236" s="21"/>
      <c r="I236" s="21"/>
      <c r="J236" s="21"/>
      <c r="K236" s="21"/>
      <c r="L236" s="21"/>
      <c r="M236" s="21"/>
      <c r="N236" s="21"/>
      <c r="O236" s="21"/>
      <c r="P236" s="21"/>
      <c r="Q236" s="21"/>
      <c r="R236" s="21"/>
      <c r="S236" s="21"/>
      <c r="T236" s="21"/>
    </row>
    <row r="237" spans="3:20">
      <c r="C237" s="21"/>
      <c r="D237" s="21"/>
      <c r="E237" s="21"/>
      <c r="F237" s="21"/>
      <c r="G237" s="21"/>
      <c r="H237" s="21"/>
      <c r="I237" s="21"/>
      <c r="J237" s="21"/>
      <c r="K237" s="21"/>
      <c r="L237" s="21"/>
      <c r="M237" s="21"/>
      <c r="N237" s="21"/>
      <c r="O237" s="21"/>
      <c r="P237" s="21"/>
      <c r="Q237" s="21"/>
      <c r="R237" s="21"/>
      <c r="S237" s="21"/>
      <c r="T237" s="21"/>
    </row>
    <row r="238" spans="3:20">
      <c r="C238" s="21"/>
      <c r="D238" s="21"/>
      <c r="E238" s="21"/>
      <c r="F238" s="21"/>
      <c r="G238" s="21"/>
      <c r="H238" s="21"/>
      <c r="I238" s="21"/>
      <c r="J238" s="21"/>
      <c r="K238" s="21"/>
      <c r="L238" s="21"/>
      <c r="M238" s="21"/>
      <c r="N238" s="21"/>
      <c r="O238" s="21"/>
      <c r="P238" s="21"/>
      <c r="Q238" s="21"/>
      <c r="R238" s="21"/>
      <c r="S238" s="21"/>
      <c r="T238" s="21"/>
    </row>
    <row r="239" spans="3:20">
      <c r="C239" s="21"/>
      <c r="D239" s="21"/>
      <c r="E239" s="21"/>
      <c r="F239" s="21"/>
      <c r="G239" s="21"/>
      <c r="H239" s="21"/>
      <c r="I239" s="21"/>
      <c r="J239" s="21"/>
      <c r="K239" s="21"/>
      <c r="L239" s="21"/>
      <c r="M239" s="21"/>
      <c r="N239" s="21"/>
      <c r="O239" s="21"/>
      <c r="P239" s="21"/>
      <c r="Q239" s="21"/>
      <c r="R239" s="21"/>
      <c r="S239" s="21"/>
      <c r="T239" s="21"/>
    </row>
    <row r="240" spans="3:20">
      <c r="C240" s="21"/>
      <c r="D240" s="21"/>
      <c r="E240" s="21"/>
      <c r="F240" s="21"/>
      <c r="G240" s="21"/>
      <c r="H240" s="21"/>
      <c r="I240" s="21"/>
      <c r="J240" s="21"/>
      <c r="K240" s="21"/>
      <c r="L240" s="21"/>
      <c r="M240" s="21"/>
      <c r="N240" s="21"/>
      <c r="O240" s="21"/>
      <c r="P240" s="21"/>
      <c r="Q240" s="21"/>
      <c r="R240" s="21"/>
      <c r="S240" s="21"/>
      <c r="T240" s="21"/>
    </row>
    <row r="241" spans="3:20">
      <c r="C241" s="21"/>
      <c r="D241" s="21"/>
      <c r="E241" s="21"/>
      <c r="F241" s="21"/>
      <c r="G241" s="21"/>
      <c r="H241" s="21"/>
      <c r="I241" s="21"/>
      <c r="J241" s="21"/>
      <c r="K241" s="21"/>
      <c r="L241" s="21"/>
      <c r="M241" s="21"/>
      <c r="N241" s="21"/>
      <c r="O241" s="21"/>
      <c r="P241" s="21"/>
      <c r="Q241" s="21"/>
      <c r="R241" s="21"/>
      <c r="S241" s="21"/>
      <c r="T241" s="21"/>
    </row>
    <row r="242" spans="3:20">
      <c r="C242" s="21"/>
      <c r="D242" s="21"/>
      <c r="E242" s="21"/>
      <c r="F242" s="21"/>
      <c r="G242" s="21"/>
      <c r="H242" s="21"/>
      <c r="I242" s="21"/>
      <c r="J242" s="21"/>
      <c r="K242" s="21"/>
      <c r="L242" s="21"/>
      <c r="M242" s="21"/>
      <c r="N242" s="21"/>
      <c r="O242" s="21"/>
      <c r="P242" s="21"/>
      <c r="Q242" s="21"/>
      <c r="R242" s="21"/>
      <c r="S242" s="21"/>
      <c r="T242" s="21"/>
    </row>
    <row r="243" spans="3:20">
      <c r="C243" s="21"/>
      <c r="D243" s="21"/>
      <c r="E243" s="21"/>
      <c r="F243" s="21"/>
      <c r="G243" s="21"/>
      <c r="H243" s="21"/>
      <c r="I243" s="21"/>
      <c r="J243" s="21"/>
      <c r="K243" s="21"/>
      <c r="L243" s="21"/>
      <c r="M243" s="21"/>
      <c r="N243" s="21"/>
      <c r="O243" s="21"/>
      <c r="P243" s="21"/>
      <c r="Q243" s="21"/>
      <c r="R243" s="21"/>
      <c r="S243" s="21"/>
      <c r="T243" s="21"/>
    </row>
    <row r="244" spans="3:20">
      <c r="C244" s="21"/>
      <c r="D244" s="21"/>
      <c r="E244" s="21"/>
      <c r="F244" s="21"/>
      <c r="G244" s="21"/>
      <c r="H244" s="21"/>
      <c r="I244" s="21"/>
      <c r="J244" s="21"/>
      <c r="K244" s="21"/>
      <c r="L244" s="21"/>
      <c r="M244" s="21"/>
      <c r="N244" s="21"/>
      <c r="O244" s="21"/>
      <c r="P244" s="21"/>
      <c r="Q244" s="21"/>
      <c r="R244" s="21"/>
      <c r="S244" s="21"/>
      <c r="T244" s="21"/>
    </row>
    <row r="245" spans="3:20">
      <c r="C245" s="21"/>
      <c r="D245" s="21"/>
      <c r="E245" s="21"/>
      <c r="F245" s="21"/>
      <c r="G245" s="21"/>
      <c r="H245" s="21"/>
      <c r="I245" s="21"/>
      <c r="J245" s="21"/>
      <c r="K245" s="21"/>
      <c r="L245" s="21"/>
      <c r="M245" s="21"/>
      <c r="N245" s="21"/>
      <c r="O245" s="21"/>
      <c r="P245" s="21"/>
      <c r="Q245" s="21"/>
      <c r="R245" s="21"/>
      <c r="S245" s="21"/>
      <c r="T245" s="21"/>
    </row>
    <row r="246" spans="3:20">
      <c r="C246" s="21"/>
      <c r="D246" s="21"/>
      <c r="E246" s="21"/>
      <c r="F246" s="21"/>
      <c r="G246" s="21"/>
      <c r="H246" s="21"/>
      <c r="I246" s="21"/>
      <c r="J246" s="21"/>
      <c r="K246" s="21"/>
      <c r="L246" s="21"/>
      <c r="M246" s="21"/>
      <c r="N246" s="21"/>
      <c r="O246" s="21"/>
      <c r="P246" s="21"/>
      <c r="Q246" s="21"/>
      <c r="R246" s="21"/>
      <c r="S246" s="21"/>
      <c r="T246" s="21"/>
    </row>
    <row r="247" spans="3:20">
      <c r="C247" s="21"/>
      <c r="D247" s="21"/>
      <c r="E247" s="21"/>
      <c r="F247" s="21"/>
      <c r="G247" s="21"/>
      <c r="H247" s="21"/>
      <c r="I247" s="21"/>
      <c r="J247" s="21"/>
      <c r="K247" s="21"/>
      <c r="L247" s="21"/>
      <c r="M247" s="21"/>
      <c r="N247" s="21"/>
      <c r="O247" s="21"/>
      <c r="P247" s="21"/>
      <c r="Q247" s="21"/>
      <c r="R247" s="21"/>
      <c r="S247" s="21"/>
      <c r="T247" s="21"/>
    </row>
    <row r="248" spans="3:20">
      <c r="C248" s="21"/>
      <c r="D248" s="21"/>
      <c r="E248" s="21"/>
      <c r="F248" s="21"/>
      <c r="G248" s="21"/>
      <c r="H248" s="21"/>
      <c r="I248" s="21"/>
      <c r="J248" s="21"/>
      <c r="K248" s="21"/>
      <c r="L248" s="21"/>
      <c r="M248" s="21"/>
      <c r="N248" s="21"/>
      <c r="O248" s="21"/>
      <c r="P248" s="21"/>
      <c r="Q248" s="21"/>
      <c r="R248" s="21"/>
      <c r="S248" s="21"/>
      <c r="T248" s="21"/>
    </row>
    <row r="249" spans="3:20">
      <c r="C249" s="21"/>
      <c r="D249" s="21"/>
      <c r="E249" s="21"/>
      <c r="F249" s="21"/>
      <c r="G249" s="21"/>
      <c r="H249" s="21"/>
      <c r="I249" s="21"/>
      <c r="J249" s="21"/>
      <c r="K249" s="21"/>
      <c r="L249" s="21"/>
      <c r="M249" s="21"/>
      <c r="N249" s="21"/>
      <c r="O249" s="21"/>
      <c r="P249" s="21"/>
      <c r="Q249" s="21"/>
      <c r="R249" s="21"/>
      <c r="S249" s="21"/>
      <c r="T249" s="21"/>
    </row>
    <row r="250" spans="3:20">
      <c r="C250" s="21"/>
      <c r="D250" s="21"/>
      <c r="E250" s="21"/>
      <c r="F250" s="21"/>
      <c r="G250" s="21"/>
      <c r="H250" s="21"/>
      <c r="I250" s="21"/>
      <c r="J250" s="21"/>
      <c r="K250" s="21"/>
      <c r="L250" s="21"/>
      <c r="M250" s="21"/>
      <c r="N250" s="21"/>
      <c r="O250" s="21"/>
      <c r="P250" s="21"/>
      <c r="Q250" s="21"/>
      <c r="R250" s="21"/>
      <c r="S250" s="21"/>
      <c r="T250" s="21"/>
    </row>
    <row r="251" spans="3:20">
      <c r="C251" s="21"/>
      <c r="D251" s="21"/>
      <c r="E251" s="21"/>
      <c r="F251" s="21"/>
      <c r="G251" s="21"/>
      <c r="H251" s="21"/>
      <c r="I251" s="21"/>
      <c r="J251" s="21"/>
      <c r="K251" s="21"/>
      <c r="L251" s="21"/>
      <c r="M251" s="21"/>
      <c r="N251" s="21"/>
      <c r="O251" s="21"/>
      <c r="P251" s="21"/>
      <c r="Q251" s="21"/>
      <c r="R251" s="21"/>
      <c r="S251" s="21"/>
      <c r="T251" s="21"/>
    </row>
    <row r="252" spans="3:20">
      <c r="C252" s="21"/>
      <c r="D252" s="21"/>
      <c r="E252" s="21"/>
      <c r="F252" s="21"/>
      <c r="G252" s="21"/>
      <c r="H252" s="21"/>
      <c r="I252" s="21"/>
      <c r="J252" s="21"/>
      <c r="K252" s="21"/>
      <c r="L252" s="21"/>
      <c r="M252" s="21"/>
      <c r="N252" s="21"/>
      <c r="O252" s="21"/>
      <c r="P252" s="21"/>
      <c r="Q252" s="21"/>
      <c r="R252" s="21"/>
      <c r="S252" s="21"/>
      <c r="T252" s="21"/>
    </row>
    <row r="253" spans="3:20">
      <c r="C253" s="21"/>
      <c r="D253" s="21"/>
      <c r="E253" s="21"/>
      <c r="F253" s="21"/>
      <c r="G253" s="21"/>
      <c r="H253" s="21"/>
      <c r="I253" s="21"/>
      <c r="J253" s="21"/>
      <c r="K253" s="21"/>
      <c r="L253" s="21"/>
      <c r="M253" s="21"/>
      <c r="N253" s="21"/>
      <c r="O253" s="21"/>
      <c r="P253" s="21"/>
      <c r="Q253" s="21"/>
      <c r="R253" s="21"/>
      <c r="S253" s="21"/>
      <c r="T253" s="21"/>
    </row>
    <row r="254" spans="3:20">
      <c r="C254" s="21"/>
      <c r="D254" s="21"/>
      <c r="E254" s="21"/>
      <c r="F254" s="21"/>
      <c r="G254" s="21"/>
      <c r="H254" s="21"/>
      <c r="I254" s="21"/>
      <c r="J254" s="21"/>
      <c r="K254" s="21"/>
      <c r="L254" s="21"/>
      <c r="M254" s="21"/>
      <c r="N254" s="21"/>
      <c r="O254" s="21"/>
      <c r="P254" s="21"/>
      <c r="Q254" s="21"/>
      <c r="R254" s="21"/>
      <c r="S254" s="21"/>
      <c r="T254" s="21"/>
    </row>
    <row r="255" spans="3:20">
      <c r="C255" s="21"/>
      <c r="D255" s="21"/>
      <c r="E255" s="21"/>
      <c r="F255" s="21"/>
      <c r="G255" s="21"/>
      <c r="H255" s="21"/>
      <c r="I255" s="21"/>
      <c r="J255" s="21"/>
      <c r="K255" s="21"/>
      <c r="L255" s="21"/>
      <c r="M255" s="21"/>
      <c r="N255" s="21"/>
      <c r="O255" s="21"/>
      <c r="P255" s="21"/>
      <c r="Q255" s="21"/>
      <c r="R255" s="21"/>
      <c r="S255" s="21"/>
      <c r="T255" s="21"/>
    </row>
    <row r="256" spans="3:20">
      <c r="C256" s="21"/>
      <c r="D256" s="21"/>
      <c r="E256" s="21"/>
      <c r="F256" s="21"/>
      <c r="G256" s="21"/>
      <c r="H256" s="21"/>
      <c r="I256" s="21"/>
      <c r="J256" s="21"/>
      <c r="K256" s="21"/>
      <c r="L256" s="21"/>
      <c r="M256" s="21"/>
      <c r="N256" s="21"/>
      <c r="O256" s="21"/>
      <c r="P256" s="21"/>
      <c r="Q256" s="21"/>
      <c r="R256" s="21"/>
      <c r="S256" s="21"/>
      <c r="T256" s="21"/>
    </row>
    <row r="257" spans="3:20">
      <c r="C257" s="21"/>
      <c r="D257" s="21"/>
      <c r="E257" s="21"/>
      <c r="F257" s="21"/>
      <c r="G257" s="21"/>
      <c r="H257" s="21"/>
      <c r="I257" s="21"/>
      <c r="J257" s="21"/>
      <c r="K257" s="21"/>
      <c r="L257" s="21"/>
      <c r="M257" s="21"/>
      <c r="N257" s="21"/>
      <c r="O257" s="21"/>
      <c r="P257" s="21"/>
      <c r="Q257" s="21"/>
      <c r="R257" s="21"/>
      <c r="S257" s="21"/>
      <c r="T257" s="21"/>
    </row>
    <row r="258" spans="3:20">
      <c r="C258" s="21"/>
      <c r="D258" s="21"/>
      <c r="E258" s="21"/>
      <c r="F258" s="21"/>
      <c r="G258" s="21"/>
      <c r="H258" s="21"/>
      <c r="I258" s="21"/>
      <c r="J258" s="21"/>
      <c r="K258" s="21"/>
      <c r="L258" s="21"/>
      <c r="M258" s="21"/>
      <c r="N258" s="21"/>
      <c r="O258" s="21"/>
      <c r="P258" s="21"/>
      <c r="Q258" s="21"/>
      <c r="R258" s="21"/>
      <c r="S258" s="21"/>
      <c r="T258" s="21"/>
    </row>
    <row r="259" spans="3:20">
      <c r="C259" s="21"/>
      <c r="D259" s="21"/>
      <c r="E259" s="21"/>
      <c r="F259" s="21"/>
      <c r="G259" s="21"/>
      <c r="H259" s="21"/>
      <c r="I259" s="21"/>
      <c r="J259" s="21"/>
      <c r="K259" s="21"/>
      <c r="L259" s="21"/>
      <c r="M259" s="21"/>
      <c r="N259" s="21"/>
      <c r="O259" s="21"/>
      <c r="P259" s="21"/>
      <c r="Q259" s="21"/>
      <c r="R259" s="21"/>
      <c r="S259" s="21"/>
      <c r="T259" s="21"/>
    </row>
    <row r="260" spans="3:20">
      <c r="C260" s="21"/>
      <c r="D260" s="21"/>
      <c r="E260" s="21"/>
      <c r="F260" s="21"/>
      <c r="G260" s="21"/>
      <c r="H260" s="21"/>
      <c r="I260" s="21"/>
      <c r="J260" s="21"/>
      <c r="K260" s="21"/>
      <c r="L260" s="21"/>
      <c r="M260" s="21"/>
      <c r="N260" s="21"/>
      <c r="O260" s="21"/>
      <c r="P260" s="21"/>
      <c r="Q260" s="21"/>
      <c r="R260" s="21"/>
      <c r="S260" s="21"/>
      <c r="T260" s="21"/>
    </row>
    <row r="261" spans="3:20">
      <c r="C261" s="21"/>
      <c r="D261" s="21"/>
      <c r="E261" s="21"/>
      <c r="F261" s="21"/>
      <c r="G261" s="21"/>
      <c r="H261" s="21"/>
      <c r="I261" s="21"/>
      <c r="J261" s="21"/>
      <c r="K261" s="21"/>
      <c r="L261" s="21"/>
      <c r="M261" s="21"/>
      <c r="N261" s="21"/>
      <c r="O261" s="21"/>
      <c r="P261" s="21"/>
      <c r="Q261" s="21"/>
      <c r="R261" s="21"/>
      <c r="S261" s="21"/>
      <c r="T261" s="21"/>
    </row>
    <row r="262" spans="3:20">
      <c r="C262" s="21"/>
      <c r="D262" s="21"/>
      <c r="E262" s="21"/>
      <c r="F262" s="21"/>
      <c r="G262" s="21"/>
      <c r="H262" s="21"/>
      <c r="I262" s="21"/>
      <c r="J262" s="21"/>
      <c r="K262" s="21"/>
      <c r="L262" s="21"/>
      <c r="M262" s="21"/>
      <c r="N262" s="21"/>
      <c r="O262" s="21"/>
      <c r="P262" s="21"/>
      <c r="Q262" s="21"/>
      <c r="R262" s="21"/>
      <c r="S262" s="21"/>
      <c r="T262" s="21"/>
    </row>
    <row r="263" spans="3:20">
      <c r="C263" s="21"/>
      <c r="D263" s="21"/>
      <c r="E263" s="21"/>
      <c r="F263" s="21"/>
      <c r="G263" s="21"/>
      <c r="H263" s="21"/>
      <c r="I263" s="21"/>
      <c r="J263" s="21"/>
      <c r="K263" s="21"/>
      <c r="L263" s="21"/>
      <c r="M263" s="21"/>
      <c r="N263" s="21"/>
      <c r="O263" s="21"/>
      <c r="P263" s="21"/>
      <c r="Q263" s="21"/>
      <c r="R263" s="21"/>
      <c r="S263" s="21"/>
      <c r="T263" s="21"/>
    </row>
    <row r="264" spans="3:20">
      <c r="C264" s="21"/>
      <c r="D264" s="21"/>
      <c r="E264" s="21"/>
      <c r="F264" s="21"/>
      <c r="G264" s="21"/>
      <c r="H264" s="21"/>
      <c r="I264" s="21"/>
      <c r="J264" s="21"/>
      <c r="K264" s="21"/>
      <c r="L264" s="21"/>
      <c r="M264" s="21"/>
      <c r="N264" s="21"/>
      <c r="O264" s="21"/>
      <c r="P264" s="21"/>
      <c r="Q264" s="21"/>
      <c r="R264" s="21"/>
      <c r="S264" s="21"/>
      <c r="T264" s="21"/>
    </row>
    <row r="265" spans="3:20">
      <c r="C265" s="21"/>
      <c r="D265" s="21"/>
      <c r="E265" s="21"/>
      <c r="F265" s="21"/>
      <c r="G265" s="21"/>
      <c r="H265" s="21"/>
      <c r="I265" s="21"/>
      <c r="J265" s="21"/>
      <c r="K265" s="21"/>
      <c r="L265" s="21"/>
      <c r="M265" s="21"/>
      <c r="N265" s="21"/>
      <c r="O265" s="21"/>
      <c r="P265" s="21"/>
      <c r="Q265" s="21"/>
      <c r="R265" s="21"/>
      <c r="S265" s="21"/>
      <c r="T265" s="21"/>
    </row>
    <row r="266" spans="3:20">
      <c r="C266" s="21"/>
      <c r="D266" s="21"/>
      <c r="E266" s="21"/>
      <c r="F266" s="21"/>
      <c r="G266" s="21"/>
      <c r="H266" s="21"/>
      <c r="I266" s="21"/>
      <c r="J266" s="21"/>
      <c r="K266" s="21"/>
      <c r="L266" s="21"/>
      <c r="M266" s="21"/>
      <c r="N266" s="21"/>
      <c r="O266" s="21"/>
      <c r="P266" s="21"/>
      <c r="Q266" s="21"/>
      <c r="R266" s="21"/>
      <c r="S266" s="21"/>
      <c r="T266" s="21"/>
    </row>
    <row r="267" spans="3:20">
      <c r="C267" s="21"/>
      <c r="D267" s="21"/>
      <c r="E267" s="21"/>
      <c r="F267" s="21"/>
      <c r="G267" s="21"/>
      <c r="H267" s="21"/>
      <c r="I267" s="21"/>
      <c r="J267" s="21"/>
      <c r="K267" s="21"/>
      <c r="L267" s="21"/>
      <c r="M267" s="21"/>
      <c r="N267" s="21"/>
      <c r="O267" s="21"/>
      <c r="P267" s="21"/>
      <c r="Q267" s="21"/>
      <c r="R267" s="21"/>
      <c r="S267" s="21"/>
      <c r="T267" s="21"/>
    </row>
    <row r="268" spans="3:20">
      <c r="C268" s="21"/>
      <c r="D268" s="21"/>
      <c r="E268" s="21"/>
      <c r="F268" s="21"/>
      <c r="G268" s="21"/>
      <c r="H268" s="21"/>
      <c r="I268" s="21"/>
      <c r="J268" s="21"/>
      <c r="K268" s="21"/>
      <c r="L268" s="21"/>
      <c r="M268" s="21"/>
      <c r="N268" s="21"/>
      <c r="O268" s="21"/>
      <c r="P268" s="21"/>
      <c r="Q268" s="21"/>
      <c r="R268" s="21"/>
      <c r="S268" s="21"/>
      <c r="T268" s="21"/>
    </row>
    <row r="269" spans="3:20">
      <c r="C269" s="21"/>
      <c r="D269" s="21"/>
      <c r="E269" s="21"/>
      <c r="F269" s="21"/>
      <c r="G269" s="21"/>
      <c r="H269" s="21"/>
      <c r="I269" s="21"/>
      <c r="J269" s="21"/>
      <c r="K269" s="21"/>
      <c r="L269" s="21"/>
      <c r="M269" s="21"/>
      <c r="N269" s="21"/>
      <c r="O269" s="21"/>
      <c r="P269" s="21"/>
      <c r="Q269" s="21"/>
      <c r="R269" s="21"/>
      <c r="S269" s="21"/>
      <c r="T269" s="21"/>
    </row>
    <row r="270" spans="3:20">
      <c r="C270" s="21"/>
      <c r="D270" s="21"/>
      <c r="E270" s="21"/>
      <c r="F270" s="21"/>
      <c r="G270" s="21"/>
      <c r="H270" s="21"/>
      <c r="I270" s="21"/>
      <c r="J270" s="21"/>
      <c r="K270" s="21"/>
      <c r="L270" s="21"/>
      <c r="M270" s="21"/>
      <c r="N270" s="21"/>
      <c r="O270" s="21"/>
      <c r="P270" s="21"/>
      <c r="Q270" s="21"/>
      <c r="R270" s="21"/>
      <c r="S270" s="21"/>
      <c r="T270" s="21"/>
    </row>
    <row r="271" spans="3:20">
      <c r="C271" s="21"/>
      <c r="D271" s="21"/>
      <c r="E271" s="21"/>
      <c r="F271" s="21"/>
      <c r="G271" s="21"/>
      <c r="H271" s="21"/>
      <c r="I271" s="21"/>
      <c r="J271" s="21"/>
      <c r="K271" s="21"/>
      <c r="L271" s="21"/>
      <c r="M271" s="21"/>
      <c r="N271" s="21"/>
      <c r="O271" s="21"/>
      <c r="P271" s="21"/>
      <c r="Q271" s="21"/>
      <c r="R271" s="21"/>
      <c r="S271" s="21"/>
      <c r="T271" s="21"/>
    </row>
    <row r="272" spans="3:20">
      <c r="C272" s="21"/>
      <c r="D272" s="21"/>
      <c r="E272" s="21"/>
      <c r="F272" s="21"/>
      <c r="G272" s="21"/>
      <c r="H272" s="21"/>
      <c r="I272" s="21"/>
      <c r="J272" s="21"/>
      <c r="K272" s="21"/>
      <c r="L272" s="21"/>
      <c r="M272" s="21"/>
      <c r="N272" s="21"/>
      <c r="O272" s="21"/>
      <c r="P272" s="21"/>
      <c r="Q272" s="21"/>
      <c r="R272" s="21"/>
      <c r="S272" s="21"/>
      <c r="T272" s="21"/>
    </row>
    <row r="273" spans="3:20">
      <c r="C273" s="21"/>
      <c r="D273" s="21"/>
      <c r="E273" s="21"/>
      <c r="F273" s="21"/>
      <c r="G273" s="21"/>
      <c r="H273" s="21"/>
      <c r="I273" s="21"/>
      <c r="J273" s="21"/>
      <c r="K273" s="21"/>
      <c r="L273" s="21"/>
      <c r="M273" s="21"/>
      <c r="N273" s="21"/>
      <c r="O273" s="21"/>
      <c r="P273" s="21"/>
      <c r="Q273" s="21"/>
      <c r="R273" s="21"/>
      <c r="S273" s="21"/>
      <c r="T273" s="21"/>
    </row>
    <row r="274" spans="3:20">
      <c r="C274" s="21"/>
      <c r="D274" s="21"/>
      <c r="E274" s="21"/>
      <c r="F274" s="21"/>
      <c r="G274" s="21"/>
      <c r="H274" s="21"/>
      <c r="I274" s="21"/>
      <c r="J274" s="21"/>
      <c r="K274" s="21"/>
      <c r="L274" s="21"/>
      <c r="M274" s="21"/>
      <c r="N274" s="21"/>
      <c r="O274" s="21"/>
      <c r="P274" s="21"/>
      <c r="Q274" s="21"/>
      <c r="R274" s="21"/>
      <c r="S274" s="21"/>
      <c r="T274" s="21"/>
    </row>
    <row r="275" spans="3:20">
      <c r="C275" s="21"/>
      <c r="D275" s="21"/>
      <c r="E275" s="21"/>
      <c r="F275" s="21"/>
      <c r="G275" s="21"/>
      <c r="H275" s="21"/>
      <c r="I275" s="21"/>
      <c r="J275" s="21"/>
      <c r="K275" s="21"/>
      <c r="L275" s="21"/>
      <c r="M275" s="21"/>
      <c r="N275" s="21"/>
      <c r="O275" s="21"/>
      <c r="P275" s="21"/>
      <c r="Q275" s="21"/>
      <c r="R275" s="21"/>
      <c r="S275" s="21"/>
      <c r="T275" s="21"/>
    </row>
    <row r="276" spans="3:20">
      <c r="C276" s="21"/>
      <c r="D276" s="21"/>
      <c r="E276" s="21"/>
      <c r="F276" s="21"/>
      <c r="G276" s="21"/>
      <c r="H276" s="21"/>
      <c r="I276" s="21"/>
      <c r="J276" s="21"/>
      <c r="K276" s="21"/>
      <c r="L276" s="21"/>
      <c r="M276" s="21"/>
      <c r="N276" s="21"/>
      <c r="O276" s="21"/>
      <c r="P276" s="21"/>
      <c r="Q276" s="21"/>
      <c r="R276" s="21"/>
      <c r="S276" s="21"/>
      <c r="T276" s="21"/>
    </row>
    <row r="277" spans="3:20">
      <c r="C277" s="21"/>
      <c r="D277" s="21"/>
      <c r="E277" s="21"/>
      <c r="F277" s="21"/>
      <c r="G277" s="21"/>
      <c r="H277" s="21"/>
      <c r="I277" s="21"/>
      <c r="J277" s="21"/>
      <c r="K277" s="21"/>
      <c r="L277" s="21"/>
      <c r="M277" s="21"/>
      <c r="N277" s="21"/>
      <c r="O277" s="21"/>
      <c r="P277" s="21"/>
      <c r="Q277" s="21"/>
      <c r="R277" s="21"/>
      <c r="S277" s="21"/>
      <c r="T277" s="21"/>
    </row>
    <row r="278" spans="3:20">
      <c r="C278" s="21"/>
      <c r="D278" s="21"/>
      <c r="E278" s="21"/>
      <c r="F278" s="21"/>
      <c r="G278" s="21"/>
      <c r="H278" s="21"/>
      <c r="I278" s="21"/>
      <c r="J278" s="21"/>
      <c r="K278" s="21"/>
      <c r="L278" s="21"/>
      <c r="M278" s="21"/>
      <c r="N278" s="21"/>
      <c r="O278" s="21"/>
      <c r="P278" s="21"/>
      <c r="Q278" s="21"/>
      <c r="R278" s="21"/>
      <c r="S278" s="21"/>
      <c r="T278" s="21"/>
    </row>
    <row r="279" spans="3:20">
      <c r="C279" s="21"/>
      <c r="D279" s="21"/>
      <c r="E279" s="21"/>
      <c r="F279" s="21"/>
      <c r="G279" s="21"/>
      <c r="H279" s="21"/>
      <c r="I279" s="21"/>
      <c r="J279" s="21"/>
      <c r="K279" s="21"/>
      <c r="L279" s="21"/>
      <c r="M279" s="21"/>
      <c r="N279" s="21"/>
      <c r="O279" s="21"/>
      <c r="P279" s="21"/>
      <c r="Q279" s="21"/>
      <c r="R279" s="21"/>
      <c r="S279" s="21"/>
      <c r="T279" s="21"/>
    </row>
    <row r="280" spans="3:20">
      <c r="C280" s="21"/>
      <c r="D280" s="21"/>
      <c r="E280" s="21"/>
      <c r="F280" s="21"/>
      <c r="G280" s="21"/>
      <c r="H280" s="21"/>
      <c r="I280" s="21"/>
      <c r="J280" s="21"/>
      <c r="K280" s="21"/>
      <c r="L280" s="21"/>
      <c r="M280" s="21"/>
      <c r="N280" s="21"/>
      <c r="O280" s="21"/>
      <c r="P280" s="21"/>
      <c r="Q280" s="21"/>
      <c r="R280" s="21"/>
      <c r="S280" s="21"/>
      <c r="T280" s="21"/>
    </row>
    <row r="281" spans="3:20">
      <c r="C281" s="21"/>
      <c r="D281" s="21"/>
      <c r="E281" s="21"/>
      <c r="F281" s="21"/>
      <c r="G281" s="21"/>
      <c r="H281" s="21"/>
      <c r="I281" s="21"/>
      <c r="J281" s="21"/>
      <c r="K281" s="21"/>
      <c r="L281" s="21"/>
      <c r="M281" s="21"/>
      <c r="N281" s="21"/>
      <c r="O281" s="21"/>
      <c r="P281" s="21"/>
      <c r="Q281" s="21"/>
      <c r="R281" s="21"/>
      <c r="S281" s="21"/>
      <c r="T281" s="21"/>
    </row>
    <row r="282" spans="3:20">
      <c r="C282" s="21"/>
      <c r="D282" s="21"/>
      <c r="E282" s="21"/>
      <c r="F282" s="21"/>
      <c r="G282" s="21"/>
      <c r="H282" s="21"/>
      <c r="I282" s="21"/>
      <c r="J282" s="21"/>
      <c r="K282" s="21"/>
      <c r="L282" s="21"/>
      <c r="M282" s="21"/>
      <c r="N282" s="21"/>
      <c r="O282" s="21"/>
      <c r="P282" s="21"/>
      <c r="Q282" s="21"/>
      <c r="R282" s="21"/>
      <c r="S282" s="21"/>
      <c r="T282" s="21"/>
    </row>
    <row r="283" spans="3:20">
      <c r="C283" s="21"/>
      <c r="D283" s="21"/>
      <c r="E283" s="21"/>
      <c r="F283" s="21"/>
      <c r="G283" s="21"/>
      <c r="H283" s="21"/>
      <c r="I283" s="21"/>
      <c r="J283" s="21"/>
      <c r="K283" s="21"/>
      <c r="L283" s="21"/>
      <c r="M283" s="21"/>
      <c r="N283" s="21"/>
      <c r="O283" s="21"/>
      <c r="P283" s="21"/>
      <c r="Q283" s="21"/>
      <c r="R283" s="21"/>
      <c r="S283" s="21"/>
      <c r="T283" s="21"/>
    </row>
    <row r="284" spans="3:20">
      <c r="C284" s="21"/>
      <c r="D284" s="21"/>
      <c r="E284" s="21"/>
      <c r="F284" s="21"/>
      <c r="G284" s="21"/>
      <c r="H284" s="21"/>
      <c r="I284" s="21"/>
      <c r="J284" s="21"/>
      <c r="K284" s="21"/>
      <c r="L284" s="21"/>
      <c r="M284" s="21"/>
      <c r="N284" s="21"/>
      <c r="O284" s="21"/>
      <c r="P284" s="21"/>
      <c r="Q284" s="21"/>
      <c r="R284" s="21"/>
      <c r="S284" s="21"/>
      <c r="T284" s="21"/>
    </row>
    <row r="285" spans="3:20">
      <c r="C285" s="21"/>
      <c r="D285" s="21"/>
      <c r="E285" s="21"/>
      <c r="F285" s="21"/>
      <c r="G285" s="21"/>
      <c r="H285" s="21"/>
      <c r="I285" s="21"/>
      <c r="J285" s="21"/>
      <c r="K285" s="21"/>
      <c r="L285" s="21"/>
      <c r="M285" s="21"/>
      <c r="N285" s="21"/>
      <c r="O285" s="21"/>
      <c r="P285" s="21"/>
      <c r="Q285" s="21"/>
      <c r="R285" s="21"/>
      <c r="S285" s="21"/>
      <c r="T285" s="21"/>
    </row>
    <row r="286" spans="3:20">
      <c r="C286" s="21"/>
      <c r="D286" s="21"/>
      <c r="E286" s="21"/>
      <c r="F286" s="21"/>
      <c r="G286" s="21"/>
      <c r="H286" s="21"/>
      <c r="I286" s="21"/>
      <c r="J286" s="21"/>
      <c r="K286" s="21"/>
      <c r="L286" s="21"/>
      <c r="M286" s="21"/>
      <c r="N286" s="21"/>
      <c r="O286" s="21"/>
      <c r="P286" s="21"/>
      <c r="Q286" s="21"/>
      <c r="R286" s="21"/>
      <c r="S286" s="21"/>
      <c r="T286" s="21"/>
    </row>
    <row r="287" spans="3:20">
      <c r="C287" s="21"/>
      <c r="D287" s="21"/>
      <c r="E287" s="21"/>
      <c r="F287" s="21"/>
      <c r="G287" s="21"/>
      <c r="H287" s="21"/>
      <c r="I287" s="21"/>
      <c r="J287" s="21"/>
      <c r="K287" s="21"/>
      <c r="L287" s="21"/>
      <c r="M287" s="21"/>
      <c r="N287" s="21"/>
      <c r="O287" s="21"/>
      <c r="P287" s="21"/>
      <c r="Q287" s="21"/>
      <c r="R287" s="21"/>
      <c r="S287" s="21"/>
      <c r="T287" s="21"/>
    </row>
    <row r="288" spans="3:20">
      <c r="C288" s="21"/>
      <c r="D288" s="21"/>
      <c r="E288" s="21"/>
      <c r="F288" s="21"/>
      <c r="G288" s="21"/>
      <c r="H288" s="21"/>
      <c r="I288" s="21"/>
      <c r="J288" s="21"/>
      <c r="K288" s="21"/>
      <c r="L288" s="21"/>
      <c r="M288" s="21"/>
      <c r="N288" s="21"/>
      <c r="O288" s="21"/>
      <c r="P288" s="21"/>
      <c r="Q288" s="21"/>
      <c r="R288" s="21"/>
      <c r="S288" s="21"/>
      <c r="T288" s="21"/>
    </row>
    <row r="289" spans="3:20">
      <c r="C289" s="21"/>
      <c r="D289" s="21"/>
      <c r="E289" s="21"/>
      <c r="F289" s="21"/>
      <c r="G289" s="21"/>
      <c r="H289" s="21"/>
      <c r="I289" s="21"/>
      <c r="J289" s="21"/>
      <c r="K289" s="21"/>
      <c r="L289" s="21"/>
      <c r="M289" s="21"/>
      <c r="N289" s="21"/>
      <c r="O289" s="21"/>
      <c r="P289" s="21"/>
      <c r="Q289" s="21"/>
      <c r="R289" s="21"/>
      <c r="S289" s="21"/>
      <c r="T289" s="21"/>
    </row>
    <row r="290" spans="3:20">
      <c r="C290" s="21"/>
      <c r="D290" s="21"/>
      <c r="E290" s="21"/>
      <c r="F290" s="21"/>
      <c r="G290" s="21"/>
      <c r="H290" s="21"/>
      <c r="I290" s="21"/>
      <c r="J290" s="21"/>
      <c r="K290" s="21"/>
      <c r="L290" s="21"/>
      <c r="M290" s="21"/>
      <c r="N290" s="21"/>
      <c r="O290" s="21"/>
      <c r="P290" s="21"/>
      <c r="Q290" s="21"/>
      <c r="R290" s="21"/>
      <c r="S290" s="21"/>
      <c r="T290" s="21"/>
    </row>
    <row r="291" spans="3:20">
      <c r="C291" s="21"/>
      <c r="D291" s="21"/>
      <c r="E291" s="21"/>
      <c r="F291" s="21"/>
      <c r="G291" s="21"/>
      <c r="H291" s="21"/>
      <c r="I291" s="21"/>
      <c r="J291" s="21"/>
      <c r="K291" s="21"/>
      <c r="L291" s="21"/>
      <c r="M291" s="21"/>
      <c r="N291" s="21"/>
      <c r="O291" s="21"/>
      <c r="P291" s="21"/>
      <c r="Q291" s="21"/>
      <c r="R291" s="21"/>
      <c r="S291" s="21"/>
      <c r="T291" s="21"/>
    </row>
    <row r="292" spans="3:20">
      <c r="C292" s="21"/>
      <c r="D292" s="21"/>
      <c r="E292" s="21"/>
      <c r="F292" s="21"/>
      <c r="G292" s="21"/>
      <c r="H292" s="21"/>
      <c r="I292" s="21"/>
      <c r="J292" s="21"/>
      <c r="K292" s="21"/>
      <c r="L292" s="21"/>
      <c r="M292" s="21"/>
      <c r="N292" s="21"/>
      <c r="O292" s="21"/>
      <c r="P292" s="21"/>
      <c r="Q292" s="21"/>
      <c r="R292" s="21"/>
      <c r="S292" s="21"/>
      <c r="T292" s="21"/>
    </row>
    <row r="293" spans="3:20">
      <c r="C293" s="21"/>
      <c r="D293" s="21"/>
      <c r="E293" s="21"/>
      <c r="F293" s="21"/>
      <c r="G293" s="21"/>
      <c r="H293" s="21"/>
      <c r="I293" s="21"/>
      <c r="J293" s="21"/>
      <c r="K293" s="21"/>
      <c r="L293" s="21"/>
      <c r="M293" s="21"/>
      <c r="N293" s="21"/>
      <c r="O293" s="21"/>
      <c r="P293" s="21"/>
      <c r="Q293" s="21"/>
      <c r="R293" s="21"/>
      <c r="S293" s="21"/>
      <c r="T293" s="21"/>
    </row>
    <row r="294" spans="3:20">
      <c r="C294" s="21"/>
      <c r="D294" s="21"/>
      <c r="E294" s="21"/>
      <c r="F294" s="21"/>
      <c r="G294" s="21"/>
      <c r="H294" s="21"/>
      <c r="I294" s="21"/>
      <c r="J294" s="21"/>
      <c r="K294" s="21"/>
      <c r="L294" s="21"/>
      <c r="M294" s="21"/>
      <c r="N294" s="21"/>
      <c r="O294" s="21"/>
      <c r="P294" s="21"/>
      <c r="Q294" s="21"/>
      <c r="R294" s="21"/>
      <c r="S294" s="21"/>
      <c r="T294" s="21"/>
    </row>
    <row r="295" spans="3:20">
      <c r="C295" s="21"/>
      <c r="D295" s="21"/>
      <c r="E295" s="21"/>
      <c r="F295" s="21"/>
      <c r="G295" s="21"/>
      <c r="H295" s="21"/>
      <c r="I295" s="21"/>
      <c r="J295" s="21"/>
      <c r="K295" s="21"/>
      <c r="L295" s="21"/>
      <c r="M295" s="21"/>
      <c r="N295" s="21"/>
      <c r="O295" s="21"/>
      <c r="P295" s="21"/>
      <c r="Q295" s="21"/>
      <c r="R295" s="21"/>
      <c r="S295" s="21"/>
      <c r="T295" s="21"/>
    </row>
    <row r="296" spans="3:20">
      <c r="C296" s="21"/>
      <c r="D296" s="21"/>
      <c r="E296" s="21"/>
      <c r="F296" s="21"/>
      <c r="G296" s="21"/>
      <c r="H296" s="21"/>
      <c r="I296" s="21"/>
      <c r="J296" s="21"/>
      <c r="K296" s="21"/>
      <c r="L296" s="21"/>
      <c r="M296" s="21"/>
      <c r="N296" s="21"/>
      <c r="O296" s="21"/>
      <c r="P296" s="21"/>
      <c r="Q296" s="21"/>
      <c r="R296" s="21"/>
      <c r="S296" s="21"/>
      <c r="T296" s="21"/>
    </row>
    <row r="297" spans="3:20">
      <c r="C297" s="21"/>
      <c r="D297" s="21"/>
      <c r="E297" s="21"/>
      <c r="F297" s="21"/>
      <c r="G297" s="21"/>
      <c r="H297" s="21"/>
      <c r="I297" s="21"/>
      <c r="J297" s="21"/>
      <c r="K297" s="21"/>
      <c r="L297" s="21"/>
      <c r="M297" s="21"/>
      <c r="N297" s="21"/>
      <c r="O297" s="21"/>
      <c r="P297" s="21"/>
      <c r="Q297" s="21"/>
      <c r="R297" s="21"/>
      <c r="S297" s="21"/>
      <c r="T297" s="21"/>
    </row>
    <row r="298" spans="3:20">
      <c r="C298" s="21"/>
      <c r="D298" s="21"/>
      <c r="E298" s="21"/>
      <c r="F298" s="21"/>
      <c r="G298" s="21"/>
      <c r="H298" s="21"/>
      <c r="I298" s="21"/>
      <c r="J298" s="21"/>
      <c r="K298" s="21"/>
      <c r="L298" s="21"/>
      <c r="M298" s="21"/>
      <c r="N298" s="21"/>
      <c r="O298" s="21"/>
      <c r="P298" s="21"/>
      <c r="Q298" s="21"/>
      <c r="R298" s="21"/>
      <c r="S298" s="21"/>
      <c r="T298" s="21"/>
    </row>
    <row r="299" spans="3:20">
      <c r="C299" s="21"/>
      <c r="D299" s="21"/>
      <c r="E299" s="21"/>
      <c r="F299" s="21"/>
      <c r="G299" s="21"/>
      <c r="H299" s="21"/>
      <c r="I299" s="21"/>
      <c r="J299" s="21"/>
      <c r="K299" s="21"/>
      <c r="L299" s="21"/>
      <c r="M299" s="21"/>
      <c r="N299" s="21"/>
      <c r="O299" s="21"/>
      <c r="P299" s="21"/>
      <c r="Q299" s="21"/>
      <c r="R299" s="21"/>
      <c r="S299" s="21"/>
      <c r="T299" s="21"/>
    </row>
    <row r="300" spans="3:20">
      <c r="C300" s="21"/>
      <c r="D300" s="21"/>
      <c r="E300" s="21"/>
      <c r="F300" s="21"/>
      <c r="G300" s="21"/>
      <c r="H300" s="21"/>
      <c r="I300" s="21"/>
      <c r="J300" s="21"/>
      <c r="K300" s="21"/>
      <c r="L300" s="21"/>
      <c r="M300" s="21"/>
      <c r="N300" s="21"/>
      <c r="O300" s="21"/>
      <c r="P300" s="21"/>
      <c r="Q300" s="21"/>
      <c r="R300" s="21"/>
      <c r="S300" s="21"/>
      <c r="T300" s="21"/>
    </row>
    <row r="301" spans="3:20">
      <c r="C301" s="21"/>
      <c r="D301" s="21"/>
      <c r="E301" s="21"/>
      <c r="F301" s="21"/>
      <c r="G301" s="21"/>
      <c r="H301" s="21"/>
      <c r="I301" s="21"/>
      <c r="J301" s="21"/>
      <c r="K301" s="21"/>
      <c r="L301" s="21"/>
      <c r="M301" s="21"/>
      <c r="N301" s="21"/>
      <c r="O301" s="21"/>
      <c r="P301" s="21"/>
      <c r="Q301" s="21"/>
      <c r="R301" s="21"/>
      <c r="S301" s="21"/>
      <c r="T301" s="21"/>
    </row>
    <row r="302" spans="3:20">
      <c r="C302" s="21"/>
      <c r="D302" s="21"/>
      <c r="E302" s="21"/>
      <c r="F302" s="21"/>
      <c r="G302" s="21"/>
      <c r="H302" s="21"/>
      <c r="I302" s="21"/>
      <c r="J302" s="21"/>
      <c r="K302" s="21"/>
      <c r="L302" s="21"/>
      <c r="M302" s="21"/>
      <c r="N302" s="21"/>
      <c r="O302" s="21"/>
      <c r="P302" s="21"/>
      <c r="Q302" s="21"/>
      <c r="R302" s="21"/>
      <c r="S302" s="21"/>
      <c r="T302" s="21"/>
    </row>
    <row r="303" spans="3:20">
      <c r="C303" s="21"/>
      <c r="D303" s="21"/>
      <c r="E303" s="21"/>
      <c r="F303" s="21"/>
      <c r="G303" s="21"/>
      <c r="H303" s="21"/>
      <c r="I303" s="21"/>
      <c r="J303" s="21"/>
      <c r="K303" s="21"/>
      <c r="L303" s="21"/>
      <c r="M303" s="21"/>
      <c r="N303" s="21"/>
      <c r="O303" s="21"/>
      <c r="P303" s="21"/>
      <c r="Q303" s="21"/>
      <c r="R303" s="21"/>
      <c r="S303" s="21"/>
      <c r="T303" s="21"/>
    </row>
    <row r="304" spans="3:20">
      <c r="C304" s="21"/>
      <c r="D304" s="21"/>
      <c r="E304" s="21"/>
      <c r="F304" s="21"/>
      <c r="G304" s="21"/>
      <c r="H304" s="21"/>
      <c r="I304" s="21"/>
      <c r="J304" s="21"/>
      <c r="K304" s="21"/>
      <c r="L304" s="21"/>
      <c r="M304" s="21"/>
      <c r="N304" s="21"/>
      <c r="O304" s="21"/>
      <c r="P304" s="21"/>
      <c r="Q304" s="21"/>
      <c r="R304" s="21"/>
      <c r="S304" s="21"/>
      <c r="T304" s="21"/>
    </row>
    <row r="305" spans="3:20">
      <c r="C305" s="21"/>
      <c r="D305" s="21"/>
      <c r="E305" s="21"/>
      <c r="F305" s="21"/>
      <c r="G305" s="21"/>
      <c r="H305" s="21"/>
      <c r="I305" s="21"/>
      <c r="J305" s="21"/>
      <c r="K305" s="21"/>
      <c r="L305" s="21"/>
      <c r="M305" s="21"/>
      <c r="N305" s="21"/>
      <c r="O305" s="21"/>
      <c r="P305" s="21"/>
      <c r="Q305" s="21"/>
      <c r="R305" s="21"/>
      <c r="S305" s="21"/>
      <c r="T305" s="21"/>
    </row>
    <row r="306" spans="3:20">
      <c r="C306" s="21"/>
      <c r="D306" s="21"/>
      <c r="E306" s="21"/>
      <c r="F306" s="21"/>
      <c r="G306" s="21"/>
      <c r="H306" s="21"/>
      <c r="I306" s="21"/>
      <c r="J306" s="21"/>
      <c r="K306" s="21"/>
      <c r="L306" s="21"/>
      <c r="M306" s="21"/>
      <c r="N306" s="21"/>
      <c r="O306" s="21"/>
      <c r="P306" s="21"/>
      <c r="Q306" s="21"/>
      <c r="R306" s="21"/>
      <c r="S306" s="21"/>
      <c r="T306" s="21"/>
    </row>
    <row r="307" spans="3:20">
      <c r="C307" s="21"/>
      <c r="D307" s="21"/>
      <c r="E307" s="21"/>
      <c r="F307" s="21"/>
      <c r="G307" s="21"/>
      <c r="H307" s="21"/>
      <c r="I307" s="21"/>
      <c r="J307" s="21"/>
      <c r="K307" s="21"/>
      <c r="L307" s="21"/>
      <c r="M307" s="21"/>
      <c r="N307" s="21"/>
      <c r="O307" s="21"/>
      <c r="P307" s="21"/>
      <c r="Q307" s="21"/>
      <c r="R307" s="21"/>
      <c r="S307" s="21"/>
      <c r="T307" s="21"/>
    </row>
    <row r="308" spans="3:20">
      <c r="C308" s="21"/>
      <c r="D308" s="21"/>
      <c r="E308" s="21"/>
      <c r="F308" s="21"/>
      <c r="G308" s="21"/>
      <c r="H308" s="21"/>
      <c r="I308" s="21"/>
      <c r="J308" s="21"/>
      <c r="K308" s="21"/>
      <c r="L308" s="21"/>
      <c r="M308" s="21"/>
      <c r="N308" s="21"/>
      <c r="O308" s="21"/>
      <c r="P308" s="21"/>
      <c r="Q308" s="21"/>
      <c r="R308" s="21"/>
      <c r="S308" s="21"/>
      <c r="T308" s="21"/>
    </row>
    <row r="309" spans="3:20">
      <c r="C309" s="21"/>
      <c r="D309" s="21"/>
      <c r="E309" s="21"/>
      <c r="F309" s="21"/>
      <c r="G309" s="21"/>
      <c r="H309" s="21"/>
      <c r="I309" s="21"/>
      <c r="J309" s="21"/>
      <c r="K309" s="21"/>
      <c r="L309" s="21"/>
      <c r="M309" s="21"/>
      <c r="N309" s="21"/>
      <c r="O309" s="21"/>
      <c r="P309" s="21"/>
      <c r="Q309" s="21"/>
      <c r="R309" s="21"/>
      <c r="S309" s="21"/>
      <c r="T309" s="21"/>
    </row>
    <row r="310" spans="3:20">
      <c r="C310" s="21"/>
      <c r="D310" s="21"/>
      <c r="E310" s="21"/>
      <c r="F310" s="21"/>
      <c r="G310" s="21"/>
      <c r="H310" s="21"/>
      <c r="I310" s="21"/>
      <c r="J310" s="21"/>
      <c r="K310" s="21"/>
      <c r="L310" s="21"/>
      <c r="M310" s="21"/>
      <c r="N310" s="21"/>
      <c r="O310" s="21"/>
      <c r="P310" s="21"/>
      <c r="Q310" s="21"/>
      <c r="R310" s="21"/>
      <c r="S310" s="21"/>
      <c r="T310" s="21"/>
    </row>
    <row r="311" spans="3:20">
      <c r="C311" s="21"/>
      <c r="D311" s="21"/>
      <c r="E311" s="21"/>
      <c r="F311" s="21"/>
      <c r="G311" s="21"/>
      <c r="H311" s="21"/>
      <c r="I311" s="21"/>
      <c r="J311" s="21"/>
      <c r="K311" s="21"/>
      <c r="L311" s="21"/>
      <c r="M311" s="21"/>
      <c r="N311" s="21"/>
      <c r="O311" s="21"/>
      <c r="P311" s="21"/>
      <c r="Q311" s="21"/>
      <c r="R311" s="21"/>
      <c r="S311" s="21"/>
      <c r="T311" s="21"/>
    </row>
    <row r="312" spans="3:20">
      <c r="C312" s="21"/>
      <c r="D312" s="21"/>
      <c r="E312" s="21"/>
      <c r="F312" s="21"/>
      <c r="G312" s="21"/>
      <c r="H312" s="21"/>
      <c r="I312" s="21"/>
      <c r="J312" s="21"/>
      <c r="K312" s="21"/>
      <c r="L312" s="21"/>
      <c r="M312" s="21"/>
      <c r="N312" s="21"/>
      <c r="O312" s="21"/>
      <c r="P312" s="21"/>
      <c r="Q312" s="21"/>
      <c r="R312" s="21"/>
      <c r="S312" s="21"/>
      <c r="T312" s="21"/>
    </row>
    <row r="313" spans="3:20">
      <c r="C313" s="21"/>
      <c r="D313" s="21"/>
      <c r="E313" s="21"/>
      <c r="F313" s="21"/>
      <c r="G313" s="21"/>
      <c r="H313" s="21"/>
      <c r="I313" s="21"/>
      <c r="J313" s="21"/>
      <c r="K313" s="21"/>
      <c r="L313" s="21"/>
      <c r="M313" s="21"/>
      <c r="N313" s="21"/>
      <c r="O313" s="21"/>
      <c r="P313" s="21"/>
      <c r="Q313" s="21"/>
      <c r="R313" s="21"/>
      <c r="S313" s="21"/>
      <c r="T313" s="21"/>
    </row>
    <row r="314" spans="3:20">
      <c r="C314" s="21"/>
      <c r="D314" s="21"/>
      <c r="E314" s="21"/>
      <c r="F314" s="21"/>
      <c r="G314" s="21"/>
      <c r="H314" s="21"/>
      <c r="I314" s="21"/>
      <c r="J314" s="21"/>
      <c r="K314" s="21"/>
      <c r="L314" s="21"/>
      <c r="M314" s="21"/>
      <c r="N314" s="21"/>
      <c r="O314" s="21"/>
      <c r="P314" s="21"/>
      <c r="Q314" s="21"/>
      <c r="R314" s="21"/>
      <c r="S314" s="21"/>
      <c r="T314" s="21"/>
    </row>
    <row r="315" spans="3:20">
      <c r="C315" s="21"/>
      <c r="D315" s="21"/>
      <c r="E315" s="21"/>
      <c r="F315" s="21"/>
      <c r="G315" s="21"/>
      <c r="H315" s="21"/>
      <c r="I315" s="21"/>
      <c r="J315" s="21"/>
      <c r="K315" s="21"/>
      <c r="L315" s="21"/>
      <c r="M315" s="21"/>
      <c r="N315" s="21"/>
      <c r="O315" s="21"/>
      <c r="P315" s="21"/>
      <c r="Q315" s="21"/>
      <c r="R315" s="21"/>
      <c r="S315" s="21"/>
      <c r="T315" s="21"/>
    </row>
    <row r="316" spans="3:20">
      <c r="C316" s="21"/>
      <c r="D316" s="21"/>
      <c r="E316" s="21"/>
      <c r="F316" s="21"/>
      <c r="G316" s="21"/>
      <c r="H316" s="21"/>
      <c r="I316" s="21"/>
      <c r="J316" s="21"/>
      <c r="K316" s="21"/>
      <c r="L316" s="21"/>
      <c r="M316" s="21"/>
      <c r="N316" s="21"/>
      <c r="O316" s="21"/>
      <c r="P316" s="21"/>
      <c r="Q316" s="21"/>
      <c r="R316" s="21"/>
      <c r="S316" s="21"/>
      <c r="T316" s="21"/>
    </row>
    <row r="317" spans="3:20">
      <c r="C317" s="21"/>
      <c r="D317" s="21"/>
      <c r="E317" s="21"/>
      <c r="F317" s="21"/>
      <c r="G317" s="21"/>
      <c r="H317" s="21"/>
      <c r="I317" s="21"/>
      <c r="J317" s="21"/>
      <c r="K317" s="21"/>
      <c r="L317" s="21"/>
      <c r="M317" s="21"/>
      <c r="N317" s="21"/>
      <c r="O317" s="21"/>
      <c r="P317" s="21"/>
      <c r="Q317" s="21"/>
      <c r="R317" s="21"/>
      <c r="S317" s="21"/>
      <c r="T317" s="21"/>
    </row>
    <row r="318" spans="3:20">
      <c r="C318" s="21"/>
      <c r="D318" s="21"/>
      <c r="E318" s="21"/>
      <c r="F318" s="21"/>
      <c r="G318" s="21"/>
      <c r="H318" s="21"/>
      <c r="I318" s="21"/>
      <c r="J318" s="21"/>
      <c r="K318" s="21"/>
      <c r="L318" s="21"/>
      <c r="M318" s="21"/>
      <c r="N318" s="21"/>
      <c r="O318" s="21"/>
      <c r="P318" s="21"/>
      <c r="Q318" s="21"/>
      <c r="R318" s="21"/>
      <c r="S318" s="21"/>
      <c r="T318" s="21"/>
    </row>
    <row r="319" spans="3:20">
      <c r="C319" s="21"/>
      <c r="D319" s="21"/>
      <c r="E319" s="21"/>
      <c r="F319" s="21"/>
      <c r="G319" s="21"/>
      <c r="H319" s="21"/>
      <c r="I319" s="21"/>
      <c r="J319" s="21"/>
      <c r="K319" s="21"/>
      <c r="L319" s="21"/>
      <c r="M319" s="21"/>
      <c r="N319" s="21"/>
      <c r="O319" s="21"/>
      <c r="P319" s="21"/>
      <c r="Q319" s="21"/>
      <c r="R319" s="21"/>
      <c r="S319" s="21"/>
      <c r="T319" s="21"/>
    </row>
    <row r="320" spans="3:20">
      <c r="C320" s="21"/>
      <c r="D320" s="21"/>
      <c r="E320" s="21"/>
      <c r="F320" s="21"/>
      <c r="G320" s="21"/>
      <c r="H320" s="21"/>
      <c r="I320" s="21"/>
      <c r="J320" s="21"/>
      <c r="K320" s="21"/>
      <c r="L320" s="21"/>
      <c r="M320" s="21"/>
      <c r="N320" s="21"/>
      <c r="O320" s="21"/>
      <c r="P320" s="21"/>
      <c r="Q320" s="21"/>
      <c r="R320" s="21"/>
      <c r="S320" s="21"/>
      <c r="T320" s="21"/>
    </row>
    <row r="321" spans="3:20">
      <c r="C321" s="21"/>
      <c r="D321" s="21"/>
      <c r="E321" s="21"/>
      <c r="F321" s="21"/>
      <c r="G321" s="21"/>
      <c r="H321" s="21"/>
      <c r="I321" s="21"/>
      <c r="J321" s="21"/>
      <c r="K321" s="21"/>
      <c r="L321" s="21"/>
      <c r="M321" s="21"/>
      <c r="N321" s="21"/>
      <c r="O321" s="21"/>
      <c r="P321" s="21"/>
      <c r="Q321" s="21"/>
      <c r="R321" s="21"/>
      <c r="S321" s="21"/>
      <c r="T321" s="21"/>
    </row>
    <row r="322" spans="3:20">
      <c r="C322" s="21"/>
      <c r="D322" s="21"/>
      <c r="E322" s="21"/>
      <c r="F322" s="21"/>
      <c r="G322" s="21"/>
      <c r="H322" s="21"/>
      <c r="I322" s="21"/>
      <c r="J322" s="21"/>
      <c r="K322" s="21"/>
      <c r="L322" s="21"/>
      <c r="M322" s="21"/>
      <c r="N322" s="21"/>
      <c r="O322" s="21"/>
      <c r="P322" s="21"/>
      <c r="Q322" s="21"/>
      <c r="R322" s="21"/>
      <c r="S322" s="21"/>
      <c r="T322" s="21"/>
    </row>
    <row r="323" spans="3:20">
      <c r="C323" s="21"/>
      <c r="D323" s="21"/>
      <c r="E323" s="21"/>
      <c r="F323" s="21"/>
      <c r="G323" s="21"/>
      <c r="H323" s="21"/>
      <c r="I323" s="21"/>
      <c r="J323" s="21"/>
      <c r="K323" s="21"/>
      <c r="L323" s="21"/>
      <c r="M323" s="21"/>
      <c r="N323" s="21"/>
      <c r="O323" s="21"/>
      <c r="P323" s="21"/>
      <c r="Q323" s="21"/>
      <c r="R323" s="21"/>
      <c r="S323" s="21"/>
      <c r="T323" s="21"/>
    </row>
    <row r="324" spans="3:20">
      <c r="C324" s="21"/>
      <c r="D324" s="21"/>
      <c r="E324" s="21"/>
      <c r="F324" s="21"/>
      <c r="G324" s="21"/>
      <c r="H324" s="21"/>
      <c r="I324" s="21"/>
      <c r="J324" s="21"/>
      <c r="K324" s="21"/>
      <c r="L324" s="21"/>
      <c r="M324" s="21"/>
      <c r="N324" s="21"/>
      <c r="O324" s="21"/>
      <c r="P324" s="21"/>
      <c r="Q324" s="21"/>
      <c r="R324" s="21"/>
      <c r="S324" s="21"/>
      <c r="T324" s="21"/>
    </row>
    <row r="325" spans="3:20">
      <c r="C325" s="21"/>
      <c r="D325" s="21"/>
      <c r="E325" s="21"/>
      <c r="F325" s="21"/>
      <c r="G325" s="21"/>
      <c r="H325" s="21"/>
      <c r="I325" s="21"/>
      <c r="J325" s="21"/>
      <c r="K325" s="21"/>
      <c r="L325" s="21"/>
      <c r="M325" s="21"/>
      <c r="N325" s="21"/>
      <c r="O325" s="21"/>
      <c r="P325" s="21"/>
      <c r="Q325" s="21"/>
      <c r="R325" s="21"/>
      <c r="S325" s="21"/>
      <c r="T325" s="21"/>
    </row>
    <row r="326" spans="3:20">
      <c r="C326" s="21"/>
      <c r="D326" s="21"/>
      <c r="E326" s="21"/>
      <c r="F326" s="21"/>
      <c r="G326" s="21"/>
      <c r="H326" s="21"/>
      <c r="I326" s="21"/>
      <c r="J326" s="21"/>
      <c r="K326" s="21"/>
      <c r="L326" s="21"/>
      <c r="M326" s="21"/>
      <c r="N326" s="21"/>
      <c r="O326" s="21"/>
      <c r="P326" s="21"/>
      <c r="Q326" s="21"/>
      <c r="R326" s="21"/>
      <c r="S326" s="21"/>
      <c r="T326" s="21"/>
    </row>
    <row r="327" spans="3:20">
      <c r="C327" s="21"/>
      <c r="D327" s="21"/>
      <c r="E327" s="21"/>
      <c r="F327" s="21"/>
      <c r="G327" s="21"/>
      <c r="H327" s="21"/>
      <c r="I327" s="21"/>
      <c r="J327" s="21"/>
      <c r="K327" s="21"/>
      <c r="L327" s="21"/>
      <c r="M327" s="21"/>
      <c r="N327" s="21"/>
      <c r="O327" s="21"/>
      <c r="P327" s="21"/>
      <c r="Q327" s="21"/>
      <c r="R327" s="21"/>
      <c r="S327" s="21"/>
      <c r="T327" s="21"/>
    </row>
    <row r="328" spans="3:20">
      <c r="C328" s="21"/>
      <c r="D328" s="21"/>
      <c r="E328" s="21"/>
      <c r="F328" s="21"/>
      <c r="G328" s="21"/>
      <c r="H328" s="21"/>
      <c r="I328" s="21"/>
      <c r="J328" s="21"/>
      <c r="K328" s="21"/>
      <c r="L328" s="21"/>
      <c r="M328" s="21"/>
      <c r="N328" s="21"/>
      <c r="O328" s="21"/>
      <c r="P328" s="21"/>
      <c r="Q328" s="21"/>
      <c r="R328" s="21"/>
      <c r="S328" s="21"/>
      <c r="T328" s="21"/>
    </row>
    <row r="329" spans="3:20">
      <c r="C329" s="21"/>
      <c r="D329" s="21"/>
      <c r="E329" s="21"/>
      <c r="F329" s="21"/>
      <c r="G329" s="21"/>
      <c r="H329" s="21"/>
      <c r="I329" s="21"/>
      <c r="J329" s="21"/>
      <c r="K329" s="21"/>
      <c r="L329" s="21"/>
      <c r="M329" s="21"/>
      <c r="N329" s="21"/>
      <c r="O329" s="21"/>
      <c r="P329" s="21"/>
      <c r="Q329" s="21"/>
      <c r="R329" s="21"/>
      <c r="S329" s="21"/>
      <c r="T329" s="21"/>
    </row>
    <row r="330" spans="3:20">
      <c r="C330" s="21"/>
      <c r="D330" s="21"/>
      <c r="E330" s="21"/>
      <c r="F330" s="21"/>
      <c r="G330" s="21"/>
      <c r="H330" s="21"/>
      <c r="I330" s="21"/>
      <c r="J330" s="21"/>
      <c r="K330" s="21"/>
      <c r="L330" s="21"/>
      <c r="M330" s="21"/>
      <c r="N330" s="21"/>
      <c r="O330" s="21"/>
      <c r="P330" s="21"/>
      <c r="Q330" s="21"/>
      <c r="R330" s="21"/>
      <c r="S330" s="21"/>
      <c r="T330" s="21"/>
    </row>
    <row r="331" spans="3:20">
      <c r="C331" s="21"/>
      <c r="D331" s="21"/>
      <c r="E331" s="21"/>
      <c r="F331" s="21"/>
      <c r="G331" s="21"/>
      <c r="H331" s="21"/>
      <c r="I331" s="21"/>
      <c r="J331" s="21"/>
      <c r="K331" s="21"/>
      <c r="L331" s="21"/>
      <c r="M331" s="21"/>
      <c r="N331" s="21"/>
      <c r="O331" s="21"/>
      <c r="P331" s="21"/>
      <c r="Q331" s="21"/>
      <c r="R331" s="21"/>
      <c r="S331" s="21"/>
      <c r="T331" s="21"/>
    </row>
    <row r="332" spans="3:20">
      <c r="C332" s="21"/>
      <c r="D332" s="21"/>
      <c r="E332" s="21"/>
      <c r="F332" s="21"/>
      <c r="G332" s="21"/>
      <c r="H332" s="21"/>
      <c r="I332" s="21"/>
      <c r="J332" s="21"/>
      <c r="K332" s="21"/>
      <c r="L332" s="21"/>
      <c r="M332" s="21"/>
      <c r="N332" s="21"/>
      <c r="O332" s="21"/>
      <c r="P332" s="21"/>
      <c r="Q332" s="21"/>
      <c r="R332" s="21"/>
      <c r="S332" s="21"/>
      <c r="T332" s="21"/>
    </row>
    <row r="333" spans="3:20">
      <c r="C333" s="21"/>
      <c r="D333" s="21"/>
      <c r="E333" s="21"/>
      <c r="F333" s="21"/>
      <c r="G333" s="21"/>
      <c r="H333" s="21"/>
      <c r="I333" s="21"/>
      <c r="J333" s="21"/>
      <c r="K333" s="21"/>
      <c r="L333" s="21"/>
      <c r="M333" s="21"/>
      <c r="N333" s="21"/>
      <c r="O333" s="21"/>
      <c r="P333" s="21"/>
      <c r="Q333" s="21"/>
      <c r="R333" s="21"/>
      <c r="S333" s="21"/>
      <c r="T333" s="21"/>
    </row>
    <row r="334" spans="3:20">
      <c r="C334" s="21"/>
      <c r="D334" s="21"/>
      <c r="E334" s="21"/>
      <c r="F334" s="21"/>
      <c r="G334" s="21"/>
      <c r="H334" s="21"/>
      <c r="I334" s="21"/>
      <c r="J334" s="21"/>
      <c r="K334" s="21"/>
      <c r="L334" s="21"/>
      <c r="M334" s="21"/>
      <c r="N334" s="21"/>
      <c r="O334" s="21"/>
      <c r="P334" s="21"/>
      <c r="Q334" s="21"/>
      <c r="R334" s="21"/>
      <c r="S334" s="21"/>
      <c r="T334" s="21"/>
    </row>
    <row r="335" spans="3:20">
      <c r="C335" s="21"/>
      <c r="D335" s="21"/>
      <c r="E335" s="21"/>
      <c r="F335" s="21"/>
      <c r="G335" s="21"/>
      <c r="H335" s="21"/>
      <c r="I335" s="21"/>
      <c r="J335" s="21"/>
      <c r="K335" s="21"/>
      <c r="L335" s="21"/>
      <c r="M335" s="21"/>
      <c r="N335" s="21"/>
      <c r="O335" s="21"/>
      <c r="P335" s="21"/>
      <c r="Q335" s="21"/>
      <c r="R335" s="21"/>
      <c r="S335" s="21"/>
      <c r="T335" s="21"/>
    </row>
    <row r="336" spans="3:20">
      <c r="C336" s="21"/>
      <c r="D336" s="21"/>
      <c r="E336" s="21"/>
      <c r="F336" s="21"/>
      <c r="G336" s="21"/>
      <c r="H336" s="21"/>
      <c r="I336" s="21"/>
      <c r="J336" s="21"/>
      <c r="K336" s="21"/>
      <c r="L336" s="21"/>
      <c r="M336" s="21"/>
      <c r="N336" s="21"/>
      <c r="O336" s="21"/>
      <c r="P336" s="21"/>
      <c r="Q336" s="21"/>
      <c r="R336" s="21"/>
      <c r="S336" s="21"/>
      <c r="T336" s="21"/>
    </row>
    <row r="337" spans="3:20">
      <c r="C337" s="21"/>
      <c r="D337" s="21"/>
      <c r="E337" s="21"/>
      <c r="F337" s="21"/>
      <c r="G337" s="21"/>
      <c r="H337" s="21"/>
      <c r="I337" s="21"/>
      <c r="J337" s="21"/>
      <c r="K337" s="21"/>
      <c r="L337" s="21"/>
      <c r="M337" s="21"/>
      <c r="N337" s="21"/>
      <c r="O337" s="21"/>
      <c r="P337" s="21"/>
      <c r="Q337" s="21"/>
      <c r="R337" s="21"/>
      <c r="S337" s="21"/>
      <c r="T337" s="21"/>
    </row>
    <row r="338" spans="3:20">
      <c r="C338" s="21"/>
      <c r="D338" s="21"/>
      <c r="E338" s="21"/>
      <c r="F338" s="21"/>
      <c r="G338" s="21"/>
      <c r="H338" s="21"/>
      <c r="I338" s="21"/>
      <c r="J338" s="21"/>
      <c r="K338" s="21"/>
      <c r="L338" s="21"/>
      <c r="M338" s="21"/>
      <c r="N338" s="21"/>
      <c r="O338" s="21"/>
      <c r="P338" s="21"/>
      <c r="Q338" s="21"/>
      <c r="R338" s="21"/>
      <c r="S338" s="21"/>
      <c r="T338" s="21"/>
    </row>
    <row r="339" spans="3:20">
      <c r="C339" s="21"/>
      <c r="D339" s="21"/>
      <c r="E339" s="21"/>
      <c r="F339" s="21"/>
      <c r="G339" s="21"/>
      <c r="H339" s="21"/>
      <c r="I339" s="21"/>
      <c r="J339" s="21"/>
      <c r="K339" s="21"/>
      <c r="L339" s="21"/>
      <c r="M339" s="21"/>
      <c r="N339" s="21"/>
      <c r="O339" s="21"/>
      <c r="P339" s="21"/>
      <c r="Q339" s="21"/>
      <c r="R339" s="21"/>
      <c r="S339" s="21"/>
      <c r="T339" s="21"/>
    </row>
    <row r="340" spans="3:20">
      <c r="C340" s="21"/>
      <c r="D340" s="21"/>
      <c r="E340" s="21"/>
      <c r="F340" s="21"/>
      <c r="G340" s="21"/>
      <c r="H340" s="21"/>
      <c r="I340" s="21"/>
      <c r="J340" s="21"/>
      <c r="K340" s="21"/>
      <c r="L340" s="21"/>
      <c r="M340" s="21"/>
      <c r="N340" s="21"/>
      <c r="O340" s="21"/>
      <c r="P340" s="21"/>
      <c r="Q340" s="21"/>
      <c r="R340" s="21"/>
      <c r="S340" s="21"/>
      <c r="T340" s="21"/>
    </row>
    <row r="341" spans="3:20">
      <c r="C341" s="21"/>
      <c r="D341" s="21"/>
      <c r="E341" s="21"/>
      <c r="F341" s="21"/>
      <c r="G341" s="21"/>
      <c r="H341" s="21"/>
      <c r="I341" s="21"/>
      <c r="J341" s="21"/>
      <c r="K341" s="21"/>
      <c r="L341" s="21"/>
      <c r="M341" s="21"/>
      <c r="N341" s="21"/>
      <c r="O341" s="21"/>
      <c r="P341" s="21"/>
      <c r="Q341" s="21"/>
      <c r="R341" s="21"/>
      <c r="S341" s="21"/>
      <c r="T341" s="21"/>
    </row>
    <row r="342" spans="3:20">
      <c r="C342" s="21"/>
      <c r="D342" s="21"/>
      <c r="E342" s="21"/>
      <c r="F342" s="21"/>
      <c r="G342" s="21"/>
      <c r="H342" s="21"/>
      <c r="I342" s="21"/>
      <c r="J342" s="21"/>
      <c r="K342" s="21"/>
      <c r="L342" s="21"/>
      <c r="M342" s="21"/>
      <c r="N342" s="21"/>
      <c r="O342" s="21"/>
      <c r="P342" s="21"/>
      <c r="Q342" s="21"/>
      <c r="R342" s="21"/>
      <c r="S342" s="21"/>
      <c r="T342" s="21"/>
    </row>
    <row r="343" spans="3:20">
      <c r="C343" s="21"/>
      <c r="D343" s="21"/>
      <c r="E343" s="21"/>
      <c r="F343" s="21"/>
      <c r="G343" s="21"/>
      <c r="H343" s="21"/>
      <c r="I343" s="21"/>
      <c r="J343" s="21"/>
      <c r="K343" s="21"/>
      <c r="L343" s="21"/>
      <c r="M343" s="21"/>
      <c r="N343" s="21"/>
      <c r="O343" s="21"/>
      <c r="P343" s="21"/>
      <c r="Q343" s="21"/>
      <c r="R343" s="21"/>
      <c r="S343" s="21"/>
      <c r="T343" s="21"/>
    </row>
    <row r="344" spans="3:20">
      <c r="C344" s="21"/>
      <c r="D344" s="21"/>
      <c r="E344" s="21"/>
      <c r="F344" s="21"/>
      <c r="G344" s="21"/>
      <c r="H344" s="21"/>
      <c r="I344" s="21"/>
      <c r="J344" s="21"/>
      <c r="K344" s="21"/>
      <c r="L344" s="21"/>
      <c r="M344" s="21"/>
      <c r="N344" s="21"/>
      <c r="O344" s="21"/>
      <c r="P344" s="21"/>
      <c r="Q344" s="21"/>
      <c r="R344" s="21"/>
      <c r="S344" s="21"/>
      <c r="T344" s="21"/>
    </row>
    <row r="345" spans="3:20">
      <c r="C345" s="21"/>
      <c r="D345" s="21"/>
      <c r="E345" s="21"/>
      <c r="F345" s="21"/>
      <c r="G345" s="21"/>
      <c r="H345" s="21"/>
      <c r="I345" s="21"/>
      <c r="J345" s="21"/>
      <c r="K345" s="21"/>
      <c r="L345" s="21"/>
      <c r="M345" s="21"/>
      <c r="N345" s="21"/>
      <c r="O345" s="21"/>
      <c r="P345" s="21"/>
      <c r="Q345" s="21"/>
      <c r="R345" s="21"/>
      <c r="S345" s="21"/>
      <c r="T345" s="21"/>
    </row>
    <row r="346" spans="3:20">
      <c r="C346" s="21"/>
      <c r="D346" s="21"/>
      <c r="E346" s="21"/>
      <c r="F346" s="21"/>
      <c r="G346" s="21"/>
      <c r="H346" s="21"/>
      <c r="I346" s="21"/>
      <c r="J346" s="21"/>
      <c r="K346" s="21"/>
      <c r="L346" s="21"/>
      <c r="M346" s="21"/>
      <c r="N346" s="21"/>
      <c r="O346" s="21"/>
      <c r="P346" s="21"/>
      <c r="Q346" s="21"/>
      <c r="R346" s="21"/>
      <c r="S346" s="21"/>
      <c r="T346" s="21"/>
    </row>
    <row r="347" spans="3:20">
      <c r="C347" s="21"/>
      <c r="D347" s="21"/>
      <c r="E347" s="21"/>
      <c r="F347" s="21"/>
      <c r="G347" s="21"/>
      <c r="H347" s="21"/>
      <c r="I347" s="21"/>
      <c r="J347" s="21"/>
      <c r="K347" s="21"/>
      <c r="L347" s="21"/>
      <c r="M347" s="21"/>
      <c r="N347" s="21"/>
      <c r="O347" s="21"/>
      <c r="P347" s="21"/>
      <c r="Q347" s="21"/>
      <c r="R347" s="21"/>
      <c r="S347" s="21"/>
      <c r="T347" s="21"/>
    </row>
    <row r="348" spans="3:20">
      <c r="C348" s="21"/>
      <c r="D348" s="21"/>
      <c r="E348" s="21"/>
      <c r="F348" s="21"/>
      <c r="G348" s="21"/>
      <c r="H348" s="21"/>
      <c r="I348" s="21"/>
      <c r="J348" s="21"/>
      <c r="K348" s="21"/>
      <c r="L348" s="21"/>
      <c r="M348" s="21"/>
      <c r="N348" s="21"/>
      <c r="O348" s="21"/>
      <c r="P348" s="21"/>
      <c r="Q348" s="21"/>
      <c r="R348" s="21"/>
      <c r="S348" s="21"/>
      <c r="T348" s="21"/>
    </row>
    <row r="349" spans="3:20">
      <c r="C349" s="21"/>
      <c r="D349" s="21"/>
      <c r="E349" s="21"/>
      <c r="F349" s="21"/>
      <c r="G349" s="21"/>
      <c r="H349" s="21"/>
      <c r="I349" s="21"/>
      <c r="J349" s="21"/>
      <c r="K349" s="21"/>
      <c r="L349" s="21"/>
      <c r="M349" s="21"/>
      <c r="N349" s="21"/>
      <c r="O349" s="21"/>
      <c r="P349" s="21"/>
      <c r="Q349" s="21"/>
      <c r="R349" s="21"/>
      <c r="S349" s="21"/>
      <c r="T349" s="21"/>
    </row>
    <row r="350" spans="3:20">
      <c r="C350" s="21"/>
      <c r="D350" s="21"/>
      <c r="E350" s="21"/>
      <c r="F350" s="21"/>
      <c r="G350" s="21"/>
      <c r="H350" s="21"/>
      <c r="I350" s="21"/>
      <c r="J350" s="21"/>
      <c r="K350" s="21"/>
      <c r="L350" s="21"/>
      <c r="M350" s="21"/>
      <c r="N350" s="21"/>
      <c r="O350" s="21"/>
      <c r="P350" s="21"/>
      <c r="Q350" s="21"/>
      <c r="R350" s="21"/>
      <c r="S350" s="21"/>
      <c r="T350" s="21"/>
    </row>
    <row r="351" spans="3:20">
      <c r="C351" s="21"/>
      <c r="D351" s="21"/>
      <c r="E351" s="21"/>
      <c r="F351" s="21"/>
      <c r="G351" s="21"/>
      <c r="H351" s="21"/>
      <c r="I351" s="21"/>
      <c r="J351" s="21"/>
      <c r="K351" s="21"/>
      <c r="L351" s="21"/>
      <c r="M351" s="21"/>
      <c r="N351" s="21"/>
      <c r="O351" s="21"/>
      <c r="P351" s="21"/>
      <c r="Q351" s="21"/>
      <c r="R351" s="21"/>
      <c r="S351" s="21"/>
      <c r="T351" s="21"/>
    </row>
    <row r="352" spans="3:20">
      <c r="C352" s="21"/>
      <c r="D352" s="21"/>
      <c r="E352" s="21"/>
      <c r="F352" s="21"/>
      <c r="G352" s="21"/>
      <c r="H352" s="21"/>
      <c r="I352" s="21"/>
      <c r="J352" s="21"/>
      <c r="K352" s="21"/>
      <c r="L352" s="21"/>
      <c r="M352" s="21"/>
      <c r="N352" s="21"/>
      <c r="O352" s="21"/>
      <c r="P352" s="21"/>
      <c r="Q352" s="21"/>
      <c r="R352" s="21"/>
      <c r="S352" s="21"/>
      <c r="T352" s="21"/>
    </row>
    <row r="353" spans="3:20">
      <c r="C353" s="21"/>
      <c r="D353" s="21"/>
      <c r="E353" s="21"/>
      <c r="F353" s="21"/>
      <c r="G353" s="21"/>
      <c r="H353" s="21"/>
      <c r="I353" s="21"/>
      <c r="J353" s="21"/>
      <c r="K353" s="21"/>
      <c r="L353" s="21"/>
      <c r="M353" s="21"/>
      <c r="N353" s="21"/>
      <c r="O353" s="21"/>
      <c r="P353" s="21"/>
      <c r="Q353" s="21"/>
      <c r="R353" s="21"/>
      <c r="S353" s="21"/>
      <c r="T353" s="21"/>
    </row>
    <row r="354" spans="3:20">
      <c r="C354" s="21"/>
      <c r="D354" s="21"/>
      <c r="E354" s="21"/>
      <c r="F354" s="21"/>
      <c r="G354" s="21"/>
      <c r="H354" s="21"/>
      <c r="I354" s="21"/>
      <c r="J354" s="21"/>
      <c r="K354" s="21"/>
      <c r="L354" s="21"/>
      <c r="M354" s="21"/>
      <c r="N354" s="21"/>
      <c r="O354" s="21"/>
      <c r="P354" s="21"/>
      <c r="Q354" s="21"/>
      <c r="R354" s="21"/>
      <c r="S354" s="21"/>
      <c r="T354" s="21"/>
    </row>
    <row r="355" spans="3:20">
      <c r="C355" s="21"/>
      <c r="D355" s="21"/>
      <c r="E355" s="21"/>
      <c r="F355" s="21"/>
      <c r="G355" s="21"/>
      <c r="H355" s="21"/>
      <c r="I355" s="21"/>
      <c r="J355" s="21"/>
      <c r="K355" s="21"/>
      <c r="L355" s="21"/>
      <c r="M355" s="21"/>
      <c r="N355" s="21"/>
      <c r="O355" s="21"/>
      <c r="P355" s="21"/>
      <c r="Q355" s="21"/>
      <c r="R355" s="21"/>
      <c r="S355" s="21"/>
      <c r="T355" s="21"/>
    </row>
    <row r="356" spans="3:20">
      <c r="C356" s="21"/>
      <c r="D356" s="21"/>
      <c r="E356" s="21"/>
      <c r="F356" s="21"/>
      <c r="G356" s="21"/>
      <c r="H356" s="21"/>
      <c r="I356" s="21"/>
      <c r="J356" s="21"/>
      <c r="K356" s="21"/>
      <c r="L356" s="21"/>
      <c r="M356" s="21"/>
      <c r="N356" s="21"/>
      <c r="O356" s="21"/>
      <c r="P356" s="21"/>
      <c r="Q356" s="21"/>
      <c r="R356" s="21"/>
      <c r="S356" s="21"/>
      <c r="T356" s="21"/>
    </row>
    <row r="357" spans="3:20">
      <c r="C357" s="21"/>
      <c r="D357" s="21"/>
      <c r="E357" s="21"/>
      <c r="F357" s="21"/>
      <c r="G357" s="21"/>
      <c r="H357" s="21"/>
      <c r="I357" s="21"/>
      <c r="J357" s="21"/>
      <c r="K357" s="21"/>
      <c r="L357" s="21"/>
      <c r="M357" s="21"/>
      <c r="N357" s="21"/>
      <c r="O357" s="21"/>
      <c r="P357" s="21"/>
      <c r="Q357" s="21"/>
      <c r="R357" s="21"/>
      <c r="S357" s="21"/>
      <c r="T357" s="21"/>
    </row>
    <row r="358" spans="3:20">
      <c r="C358" s="21"/>
      <c r="D358" s="21"/>
      <c r="E358" s="21"/>
      <c r="F358" s="21"/>
      <c r="G358" s="21"/>
      <c r="H358" s="21"/>
      <c r="I358" s="21"/>
      <c r="J358" s="21"/>
      <c r="K358" s="21"/>
      <c r="L358" s="21"/>
      <c r="M358" s="21"/>
      <c r="N358" s="21"/>
      <c r="O358" s="21"/>
      <c r="P358" s="21"/>
      <c r="Q358" s="21"/>
      <c r="R358" s="21"/>
      <c r="S358" s="21"/>
      <c r="T358" s="21"/>
    </row>
    <row r="359" spans="3:20">
      <c r="C359" s="21"/>
      <c r="D359" s="21"/>
      <c r="E359" s="21"/>
      <c r="F359" s="21"/>
      <c r="G359" s="21"/>
      <c r="H359" s="21"/>
      <c r="I359" s="21"/>
      <c r="J359" s="21"/>
      <c r="K359" s="21"/>
      <c r="L359" s="21"/>
      <c r="M359" s="21"/>
      <c r="N359" s="21"/>
      <c r="O359" s="21"/>
      <c r="P359" s="21"/>
      <c r="Q359" s="21"/>
      <c r="R359" s="21"/>
      <c r="S359" s="21"/>
      <c r="T359" s="21"/>
    </row>
    <row r="360" spans="3:20">
      <c r="C360" s="21"/>
      <c r="D360" s="21"/>
      <c r="E360" s="21"/>
      <c r="F360" s="21"/>
      <c r="G360" s="21"/>
      <c r="H360" s="21"/>
      <c r="I360" s="21"/>
      <c r="J360" s="21"/>
      <c r="K360" s="21"/>
      <c r="L360" s="21"/>
      <c r="M360" s="21"/>
      <c r="N360" s="21"/>
      <c r="O360" s="21"/>
      <c r="P360" s="21"/>
      <c r="Q360" s="21"/>
      <c r="R360" s="21"/>
      <c r="S360" s="21"/>
      <c r="T360" s="21"/>
    </row>
    <row r="361" spans="3:20">
      <c r="C361" s="21"/>
      <c r="D361" s="21"/>
      <c r="E361" s="21"/>
      <c r="F361" s="21"/>
      <c r="G361" s="21"/>
      <c r="H361" s="21"/>
      <c r="I361" s="21"/>
      <c r="J361" s="21"/>
      <c r="K361" s="21"/>
      <c r="L361" s="21"/>
      <c r="M361" s="21"/>
      <c r="N361" s="21"/>
      <c r="O361" s="21"/>
      <c r="P361" s="21"/>
      <c r="Q361" s="21"/>
      <c r="R361" s="21"/>
      <c r="S361" s="21"/>
      <c r="T361" s="21"/>
    </row>
    <row r="362" spans="3:20">
      <c r="C362" s="21"/>
      <c r="D362" s="21"/>
      <c r="E362" s="21"/>
      <c r="F362" s="21"/>
      <c r="G362" s="21"/>
      <c r="H362" s="21"/>
      <c r="I362" s="21"/>
      <c r="J362" s="21"/>
      <c r="K362" s="21"/>
      <c r="L362" s="21"/>
      <c r="M362" s="21"/>
      <c r="N362" s="21"/>
      <c r="O362" s="21"/>
      <c r="P362" s="21"/>
      <c r="Q362" s="21"/>
      <c r="R362" s="21"/>
      <c r="S362" s="21"/>
      <c r="T362" s="21"/>
    </row>
    <row r="363" spans="3:20">
      <c r="C363" s="21"/>
      <c r="D363" s="21"/>
      <c r="E363" s="21"/>
      <c r="F363" s="21"/>
      <c r="G363" s="21"/>
      <c r="H363" s="21"/>
      <c r="I363" s="21"/>
      <c r="J363" s="21"/>
      <c r="K363" s="21"/>
      <c r="L363" s="21"/>
      <c r="M363" s="21"/>
      <c r="N363" s="21"/>
      <c r="O363" s="21"/>
      <c r="P363" s="21"/>
      <c r="Q363" s="21"/>
      <c r="R363" s="21"/>
      <c r="S363" s="21"/>
      <c r="T363" s="21"/>
    </row>
    <row r="364" spans="3:20">
      <c r="C364" s="21"/>
      <c r="D364" s="21"/>
      <c r="E364" s="21"/>
      <c r="F364" s="21"/>
      <c r="G364" s="21"/>
      <c r="H364" s="21"/>
      <c r="I364" s="21"/>
      <c r="J364" s="21"/>
      <c r="K364" s="21"/>
      <c r="L364" s="21"/>
      <c r="M364" s="21"/>
      <c r="N364" s="21"/>
      <c r="O364" s="21"/>
      <c r="P364" s="21"/>
      <c r="Q364" s="21"/>
      <c r="R364" s="21"/>
      <c r="S364" s="21"/>
      <c r="T364" s="21"/>
    </row>
    <row r="365" spans="3:20">
      <c r="C365" s="21"/>
      <c r="D365" s="21"/>
      <c r="E365" s="21"/>
      <c r="F365" s="21"/>
      <c r="G365" s="21"/>
      <c r="H365" s="21"/>
      <c r="I365" s="21"/>
      <c r="J365" s="21"/>
      <c r="K365" s="21"/>
      <c r="L365" s="21"/>
      <c r="M365" s="21"/>
      <c r="N365" s="21"/>
      <c r="O365" s="21"/>
      <c r="P365" s="21"/>
      <c r="Q365" s="21"/>
      <c r="R365" s="21"/>
      <c r="S365" s="21"/>
      <c r="T365" s="21"/>
    </row>
    <row r="366" spans="3:20">
      <c r="C366" s="21"/>
      <c r="D366" s="21"/>
      <c r="E366" s="21"/>
      <c r="F366" s="21"/>
      <c r="G366" s="21"/>
      <c r="H366" s="21"/>
      <c r="I366" s="21"/>
      <c r="J366" s="21"/>
      <c r="K366" s="21"/>
      <c r="L366" s="21"/>
      <c r="M366" s="21"/>
      <c r="N366" s="21"/>
      <c r="O366" s="21"/>
      <c r="P366" s="21"/>
      <c r="Q366" s="21"/>
      <c r="R366" s="21"/>
      <c r="S366" s="21"/>
      <c r="T366" s="21"/>
    </row>
    <row r="367" spans="3:20">
      <c r="C367" s="21"/>
      <c r="D367" s="21"/>
      <c r="E367" s="21"/>
      <c r="F367" s="21"/>
      <c r="G367" s="21"/>
      <c r="H367" s="21"/>
      <c r="I367" s="21"/>
      <c r="J367" s="21"/>
      <c r="K367" s="21"/>
      <c r="L367" s="21"/>
      <c r="M367" s="21"/>
      <c r="N367" s="21"/>
      <c r="O367" s="21"/>
      <c r="P367" s="21"/>
      <c r="Q367" s="21"/>
      <c r="R367" s="21"/>
      <c r="S367" s="21"/>
      <c r="T367" s="21"/>
    </row>
    <row r="368" spans="3:20">
      <c r="C368" s="21"/>
      <c r="D368" s="21"/>
      <c r="E368" s="21"/>
      <c r="F368" s="21"/>
      <c r="G368" s="21"/>
      <c r="H368" s="21"/>
      <c r="I368" s="21"/>
      <c r="J368" s="21"/>
      <c r="K368" s="21"/>
      <c r="L368" s="21"/>
      <c r="M368" s="21"/>
      <c r="N368" s="21"/>
      <c r="O368" s="21"/>
      <c r="P368" s="21"/>
      <c r="Q368" s="21"/>
      <c r="R368" s="21"/>
      <c r="S368" s="21"/>
      <c r="T368" s="21"/>
    </row>
    <row r="369" spans="3:20">
      <c r="C369" s="21"/>
      <c r="D369" s="21"/>
      <c r="E369" s="21"/>
      <c r="F369" s="21"/>
      <c r="G369" s="21"/>
      <c r="H369" s="21"/>
      <c r="I369" s="21"/>
      <c r="J369" s="21"/>
      <c r="K369" s="21"/>
      <c r="L369" s="21"/>
      <c r="M369" s="21"/>
      <c r="N369" s="21"/>
      <c r="O369" s="21"/>
      <c r="P369" s="21"/>
      <c r="Q369" s="21"/>
      <c r="R369" s="21"/>
      <c r="S369" s="21"/>
      <c r="T369" s="21"/>
    </row>
    <row r="370" spans="3:20">
      <c r="C370" s="21"/>
      <c r="D370" s="21"/>
      <c r="E370" s="21"/>
      <c r="F370" s="21"/>
      <c r="G370" s="21"/>
      <c r="H370" s="21"/>
      <c r="I370" s="21"/>
      <c r="J370" s="21"/>
      <c r="K370" s="21"/>
      <c r="L370" s="21"/>
      <c r="M370" s="21"/>
      <c r="N370" s="21"/>
      <c r="O370" s="21"/>
      <c r="P370" s="21"/>
      <c r="Q370" s="21"/>
      <c r="R370" s="21"/>
      <c r="S370" s="21"/>
      <c r="T370" s="21"/>
    </row>
    <row r="371" spans="3:20">
      <c r="C371" s="21"/>
      <c r="D371" s="21"/>
      <c r="E371" s="21"/>
      <c r="F371" s="21"/>
      <c r="G371" s="21"/>
      <c r="H371" s="21"/>
      <c r="I371" s="21"/>
      <c r="J371" s="21"/>
      <c r="K371" s="21"/>
      <c r="L371" s="21"/>
      <c r="M371" s="21"/>
      <c r="N371" s="21"/>
      <c r="O371" s="21"/>
      <c r="P371" s="21"/>
      <c r="Q371" s="21"/>
      <c r="R371" s="21"/>
      <c r="S371" s="21"/>
      <c r="T371" s="21"/>
    </row>
    <row r="372" spans="3:20">
      <c r="C372" s="21"/>
      <c r="D372" s="21"/>
      <c r="E372" s="21"/>
      <c r="F372" s="21"/>
      <c r="G372" s="21"/>
      <c r="H372" s="21"/>
      <c r="I372" s="21"/>
      <c r="J372" s="21"/>
      <c r="K372" s="21"/>
      <c r="L372" s="21"/>
      <c r="M372" s="21"/>
      <c r="N372" s="21"/>
      <c r="O372" s="21"/>
      <c r="P372" s="21"/>
      <c r="Q372" s="21"/>
      <c r="R372" s="21"/>
      <c r="S372" s="21"/>
      <c r="T372" s="21"/>
    </row>
    <row r="373" spans="3:20">
      <c r="C373" s="21"/>
      <c r="D373" s="21"/>
      <c r="E373" s="21"/>
      <c r="F373" s="21"/>
      <c r="G373" s="21"/>
      <c r="H373" s="21"/>
      <c r="I373" s="21"/>
      <c r="J373" s="21"/>
      <c r="K373" s="21"/>
      <c r="L373" s="21"/>
      <c r="M373" s="21"/>
      <c r="N373" s="21"/>
      <c r="O373" s="21"/>
      <c r="P373" s="21"/>
      <c r="Q373" s="21"/>
      <c r="R373" s="21"/>
      <c r="S373" s="21"/>
      <c r="T373" s="21"/>
    </row>
    <row r="374" spans="3:20">
      <c r="C374" s="21"/>
      <c r="D374" s="21"/>
      <c r="E374" s="21"/>
      <c r="F374" s="21"/>
      <c r="G374" s="21"/>
      <c r="H374" s="21"/>
      <c r="I374" s="21"/>
      <c r="J374" s="21"/>
      <c r="K374" s="21"/>
      <c r="L374" s="21"/>
      <c r="M374" s="21"/>
      <c r="N374" s="21"/>
      <c r="O374" s="21"/>
      <c r="P374" s="21"/>
      <c r="Q374" s="21"/>
      <c r="R374" s="21"/>
      <c r="S374" s="21"/>
      <c r="T374" s="21"/>
    </row>
    <row r="375" spans="3:20">
      <c r="C375" s="21"/>
      <c r="D375" s="21"/>
      <c r="E375" s="21"/>
      <c r="F375" s="21"/>
      <c r="G375" s="21"/>
      <c r="H375" s="21"/>
      <c r="I375" s="21"/>
      <c r="J375" s="21"/>
      <c r="K375" s="21"/>
      <c r="L375" s="21"/>
      <c r="M375" s="21"/>
      <c r="N375" s="21"/>
      <c r="O375" s="21"/>
      <c r="P375" s="21"/>
      <c r="Q375" s="21"/>
      <c r="R375" s="21"/>
      <c r="S375" s="21"/>
      <c r="T375" s="21"/>
    </row>
    <row r="376" spans="3:20">
      <c r="C376" s="21"/>
      <c r="D376" s="21"/>
      <c r="E376" s="21"/>
      <c r="F376" s="21"/>
      <c r="G376" s="21"/>
      <c r="H376" s="21"/>
      <c r="I376" s="21"/>
      <c r="J376" s="21"/>
      <c r="K376" s="21"/>
      <c r="L376" s="21"/>
      <c r="M376" s="21"/>
      <c r="N376" s="21"/>
      <c r="O376" s="21"/>
      <c r="P376" s="21"/>
      <c r="Q376" s="21"/>
      <c r="R376" s="21"/>
      <c r="S376" s="21"/>
      <c r="T376" s="21"/>
    </row>
    <row r="377" spans="3:20">
      <c r="C377" s="21"/>
      <c r="D377" s="21"/>
      <c r="E377" s="21"/>
      <c r="F377" s="21"/>
      <c r="G377" s="21"/>
      <c r="H377" s="21"/>
      <c r="I377" s="21"/>
      <c r="J377" s="21"/>
      <c r="K377" s="21"/>
      <c r="L377" s="21"/>
      <c r="M377" s="21"/>
      <c r="N377" s="21"/>
      <c r="O377" s="21"/>
      <c r="P377" s="21"/>
      <c r="Q377" s="21"/>
      <c r="R377" s="21"/>
      <c r="S377" s="21"/>
      <c r="T377" s="21"/>
    </row>
    <row r="378" spans="3:20">
      <c r="C378" s="21"/>
      <c r="D378" s="21"/>
      <c r="E378" s="21"/>
      <c r="F378" s="21"/>
      <c r="G378" s="21"/>
      <c r="H378" s="21"/>
      <c r="I378" s="21"/>
      <c r="J378" s="21"/>
      <c r="K378" s="21"/>
      <c r="L378" s="21"/>
      <c r="M378" s="21"/>
      <c r="N378" s="21"/>
      <c r="O378" s="21"/>
      <c r="P378" s="21"/>
      <c r="Q378" s="21"/>
      <c r="R378" s="21"/>
      <c r="S378" s="21"/>
      <c r="T378" s="21"/>
    </row>
    <row r="379" spans="3:20">
      <c r="C379" s="21"/>
      <c r="D379" s="21"/>
      <c r="E379" s="21"/>
      <c r="F379" s="21"/>
      <c r="G379" s="21"/>
      <c r="H379" s="21"/>
      <c r="I379" s="21"/>
      <c r="J379" s="21"/>
      <c r="K379" s="21"/>
      <c r="L379" s="21"/>
      <c r="M379" s="21"/>
      <c r="N379" s="21"/>
      <c r="O379" s="21"/>
      <c r="P379" s="21"/>
      <c r="Q379" s="21"/>
      <c r="R379" s="21"/>
      <c r="S379" s="21"/>
      <c r="T379" s="21"/>
    </row>
    <row r="380" spans="3:20">
      <c r="C380" s="21"/>
      <c r="D380" s="21"/>
      <c r="E380" s="21"/>
      <c r="F380" s="21"/>
      <c r="G380" s="21"/>
      <c r="H380" s="21"/>
      <c r="I380" s="21"/>
      <c r="J380" s="21"/>
      <c r="K380" s="21"/>
      <c r="L380" s="21"/>
      <c r="M380" s="21"/>
      <c r="N380" s="21"/>
      <c r="O380" s="21"/>
      <c r="P380" s="21"/>
      <c r="Q380" s="21"/>
      <c r="R380" s="21"/>
      <c r="S380" s="21"/>
      <c r="T380" s="21"/>
    </row>
    <row r="381" spans="3:20">
      <c r="C381" s="21"/>
      <c r="D381" s="21"/>
      <c r="E381" s="21"/>
      <c r="F381" s="21"/>
      <c r="G381" s="21"/>
      <c r="H381" s="21"/>
      <c r="I381" s="21"/>
      <c r="J381" s="21"/>
      <c r="K381" s="21"/>
      <c r="L381" s="21"/>
      <c r="M381" s="21"/>
      <c r="N381" s="21"/>
      <c r="O381" s="21"/>
      <c r="P381" s="21"/>
      <c r="Q381" s="21"/>
      <c r="R381" s="21"/>
      <c r="S381" s="21"/>
      <c r="T381" s="21"/>
    </row>
    <row r="382" spans="3:20">
      <c r="C382" s="21"/>
      <c r="D382" s="21"/>
      <c r="E382" s="21"/>
      <c r="F382" s="21"/>
      <c r="G382" s="21"/>
      <c r="H382" s="21"/>
      <c r="I382" s="21"/>
      <c r="J382" s="21"/>
      <c r="K382" s="21"/>
      <c r="L382" s="21"/>
      <c r="M382" s="21"/>
      <c r="N382" s="21"/>
      <c r="O382" s="21"/>
      <c r="P382" s="21"/>
      <c r="Q382" s="21"/>
      <c r="R382" s="21"/>
      <c r="S382" s="21"/>
      <c r="T382" s="21"/>
    </row>
    <row r="383" spans="3:20">
      <c r="C383" s="21"/>
      <c r="D383" s="21"/>
      <c r="E383" s="21"/>
      <c r="F383" s="21"/>
      <c r="G383" s="21"/>
      <c r="H383" s="21"/>
      <c r="I383" s="21"/>
      <c r="J383" s="21"/>
      <c r="K383" s="21"/>
      <c r="L383" s="21"/>
      <c r="M383" s="21"/>
      <c r="N383" s="21"/>
      <c r="O383" s="21"/>
      <c r="P383" s="21"/>
      <c r="Q383" s="21"/>
      <c r="R383" s="21"/>
      <c r="S383" s="21"/>
      <c r="T383" s="21"/>
    </row>
    <row r="384" spans="3:20">
      <c r="C384" s="21"/>
      <c r="D384" s="21"/>
      <c r="E384" s="21"/>
      <c r="F384" s="21"/>
      <c r="G384" s="21"/>
      <c r="H384" s="21"/>
      <c r="I384" s="21"/>
      <c r="J384" s="21"/>
      <c r="K384" s="21"/>
      <c r="L384" s="21"/>
      <c r="M384" s="21"/>
      <c r="N384" s="21"/>
      <c r="O384" s="21"/>
      <c r="P384" s="21"/>
      <c r="Q384" s="21"/>
      <c r="R384" s="21"/>
      <c r="S384" s="21"/>
      <c r="T384" s="21"/>
    </row>
    <row r="385" spans="3:20">
      <c r="C385" s="21"/>
      <c r="D385" s="21"/>
      <c r="E385" s="21"/>
      <c r="F385" s="21"/>
      <c r="G385" s="21"/>
      <c r="H385" s="21"/>
      <c r="I385" s="21"/>
      <c r="J385" s="21"/>
      <c r="K385" s="21"/>
      <c r="L385" s="21"/>
      <c r="M385" s="21"/>
      <c r="N385" s="21"/>
      <c r="O385" s="21"/>
      <c r="P385" s="21"/>
      <c r="Q385" s="21"/>
      <c r="R385" s="21"/>
      <c r="S385" s="21"/>
      <c r="T385" s="21"/>
    </row>
    <row r="386" spans="3:20">
      <c r="C386" s="21"/>
      <c r="D386" s="21"/>
      <c r="E386" s="21"/>
      <c r="F386" s="21"/>
      <c r="G386" s="21"/>
      <c r="H386" s="21"/>
      <c r="I386" s="21"/>
      <c r="J386" s="21"/>
      <c r="K386" s="21"/>
      <c r="L386" s="21"/>
      <c r="M386" s="21"/>
      <c r="N386" s="21"/>
      <c r="O386" s="21"/>
      <c r="P386" s="21"/>
      <c r="Q386" s="21"/>
      <c r="R386" s="21"/>
      <c r="S386" s="21"/>
      <c r="T386" s="21"/>
    </row>
    <row r="387" spans="3:20">
      <c r="C387" s="21"/>
      <c r="D387" s="21"/>
      <c r="E387" s="21"/>
      <c r="F387" s="21"/>
      <c r="G387" s="21"/>
      <c r="H387" s="21"/>
      <c r="I387" s="21"/>
      <c r="J387" s="21"/>
      <c r="K387" s="21"/>
      <c r="L387" s="21"/>
      <c r="M387" s="21"/>
      <c r="N387" s="21"/>
      <c r="O387" s="21"/>
      <c r="P387" s="21"/>
      <c r="Q387" s="21"/>
      <c r="R387" s="21"/>
      <c r="S387" s="21"/>
      <c r="T387" s="21"/>
    </row>
    <row r="388" spans="3:20">
      <c r="C388" s="21"/>
      <c r="D388" s="21"/>
      <c r="E388" s="21"/>
      <c r="F388" s="21"/>
      <c r="G388" s="21"/>
      <c r="H388" s="21"/>
      <c r="I388" s="21"/>
      <c r="J388" s="21"/>
      <c r="K388" s="21"/>
      <c r="L388" s="21"/>
      <c r="M388" s="21"/>
      <c r="N388" s="21"/>
      <c r="O388" s="21"/>
      <c r="P388" s="21"/>
      <c r="Q388" s="21"/>
      <c r="R388" s="21"/>
      <c r="S388" s="21"/>
      <c r="T388" s="21"/>
    </row>
    <row r="389" spans="3:20">
      <c r="C389" s="21"/>
      <c r="D389" s="21"/>
      <c r="E389" s="21"/>
      <c r="F389" s="21"/>
      <c r="G389" s="21"/>
      <c r="H389" s="21"/>
      <c r="I389" s="21"/>
      <c r="J389" s="21"/>
      <c r="K389" s="21"/>
      <c r="L389" s="21"/>
      <c r="M389" s="21"/>
      <c r="N389" s="21"/>
      <c r="O389" s="21"/>
      <c r="P389" s="21"/>
      <c r="Q389" s="21"/>
      <c r="R389" s="21"/>
      <c r="S389" s="21"/>
      <c r="T389" s="21"/>
    </row>
    <row r="390" spans="3:20">
      <c r="C390" s="21"/>
      <c r="D390" s="21"/>
      <c r="E390" s="21"/>
      <c r="F390" s="21"/>
      <c r="G390" s="21"/>
      <c r="H390" s="21"/>
      <c r="I390" s="21"/>
      <c r="J390" s="21"/>
      <c r="K390" s="21"/>
      <c r="L390" s="21"/>
      <c r="M390" s="21"/>
      <c r="N390" s="21"/>
      <c r="O390" s="21"/>
      <c r="P390" s="21"/>
      <c r="Q390" s="21"/>
      <c r="R390" s="21"/>
      <c r="S390" s="21"/>
      <c r="T390" s="21"/>
    </row>
    <row r="391" spans="3:20">
      <c r="C391" s="21"/>
      <c r="D391" s="21"/>
      <c r="E391" s="21"/>
      <c r="F391" s="21"/>
      <c r="G391" s="21"/>
      <c r="H391" s="21"/>
      <c r="I391" s="21"/>
      <c r="J391" s="21"/>
      <c r="K391" s="21"/>
      <c r="L391" s="21"/>
      <c r="M391" s="21"/>
      <c r="N391" s="21"/>
      <c r="O391" s="21"/>
      <c r="P391" s="21"/>
      <c r="Q391" s="21"/>
      <c r="R391" s="21"/>
      <c r="S391" s="21"/>
      <c r="T391" s="21"/>
    </row>
    <row r="392" spans="3:20">
      <c r="C392" s="21"/>
      <c r="D392" s="21"/>
      <c r="E392" s="21"/>
      <c r="F392" s="21"/>
      <c r="G392" s="21"/>
      <c r="H392" s="21"/>
      <c r="I392" s="21"/>
      <c r="J392" s="21"/>
      <c r="K392" s="21"/>
      <c r="L392" s="21"/>
      <c r="M392" s="21"/>
      <c r="N392" s="21"/>
      <c r="O392" s="21"/>
      <c r="P392" s="21"/>
      <c r="Q392" s="21"/>
      <c r="R392" s="21"/>
      <c r="S392" s="21"/>
      <c r="T392" s="21"/>
    </row>
    <row r="393" spans="3:20">
      <c r="C393" s="21"/>
      <c r="D393" s="21"/>
      <c r="E393" s="21"/>
      <c r="F393" s="21"/>
      <c r="G393" s="21"/>
      <c r="H393" s="21"/>
      <c r="I393" s="21"/>
      <c r="J393" s="21"/>
      <c r="K393" s="21"/>
      <c r="L393" s="21"/>
      <c r="M393" s="21"/>
      <c r="N393" s="21"/>
      <c r="O393" s="21"/>
      <c r="P393" s="21"/>
      <c r="Q393" s="21"/>
      <c r="R393" s="21"/>
      <c r="S393" s="21"/>
      <c r="T393" s="21"/>
    </row>
    <row r="394" spans="3:20">
      <c r="C394" s="21"/>
      <c r="D394" s="21"/>
      <c r="E394" s="21"/>
      <c r="F394" s="21"/>
      <c r="G394" s="21"/>
      <c r="H394" s="21"/>
      <c r="I394" s="21"/>
      <c r="J394" s="21"/>
      <c r="K394" s="21"/>
      <c r="L394" s="21"/>
      <c r="M394" s="21"/>
      <c r="N394" s="21"/>
      <c r="O394" s="21"/>
      <c r="P394" s="21"/>
      <c r="Q394" s="21"/>
      <c r="R394" s="21"/>
      <c r="S394" s="21"/>
      <c r="T394" s="21"/>
    </row>
    <row r="395" spans="3:20">
      <c r="C395" s="21"/>
      <c r="D395" s="21"/>
      <c r="E395" s="21"/>
      <c r="F395" s="21"/>
      <c r="G395" s="21"/>
      <c r="H395" s="21"/>
      <c r="I395" s="21"/>
      <c r="J395" s="21"/>
      <c r="K395" s="21"/>
      <c r="L395" s="21"/>
      <c r="M395" s="21"/>
      <c r="N395" s="21"/>
      <c r="O395" s="21"/>
      <c r="P395" s="21"/>
      <c r="Q395" s="21"/>
      <c r="R395" s="21"/>
      <c r="S395" s="21"/>
      <c r="T395" s="21"/>
    </row>
    <row r="396" spans="3:20">
      <c r="C396" s="21"/>
      <c r="D396" s="21"/>
      <c r="E396" s="21"/>
      <c r="F396" s="21"/>
      <c r="G396" s="21"/>
      <c r="H396" s="21"/>
      <c r="I396" s="21"/>
      <c r="J396" s="21"/>
      <c r="K396" s="21"/>
      <c r="L396" s="21"/>
      <c r="M396" s="21"/>
      <c r="N396" s="21"/>
      <c r="O396" s="21"/>
      <c r="P396" s="21"/>
      <c r="Q396" s="21"/>
      <c r="R396" s="21"/>
      <c r="S396" s="21"/>
      <c r="T396" s="21"/>
    </row>
    <row r="397" spans="3:20">
      <c r="C397" s="21"/>
      <c r="D397" s="21"/>
      <c r="E397" s="21"/>
      <c r="F397" s="21"/>
      <c r="G397" s="21"/>
      <c r="H397" s="21"/>
      <c r="I397" s="21"/>
      <c r="J397" s="21"/>
      <c r="K397" s="21"/>
      <c r="L397" s="21"/>
      <c r="M397" s="21"/>
      <c r="N397" s="21"/>
      <c r="O397" s="21"/>
      <c r="P397" s="21"/>
      <c r="Q397" s="21"/>
      <c r="R397" s="21"/>
      <c r="S397" s="21"/>
      <c r="T397" s="21"/>
    </row>
    <row r="398" spans="3:20">
      <c r="C398" s="21"/>
      <c r="D398" s="21"/>
      <c r="E398" s="21"/>
      <c r="F398" s="21"/>
      <c r="G398" s="21"/>
      <c r="H398" s="21"/>
      <c r="I398" s="21"/>
      <c r="J398" s="21"/>
      <c r="K398" s="21"/>
      <c r="L398" s="21"/>
      <c r="M398" s="21"/>
      <c r="N398" s="21"/>
      <c r="O398" s="21"/>
      <c r="P398" s="21"/>
      <c r="Q398" s="21"/>
      <c r="R398" s="21"/>
      <c r="S398" s="21"/>
      <c r="T398" s="21"/>
    </row>
    <row r="399" spans="3:20">
      <c r="C399" s="21"/>
      <c r="D399" s="21"/>
      <c r="E399" s="21"/>
      <c r="F399" s="21"/>
      <c r="G399" s="21"/>
      <c r="H399" s="21"/>
      <c r="I399" s="21"/>
      <c r="J399" s="21"/>
      <c r="K399" s="21"/>
      <c r="L399" s="21"/>
      <c r="M399" s="21"/>
      <c r="N399" s="21"/>
      <c r="O399" s="21"/>
      <c r="P399" s="21"/>
      <c r="Q399" s="21"/>
      <c r="R399" s="21"/>
      <c r="S399" s="21"/>
      <c r="T399" s="21"/>
    </row>
  </sheetData>
  <mergeCells count="3">
    <mergeCell ref="A1:S1"/>
    <mergeCell ref="A2:S2"/>
    <mergeCell ref="A3:S3"/>
  </mergeCells>
  <pageMargins left="0.75" right="0.75" top="1" bottom="1" header="0.5" footer="0.5"/>
  <pageSetup scale="52" fitToHeight="3" orientation="landscape" r:id="rId1"/>
  <headerFooter alignWithMargins="0">
    <oddFooter>&amp;L&amp;Z&amp;F&amp;C&amp;A&amp;R3.&amp;P</oddFooter>
  </headerFooter>
  <rowBreaks count="1" manualBreakCount="1">
    <brk id="71" max="16383" man="1"/>
  </rowBreaks>
</worksheet>
</file>

<file path=xl/worksheets/sheet122.xml><?xml version="1.0" encoding="utf-8"?>
<worksheet xmlns="http://schemas.openxmlformats.org/spreadsheetml/2006/main" xmlns:r="http://schemas.openxmlformats.org/officeDocument/2006/relationships">
  <sheetPr codeName="Sheet125">
    <pageSetUpPr fitToPage="1"/>
  </sheetPr>
  <dimension ref="B1:O57"/>
  <sheetViews>
    <sheetView workbookViewId="0">
      <selection activeCell="C38" sqref="C38"/>
    </sheetView>
  </sheetViews>
  <sheetFormatPr defaultRowHeight="15.75"/>
  <cols>
    <col min="1" max="1" width="2" style="121" customWidth="1"/>
    <col min="2" max="2" width="13.42578125" style="121" bestFit="1" customWidth="1"/>
    <col min="3" max="3" width="19.85546875" style="121" customWidth="1"/>
    <col min="4" max="4" width="4" style="121" customWidth="1"/>
    <col min="5" max="5" width="14.42578125" style="124" customWidth="1"/>
    <col min="6" max="6" width="2.85546875" style="124" customWidth="1"/>
    <col min="7" max="7" width="14.5703125" style="124" customWidth="1"/>
    <col min="8" max="8" width="2.85546875" style="124" customWidth="1"/>
    <col min="9" max="9" width="14.7109375" style="124" customWidth="1"/>
    <col min="10" max="10" width="2.7109375" style="124" customWidth="1"/>
    <col min="11" max="11" width="15.28515625" style="124" bestFit="1" customWidth="1"/>
    <col min="12" max="12" width="2.28515625" style="121" customWidth="1"/>
    <col min="13" max="13" width="15.42578125" style="124" bestFit="1" customWidth="1"/>
    <col min="14" max="14" width="14.5703125" style="124" bestFit="1" customWidth="1"/>
    <col min="15" max="15" width="15.28515625" style="124" bestFit="1" customWidth="1"/>
    <col min="16" max="16" width="13.42578125" style="121" bestFit="1" customWidth="1"/>
    <col min="17" max="16384" width="9.140625" style="121"/>
  </cols>
  <sheetData>
    <row r="1" spans="2:15">
      <c r="B1" s="365" t="s">
        <v>435</v>
      </c>
      <c r="C1" s="365"/>
      <c r="D1" s="365"/>
      <c r="E1" s="365"/>
      <c r="F1" s="365"/>
      <c r="G1" s="365"/>
      <c r="H1" s="365"/>
      <c r="I1" s="365"/>
      <c r="J1" s="365"/>
      <c r="K1" s="365"/>
      <c r="L1" s="365"/>
      <c r="M1" s="365"/>
      <c r="N1" s="365"/>
      <c r="O1" s="365"/>
    </row>
    <row r="2" spans="2:15">
      <c r="B2" s="365" t="s">
        <v>436</v>
      </c>
      <c r="C2" s="365"/>
      <c r="D2" s="365"/>
      <c r="E2" s="365"/>
      <c r="F2" s="365"/>
      <c r="G2" s="365"/>
      <c r="H2" s="365"/>
      <c r="I2" s="365"/>
      <c r="J2" s="365"/>
      <c r="K2" s="365"/>
      <c r="L2" s="365"/>
      <c r="M2" s="365"/>
      <c r="N2" s="365"/>
      <c r="O2" s="365"/>
    </row>
    <row r="3" spans="2:15">
      <c r="B3" s="192"/>
      <c r="C3" s="192"/>
      <c r="D3" s="192"/>
      <c r="E3" s="123"/>
      <c r="F3" s="123"/>
      <c r="G3" s="123"/>
      <c r="H3" s="123"/>
      <c r="I3" s="123"/>
      <c r="J3" s="123"/>
      <c r="K3" s="123"/>
      <c r="L3" s="192"/>
      <c r="M3" s="123"/>
      <c r="N3" s="123"/>
      <c r="O3" s="123"/>
    </row>
    <row r="5" spans="2:15">
      <c r="B5" s="125"/>
    </row>
    <row r="6" spans="2:15">
      <c r="E6" s="126" t="s">
        <v>437</v>
      </c>
      <c r="I6" s="126" t="s">
        <v>438</v>
      </c>
    </row>
    <row r="7" spans="2:15" ht="18">
      <c r="E7" s="127" t="s">
        <v>439</v>
      </c>
      <c r="F7" s="126"/>
      <c r="G7" s="128" t="s">
        <v>440</v>
      </c>
      <c r="H7" s="126"/>
      <c r="I7" s="127" t="s">
        <v>582</v>
      </c>
      <c r="J7" s="126"/>
      <c r="K7" s="127" t="s">
        <v>28</v>
      </c>
      <c r="L7" s="129"/>
      <c r="M7" s="127" t="s">
        <v>441</v>
      </c>
      <c r="N7" s="127" t="s">
        <v>442</v>
      </c>
      <c r="O7" s="127" t="s">
        <v>36</v>
      </c>
    </row>
    <row r="8" spans="2:15">
      <c r="B8" s="130" t="s">
        <v>443</v>
      </c>
      <c r="C8" s="121" t="s">
        <v>444</v>
      </c>
      <c r="E8" s="124">
        <v>0</v>
      </c>
      <c r="G8" s="124">
        <v>0</v>
      </c>
      <c r="I8" s="124">
        <v>0</v>
      </c>
      <c r="K8" s="124">
        <v>-1050</v>
      </c>
      <c r="M8" s="131">
        <f>K8+E8</f>
        <v>-1050</v>
      </c>
    </row>
    <row r="9" spans="2:15">
      <c r="B9" s="132"/>
      <c r="C9" s="121" t="s">
        <v>445</v>
      </c>
      <c r="E9" s="124">
        <v>104078.14</v>
      </c>
      <c r="K9" s="124">
        <v>-178154.42</v>
      </c>
      <c r="M9" s="131">
        <f>K9+E9</f>
        <v>-74076.280000000013</v>
      </c>
    </row>
    <row r="10" spans="2:15">
      <c r="B10" s="133"/>
    </row>
    <row r="11" spans="2:15">
      <c r="E11" s="134">
        <f>SUM(E8:E9)</f>
        <v>104078.14</v>
      </c>
      <c r="F11" s="134"/>
      <c r="G11" s="134"/>
      <c r="H11" s="134"/>
      <c r="I11" s="134">
        <f>SUM(I8:I9)</f>
        <v>0</v>
      </c>
      <c r="J11" s="134"/>
      <c r="K11" s="134">
        <f>SUM(K8:K9)</f>
        <v>-179204.42</v>
      </c>
      <c r="L11" s="135"/>
      <c r="M11" s="134">
        <f>K11+E11</f>
        <v>-75126.280000000013</v>
      </c>
    </row>
    <row r="12" spans="2:15">
      <c r="E12" s="131"/>
      <c r="F12" s="131"/>
      <c r="G12" s="131"/>
      <c r="H12" s="131"/>
      <c r="I12" s="131"/>
      <c r="J12" s="131"/>
      <c r="K12" s="131"/>
      <c r="L12" s="136"/>
      <c r="M12" s="131"/>
    </row>
    <row r="13" spans="2:15">
      <c r="B13" s="121" t="s">
        <v>1102</v>
      </c>
      <c r="C13" s="121">
        <v>126097</v>
      </c>
      <c r="E13" s="124">
        <v>376.55</v>
      </c>
      <c r="G13" s="124">
        <v>0</v>
      </c>
      <c r="I13" s="124">
        <v>0</v>
      </c>
      <c r="K13" s="124">
        <v>-33086.949999999997</v>
      </c>
      <c r="M13" s="131">
        <f>K13+E13</f>
        <v>-32710.399999999998</v>
      </c>
    </row>
    <row r="14" spans="2:15">
      <c r="C14" s="121" t="s">
        <v>1103</v>
      </c>
      <c r="E14" s="131"/>
      <c r="F14" s="131"/>
      <c r="G14" s="131"/>
      <c r="H14" s="131"/>
      <c r="I14" s="131"/>
      <c r="J14" s="131"/>
      <c r="K14" s="131"/>
      <c r="L14" s="136"/>
      <c r="M14" s="131"/>
    </row>
    <row r="15" spans="2:15">
      <c r="E15" s="131"/>
      <c r="F15" s="131"/>
      <c r="G15" s="131"/>
      <c r="H15" s="131"/>
      <c r="I15" s="131"/>
      <c r="J15" s="131"/>
      <c r="K15" s="131"/>
      <c r="L15" s="136"/>
      <c r="M15" s="131"/>
    </row>
    <row r="16" spans="2:15">
      <c r="E16" s="131"/>
      <c r="F16" s="131"/>
      <c r="G16" s="131"/>
      <c r="H16" s="131"/>
      <c r="I16" s="131"/>
      <c r="J16" s="131"/>
      <c r="K16" s="131"/>
      <c r="L16" s="136"/>
      <c r="M16" s="131"/>
    </row>
    <row r="17" spans="3:15">
      <c r="E17" s="131"/>
      <c r="F17" s="131"/>
      <c r="G17" s="131"/>
      <c r="H17" s="131"/>
      <c r="I17" s="131"/>
      <c r="J17" s="131"/>
      <c r="K17" s="131"/>
      <c r="L17" s="136"/>
      <c r="M17" s="131"/>
    </row>
    <row r="18" spans="3:15" s="136" customFormat="1">
      <c r="C18" s="137" t="s">
        <v>446</v>
      </c>
      <c r="E18" s="131"/>
      <c r="F18" s="131"/>
      <c r="G18" s="131"/>
      <c r="H18" s="131"/>
      <c r="I18" s="131"/>
      <c r="J18" s="131"/>
      <c r="K18" s="131"/>
      <c r="M18" s="131"/>
      <c r="N18" s="131"/>
      <c r="O18" s="131"/>
    </row>
    <row r="19" spans="3:15" s="136" customFormat="1">
      <c r="E19" s="131"/>
      <c r="F19" s="131"/>
      <c r="G19" s="131"/>
      <c r="H19" s="131"/>
      <c r="I19" s="131"/>
      <c r="J19" s="131"/>
      <c r="K19" s="131"/>
      <c r="M19" s="131"/>
      <c r="N19" s="131"/>
      <c r="O19" s="131"/>
    </row>
    <row r="20" spans="3:15" s="136" customFormat="1">
      <c r="E20" s="131"/>
      <c r="F20" s="131"/>
      <c r="G20" s="131"/>
      <c r="H20" s="131"/>
      <c r="I20" s="131"/>
      <c r="J20" s="131"/>
      <c r="K20" s="131"/>
      <c r="M20" s="131"/>
      <c r="N20" s="131"/>
      <c r="O20" s="131"/>
    </row>
    <row r="21" spans="3:15" s="136" customFormat="1">
      <c r="E21" s="131"/>
      <c r="F21" s="131"/>
      <c r="G21" s="131"/>
      <c r="H21" s="131"/>
      <c r="I21" s="131"/>
      <c r="J21" s="131"/>
      <c r="K21" s="131"/>
      <c r="M21" s="131"/>
      <c r="N21" s="131"/>
      <c r="O21" s="131"/>
    </row>
    <row r="22" spans="3:15" s="136" customFormat="1">
      <c r="E22" s="131"/>
      <c r="F22" s="131"/>
      <c r="G22" s="131"/>
      <c r="H22" s="131"/>
      <c r="I22" s="131"/>
      <c r="J22" s="131"/>
      <c r="K22" s="131"/>
      <c r="M22" s="131"/>
      <c r="N22" s="131"/>
      <c r="O22" s="131"/>
    </row>
    <row r="23" spans="3:15" s="136" customFormat="1">
      <c r="E23" s="131"/>
      <c r="F23" s="131"/>
      <c r="G23" s="131"/>
      <c r="H23" s="131"/>
      <c r="I23" s="131"/>
      <c r="J23" s="131"/>
      <c r="K23" s="131"/>
      <c r="M23" s="131"/>
      <c r="N23" s="131"/>
      <c r="O23" s="131"/>
    </row>
    <row r="24" spans="3:15" s="136" customFormat="1">
      <c r="E24" s="131"/>
      <c r="F24" s="131"/>
      <c r="G24" s="131"/>
      <c r="H24" s="131"/>
      <c r="I24" s="131"/>
      <c r="J24" s="131"/>
      <c r="K24" s="131"/>
      <c r="M24" s="131"/>
      <c r="N24" s="131"/>
      <c r="O24" s="131"/>
    </row>
    <row r="25" spans="3:15" s="136" customFormat="1">
      <c r="E25" s="131"/>
      <c r="F25" s="131"/>
      <c r="G25" s="131"/>
      <c r="H25" s="131"/>
      <c r="I25" s="131"/>
      <c r="J25" s="131"/>
      <c r="K25" s="131"/>
      <c r="M25" s="131"/>
      <c r="N25" s="131"/>
      <c r="O25" s="131"/>
    </row>
    <row r="26" spans="3:15" s="136" customFormat="1">
      <c r="E26" s="131"/>
      <c r="F26" s="131"/>
      <c r="G26" s="131"/>
      <c r="H26" s="131"/>
      <c r="I26" s="131"/>
      <c r="J26" s="131"/>
      <c r="K26" s="131"/>
      <c r="M26" s="131"/>
      <c r="N26" s="131"/>
      <c r="O26" s="131"/>
    </row>
    <row r="27" spans="3:15" s="136" customFormat="1">
      <c r="E27" s="131"/>
      <c r="F27" s="131"/>
      <c r="G27" s="131"/>
      <c r="H27" s="131"/>
      <c r="I27" s="131"/>
      <c r="J27" s="131"/>
      <c r="K27" s="131"/>
      <c r="M27" s="131"/>
      <c r="N27" s="131"/>
      <c r="O27" s="131"/>
    </row>
    <row r="28" spans="3:15" s="136" customFormat="1">
      <c r="E28" s="131"/>
      <c r="F28" s="131"/>
      <c r="G28" s="131"/>
      <c r="H28" s="131"/>
      <c r="I28" s="131"/>
      <c r="J28" s="131"/>
      <c r="K28" s="131"/>
      <c r="M28" s="131"/>
      <c r="N28" s="131"/>
      <c r="O28" s="131"/>
    </row>
    <row r="29" spans="3:15" s="136" customFormat="1">
      <c r="E29" s="131"/>
      <c r="F29" s="131"/>
      <c r="G29" s="131"/>
      <c r="H29" s="131"/>
      <c r="I29" s="131"/>
      <c r="J29" s="131"/>
      <c r="K29" s="131"/>
      <c r="M29" s="131"/>
      <c r="N29" s="131"/>
      <c r="O29" s="131"/>
    </row>
    <row r="30" spans="3:15" s="136" customFormat="1">
      <c r="E30" s="131"/>
      <c r="F30" s="131"/>
      <c r="G30" s="131"/>
      <c r="H30" s="131"/>
      <c r="I30" s="131"/>
      <c r="J30" s="131"/>
      <c r="K30" s="131"/>
      <c r="M30" s="131"/>
      <c r="N30" s="131"/>
      <c r="O30" s="131"/>
    </row>
    <row r="31" spans="3:15" s="136" customFormat="1">
      <c r="E31" s="131"/>
      <c r="F31" s="131"/>
      <c r="G31" s="131"/>
      <c r="H31" s="131"/>
      <c r="I31" s="131"/>
      <c r="J31" s="131"/>
      <c r="K31" s="131"/>
      <c r="M31" s="131"/>
      <c r="N31" s="131"/>
      <c r="O31" s="131"/>
    </row>
    <row r="32" spans="3:15" s="136" customFormat="1">
      <c r="E32" s="131"/>
      <c r="F32" s="131"/>
      <c r="G32" s="131"/>
      <c r="H32" s="131"/>
      <c r="I32" s="131"/>
      <c r="J32" s="131"/>
      <c r="K32" s="131"/>
      <c r="M32" s="131"/>
      <c r="N32" s="131"/>
      <c r="O32" s="131"/>
    </row>
    <row r="33" spans="5:15" s="136" customFormat="1">
      <c r="E33" s="131"/>
      <c r="F33" s="131"/>
      <c r="G33" s="131"/>
      <c r="H33" s="131"/>
      <c r="I33" s="131"/>
      <c r="J33" s="131"/>
      <c r="K33" s="131"/>
      <c r="M33" s="131"/>
      <c r="N33" s="131"/>
      <c r="O33" s="131"/>
    </row>
    <row r="34" spans="5:15" s="136" customFormat="1">
      <c r="E34" s="131"/>
      <c r="F34" s="131"/>
      <c r="G34" s="131"/>
      <c r="H34" s="131"/>
      <c r="I34" s="131"/>
      <c r="J34" s="131"/>
      <c r="K34" s="131"/>
      <c r="M34" s="131"/>
      <c r="N34" s="131"/>
      <c r="O34" s="131"/>
    </row>
    <row r="35" spans="5:15" s="136" customFormat="1">
      <c r="E35" s="131"/>
      <c r="F35" s="131"/>
      <c r="G35" s="131"/>
      <c r="H35" s="131"/>
      <c r="I35" s="131"/>
      <c r="J35" s="131"/>
      <c r="K35" s="131"/>
      <c r="M35" s="131"/>
      <c r="N35" s="131"/>
      <c r="O35" s="131"/>
    </row>
    <row r="36" spans="5:15" s="136" customFormat="1">
      <c r="E36" s="131"/>
      <c r="F36" s="131"/>
      <c r="G36" s="131"/>
      <c r="H36" s="131"/>
      <c r="I36" s="131"/>
      <c r="J36" s="131"/>
      <c r="K36" s="131"/>
      <c r="M36" s="131"/>
      <c r="N36" s="131"/>
      <c r="O36" s="131"/>
    </row>
    <row r="37" spans="5:15" s="136" customFormat="1">
      <c r="E37" s="131"/>
      <c r="F37" s="131"/>
      <c r="G37" s="131"/>
      <c r="H37" s="131"/>
      <c r="I37" s="131"/>
      <c r="J37" s="131"/>
      <c r="K37" s="131"/>
      <c r="M37" s="131"/>
      <c r="N37" s="131"/>
      <c r="O37" s="131"/>
    </row>
    <row r="38" spans="5:15" s="136" customFormat="1">
      <c r="E38" s="131"/>
      <c r="F38" s="131"/>
      <c r="G38" s="131"/>
      <c r="H38" s="131"/>
      <c r="I38" s="131"/>
      <c r="J38" s="131"/>
      <c r="K38" s="131"/>
      <c r="M38" s="131"/>
      <c r="N38" s="131"/>
      <c r="O38" s="131"/>
    </row>
    <row r="39" spans="5:15" s="136" customFormat="1">
      <c r="E39" s="131"/>
      <c r="F39" s="131"/>
      <c r="G39" s="131"/>
      <c r="H39" s="131"/>
      <c r="I39" s="131"/>
      <c r="J39" s="131"/>
      <c r="K39" s="131"/>
      <c r="M39" s="131"/>
      <c r="N39" s="131"/>
      <c r="O39" s="131"/>
    </row>
    <row r="40" spans="5:15" s="136" customFormat="1">
      <c r="E40" s="131"/>
      <c r="F40" s="131"/>
      <c r="G40" s="131"/>
      <c r="H40" s="131"/>
      <c r="I40" s="131"/>
      <c r="J40" s="131"/>
      <c r="K40" s="131"/>
      <c r="M40" s="131"/>
      <c r="N40" s="131"/>
      <c r="O40" s="131"/>
    </row>
    <row r="41" spans="5:15" s="136" customFormat="1">
      <c r="E41" s="131"/>
      <c r="F41" s="131"/>
      <c r="G41" s="131"/>
      <c r="H41" s="131"/>
      <c r="I41" s="131"/>
      <c r="J41" s="131"/>
      <c r="K41" s="131"/>
      <c r="M41" s="131"/>
      <c r="N41" s="131"/>
      <c r="O41" s="131"/>
    </row>
    <row r="42" spans="5:15" s="136" customFormat="1">
      <c r="E42" s="131"/>
      <c r="F42" s="131"/>
      <c r="G42" s="131"/>
      <c r="H42" s="131"/>
      <c r="I42" s="131"/>
      <c r="J42" s="131"/>
      <c r="K42" s="131"/>
      <c r="M42" s="131"/>
      <c r="N42" s="131"/>
      <c r="O42" s="131"/>
    </row>
    <row r="43" spans="5:15" s="136" customFormat="1">
      <c r="E43" s="131"/>
      <c r="F43" s="131"/>
      <c r="G43" s="131"/>
      <c r="H43" s="131"/>
      <c r="I43" s="131"/>
      <c r="J43" s="131"/>
      <c r="K43" s="131"/>
      <c r="M43" s="131"/>
      <c r="N43" s="131"/>
      <c r="O43" s="131"/>
    </row>
    <row r="44" spans="5:15" s="136" customFormat="1">
      <c r="E44" s="131"/>
      <c r="F44" s="131"/>
      <c r="G44" s="131"/>
      <c r="H44" s="131"/>
      <c r="I44" s="131"/>
      <c r="J44" s="131"/>
      <c r="K44" s="131"/>
      <c r="M44" s="131"/>
      <c r="N44" s="131"/>
      <c r="O44" s="131"/>
    </row>
    <row r="45" spans="5:15" s="136" customFormat="1">
      <c r="E45" s="131"/>
      <c r="F45" s="131"/>
      <c r="G45" s="131"/>
      <c r="H45" s="131"/>
      <c r="I45" s="131"/>
      <c r="J45" s="131"/>
      <c r="K45" s="131"/>
      <c r="M45" s="131"/>
      <c r="N45" s="131"/>
      <c r="O45" s="131"/>
    </row>
    <row r="46" spans="5:15" s="136" customFormat="1">
      <c r="E46" s="131"/>
      <c r="F46" s="131"/>
      <c r="G46" s="131"/>
      <c r="H46" s="131"/>
      <c r="I46" s="131"/>
      <c r="J46" s="131"/>
      <c r="K46" s="131"/>
      <c r="M46" s="131"/>
      <c r="N46" s="131"/>
      <c r="O46" s="131"/>
    </row>
    <row r="47" spans="5:15" s="136" customFormat="1">
      <c r="E47" s="131"/>
      <c r="F47" s="131"/>
      <c r="G47" s="131"/>
      <c r="H47" s="131"/>
      <c r="I47" s="131"/>
      <c r="J47" s="131"/>
      <c r="K47" s="131"/>
      <c r="M47" s="131"/>
      <c r="N47" s="131"/>
      <c r="O47" s="131"/>
    </row>
    <row r="48" spans="5:15" s="136" customFormat="1">
      <c r="E48" s="131"/>
      <c r="F48" s="131"/>
      <c r="G48" s="131"/>
      <c r="H48" s="131"/>
      <c r="I48" s="131"/>
      <c r="J48" s="131"/>
      <c r="K48" s="131"/>
      <c r="M48" s="131"/>
      <c r="N48" s="131"/>
      <c r="O48" s="131"/>
    </row>
    <row r="49" spans="5:15" s="136" customFormat="1">
      <c r="E49" s="131"/>
      <c r="F49" s="131"/>
      <c r="G49" s="131"/>
      <c r="H49" s="131"/>
      <c r="I49" s="131"/>
      <c r="J49" s="131"/>
      <c r="K49" s="131"/>
      <c r="M49" s="131"/>
      <c r="N49" s="131"/>
      <c r="O49" s="131"/>
    </row>
    <row r="50" spans="5:15" s="136" customFormat="1">
      <c r="E50" s="131"/>
      <c r="F50" s="131"/>
      <c r="G50" s="131"/>
      <c r="H50" s="131"/>
      <c r="I50" s="131"/>
      <c r="J50" s="131"/>
      <c r="K50" s="131"/>
      <c r="M50" s="131"/>
      <c r="N50" s="131"/>
      <c r="O50" s="131"/>
    </row>
    <row r="51" spans="5:15" s="136" customFormat="1">
      <c r="E51" s="131"/>
      <c r="F51" s="131"/>
      <c r="G51" s="131"/>
      <c r="H51" s="131"/>
      <c r="I51" s="131"/>
      <c r="J51" s="131"/>
      <c r="K51" s="131"/>
      <c r="M51" s="131"/>
      <c r="N51" s="131"/>
      <c r="O51" s="131"/>
    </row>
    <row r="52" spans="5:15" s="136" customFormat="1">
      <c r="E52" s="131"/>
      <c r="F52" s="131"/>
      <c r="G52" s="131"/>
      <c r="H52" s="131"/>
      <c r="I52" s="131"/>
      <c r="J52" s="131"/>
      <c r="K52" s="131"/>
      <c r="M52" s="131"/>
      <c r="N52" s="131"/>
      <c r="O52" s="131"/>
    </row>
    <row r="53" spans="5:15" s="136" customFormat="1">
      <c r="E53" s="131"/>
      <c r="F53" s="131"/>
      <c r="G53" s="131"/>
      <c r="H53" s="131"/>
      <c r="I53" s="131"/>
      <c r="J53" s="131"/>
      <c r="K53" s="131"/>
      <c r="M53" s="131"/>
      <c r="N53" s="131"/>
      <c r="O53" s="131"/>
    </row>
    <row r="54" spans="5:15" s="136" customFormat="1">
      <c r="E54" s="131"/>
      <c r="F54" s="131"/>
      <c r="G54" s="131"/>
      <c r="H54" s="131"/>
      <c r="I54" s="131"/>
      <c r="J54" s="131"/>
      <c r="K54" s="131"/>
      <c r="M54" s="131"/>
      <c r="N54" s="131"/>
      <c r="O54" s="131"/>
    </row>
    <row r="55" spans="5:15" s="136" customFormat="1">
      <c r="E55" s="131"/>
      <c r="F55" s="131"/>
      <c r="G55" s="131"/>
      <c r="H55" s="131"/>
      <c r="I55" s="131"/>
      <c r="J55" s="131"/>
      <c r="K55" s="131"/>
      <c r="M55" s="131"/>
      <c r="N55" s="131"/>
      <c r="O55" s="131"/>
    </row>
    <row r="56" spans="5:15" s="136" customFormat="1">
      <c r="E56" s="131"/>
      <c r="F56" s="131"/>
      <c r="G56" s="131"/>
      <c r="H56" s="131"/>
      <c r="I56" s="131"/>
      <c r="J56" s="131"/>
      <c r="K56" s="131"/>
      <c r="M56" s="131"/>
      <c r="N56" s="131"/>
      <c r="O56" s="131"/>
    </row>
    <row r="57" spans="5:15" s="136" customFormat="1">
      <c r="E57" s="131"/>
      <c r="F57" s="131"/>
      <c r="G57" s="131"/>
      <c r="H57" s="131"/>
      <c r="I57" s="131"/>
      <c r="J57" s="131"/>
      <c r="K57" s="131"/>
      <c r="M57" s="131"/>
      <c r="N57" s="131"/>
      <c r="O57" s="131"/>
    </row>
  </sheetData>
  <mergeCells count="2">
    <mergeCell ref="B1:O1"/>
    <mergeCell ref="B2:O2"/>
  </mergeCells>
  <pageMargins left="0.75" right="0.75" top="1" bottom="1" header="0.5" footer="0.5"/>
  <pageSetup scale="59" orientation="portrait" r:id="rId1"/>
  <headerFooter alignWithMargins="0"/>
  <legacyDrawing r:id="rId2"/>
</worksheet>
</file>

<file path=xl/worksheets/sheet123.xml><?xml version="1.0" encoding="utf-8"?>
<worksheet xmlns="http://schemas.openxmlformats.org/spreadsheetml/2006/main" xmlns:r="http://schemas.openxmlformats.org/officeDocument/2006/relationships">
  <sheetPr codeName="Sheet126">
    <pageSetUpPr fitToPage="1"/>
  </sheetPr>
  <dimension ref="A1:T284"/>
  <sheetViews>
    <sheetView zoomScaleNormal="100" workbookViewId="0">
      <selection sqref="A1:S1"/>
    </sheetView>
  </sheetViews>
  <sheetFormatPr defaultRowHeight="12.75"/>
  <cols>
    <col min="1" max="1" width="9.140625" style="10"/>
    <col min="2" max="2" width="39.140625" style="10" bestFit="1" customWidth="1"/>
    <col min="3" max="3" width="17.7109375" style="10" customWidth="1"/>
    <col min="4" max="4" width="1.7109375" style="10" customWidth="1"/>
    <col min="5" max="5" width="17.7109375" style="10" customWidth="1"/>
    <col min="6" max="6" width="1.7109375" style="10" customWidth="1"/>
    <col min="7" max="7" width="17.7109375" style="10" customWidth="1"/>
    <col min="8" max="8" width="1.7109375" style="10" customWidth="1"/>
    <col min="9" max="9" width="17.7109375" style="10" customWidth="1"/>
    <col min="10" max="10" width="1.7109375" style="10" customWidth="1"/>
    <col min="11" max="11" width="17.7109375" style="10" customWidth="1"/>
    <col min="12" max="12" width="1.7109375" style="10" customWidth="1"/>
    <col min="13" max="13" width="17.7109375" style="10" customWidth="1"/>
    <col min="14" max="14" width="1.7109375" style="10" customWidth="1"/>
    <col min="15" max="15" width="17.7109375" style="10" customWidth="1"/>
    <col min="16" max="16" width="1.7109375" style="10" customWidth="1"/>
    <col min="17" max="17" width="18.28515625" style="10" bestFit="1" customWidth="1"/>
    <col min="18" max="18" width="1.7109375" style="10" customWidth="1"/>
    <col min="19" max="19" width="17.7109375" style="10" bestFit="1" customWidth="1"/>
    <col min="20" max="20" width="2.85546875" style="10" customWidth="1"/>
    <col min="21" max="21" width="16.7109375" style="10" customWidth="1"/>
    <col min="22" max="16384" width="9.140625" style="10"/>
  </cols>
  <sheetData>
    <row r="1" spans="1:20">
      <c r="A1" s="359" t="s">
        <v>134</v>
      </c>
      <c r="B1" s="359"/>
      <c r="C1" s="359"/>
      <c r="D1" s="359"/>
      <c r="E1" s="359"/>
      <c r="F1" s="359"/>
      <c r="G1" s="359"/>
      <c r="H1" s="359"/>
      <c r="I1" s="359"/>
      <c r="J1" s="359"/>
      <c r="K1" s="359"/>
      <c r="L1" s="359"/>
      <c r="M1" s="359"/>
      <c r="N1" s="359"/>
      <c r="O1" s="359"/>
      <c r="P1" s="359"/>
      <c r="Q1" s="359"/>
      <c r="R1" s="359"/>
      <c r="S1" s="359"/>
    </row>
    <row r="2" spans="1:20">
      <c r="A2" s="359" t="s">
        <v>609</v>
      </c>
      <c r="B2" s="359"/>
      <c r="C2" s="359"/>
      <c r="D2" s="359"/>
      <c r="E2" s="359"/>
      <c r="F2" s="359"/>
      <c r="G2" s="359"/>
      <c r="H2" s="359"/>
      <c r="I2" s="359"/>
      <c r="J2" s="359"/>
      <c r="K2" s="359"/>
      <c r="L2" s="359"/>
      <c r="M2" s="359"/>
      <c r="N2" s="359"/>
      <c r="O2" s="359"/>
      <c r="P2" s="359"/>
      <c r="Q2" s="359"/>
      <c r="R2" s="359"/>
      <c r="S2" s="359"/>
    </row>
    <row r="3" spans="1:20">
      <c r="A3" s="361" t="str">
        <f>'Summary - Cost - PG 1 (PA)'!A3:N3</f>
        <v>MARCH 2012</v>
      </c>
      <c r="B3" s="361"/>
      <c r="C3" s="361"/>
      <c r="D3" s="361"/>
      <c r="E3" s="361"/>
      <c r="F3" s="361"/>
      <c r="G3" s="361"/>
      <c r="H3" s="361"/>
      <c r="I3" s="361"/>
      <c r="J3" s="361"/>
      <c r="K3" s="361"/>
      <c r="L3" s="361"/>
      <c r="M3" s="361"/>
      <c r="N3" s="361"/>
      <c r="O3" s="361"/>
      <c r="P3" s="361"/>
      <c r="Q3" s="361"/>
      <c r="R3" s="361"/>
      <c r="S3" s="361"/>
    </row>
    <row r="4" spans="1:20">
      <c r="A4" s="267"/>
      <c r="B4" s="267"/>
      <c r="C4" s="267"/>
      <c r="D4" s="267"/>
      <c r="E4" s="267"/>
      <c r="F4" s="267"/>
      <c r="G4" s="267"/>
      <c r="H4" s="267"/>
      <c r="I4" s="267"/>
      <c r="J4" s="267"/>
      <c r="K4" s="267"/>
      <c r="L4" s="267"/>
      <c r="M4" s="267"/>
      <c r="N4" s="267"/>
      <c r="O4" s="267"/>
      <c r="P4" s="267"/>
      <c r="Q4" s="267"/>
      <c r="R4" s="267"/>
      <c r="S4" s="267"/>
    </row>
    <row r="5" spans="1:20">
      <c r="A5" s="267"/>
      <c r="B5" s="267"/>
      <c r="C5" s="267"/>
      <c r="D5" s="267"/>
      <c r="E5" s="267"/>
      <c r="F5" s="267"/>
      <c r="G5" s="267"/>
      <c r="H5" s="267"/>
      <c r="I5" s="267"/>
      <c r="J5" s="267"/>
      <c r="K5" s="267"/>
      <c r="L5" s="267"/>
      <c r="M5" s="267"/>
      <c r="N5" s="267"/>
      <c r="O5" s="267"/>
      <c r="P5" s="267"/>
      <c r="Q5" s="267"/>
      <c r="R5" s="267"/>
      <c r="S5" s="267"/>
    </row>
    <row r="6" spans="1:20">
      <c r="A6" s="267"/>
      <c r="B6" s="267"/>
      <c r="C6" s="84"/>
      <c r="D6" s="267"/>
      <c r="E6" s="84"/>
      <c r="F6" s="267"/>
      <c r="G6" s="84" t="s">
        <v>146</v>
      </c>
      <c r="H6" s="267"/>
      <c r="I6" s="84" t="s">
        <v>146</v>
      </c>
      <c r="J6" s="267"/>
      <c r="K6" s="84" t="s">
        <v>146</v>
      </c>
      <c r="L6" s="267"/>
      <c r="M6" s="84" t="s">
        <v>146</v>
      </c>
      <c r="N6" s="267"/>
      <c r="O6" s="84" t="s">
        <v>146</v>
      </c>
      <c r="P6" s="267"/>
      <c r="Q6" s="84"/>
      <c r="R6" s="267"/>
      <c r="S6" s="84"/>
    </row>
    <row r="7" spans="1:20">
      <c r="C7" s="84" t="s">
        <v>146</v>
      </c>
      <c r="D7" s="163"/>
      <c r="E7" s="84" t="s">
        <v>146</v>
      </c>
      <c r="F7" s="163"/>
      <c r="G7" s="84" t="s">
        <v>30</v>
      </c>
      <c r="H7" s="163"/>
      <c r="I7" s="84" t="s">
        <v>31</v>
      </c>
      <c r="J7" s="163"/>
      <c r="K7" s="84" t="s">
        <v>32</v>
      </c>
      <c r="L7" s="163"/>
      <c r="M7" s="84" t="s">
        <v>33</v>
      </c>
      <c r="N7" s="163"/>
      <c r="O7" s="84" t="s">
        <v>34</v>
      </c>
      <c r="P7" s="163"/>
      <c r="Q7" s="84"/>
      <c r="R7" s="163"/>
      <c r="S7" s="84"/>
    </row>
    <row r="8" spans="1:20">
      <c r="A8" s="12"/>
      <c r="C8" s="43" t="s">
        <v>954</v>
      </c>
      <c r="D8" s="163"/>
      <c r="E8" s="43" t="s">
        <v>152</v>
      </c>
      <c r="F8" s="163"/>
      <c r="G8" s="43" t="s">
        <v>149</v>
      </c>
      <c r="H8" s="163"/>
      <c r="I8" s="43" t="s">
        <v>149</v>
      </c>
      <c r="J8" s="163"/>
      <c r="K8" s="43" t="s">
        <v>150</v>
      </c>
      <c r="L8" s="163"/>
      <c r="M8" s="43" t="s">
        <v>151</v>
      </c>
      <c r="N8" s="163"/>
      <c r="O8" s="43" t="s">
        <v>153</v>
      </c>
      <c r="P8" s="163"/>
      <c r="Q8" s="43" t="s">
        <v>154</v>
      </c>
      <c r="R8" s="163"/>
      <c r="S8" s="43" t="s">
        <v>956</v>
      </c>
    </row>
    <row r="9" spans="1:20">
      <c r="A9" s="12"/>
      <c r="C9" s="163"/>
      <c r="D9" s="163"/>
      <c r="E9" s="163"/>
      <c r="F9" s="163"/>
      <c r="G9" s="163"/>
      <c r="H9" s="163"/>
      <c r="I9" s="163"/>
      <c r="J9" s="163"/>
      <c r="K9" s="163"/>
      <c r="L9" s="163"/>
      <c r="M9" s="163"/>
      <c r="N9" s="163"/>
      <c r="O9" s="163"/>
      <c r="P9" s="163"/>
      <c r="Q9" s="163"/>
      <c r="R9" s="163"/>
      <c r="S9" s="163"/>
    </row>
    <row r="10" spans="1:20">
      <c r="A10" s="12" t="s">
        <v>449</v>
      </c>
      <c r="C10" s="163"/>
      <c r="D10" s="163"/>
      <c r="E10" s="163"/>
      <c r="F10" s="163"/>
      <c r="G10" s="163"/>
      <c r="H10" s="163"/>
      <c r="I10" s="163"/>
      <c r="J10" s="163"/>
      <c r="K10" s="163"/>
      <c r="L10" s="163"/>
      <c r="M10" s="163"/>
      <c r="N10" s="163"/>
      <c r="O10" s="163"/>
      <c r="P10" s="163"/>
      <c r="Q10" s="163"/>
      <c r="R10" s="163"/>
      <c r="S10" s="163"/>
    </row>
    <row r="11" spans="1:20">
      <c r="B11" s="10" t="s">
        <v>455</v>
      </c>
      <c r="C11" s="24">
        <f>'Summary - Reserve - PG 2 (PA)'!E10+'Summary - Reserve - PG 2 (PA)'!E35+'Summary - Reserve - PG 2 (PA)'!E51</f>
        <v>0</v>
      </c>
      <c r="D11" s="24"/>
      <c r="E11" s="24">
        <v>0</v>
      </c>
      <c r="F11" s="24"/>
      <c r="G11" s="24">
        <v>0</v>
      </c>
      <c r="H11" s="24"/>
      <c r="I11" s="24">
        <v>0</v>
      </c>
      <c r="J11" s="24"/>
      <c r="K11" s="24">
        <v>0</v>
      </c>
      <c r="L11" s="24"/>
      <c r="M11" s="24">
        <v>0</v>
      </c>
      <c r="N11" s="24"/>
      <c r="O11" s="24">
        <v>0</v>
      </c>
      <c r="P11" s="24"/>
      <c r="Q11" s="24">
        <v>0</v>
      </c>
      <c r="R11" s="24"/>
      <c r="S11" s="24">
        <f t="shared" ref="S11:S35" si="0">C11-E11+G11+I11+K11+M11+O11+Q11</f>
        <v>0</v>
      </c>
      <c r="T11" s="24"/>
    </row>
    <row r="12" spans="1:20">
      <c r="B12" s="10" t="s">
        <v>851</v>
      </c>
      <c r="C12" s="24">
        <f>'Summary - Reserve - PG 2 (PA)'!E11</f>
        <v>0</v>
      </c>
      <c r="D12" s="24"/>
      <c r="E12" s="24">
        <v>0</v>
      </c>
      <c r="F12" s="24"/>
      <c r="G12" s="24">
        <v>0</v>
      </c>
      <c r="H12" s="24"/>
      <c r="I12" s="24">
        <v>0</v>
      </c>
      <c r="J12" s="24"/>
      <c r="K12" s="24">
        <v>0</v>
      </c>
      <c r="L12" s="24"/>
      <c r="M12" s="24">
        <v>0</v>
      </c>
      <c r="N12" s="24"/>
      <c r="O12" s="24">
        <v>0</v>
      </c>
      <c r="P12" s="24"/>
      <c r="Q12" s="24">
        <v>0</v>
      </c>
      <c r="R12" s="24"/>
      <c r="S12" s="24">
        <f t="shared" si="0"/>
        <v>0</v>
      </c>
      <c r="T12" s="24"/>
    </row>
    <row r="13" spans="1:20">
      <c r="B13" s="10" t="s">
        <v>48</v>
      </c>
      <c r="C13" s="25">
        <f>SUM(C11:C12)</f>
        <v>0</v>
      </c>
      <c r="D13" s="24"/>
      <c r="E13" s="25">
        <f>SUM(E11:E12)</f>
        <v>0</v>
      </c>
      <c r="F13" s="24"/>
      <c r="G13" s="25">
        <f>SUM(G11:G12)</f>
        <v>0</v>
      </c>
      <c r="H13" s="24"/>
      <c r="I13" s="25">
        <f>SUM(I11:I12)</f>
        <v>0</v>
      </c>
      <c r="J13" s="24"/>
      <c r="K13" s="25">
        <f>SUM(K11:K12)</f>
        <v>0</v>
      </c>
      <c r="L13" s="24"/>
      <c r="M13" s="25">
        <f>SUM(M11:M12)</f>
        <v>0</v>
      </c>
      <c r="N13" s="24"/>
      <c r="O13" s="25">
        <f>SUM(O11:O12)</f>
        <v>0</v>
      </c>
      <c r="P13" s="24"/>
      <c r="Q13" s="25">
        <f>SUM(Q11:Q12)</f>
        <v>0</v>
      </c>
      <c r="R13" s="24"/>
      <c r="S13" s="25">
        <f>SUM(S11:S12)</f>
        <v>0</v>
      </c>
      <c r="T13" s="24"/>
    </row>
    <row r="14" spans="1:20">
      <c r="C14" s="24"/>
      <c r="D14" s="24"/>
      <c r="E14" s="24"/>
      <c r="F14" s="24"/>
      <c r="G14" s="24"/>
      <c r="H14" s="24"/>
      <c r="I14" s="24"/>
      <c r="J14" s="24"/>
      <c r="K14" s="24"/>
      <c r="L14" s="24"/>
      <c r="M14" s="24"/>
      <c r="N14" s="24"/>
      <c r="O14" s="24"/>
      <c r="P14" s="24"/>
      <c r="Q14" s="24"/>
      <c r="R14" s="24"/>
      <c r="S14" s="24"/>
      <c r="T14" s="24"/>
    </row>
    <row r="15" spans="1:20">
      <c r="B15" s="10" t="s">
        <v>113</v>
      </c>
      <c r="C15" s="24">
        <f>'Summary - Reserve - PG 2 (PA)'!E12+'Summary - Reserve - PG 2 (PA)'!E36+'Summary - Reserve - PG 2 (PA)'!E52</f>
        <v>0</v>
      </c>
      <c r="D15" s="24"/>
      <c r="E15" s="24">
        <v>0</v>
      </c>
      <c r="F15" s="24"/>
      <c r="G15" s="24">
        <v>0</v>
      </c>
      <c r="H15" s="24"/>
      <c r="I15" s="24">
        <v>0</v>
      </c>
      <c r="J15" s="24"/>
      <c r="K15" s="24">
        <v>0</v>
      </c>
      <c r="L15" s="24"/>
      <c r="M15" s="24">
        <v>0</v>
      </c>
      <c r="N15" s="24"/>
      <c r="O15" s="24">
        <v>0</v>
      </c>
      <c r="P15" s="24"/>
      <c r="Q15" s="24">
        <v>0</v>
      </c>
      <c r="R15" s="24"/>
      <c r="S15" s="24">
        <f t="shared" si="0"/>
        <v>0</v>
      </c>
      <c r="T15" s="24"/>
    </row>
    <row r="16" spans="1:20">
      <c r="B16" s="10" t="s">
        <v>852</v>
      </c>
      <c r="C16" s="24">
        <f>'Summary - Reserve - PG 2 (PA)'!E13</f>
        <v>0</v>
      </c>
      <c r="D16" s="24"/>
      <c r="E16" s="24">
        <v>0</v>
      </c>
      <c r="F16" s="24"/>
      <c r="G16" s="24">
        <v>0</v>
      </c>
      <c r="H16" s="24"/>
      <c r="I16" s="24">
        <v>0</v>
      </c>
      <c r="J16" s="24"/>
      <c r="K16" s="24">
        <v>0</v>
      </c>
      <c r="L16" s="24"/>
      <c r="M16" s="24">
        <v>0</v>
      </c>
      <c r="N16" s="24"/>
      <c r="O16" s="24">
        <v>0</v>
      </c>
      <c r="P16" s="24"/>
      <c r="Q16" s="24">
        <v>0</v>
      </c>
      <c r="R16" s="24"/>
      <c r="S16" s="24">
        <f t="shared" si="0"/>
        <v>0</v>
      </c>
      <c r="T16" s="24"/>
    </row>
    <row r="17" spans="2:20">
      <c r="B17" s="10" t="s">
        <v>114</v>
      </c>
      <c r="C17" s="24">
        <f>'Summary - Reserve - PG 2 (PA)'!E14+'Summary - Reserve - PG 2 (PA)'!E37+'Summary - Reserve - PG 2 (PA)'!E53</f>
        <v>0</v>
      </c>
      <c r="D17" s="24"/>
      <c r="E17" s="24">
        <v>0</v>
      </c>
      <c r="F17" s="24"/>
      <c r="G17" s="24">
        <v>0</v>
      </c>
      <c r="H17" s="24"/>
      <c r="I17" s="24">
        <v>0</v>
      </c>
      <c r="J17" s="24"/>
      <c r="K17" s="24">
        <v>0</v>
      </c>
      <c r="L17" s="24"/>
      <c r="M17" s="24">
        <v>0</v>
      </c>
      <c r="N17" s="24"/>
      <c r="O17" s="24">
        <v>0</v>
      </c>
      <c r="P17" s="24"/>
      <c r="Q17" s="24">
        <v>0</v>
      </c>
      <c r="R17" s="24"/>
      <c r="S17" s="24">
        <f t="shared" si="0"/>
        <v>0</v>
      </c>
      <c r="T17" s="24"/>
    </row>
    <row r="18" spans="2:20">
      <c r="B18" s="10" t="s">
        <v>115</v>
      </c>
      <c r="C18" s="24">
        <f>'Summary - Reserve - PG 2 (PA)'!E15+'Summary - Reserve - PG 2 (PA)'!E38+'Summary - Reserve - PG 2 (PA)'!E54</f>
        <v>0</v>
      </c>
      <c r="D18" s="24"/>
      <c r="E18" s="24">
        <v>0</v>
      </c>
      <c r="F18" s="24"/>
      <c r="G18" s="24">
        <v>0</v>
      </c>
      <c r="H18" s="24"/>
      <c r="I18" s="24">
        <v>0</v>
      </c>
      <c r="J18" s="24"/>
      <c r="K18" s="24">
        <v>0</v>
      </c>
      <c r="L18" s="24"/>
      <c r="M18" s="24">
        <v>0</v>
      </c>
      <c r="N18" s="24"/>
      <c r="O18" s="24">
        <v>0</v>
      </c>
      <c r="P18" s="24"/>
      <c r="Q18" s="24">
        <v>0</v>
      </c>
      <c r="R18" s="24"/>
      <c r="S18" s="24">
        <f t="shared" si="0"/>
        <v>0</v>
      </c>
      <c r="T18" s="24"/>
    </row>
    <row r="19" spans="2:20">
      <c r="B19" s="10" t="s">
        <v>853</v>
      </c>
      <c r="C19" s="24">
        <f>'Summary - Reserve - PG 2 (PA)'!E16</f>
        <v>0</v>
      </c>
      <c r="D19" s="24"/>
      <c r="E19" s="24">
        <v>0</v>
      </c>
      <c r="F19" s="24"/>
      <c r="G19" s="24">
        <v>0</v>
      </c>
      <c r="H19" s="24"/>
      <c r="I19" s="24">
        <v>0</v>
      </c>
      <c r="J19" s="24"/>
      <c r="K19" s="24">
        <v>0</v>
      </c>
      <c r="L19" s="24"/>
      <c r="M19" s="24">
        <v>0</v>
      </c>
      <c r="N19" s="24"/>
      <c r="O19" s="24">
        <v>0</v>
      </c>
      <c r="P19" s="24"/>
      <c r="Q19" s="24">
        <v>0</v>
      </c>
      <c r="R19" s="24"/>
      <c r="S19" s="24">
        <f t="shared" si="0"/>
        <v>0</v>
      </c>
      <c r="T19" s="24"/>
    </row>
    <row r="20" spans="2:20">
      <c r="B20" s="10" t="s">
        <v>117</v>
      </c>
      <c r="C20" s="24">
        <f>'Summary - Reserve - PG 2 (PA)'!E17+'Summary - Reserve - PG 2 (PA)'!E39+'Summary - Reserve - PG 2 (PA)'!E55</f>
        <v>0</v>
      </c>
      <c r="D20" s="24"/>
      <c r="E20" s="24">
        <v>0</v>
      </c>
      <c r="F20" s="24"/>
      <c r="G20" s="24">
        <v>0</v>
      </c>
      <c r="H20" s="24"/>
      <c r="I20" s="24">
        <v>0</v>
      </c>
      <c r="J20" s="24"/>
      <c r="K20" s="24">
        <v>0</v>
      </c>
      <c r="L20" s="24"/>
      <c r="M20" s="24">
        <v>0</v>
      </c>
      <c r="N20" s="24"/>
      <c r="O20" s="24">
        <v>0</v>
      </c>
      <c r="P20" s="24"/>
      <c r="Q20" s="24">
        <v>0</v>
      </c>
      <c r="R20" s="24"/>
      <c r="S20" s="24">
        <f t="shared" si="0"/>
        <v>0</v>
      </c>
      <c r="T20" s="24"/>
    </row>
    <row r="21" spans="2:20">
      <c r="B21" s="10" t="s">
        <v>953</v>
      </c>
      <c r="C21" s="24">
        <f>'Summary - Reserve - PG 2 (PA)'!E18</f>
        <v>0</v>
      </c>
      <c r="D21" s="24"/>
      <c r="E21" s="24">
        <v>0</v>
      </c>
      <c r="F21" s="24"/>
      <c r="G21" s="24">
        <v>0</v>
      </c>
      <c r="H21" s="24"/>
      <c r="I21" s="24">
        <v>0</v>
      </c>
      <c r="J21" s="24"/>
      <c r="K21" s="24">
        <v>0</v>
      </c>
      <c r="L21" s="24"/>
      <c r="M21" s="24">
        <v>0</v>
      </c>
      <c r="N21" s="24"/>
      <c r="O21" s="24">
        <v>0</v>
      </c>
      <c r="P21" s="24"/>
      <c r="Q21" s="24">
        <v>0</v>
      </c>
      <c r="R21" s="24"/>
      <c r="S21" s="24">
        <f t="shared" si="0"/>
        <v>0</v>
      </c>
      <c r="T21" s="24"/>
    </row>
    <row r="22" spans="2:20">
      <c r="B22" s="10" t="s">
        <v>118</v>
      </c>
      <c r="C22" s="24">
        <f>'Summary - Reserve - PG 2 (PA)'!E19+'Summary - Reserve - PG 2 (PA)'!E40+'Summary - Reserve - PG 2 (PA)'!E56</f>
        <v>0</v>
      </c>
      <c r="D22" s="24"/>
      <c r="E22" s="24">
        <v>0</v>
      </c>
      <c r="F22" s="24"/>
      <c r="G22" s="24">
        <v>0</v>
      </c>
      <c r="H22" s="24"/>
      <c r="I22" s="24">
        <v>0</v>
      </c>
      <c r="J22" s="24"/>
      <c r="K22" s="24">
        <v>0</v>
      </c>
      <c r="L22" s="24"/>
      <c r="M22" s="24">
        <v>0</v>
      </c>
      <c r="N22" s="24"/>
      <c r="O22" s="24">
        <v>0</v>
      </c>
      <c r="P22" s="24"/>
      <c r="Q22" s="24">
        <v>0</v>
      </c>
      <c r="R22" s="24"/>
      <c r="S22" s="24">
        <f>C22-E22+G22+I22+K22+M22+O22+Q22</f>
        <v>0</v>
      </c>
      <c r="T22" s="24"/>
    </row>
    <row r="23" spans="2:20">
      <c r="B23" s="10" t="s">
        <v>949</v>
      </c>
      <c r="C23" s="24">
        <f>'Summary - Reserve - PG 2 (PA)'!E20</f>
        <v>0</v>
      </c>
      <c r="D23" s="24"/>
      <c r="E23" s="24"/>
      <c r="F23" s="24"/>
      <c r="G23" s="24">
        <v>0</v>
      </c>
      <c r="H23" s="24"/>
      <c r="I23" s="24">
        <v>0</v>
      </c>
      <c r="J23" s="24"/>
      <c r="K23" s="24">
        <v>0</v>
      </c>
      <c r="L23" s="24"/>
      <c r="M23" s="24">
        <v>0</v>
      </c>
      <c r="N23" s="24"/>
      <c r="O23" s="24">
        <v>0</v>
      </c>
      <c r="P23" s="24"/>
      <c r="Q23" s="24">
        <v>0</v>
      </c>
      <c r="R23" s="24"/>
      <c r="S23" s="24">
        <f t="shared" si="0"/>
        <v>0</v>
      </c>
      <c r="T23" s="24"/>
    </row>
    <row r="24" spans="2:20">
      <c r="B24" s="10" t="s">
        <v>119</v>
      </c>
      <c r="C24" s="24">
        <f>'Summary - Reserve - PG 2 (PA)'!E21+'Summary - Reserve - PG 2 (PA)'!E41+'Summary - Reserve - PG 2 (PA)'!E57</f>
        <v>0</v>
      </c>
      <c r="D24" s="24"/>
      <c r="E24" s="24">
        <v>0</v>
      </c>
      <c r="F24" s="24"/>
      <c r="G24" s="24">
        <v>0</v>
      </c>
      <c r="H24" s="24"/>
      <c r="I24" s="24">
        <v>0</v>
      </c>
      <c r="J24" s="24"/>
      <c r="K24" s="24">
        <v>0</v>
      </c>
      <c r="L24" s="24"/>
      <c r="M24" s="24">
        <v>0</v>
      </c>
      <c r="N24" s="24"/>
      <c r="O24" s="24">
        <v>0</v>
      </c>
      <c r="P24" s="24"/>
      <c r="Q24" s="24">
        <v>0</v>
      </c>
      <c r="R24" s="24"/>
      <c r="S24" s="24">
        <f t="shared" si="0"/>
        <v>0</v>
      </c>
      <c r="T24" s="24"/>
    </row>
    <row r="25" spans="2:20">
      <c r="B25" s="10" t="s">
        <v>950</v>
      </c>
      <c r="C25" s="24">
        <f>'Summary - Reserve - PG 2 (PA)'!E22</f>
        <v>0</v>
      </c>
      <c r="D25" s="24"/>
      <c r="E25" s="24">
        <v>0</v>
      </c>
      <c r="F25" s="24"/>
      <c r="G25" s="24">
        <v>0</v>
      </c>
      <c r="H25" s="24"/>
      <c r="I25" s="24">
        <v>0</v>
      </c>
      <c r="J25" s="24"/>
      <c r="K25" s="24">
        <v>0</v>
      </c>
      <c r="L25" s="24"/>
      <c r="M25" s="24">
        <v>0</v>
      </c>
      <c r="N25" s="24"/>
      <c r="O25" s="24">
        <v>0</v>
      </c>
      <c r="P25" s="24"/>
      <c r="Q25" s="24">
        <v>0</v>
      </c>
      <c r="R25" s="24"/>
      <c r="S25" s="24">
        <f t="shared" si="0"/>
        <v>0</v>
      </c>
      <c r="T25" s="24"/>
    </row>
    <row r="26" spans="2:20">
      <c r="B26" s="10" t="s">
        <v>49</v>
      </c>
      <c r="C26" s="25">
        <f>SUM(C15:C25)</f>
        <v>0</v>
      </c>
      <c r="D26" s="24"/>
      <c r="E26" s="25">
        <f>SUM(E15:E25)</f>
        <v>0</v>
      </c>
      <c r="F26" s="24"/>
      <c r="G26" s="25">
        <f>SUM(G15:G25)</f>
        <v>0</v>
      </c>
      <c r="H26" s="24"/>
      <c r="I26" s="25">
        <f>SUM(I15:I25)</f>
        <v>0</v>
      </c>
      <c r="J26" s="24"/>
      <c r="K26" s="25">
        <f>SUM(K15:K25)</f>
        <v>0</v>
      </c>
      <c r="L26" s="24"/>
      <c r="M26" s="25">
        <f>SUM(M15:M25)</f>
        <v>0</v>
      </c>
      <c r="N26" s="24"/>
      <c r="O26" s="25">
        <f>SUM(O15:O25)</f>
        <v>0</v>
      </c>
      <c r="P26" s="24"/>
      <c r="Q26" s="25">
        <f>SUM(Q15:Q25)</f>
        <v>0</v>
      </c>
      <c r="R26" s="24"/>
      <c r="S26" s="25">
        <f>SUM(S15:S25)</f>
        <v>0</v>
      </c>
      <c r="T26" s="24"/>
    </row>
    <row r="27" spans="2:20">
      <c r="C27" s="24"/>
      <c r="D27" s="24"/>
      <c r="E27" s="24"/>
      <c r="F27" s="24"/>
      <c r="G27" s="24"/>
      <c r="H27" s="24"/>
      <c r="I27" s="24"/>
      <c r="J27" s="24"/>
      <c r="K27" s="24"/>
      <c r="L27" s="24"/>
      <c r="M27" s="24"/>
      <c r="N27" s="24"/>
      <c r="O27" s="24"/>
      <c r="P27" s="24"/>
      <c r="Q27" s="24"/>
      <c r="R27" s="24"/>
      <c r="S27" s="24"/>
      <c r="T27" s="24"/>
    </row>
    <row r="28" spans="2:20">
      <c r="B28" s="10" t="s">
        <v>121</v>
      </c>
      <c r="C28" s="24">
        <f>'Summary - Reserve - PG 2 (PA)'!E23+'Summary - Reserve - PG 2 (PA)'!E42+'Summary - Reserve - PG 2 (PA)'!E58</f>
        <v>0</v>
      </c>
      <c r="D28" s="24"/>
      <c r="E28" s="24">
        <v>0</v>
      </c>
      <c r="F28" s="24"/>
      <c r="G28" s="24">
        <v>0</v>
      </c>
      <c r="H28" s="24"/>
      <c r="I28" s="24">
        <v>0</v>
      </c>
      <c r="J28" s="24"/>
      <c r="K28" s="24">
        <v>0</v>
      </c>
      <c r="L28" s="24"/>
      <c r="M28" s="24">
        <v>0</v>
      </c>
      <c r="N28" s="24"/>
      <c r="O28" s="24">
        <v>0</v>
      </c>
      <c r="P28" s="24"/>
      <c r="Q28" s="24">
        <v>0</v>
      </c>
      <c r="R28" s="24"/>
      <c r="S28" s="24">
        <f t="shared" si="0"/>
        <v>0</v>
      </c>
      <c r="T28" s="24"/>
    </row>
    <row r="29" spans="2:20">
      <c r="B29" s="10" t="s">
        <v>951</v>
      </c>
      <c r="C29" s="24">
        <f>'Summary - Reserve - PG 2 (PA)'!E24</f>
        <v>0</v>
      </c>
      <c r="D29" s="24"/>
      <c r="E29" s="24">
        <v>0</v>
      </c>
      <c r="F29" s="24"/>
      <c r="G29" s="24">
        <v>0</v>
      </c>
      <c r="H29" s="24"/>
      <c r="I29" s="24">
        <v>0</v>
      </c>
      <c r="J29" s="24"/>
      <c r="K29" s="24">
        <v>0</v>
      </c>
      <c r="L29" s="24"/>
      <c r="M29" s="24">
        <v>0</v>
      </c>
      <c r="N29" s="24"/>
      <c r="O29" s="24">
        <v>0</v>
      </c>
      <c r="P29" s="24"/>
      <c r="Q29" s="24">
        <v>0</v>
      </c>
      <c r="R29" s="24"/>
      <c r="S29" s="24">
        <f t="shared" si="0"/>
        <v>0</v>
      </c>
      <c r="T29" s="24"/>
    </row>
    <row r="30" spans="2:20">
      <c r="B30" s="10" t="s">
        <v>122</v>
      </c>
      <c r="C30" s="24">
        <f>'Summary - Reserve - PG 2 (PA)'!E25+'Summary - Reserve - PG 2 (PA)'!E43+'Summary - Reserve - PG 2 (PA)'!E59</f>
        <v>0</v>
      </c>
      <c r="D30" s="24"/>
      <c r="E30" s="24">
        <v>0</v>
      </c>
      <c r="F30" s="24"/>
      <c r="G30" s="24">
        <v>0</v>
      </c>
      <c r="H30" s="24"/>
      <c r="I30" s="24">
        <v>0</v>
      </c>
      <c r="J30" s="24"/>
      <c r="K30" s="24">
        <v>0</v>
      </c>
      <c r="L30" s="24"/>
      <c r="M30" s="24">
        <v>0</v>
      </c>
      <c r="N30" s="24"/>
      <c r="O30" s="24">
        <v>0</v>
      </c>
      <c r="P30" s="24"/>
      <c r="Q30" s="24">
        <v>0</v>
      </c>
      <c r="R30" s="24"/>
      <c r="S30" s="24">
        <f>C30-E30+G30+I30+K30+M30+O30+Q30</f>
        <v>0</v>
      </c>
      <c r="T30" s="24"/>
    </row>
    <row r="31" spans="2:20">
      <c r="B31" s="10" t="s">
        <v>124</v>
      </c>
      <c r="C31" s="24">
        <f>'Summary - Reserve - PG 2 (PA)'!E26+'Summary - Reserve - PG 2 (PA)'!E44+'Summary - Reserve - PG 2 (PA)'!E60</f>
        <v>0</v>
      </c>
      <c r="D31" s="24"/>
      <c r="E31" s="24">
        <v>0</v>
      </c>
      <c r="F31" s="24"/>
      <c r="G31" s="24">
        <v>0</v>
      </c>
      <c r="H31" s="24"/>
      <c r="I31" s="24">
        <v>0</v>
      </c>
      <c r="J31" s="24"/>
      <c r="K31" s="24">
        <v>0</v>
      </c>
      <c r="L31" s="24"/>
      <c r="M31" s="24">
        <v>0</v>
      </c>
      <c r="N31" s="24"/>
      <c r="O31" s="24">
        <v>0</v>
      </c>
      <c r="P31" s="24"/>
      <c r="Q31" s="24">
        <v>0</v>
      </c>
      <c r="R31" s="24"/>
      <c r="S31" s="24">
        <f t="shared" si="0"/>
        <v>0</v>
      </c>
      <c r="T31" s="24"/>
    </row>
    <row r="32" spans="2:20">
      <c r="B32" s="10" t="s">
        <v>952</v>
      </c>
      <c r="C32" s="24">
        <f>'Summary - Reserve - PG 2 (PA)'!E27</f>
        <v>0</v>
      </c>
      <c r="D32" s="24"/>
      <c r="E32" s="24">
        <v>0</v>
      </c>
      <c r="F32" s="24"/>
      <c r="G32" s="24">
        <v>0</v>
      </c>
      <c r="H32" s="24"/>
      <c r="I32" s="24">
        <v>0</v>
      </c>
      <c r="J32" s="24"/>
      <c r="K32" s="24">
        <v>0</v>
      </c>
      <c r="L32" s="24"/>
      <c r="M32" s="24">
        <v>0</v>
      </c>
      <c r="N32" s="24"/>
      <c r="O32" s="24">
        <v>0</v>
      </c>
      <c r="P32" s="24"/>
      <c r="Q32" s="24">
        <v>0</v>
      </c>
      <c r="R32" s="24"/>
      <c r="S32" s="24">
        <f t="shared" si="0"/>
        <v>0</v>
      </c>
      <c r="T32" s="24"/>
    </row>
    <row r="33" spans="1:20">
      <c r="B33" s="10" t="s">
        <v>129</v>
      </c>
      <c r="C33" s="24">
        <f>'Summary - Reserve - PG 2 (PA)'!E28+'Summary - Reserve - PG 2 (PA)'!E45+'Summary - Reserve - PG 2 (PA)'!E61</f>
        <v>0</v>
      </c>
      <c r="D33" s="24"/>
      <c r="E33" s="24">
        <v>0</v>
      </c>
      <c r="F33" s="24"/>
      <c r="G33" s="24">
        <v>0</v>
      </c>
      <c r="H33" s="24"/>
      <c r="I33" s="24">
        <v>0</v>
      </c>
      <c r="J33" s="24"/>
      <c r="K33" s="24">
        <v>0</v>
      </c>
      <c r="L33" s="24"/>
      <c r="M33" s="24">
        <v>0</v>
      </c>
      <c r="N33" s="24"/>
      <c r="O33" s="24">
        <v>0</v>
      </c>
      <c r="P33" s="24"/>
      <c r="Q33" s="24">
        <v>0</v>
      </c>
      <c r="R33" s="24"/>
      <c r="S33" s="24">
        <f t="shared" si="0"/>
        <v>0</v>
      </c>
      <c r="T33" s="24"/>
    </row>
    <row r="34" spans="1:20">
      <c r="B34" s="10" t="s">
        <v>125</v>
      </c>
      <c r="C34" s="24">
        <f>'Summary - Reserve - PG 2 (PA)'!E29+'Summary - Reserve - PG 2 (PA)'!E46+'Summary - Reserve - PG 2 (PA)'!E62</f>
        <v>0</v>
      </c>
      <c r="D34" s="24"/>
      <c r="E34" s="24">
        <v>0</v>
      </c>
      <c r="F34" s="24"/>
      <c r="G34" s="24">
        <v>0</v>
      </c>
      <c r="H34" s="24"/>
      <c r="I34" s="24">
        <v>0</v>
      </c>
      <c r="J34" s="24"/>
      <c r="K34" s="24">
        <v>0</v>
      </c>
      <c r="L34" s="24"/>
      <c r="M34" s="24">
        <v>0</v>
      </c>
      <c r="N34" s="24"/>
      <c r="O34" s="24">
        <v>0</v>
      </c>
      <c r="P34" s="24"/>
      <c r="Q34" s="24">
        <v>0</v>
      </c>
      <c r="R34" s="24"/>
      <c r="S34" s="24">
        <f t="shared" si="0"/>
        <v>0</v>
      </c>
      <c r="T34" s="24"/>
    </row>
    <row r="35" spans="1:20">
      <c r="B35" s="10" t="s">
        <v>1443</v>
      </c>
      <c r="C35" s="28">
        <f>+'Summary - Reserve - PG 2 (PA)'!E30</f>
        <v>0</v>
      </c>
      <c r="D35" s="27"/>
      <c r="E35" s="28">
        <v>0</v>
      </c>
      <c r="F35" s="27"/>
      <c r="G35" s="28">
        <v>0</v>
      </c>
      <c r="H35" s="27"/>
      <c r="I35" s="28">
        <v>0</v>
      </c>
      <c r="J35" s="27"/>
      <c r="K35" s="28">
        <v>0</v>
      </c>
      <c r="L35" s="27"/>
      <c r="M35" s="28">
        <v>0</v>
      </c>
      <c r="N35" s="27"/>
      <c r="O35" s="28">
        <v>0</v>
      </c>
      <c r="P35" s="27"/>
      <c r="Q35" s="28">
        <v>0</v>
      </c>
      <c r="R35" s="27"/>
      <c r="S35" s="28">
        <f t="shared" si="0"/>
        <v>0</v>
      </c>
      <c r="T35" s="24"/>
    </row>
    <row r="36" spans="1:20">
      <c r="B36" s="10" t="s">
        <v>50</v>
      </c>
      <c r="C36" s="25">
        <f>SUM(C28:C35)</f>
        <v>0</v>
      </c>
      <c r="D36" s="27"/>
      <c r="E36" s="25">
        <f>SUM(E28:E35)</f>
        <v>0</v>
      </c>
      <c r="F36" s="27"/>
      <c r="G36" s="25">
        <f>SUM(G28:G35)</f>
        <v>0</v>
      </c>
      <c r="H36" s="27"/>
      <c r="I36" s="25">
        <f>SUM(I28:I35)</f>
        <v>0</v>
      </c>
      <c r="J36" s="27"/>
      <c r="K36" s="25">
        <f>SUM(K28:K35)</f>
        <v>0</v>
      </c>
      <c r="L36" s="27"/>
      <c r="M36" s="25">
        <f>SUM(M28:M35)</f>
        <v>0</v>
      </c>
      <c r="N36" s="27"/>
      <c r="O36" s="25">
        <f>SUM(O28:O35)</f>
        <v>0</v>
      </c>
      <c r="P36" s="27"/>
      <c r="Q36" s="25">
        <f>SUM(Q28:Q35)</f>
        <v>0</v>
      </c>
      <c r="R36" s="27"/>
      <c r="S36" s="25">
        <f>SUM(S28:S35)</f>
        <v>0</v>
      </c>
      <c r="T36" s="24"/>
    </row>
    <row r="37" spans="1:20">
      <c r="C37" s="27"/>
      <c r="D37" s="27"/>
      <c r="E37" s="27"/>
      <c r="F37" s="27"/>
      <c r="G37" s="27"/>
      <c r="H37" s="27"/>
      <c r="I37" s="27"/>
      <c r="J37" s="27"/>
      <c r="K37" s="27"/>
      <c r="L37" s="27"/>
      <c r="M37" s="27"/>
      <c r="N37" s="27"/>
      <c r="O37" s="27"/>
      <c r="P37" s="27"/>
      <c r="Q37" s="27"/>
      <c r="R37" s="27"/>
      <c r="S37" s="27"/>
      <c r="T37" s="24"/>
    </row>
    <row r="38" spans="1:20" ht="13.5" thickBot="1">
      <c r="B38" s="11" t="s">
        <v>35</v>
      </c>
      <c r="C38" s="73">
        <f>C36+C26+C13</f>
        <v>0</v>
      </c>
      <c r="D38" s="27"/>
      <c r="E38" s="73">
        <f>E36+E26+E13</f>
        <v>0</v>
      </c>
      <c r="F38" s="27"/>
      <c r="G38" s="73">
        <f>G36+G26+G13</f>
        <v>0</v>
      </c>
      <c r="H38" s="27"/>
      <c r="I38" s="73">
        <f>I36+I26+I13</f>
        <v>0</v>
      </c>
      <c r="J38" s="27"/>
      <c r="K38" s="73">
        <f>K36+K26+K13</f>
        <v>0</v>
      </c>
      <c r="L38" s="27"/>
      <c r="M38" s="73">
        <f>M36+M26+M13</f>
        <v>0</v>
      </c>
      <c r="N38" s="27"/>
      <c r="O38" s="73">
        <f>O36+O26+O13</f>
        <v>0</v>
      </c>
      <c r="P38" s="27"/>
      <c r="Q38" s="73">
        <f>Q36+Q26+Q13</f>
        <v>0</v>
      </c>
      <c r="R38" s="27"/>
      <c r="S38" s="73">
        <f>S36+S26+S13</f>
        <v>0</v>
      </c>
      <c r="T38" s="24"/>
    </row>
    <row r="39" spans="1:20" ht="13.5" thickTop="1">
      <c r="C39" s="27"/>
      <c r="D39" s="27"/>
      <c r="E39" s="27"/>
      <c r="F39" s="27"/>
      <c r="G39" s="27"/>
      <c r="H39" s="27"/>
      <c r="I39" s="27"/>
      <c r="J39" s="27"/>
      <c r="K39" s="27"/>
      <c r="L39" s="27"/>
      <c r="M39" s="27"/>
      <c r="N39" s="27"/>
      <c r="O39" s="27"/>
      <c r="P39" s="27"/>
      <c r="Q39" s="27"/>
      <c r="R39" s="27"/>
      <c r="S39" s="27"/>
    </row>
    <row r="40" spans="1:20">
      <c r="C40" s="27"/>
      <c r="D40" s="27"/>
      <c r="E40" s="27"/>
      <c r="F40" s="27"/>
      <c r="G40" s="27"/>
      <c r="H40" s="27"/>
      <c r="I40" s="27"/>
      <c r="J40" s="27"/>
      <c r="K40" s="27"/>
      <c r="L40" s="27"/>
      <c r="M40" s="27"/>
      <c r="N40" s="27"/>
      <c r="O40" s="27"/>
      <c r="P40" s="27"/>
      <c r="Q40" s="27"/>
      <c r="R40" s="27"/>
      <c r="S40" s="27"/>
      <c r="T40" s="24"/>
    </row>
    <row r="41" spans="1:20">
      <c r="A41" s="12" t="s">
        <v>658</v>
      </c>
      <c r="C41" s="27"/>
      <c r="D41" s="27"/>
      <c r="E41" s="27"/>
      <c r="F41" s="27"/>
      <c r="G41" s="27"/>
      <c r="H41" s="27"/>
      <c r="I41" s="27"/>
      <c r="J41" s="27"/>
      <c r="K41" s="27"/>
      <c r="L41" s="27"/>
      <c r="M41" s="27"/>
      <c r="N41" s="27"/>
      <c r="O41" s="27"/>
      <c r="P41" s="27"/>
      <c r="Q41" s="27"/>
      <c r="R41" s="27"/>
      <c r="S41" s="27"/>
      <c r="T41" s="24"/>
    </row>
    <row r="42" spans="1:20">
      <c r="B42" s="10" t="s">
        <v>652</v>
      </c>
      <c r="C42" s="27">
        <f>'Summary - Reserve - PG 2 (PA)'!E81</f>
        <v>0</v>
      </c>
      <c r="D42" s="27"/>
      <c r="E42" s="27">
        <v>0</v>
      </c>
      <c r="F42" s="27"/>
      <c r="G42" s="27">
        <v>0</v>
      </c>
      <c r="H42" s="27"/>
      <c r="I42" s="27">
        <v>0</v>
      </c>
      <c r="J42" s="27"/>
      <c r="K42" s="27">
        <v>0</v>
      </c>
      <c r="L42" s="27"/>
      <c r="M42" s="27">
        <v>0</v>
      </c>
      <c r="N42" s="27"/>
      <c r="O42" s="27">
        <v>0</v>
      </c>
      <c r="P42" s="27"/>
      <c r="Q42" s="27">
        <v>0</v>
      </c>
      <c r="R42" s="27"/>
      <c r="S42" s="27">
        <f>Q42+O42+M42+K42+I42+G42+E42+C42</f>
        <v>0</v>
      </c>
      <c r="T42" s="24"/>
    </row>
    <row r="43" spans="1:20">
      <c r="B43" s="10" t="s">
        <v>112</v>
      </c>
      <c r="C43" s="27">
        <f>'Summary - Reserve - PG 2 (PA)'!E82</f>
        <v>0</v>
      </c>
      <c r="D43" s="27"/>
      <c r="E43" s="27">
        <v>0</v>
      </c>
      <c r="F43" s="27"/>
      <c r="G43" s="27">
        <v>0</v>
      </c>
      <c r="H43" s="27"/>
      <c r="I43" s="27">
        <v>0</v>
      </c>
      <c r="J43" s="27"/>
      <c r="K43" s="27">
        <v>0</v>
      </c>
      <c r="L43" s="27"/>
      <c r="M43" s="27">
        <v>0</v>
      </c>
      <c r="N43" s="27"/>
      <c r="O43" s="27">
        <v>0</v>
      </c>
      <c r="P43" s="27"/>
      <c r="Q43" s="27">
        <v>0</v>
      </c>
      <c r="R43" s="27"/>
      <c r="S43" s="27">
        <f>Q43+O43+M43+K43+I43+G43+E43+C43</f>
        <v>0</v>
      </c>
      <c r="T43" s="24"/>
    </row>
    <row r="44" spans="1:20">
      <c r="B44" s="10" t="s">
        <v>120</v>
      </c>
      <c r="C44" s="28">
        <f>'Summary - Reserve - PG 2 (PA)'!E83</f>
        <v>0</v>
      </c>
      <c r="D44" s="27"/>
      <c r="E44" s="28">
        <v>0</v>
      </c>
      <c r="F44" s="27"/>
      <c r="G44" s="28">
        <v>0</v>
      </c>
      <c r="H44" s="27"/>
      <c r="I44" s="28">
        <v>0</v>
      </c>
      <c r="J44" s="27"/>
      <c r="K44" s="28">
        <v>0</v>
      </c>
      <c r="L44" s="27"/>
      <c r="M44" s="28">
        <v>0</v>
      </c>
      <c r="N44" s="27"/>
      <c r="O44" s="28">
        <v>0</v>
      </c>
      <c r="P44" s="27"/>
      <c r="Q44" s="28">
        <v>0</v>
      </c>
      <c r="R44" s="27"/>
      <c r="S44" s="28">
        <f>Q44+O44+M44+K44+I44+G44+E44+C44</f>
        <v>0</v>
      </c>
      <c r="T44" s="24"/>
    </row>
    <row r="45" spans="1:20">
      <c r="B45" s="120"/>
      <c r="C45" s="27">
        <f>SUM(C42:C44)</f>
        <v>0</v>
      </c>
      <c r="D45" s="27"/>
      <c r="E45" s="27">
        <f>SUM(E42:E44)</f>
        <v>0</v>
      </c>
      <c r="F45" s="27"/>
      <c r="G45" s="27">
        <f>SUM(G42:G44)</f>
        <v>0</v>
      </c>
      <c r="H45" s="27"/>
      <c r="I45" s="27">
        <f>SUM(I42:I44)</f>
        <v>0</v>
      </c>
      <c r="J45" s="27"/>
      <c r="K45" s="27">
        <f>SUM(K42:K44)</f>
        <v>0</v>
      </c>
      <c r="L45" s="27"/>
      <c r="M45" s="27">
        <f>SUM(M42:M44)</f>
        <v>0</v>
      </c>
      <c r="N45" s="27"/>
      <c r="O45" s="27">
        <f>SUM(O42:O44)</f>
        <v>0</v>
      </c>
      <c r="P45" s="27"/>
      <c r="Q45" s="27">
        <f>SUM(Q42:Q44)</f>
        <v>0</v>
      </c>
      <c r="R45" s="27"/>
      <c r="S45" s="27">
        <f>SUM(S42:S44)</f>
        <v>0</v>
      </c>
      <c r="T45" s="24"/>
    </row>
    <row r="46" spans="1:20">
      <c r="B46" s="120"/>
      <c r="C46" s="27"/>
      <c r="D46" s="27"/>
      <c r="E46" s="27"/>
      <c r="F46" s="27"/>
      <c r="G46" s="27"/>
      <c r="H46" s="27"/>
      <c r="I46" s="27"/>
      <c r="J46" s="27"/>
      <c r="K46" s="27"/>
      <c r="L46" s="27"/>
      <c r="M46" s="27"/>
      <c r="N46" s="27"/>
      <c r="O46" s="27"/>
      <c r="P46" s="27"/>
      <c r="Q46" s="27"/>
      <c r="R46" s="27"/>
      <c r="S46" s="27"/>
      <c r="T46" s="24"/>
    </row>
    <row r="47" spans="1:20">
      <c r="C47" s="24"/>
      <c r="D47" s="24"/>
      <c r="E47" s="24"/>
      <c r="F47" s="24"/>
      <c r="G47" s="24"/>
      <c r="H47" s="24"/>
      <c r="I47" s="24"/>
      <c r="J47" s="24"/>
      <c r="K47" s="24"/>
      <c r="L47" s="24"/>
      <c r="M47" s="24"/>
      <c r="N47" s="24"/>
      <c r="O47" s="24"/>
      <c r="P47" s="24"/>
      <c r="Q47" s="24"/>
      <c r="R47" s="24"/>
      <c r="S47" s="24"/>
      <c r="T47" s="24"/>
    </row>
    <row r="48" spans="1:20" ht="13.5" thickBot="1">
      <c r="B48" s="12" t="s">
        <v>148</v>
      </c>
      <c r="C48" s="73">
        <f>C38+C45</f>
        <v>0</v>
      </c>
      <c r="D48" s="24"/>
      <c r="E48" s="24"/>
      <c r="F48" s="24"/>
      <c r="G48" s="24"/>
      <c r="H48" s="24"/>
      <c r="I48" s="24"/>
      <c r="J48" s="24"/>
      <c r="K48" s="24"/>
      <c r="L48" s="24"/>
      <c r="M48" s="24"/>
      <c r="N48" s="24"/>
      <c r="O48" s="24"/>
      <c r="P48" s="24"/>
      <c r="Q48" s="24"/>
      <c r="R48" s="24"/>
      <c r="S48" s="73">
        <f>S38+S45</f>
        <v>0</v>
      </c>
      <c r="T48" s="24"/>
    </row>
    <row r="49" spans="3:20" ht="13.5" thickTop="1">
      <c r="C49" s="24"/>
      <c r="D49" s="24"/>
      <c r="E49" s="24"/>
      <c r="F49" s="24"/>
      <c r="G49" s="24"/>
      <c r="H49" s="24"/>
      <c r="I49" s="24"/>
      <c r="J49" s="24"/>
      <c r="K49" s="24"/>
      <c r="L49" s="24"/>
      <c r="M49" s="24"/>
      <c r="N49" s="24"/>
      <c r="O49" s="24"/>
      <c r="P49" s="24"/>
      <c r="Q49" s="24"/>
      <c r="R49" s="24"/>
      <c r="S49" s="24"/>
      <c r="T49" s="24"/>
    </row>
    <row r="50" spans="3:20">
      <c r="C50" s="24"/>
      <c r="D50" s="24"/>
      <c r="E50" s="24"/>
      <c r="F50" s="24"/>
      <c r="G50" s="24"/>
      <c r="H50" s="24"/>
      <c r="I50" s="24"/>
      <c r="J50" s="24"/>
      <c r="K50" s="24"/>
      <c r="L50" s="24"/>
      <c r="M50" s="24"/>
      <c r="N50" s="24"/>
      <c r="O50" s="24"/>
      <c r="P50" s="24"/>
      <c r="Q50" s="24" t="s">
        <v>1275</v>
      </c>
      <c r="R50" s="24"/>
      <c r="S50" s="25">
        <v>0</v>
      </c>
      <c r="T50" s="24"/>
    </row>
    <row r="51" spans="3:20">
      <c r="C51" s="24"/>
      <c r="D51" s="24"/>
      <c r="E51" s="24"/>
      <c r="F51" s="24"/>
      <c r="G51" s="24"/>
      <c r="H51" s="24"/>
      <c r="I51" s="24"/>
      <c r="J51" s="24"/>
      <c r="K51" s="24"/>
      <c r="L51" s="24"/>
      <c r="M51" s="24"/>
      <c r="N51" s="24"/>
      <c r="O51" s="24"/>
      <c r="P51" s="24"/>
      <c r="Q51" s="24" t="s">
        <v>47</v>
      </c>
      <c r="R51" s="24"/>
      <c r="S51" s="24">
        <f>+S48-S50</f>
        <v>0</v>
      </c>
      <c r="T51" s="24"/>
    </row>
    <row r="52" spans="3:20">
      <c r="C52" s="24"/>
      <c r="D52" s="24"/>
      <c r="E52" s="24"/>
      <c r="F52" s="24"/>
      <c r="G52" s="24"/>
      <c r="H52" s="24"/>
      <c r="I52" s="24"/>
      <c r="J52" s="24"/>
      <c r="K52" s="24"/>
      <c r="L52" s="24"/>
      <c r="M52" s="24"/>
      <c r="N52" s="24"/>
      <c r="O52" s="24"/>
      <c r="P52" s="24"/>
      <c r="Q52" s="24"/>
      <c r="R52" s="24"/>
      <c r="S52" s="24"/>
      <c r="T52" s="24"/>
    </row>
    <row r="53" spans="3:20">
      <c r="C53" s="24"/>
      <c r="D53" s="24"/>
      <c r="E53" s="24"/>
      <c r="F53" s="24"/>
      <c r="G53" s="24"/>
      <c r="H53" s="24"/>
      <c r="I53" s="24"/>
      <c r="J53" s="24"/>
      <c r="K53" s="24"/>
      <c r="L53" s="24"/>
      <c r="M53" s="24"/>
      <c r="N53" s="24"/>
      <c r="O53" s="24"/>
      <c r="P53" s="24"/>
      <c r="Q53" s="24"/>
      <c r="R53" s="24"/>
      <c r="S53" s="24"/>
      <c r="T53" s="24"/>
    </row>
    <row r="54" spans="3:20">
      <c r="C54" s="21"/>
      <c r="D54" s="21"/>
      <c r="E54" s="21"/>
      <c r="F54" s="21"/>
      <c r="G54" s="21"/>
      <c r="H54" s="21"/>
      <c r="I54" s="21"/>
      <c r="J54" s="21"/>
      <c r="K54" s="24"/>
      <c r="L54" s="24"/>
      <c r="M54" s="24"/>
      <c r="N54" s="24"/>
      <c r="O54" s="24"/>
      <c r="P54" s="21"/>
      <c r="Q54" s="21"/>
      <c r="R54" s="21"/>
      <c r="S54" s="21"/>
      <c r="T54" s="21"/>
    </row>
    <row r="55" spans="3:20">
      <c r="C55" s="21"/>
      <c r="D55" s="21"/>
      <c r="E55" s="21"/>
      <c r="F55" s="21"/>
      <c r="G55" s="21"/>
      <c r="H55" s="21"/>
      <c r="I55" s="21"/>
      <c r="J55" s="21"/>
      <c r="K55" s="24"/>
      <c r="L55" s="24"/>
      <c r="M55" s="24"/>
      <c r="N55" s="24"/>
      <c r="O55" s="24"/>
      <c r="P55" s="21"/>
      <c r="Q55" s="21"/>
      <c r="R55" s="21"/>
      <c r="S55" s="21"/>
      <c r="T55" s="21"/>
    </row>
    <row r="56" spans="3:20">
      <c r="C56" s="21"/>
      <c r="D56" s="21"/>
      <c r="E56" s="21"/>
      <c r="F56" s="21"/>
      <c r="G56" s="21"/>
      <c r="H56" s="21"/>
      <c r="I56" s="21"/>
      <c r="J56" s="21"/>
      <c r="K56" s="24"/>
      <c r="L56" s="24"/>
      <c r="M56" s="24"/>
      <c r="N56" s="24"/>
      <c r="O56" s="24"/>
      <c r="P56" s="21"/>
      <c r="Q56" s="21"/>
      <c r="R56" s="21"/>
      <c r="S56" s="21"/>
      <c r="T56" s="21"/>
    </row>
    <row r="57" spans="3:20">
      <c r="C57" s="21"/>
      <c r="D57" s="21"/>
      <c r="E57" s="21"/>
      <c r="F57" s="21"/>
      <c r="G57" s="21"/>
      <c r="H57" s="21"/>
      <c r="I57" s="21"/>
      <c r="J57" s="21"/>
      <c r="K57" s="24"/>
      <c r="L57" s="24"/>
      <c r="M57" s="24"/>
      <c r="N57" s="24"/>
      <c r="O57" s="24"/>
      <c r="P57" s="21"/>
      <c r="Q57" s="21"/>
      <c r="R57" s="21"/>
      <c r="S57" s="21"/>
      <c r="T57" s="21"/>
    </row>
    <row r="58" spans="3:20">
      <c r="C58" s="21"/>
      <c r="D58" s="21"/>
      <c r="E58" s="21"/>
      <c r="F58" s="21"/>
      <c r="G58" s="21"/>
      <c r="H58" s="21"/>
      <c r="I58" s="21"/>
      <c r="J58" s="21"/>
      <c r="K58" s="24"/>
      <c r="L58" s="24"/>
      <c r="M58" s="24"/>
      <c r="N58" s="24"/>
      <c r="O58" s="24"/>
      <c r="P58" s="21"/>
      <c r="Q58" s="21"/>
      <c r="R58" s="21"/>
      <c r="S58" s="21"/>
      <c r="T58" s="21"/>
    </row>
    <row r="59" spans="3:20">
      <c r="C59" s="21"/>
      <c r="D59" s="21"/>
      <c r="E59" s="21"/>
      <c r="F59" s="21"/>
      <c r="G59" s="21"/>
      <c r="H59" s="21"/>
      <c r="I59" s="21"/>
      <c r="J59" s="21"/>
      <c r="K59" s="24"/>
      <c r="L59" s="24"/>
      <c r="M59" s="24"/>
      <c r="N59" s="24"/>
      <c r="O59" s="24"/>
      <c r="P59" s="21"/>
      <c r="Q59" s="21"/>
      <c r="R59" s="21"/>
      <c r="S59" s="21"/>
      <c r="T59" s="21"/>
    </row>
    <row r="60" spans="3:20">
      <c r="C60" s="21"/>
      <c r="D60" s="21"/>
      <c r="E60" s="21"/>
      <c r="F60" s="21"/>
      <c r="G60" s="21"/>
      <c r="H60" s="21"/>
      <c r="I60" s="21"/>
      <c r="J60" s="21"/>
      <c r="K60" s="24"/>
      <c r="L60" s="24"/>
      <c r="M60" s="24"/>
      <c r="N60" s="24"/>
      <c r="O60" s="24"/>
      <c r="P60" s="21"/>
      <c r="Q60" s="21"/>
      <c r="R60" s="21"/>
      <c r="S60" s="21"/>
      <c r="T60" s="21"/>
    </row>
    <row r="61" spans="3:20">
      <c r="C61" s="21"/>
      <c r="D61" s="21"/>
      <c r="E61" s="21"/>
      <c r="F61" s="21"/>
      <c r="G61" s="21"/>
      <c r="H61" s="21"/>
      <c r="I61" s="21"/>
      <c r="J61" s="21"/>
      <c r="K61" s="24"/>
      <c r="L61" s="24"/>
      <c r="M61" s="24"/>
      <c r="N61" s="24"/>
      <c r="O61" s="24"/>
      <c r="P61" s="21"/>
      <c r="Q61" s="21"/>
      <c r="R61" s="21"/>
      <c r="S61" s="21"/>
      <c r="T61" s="21"/>
    </row>
    <row r="62" spans="3:20">
      <c r="C62" s="21"/>
      <c r="D62" s="21"/>
      <c r="E62" s="21"/>
      <c r="F62" s="21"/>
      <c r="G62" s="21"/>
      <c r="H62" s="21"/>
      <c r="I62" s="21"/>
      <c r="J62" s="21"/>
      <c r="K62" s="24"/>
      <c r="L62" s="24"/>
      <c r="M62" s="24"/>
      <c r="N62" s="24"/>
      <c r="O62" s="24"/>
      <c r="P62" s="21"/>
      <c r="Q62" s="21"/>
      <c r="R62" s="21"/>
      <c r="S62" s="21"/>
      <c r="T62" s="21"/>
    </row>
    <row r="63" spans="3:20">
      <c r="C63" s="21"/>
      <c r="D63" s="21"/>
      <c r="E63" s="21"/>
      <c r="F63" s="21"/>
      <c r="G63" s="21"/>
      <c r="H63" s="21"/>
      <c r="I63" s="21"/>
      <c r="J63" s="21"/>
      <c r="K63" s="24"/>
      <c r="L63" s="24"/>
      <c r="M63" s="24"/>
      <c r="N63" s="24"/>
      <c r="O63" s="24"/>
      <c r="P63" s="21"/>
      <c r="Q63" s="21"/>
      <c r="R63" s="21"/>
      <c r="S63" s="21"/>
      <c r="T63" s="21"/>
    </row>
    <row r="64" spans="3:20">
      <c r="C64" s="21"/>
      <c r="D64" s="21"/>
      <c r="E64" s="21"/>
      <c r="F64" s="21"/>
      <c r="G64" s="21"/>
      <c r="H64" s="21"/>
      <c r="I64" s="21"/>
      <c r="J64" s="21"/>
      <c r="K64" s="24"/>
      <c r="L64" s="24"/>
      <c r="M64" s="24"/>
      <c r="N64" s="24"/>
      <c r="O64" s="24"/>
      <c r="P64" s="21"/>
      <c r="Q64" s="21"/>
      <c r="R64" s="21"/>
      <c r="S64" s="21"/>
      <c r="T64" s="21"/>
    </row>
    <row r="65" spans="3:20">
      <c r="C65" s="21"/>
      <c r="D65" s="21"/>
      <c r="E65" s="21"/>
      <c r="F65" s="21"/>
      <c r="G65" s="21"/>
      <c r="H65" s="21"/>
      <c r="I65" s="21"/>
      <c r="J65" s="21"/>
      <c r="K65" s="24"/>
      <c r="L65" s="24"/>
      <c r="M65" s="24"/>
      <c r="N65" s="24"/>
      <c r="O65" s="24"/>
      <c r="P65" s="21"/>
      <c r="Q65" s="21"/>
      <c r="R65" s="21"/>
      <c r="S65" s="21"/>
      <c r="T65" s="21"/>
    </row>
    <row r="66" spans="3:20">
      <c r="C66" s="21"/>
      <c r="D66" s="21"/>
      <c r="E66" s="21"/>
      <c r="F66" s="21"/>
      <c r="G66" s="21"/>
      <c r="H66" s="21"/>
      <c r="I66" s="21"/>
      <c r="J66" s="21"/>
      <c r="K66" s="24"/>
      <c r="L66" s="24"/>
      <c r="M66" s="24"/>
      <c r="N66" s="24"/>
      <c r="O66" s="24"/>
      <c r="P66" s="21"/>
      <c r="Q66" s="21"/>
      <c r="R66" s="21"/>
      <c r="S66" s="21"/>
      <c r="T66" s="21"/>
    </row>
    <row r="67" spans="3:20">
      <c r="C67" s="21"/>
      <c r="D67" s="21"/>
      <c r="E67" s="21"/>
      <c r="F67" s="21"/>
      <c r="G67" s="21"/>
      <c r="H67" s="21"/>
      <c r="I67" s="21"/>
      <c r="J67" s="21"/>
      <c r="K67" s="24"/>
      <c r="L67" s="24"/>
      <c r="M67" s="24"/>
      <c r="N67" s="24"/>
      <c r="O67" s="24"/>
      <c r="P67" s="21"/>
      <c r="Q67" s="21"/>
      <c r="R67" s="21"/>
      <c r="S67" s="21"/>
      <c r="T67" s="21"/>
    </row>
    <row r="68" spans="3:20">
      <c r="C68" s="21"/>
      <c r="D68" s="21"/>
      <c r="E68" s="21"/>
      <c r="F68" s="21"/>
      <c r="G68" s="21"/>
      <c r="H68" s="21"/>
      <c r="I68" s="21"/>
      <c r="J68" s="21"/>
      <c r="K68" s="24"/>
      <c r="L68" s="24"/>
      <c r="M68" s="24"/>
      <c r="N68" s="24"/>
      <c r="O68" s="24"/>
      <c r="P68" s="21"/>
      <c r="Q68" s="21"/>
      <c r="R68" s="21"/>
      <c r="S68" s="21"/>
      <c r="T68" s="21"/>
    </row>
    <row r="69" spans="3:20">
      <c r="C69" s="21"/>
      <c r="D69" s="21"/>
      <c r="E69" s="21"/>
      <c r="F69" s="21"/>
      <c r="G69" s="21"/>
      <c r="H69" s="21"/>
      <c r="I69" s="21"/>
      <c r="J69" s="21"/>
      <c r="K69" s="24"/>
      <c r="L69" s="24"/>
      <c r="M69" s="24"/>
      <c r="N69" s="24"/>
      <c r="O69" s="24"/>
      <c r="P69" s="21"/>
      <c r="Q69" s="21"/>
      <c r="R69" s="21"/>
      <c r="S69" s="21"/>
      <c r="T69" s="21"/>
    </row>
    <row r="70" spans="3:20">
      <c r="C70" s="21"/>
      <c r="D70" s="21"/>
      <c r="E70" s="21"/>
      <c r="F70" s="21"/>
      <c r="G70" s="21"/>
      <c r="H70" s="21"/>
      <c r="I70" s="21"/>
      <c r="J70" s="21"/>
      <c r="K70" s="24"/>
      <c r="L70" s="24"/>
      <c r="M70" s="24"/>
      <c r="N70" s="24"/>
      <c r="O70" s="24"/>
      <c r="P70" s="21"/>
      <c r="Q70" s="21"/>
      <c r="R70" s="21"/>
      <c r="S70" s="21"/>
      <c r="T70" s="21"/>
    </row>
    <row r="71" spans="3:20">
      <c r="C71" s="21"/>
      <c r="D71" s="21"/>
      <c r="E71" s="21"/>
      <c r="F71" s="21"/>
      <c r="G71" s="21"/>
      <c r="H71" s="21"/>
      <c r="I71" s="21"/>
      <c r="J71" s="21"/>
      <c r="K71" s="24"/>
      <c r="L71" s="24"/>
      <c r="M71" s="24"/>
      <c r="N71" s="24"/>
      <c r="O71" s="24"/>
      <c r="P71" s="21"/>
      <c r="Q71" s="21"/>
      <c r="R71" s="21"/>
      <c r="S71" s="21"/>
      <c r="T71" s="21"/>
    </row>
    <row r="72" spans="3:20">
      <c r="C72" s="21"/>
      <c r="D72" s="21"/>
      <c r="E72" s="21"/>
      <c r="F72" s="21"/>
      <c r="G72" s="21"/>
      <c r="H72" s="21"/>
      <c r="I72" s="21"/>
      <c r="J72" s="21"/>
      <c r="K72" s="24"/>
      <c r="L72" s="24"/>
      <c r="M72" s="24"/>
      <c r="N72" s="24"/>
      <c r="O72" s="24"/>
      <c r="P72" s="21"/>
      <c r="Q72" s="21"/>
      <c r="R72" s="21"/>
      <c r="S72" s="21"/>
      <c r="T72" s="21"/>
    </row>
    <row r="73" spans="3:20">
      <c r="C73" s="21"/>
      <c r="D73" s="21"/>
      <c r="E73" s="21"/>
      <c r="F73" s="21"/>
      <c r="G73" s="21"/>
      <c r="H73" s="21"/>
      <c r="I73" s="21"/>
      <c r="J73" s="21"/>
      <c r="K73" s="24"/>
      <c r="L73" s="24"/>
      <c r="M73" s="24"/>
      <c r="N73" s="24"/>
      <c r="O73" s="24"/>
      <c r="P73" s="21"/>
      <c r="Q73" s="21"/>
      <c r="R73" s="21"/>
      <c r="S73" s="21"/>
      <c r="T73" s="21"/>
    </row>
    <row r="74" spans="3:20">
      <c r="C74" s="21"/>
      <c r="D74" s="21"/>
      <c r="E74" s="21"/>
      <c r="F74" s="21"/>
      <c r="G74" s="21"/>
      <c r="H74" s="21"/>
      <c r="I74" s="21"/>
      <c r="J74" s="21"/>
      <c r="K74" s="24"/>
      <c r="L74" s="24"/>
      <c r="M74" s="24"/>
      <c r="N74" s="24"/>
      <c r="O74" s="24"/>
      <c r="P74" s="21"/>
      <c r="Q74" s="21"/>
      <c r="R74" s="21"/>
      <c r="S74" s="21"/>
      <c r="T74" s="21"/>
    </row>
    <row r="75" spans="3:20">
      <c r="C75" s="21"/>
      <c r="D75" s="21"/>
      <c r="E75" s="21"/>
      <c r="F75" s="21"/>
      <c r="G75" s="21"/>
      <c r="H75" s="21"/>
      <c r="I75" s="21"/>
      <c r="J75" s="21"/>
      <c r="K75" s="24"/>
      <c r="L75" s="24"/>
      <c r="M75" s="24"/>
      <c r="N75" s="24"/>
      <c r="O75" s="24"/>
      <c r="P75" s="21"/>
      <c r="Q75" s="21"/>
      <c r="R75" s="21"/>
      <c r="S75" s="21"/>
      <c r="T75" s="21"/>
    </row>
    <row r="76" spans="3:20">
      <c r="C76" s="21"/>
      <c r="D76" s="21"/>
      <c r="E76" s="21"/>
      <c r="F76" s="21"/>
      <c r="G76" s="21"/>
      <c r="H76" s="21"/>
      <c r="I76" s="21"/>
      <c r="J76" s="21"/>
      <c r="K76" s="24"/>
      <c r="L76" s="24"/>
      <c r="M76" s="24"/>
      <c r="N76" s="24"/>
      <c r="O76" s="24"/>
      <c r="P76" s="21"/>
      <c r="Q76" s="21"/>
      <c r="R76" s="21"/>
      <c r="S76" s="21"/>
      <c r="T76" s="21"/>
    </row>
    <row r="77" spans="3:20">
      <c r="C77" s="21"/>
      <c r="D77" s="21"/>
      <c r="E77" s="21"/>
      <c r="F77" s="21"/>
      <c r="G77" s="21"/>
      <c r="H77" s="21"/>
      <c r="I77" s="21"/>
      <c r="J77" s="21"/>
      <c r="K77" s="24"/>
      <c r="L77" s="24"/>
      <c r="M77" s="24"/>
      <c r="N77" s="24"/>
      <c r="O77" s="24"/>
      <c r="P77" s="21"/>
      <c r="Q77" s="21"/>
      <c r="R77" s="21"/>
      <c r="S77" s="21"/>
      <c r="T77" s="21"/>
    </row>
    <row r="78" spans="3:20">
      <c r="C78" s="21"/>
      <c r="D78" s="21"/>
      <c r="E78" s="21"/>
      <c r="F78" s="21"/>
      <c r="G78" s="21"/>
      <c r="H78" s="21"/>
      <c r="I78" s="21"/>
      <c r="J78" s="21"/>
      <c r="K78" s="24"/>
      <c r="L78" s="24"/>
      <c r="M78" s="24"/>
      <c r="N78" s="24"/>
      <c r="O78" s="24"/>
      <c r="P78" s="21"/>
      <c r="Q78" s="21"/>
      <c r="R78" s="21"/>
      <c r="S78" s="21"/>
      <c r="T78" s="21"/>
    </row>
    <row r="79" spans="3:20">
      <c r="C79" s="21"/>
      <c r="D79" s="21"/>
      <c r="E79" s="21"/>
      <c r="F79" s="21"/>
      <c r="G79" s="21"/>
      <c r="H79" s="21"/>
      <c r="I79" s="21"/>
      <c r="J79" s="21"/>
      <c r="K79" s="21"/>
      <c r="L79" s="21"/>
      <c r="M79" s="21"/>
      <c r="N79" s="21"/>
      <c r="O79" s="21"/>
      <c r="P79" s="21"/>
      <c r="Q79" s="21"/>
      <c r="R79" s="21"/>
      <c r="S79" s="21"/>
      <c r="T79" s="21"/>
    </row>
    <row r="80" spans="3:20">
      <c r="C80" s="21"/>
      <c r="D80" s="21"/>
      <c r="E80" s="21"/>
      <c r="F80" s="21"/>
      <c r="G80" s="21"/>
      <c r="H80" s="21"/>
      <c r="I80" s="21"/>
      <c r="J80" s="21"/>
      <c r="K80" s="21"/>
      <c r="L80" s="21"/>
      <c r="M80" s="21"/>
      <c r="N80" s="21"/>
      <c r="O80" s="21"/>
      <c r="P80" s="21"/>
      <c r="Q80" s="21"/>
      <c r="R80" s="21"/>
      <c r="S80" s="21"/>
      <c r="T80" s="21"/>
    </row>
    <row r="81" spans="3:20">
      <c r="C81" s="21"/>
      <c r="D81" s="21"/>
      <c r="E81" s="21"/>
      <c r="F81" s="21"/>
      <c r="G81" s="21"/>
      <c r="H81" s="21"/>
      <c r="I81" s="21"/>
      <c r="J81" s="21"/>
      <c r="K81" s="21"/>
      <c r="L81" s="21"/>
      <c r="M81" s="21"/>
      <c r="N81" s="21"/>
      <c r="O81" s="21"/>
      <c r="P81" s="21"/>
      <c r="Q81" s="21"/>
      <c r="R81" s="21"/>
      <c r="S81" s="21"/>
      <c r="T81" s="21"/>
    </row>
    <row r="82" spans="3:20">
      <c r="C82" s="21"/>
      <c r="D82" s="21"/>
      <c r="E82" s="21"/>
      <c r="F82" s="21"/>
      <c r="G82" s="21"/>
      <c r="H82" s="21"/>
      <c r="I82" s="21"/>
      <c r="J82" s="21"/>
      <c r="K82" s="21"/>
      <c r="L82" s="21"/>
      <c r="M82" s="21"/>
      <c r="N82" s="21"/>
      <c r="O82" s="21"/>
      <c r="P82" s="21"/>
      <c r="Q82" s="21"/>
      <c r="R82" s="21"/>
      <c r="S82" s="21"/>
      <c r="T82" s="21"/>
    </row>
    <row r="83" spans="3:20">
      <c r="C83" s="21"/>
      <c r="D83" s="21"/>
      <c r="E83" s="21"/>
      <c r="F83" s="21"/>
      <c r="G83" s="21"/>
      <c r="H83" s="21"/>
      <c r="I83" s="21"/>
      <c r="J83" s="21"/>
      <c r="K83" s="21"/>
      <c r="L83" s="21"/>
      <c r="M83" s="21"/>
      <c r="N83" s="21"/>
      <c r="O83" s="21"/>
      <c r="P83" s="21"/>
      <c r="Q83" s="21"/>
      <c r="R83" s="21"/>
      <c r="S83" s="21"/>
      <c r="T83" s="21"/>
    </row>
    <row r="84" spans="3:20">
      <c r="C84" s="21"/>
      <c r="D84" s="21"/>
      <c r="E84" s="21"/>
      <c r="F84" s="21"/>
      <c r="G84" s="21"/>
      <c r="H84" s="21"/>
      <c r="I84" s="21"/>
      <c r="J84" s="21"/>
      <c r="K84" s="21"/>
      <c r="L84" s="21"/>
      <c r="M84" s="21"/>
      <c r="N84" s="21"/>
      <c r="O84" s="21"/>
      <c r="P84" s="21"/>
      <c r="Q84" s="21"/>
      <c r="R84" s="21"/>
      <c r="S84" s="21"/>
      <c r="T84" s="21"/>
    </row>
    <row r="85" spans="3:20">
      <c r="C85" s="21"/>
      <c r="D85" s="21"/>
      <c r="E85" s="21"/>
      <c r="F85" s="21"/>
      <c r="G85" s="21"/>
      <c r="H85" s="21"/>
      <c r="I85" s="21"/>
      <c r="J85" s="21"/>
      <c r="K85" s="21"/>
      <c r="L85" s="21"/>
      <c r="M85" s="21"/>
      <c r="N85" s="21"/>
      <c r="O85" s="21"/>
      <c r="P85" s="21"/>
      <c r="Q85" s="21"/>
      <c r="R85" s="21"/>
      <c r="S85" s="21"/>
      <c r="T85" s="21"/>
    </row>
    <row r="86" spans="3:20">
      <c r="C86" s="21"/>
      <c r="D86" s="21"/>
      <c r="E86" s="21"/>
      <c r="F86" s="21"/>
      <c r="G86" s="21"/>
      <c r="H86" s="21"/>
      <c r="I86" s="21"/>
      <c r="J86" s="21"/>
      <c r="K86" s="21"/>
      <c r="L86" s="21"/>
      <c r="M86" s="21"/>
      <c r="N86" s="21"/>
      <c r="O86" s="21"/>
      <c r="P86" s="21"/>
      <c r="Q86" s="21"/>
      <c r="R86" s="21"/>
      <c r="S86" s="21"/>
      <c r="T86" s="21"/>
    </row>
    <row r="87" spans="3:20">
      <c r="C87" s="21"/>
      <c r="D87" s="21"/>
      <c r="E87" s="21"/>
      <c r="F87" s="21"/>
      <c r="G87" s="21"/>
      <c r="H87" s="21"/>
      <c r="I87" s="21"/>
      <c r="J87" s="21"/>
      <c r="K87" s="21"/>
      <c r="L87" s="21"/>
      <c r="M87" s="21"/>
      <c r="N87" s="21"/>
      <c r="O87" s="21"/>
      <c r="P87" s="21"/>
      <c r="Q87" s="21"/>
      <c r="R87" s="21"/>
      <c r="S87" s="21"/>
      <c r="T87" s="21"/>
    </row>
    <row r="88" spans="3:20">
      <c r="C88" s="21"/>
      <c r="D88" s="21"/>
      <c r="E88" s="21"/>
      <c r="F88" s="21"/>
      <c r="G88" s="21"/>
      <c r="H88" s="21"/>
      <c r="I88" s="21"/>
      <c r="J88" s="21"/>
      <c r="K88" s="21"/>
      <c r="L88" s="21"/>
      <c r="M88" s="21"/>
      <c r="N88" s="21"/>
      <c r="O88" s="21"/>
      <c r="P88" s="21"/>
      <c r="Q88" s="21"/>
      <c r="R88" s="21"/>
      <c r="S88" s="21"/>
      <c r="T88" s="21"/>
    </row>
    <row r="89" spans="3:20">
      <c r="C89" s="21"/>
      <c r="D89" s="21"/>
      <c r="E89" s="21"/>
      <c r="F89" s="21"/>
      <c r="G89" s="21"/>
      <c r="H89" s="21"/>
      <c r="I89" s="21"/>
      <c r="J89" s="21"/>
      <c r="K89" s="21"/>
      <c r="L89" s="21"/>
      <c r="M89" s="21"/>
      <c r="N89" s="21"/>
      <c r="O89" s="21"/>
      <c r="P89" s="21"/>
      <c r="Q89" s="21"/>
      <c r="R89" s="21"/>
      <c r="S89" s="21"/>
      <c r="T89" s="21"/>
    </row>
    <row r="90" spans="3:20">
      <c r="C90" s="21"/>
      <c r="D90" s="21"/>
      <c r="E90" s="21"/>
      <c r="F90" s="21"/>
      <c r="G90" s="21"/>
      <c r="H90" s="21"/>
      <c r="I90" s="21"/>
      <c r="J90" s="21"/>
      <c r="K90" s="21"/>
      <c r="L90" s="21"/>
      <c r="M90" s="21"/>
      <c r="N90" s="21"/>
      <c r="O90" s="21"/>
      <c r="P90" s="21"/>
      <c r="Q90" s="21"/>
      <c r="R90" s="21"/>
      <c r="S90" s="21"/>
      <c r="T90" s="21"/>
    </row>
    <row r="91" spans="3:20">
      <c r="C91" s="21"/>
      <c r="D91" s="21"/>
      <c r="E91" s="21"/>
      <c r="F91" s="21"/>
      <c r="G91" s="21"/>
      <c r="H91" s="21"/>
      <c r="I91" s="21"/>
      <c r="J91" s="21"/>
      <c r="K91" s="21"/>
      <c r="L91" s="21"/>
      <c r="M91" s="21"/>
      <c r="N91" s="21"/>
      <c r="O91" s="21"/>
      <c r="P91" s="21"/>
      <c r="Q91" s="21"/>
      <c r="R91" s="21"/>
      <c r="S91" s="21"/>
      <c r="T91" s="21"/>
    </row>
    <row r="92" spans="3:20">
      <c r="C92" s="21"/>
      <c r="D92" s="21"/>
      <c r="E92" s="21"/>
      <c r="F92" s="21"/>
      <c r="G92" s="21"/>
      <c r="H92" s="21"/>
      <c r="I92" s="21"/>
      <c r="J92" s="21"/>
      <c r="K92" s="21"/>
      <c r="L92" s="21"/>
      <c r="M92" s="21"/>
      <c r="N92" s="21"/>
      <c r="O92" s="21"/>
      <c r="P92" s="21"/>
      <c r="Q92" s="21"/>
      <c r="R92" s="21"/>
      <c r="S92" s="21"/>
      <c r="T92" s="21"/>
    </row>
    <row r="93" spans="3:20">
      <c r="C93" s="21"/>
      <c r="D93" s="21"/>
      <c r="E93" s="21"/>
      <c r="F93" s="21"/>
      <c r="G93" s="21"/>
      <c r="H93" s="21"/>
      <c r="I93" s="21"/>
      <c r="J93" s="21"/>
      <c r="K93" s="21"/>
      <c r="L93" s="21"/>
      <c r="M93" s="21"/>
      <c r="N93" s="21"/>
      <c r="O93" s="21"/>
      <c r="P93" s="21"/>
      <c r="Q93" s="21"/>
      <c r="R93" s="21"/>
      <c r="S93" s="21"/>
      <c r="T93" s="21"/>
    </row>
    <row r="94" spans="3:20">
      <c r="C94" s="21"/>
      <c r="D94" s="21"/>
      <c r="E94" s="21"/>
      <c r="F94" s="21"/>
      <c r="G94" s="21"/>
      <c r="H94" s="21"/>
      <c r="I94" s="21"/>
      <c r="J94" s="21"/>
      <c r="K94" s="21"/>
      <c r="L94" s="21"/>
      <c r="M94" s="21"/>
      <c r="N94" s="21"/>
      <c r="O94" s="21"/>
      <c r="P94" s="21"/>
      <c r="Q94" s="21"/>
      <c r="R94" s="21"/>
      <c r="S94" s="21"/>
      <c r="T94" s="21"/>
    </row>
    <row r="95" spans="3:20">
      <c r="C95" s="21"/>
      <c r="D95" s="21"/>
      <c r="E95" s="21"/>
      <c r="F95" s="21"/>
      <c r="G95" s="21"/>
      <c r="H95" s="21"/>
      <c r="I95" s="21"/>
      <c r="J95" s="21"/>
      <c r="K95" s="21"/>
      <c r="L95" s="21"/>
      <c r="M95" s="21"/>
      <c r="N95" s="21"/>
      <c r="O95" s="21"/>
      <c r="P95" s="21"/>
      <c r="Q95" s="21"/>
      <c r="R95" s="21"/>
      <c r="S95" s="21"/>
      <c r="T95" s="21"/>
    </row>
    <row r="96" spans="3:20">
      <c r="C96" s="21"/>
      <c r="D96" s="21"/>
      <c r="E96" s="21"/>
      <c r="F96" s="21"/>
      <c r="G96" s="21"/>
      <c r="H96" s="21"/>
      <c r="I96" s="21"/>
      <c r="J96" s="21"/>
      <c r="K96" s="21"/>
      <c r="L96" s="21"/>
      <c r="M96" s="21"/>
      <c r="N96" s="21"/>
      <c r="O96" s="21"/>
      <c r="P96" s="21"/>
      <c r="Q96" s="21"/>
      <c r="R96" s="21"/>
      <c r="S96" s="21"/>
      <c r="T96" s="21"/>
    </row>
    <row r="97" spans="3:20">
      <c r="C97" s="21"/>
      <c r="D97" s="21"/>
      <c r="E97" s="21"/>
      <c r="F97" s="21"/>
      <c r="G97" s="21"/>
      <c r="H97" s="21"/>
      <c r="I97" s="21"/>
      <c r="J97" s="21"/>
      <c r="K97" s="21"/>
      <c r="L97" s="21"/>
      <c r="M97" s="21"/>
      <c r="N97" s="21"/>
      <c r="O97" s="21"/>
      <c r="P97" s="21"/>
      <c r="Q97" s="21"/>
      <c r="R97" s="21"/>
      <c r="S97" s="21"/>
      <c r="T97" s="21"/>
    </row>
    <row r="98" spans="3:20">
      <c r="C98" s="21"/>
      <c r="D98" s="21"/>
      <c r="E98" s="21"/>
      <c r="F98" s="21"/>
      <c r="G98" s="21"/>
      <c r="H98" s="21"/>
      <c r="I98" s="21"/>
      <c r="J98" s="21"/>
      <c r="K98" s="21"/>
      <c r="L98" s="21"/>
      <c r="M98" s="21"/>
      <c r="N98" s="21"/>
      <c r="O98" s="21"/>
      <c r="P98" s="21"/>
      <c r="Q98" s="21"/>
      <c r="R98" s="21"/>
      <c r="S98" s="21"/>
      <c r="T98" s="21"/>
    </row>
    <row r="99" spans="3:20">
      <c r="C99" s="21"/>
      <c r="D99" s="21"/>
      <c r="E99" s="21"/>
      <c r="F99" s="21"/>
      <c r="G99" s="21"/>
      <c r="H99" s="21"/>
      <c r="I99" s="21"/>
      <c r="J99" s="21"/>
      <c r="K99" s="21"/>
      <c r="L99" s="21"/>
      <c r="M99" s="21"/>
      <c r="N99" s="21"/>
      <c r="O99" s="21"/>
      <c r="P99" s="21"/>
      <c r="Q99" s="21"/>
      <c r="R99" s="21"/>
      <c r="S99" s="21"/>
      <c r="T99" s="21"/>
    </row>
    <row r="100" spans="3:20">
      <c r="C100" s="21"/>
      <c r="D100" s="21"/>
      <c r="E100" s="21"/>
      <c r="F100" s="21"/>
      <c r="G100" s="21"/>
      <c r="H100" s="21"/>
      <c r="I100" s="21"/>
      <c r="J100" s="21"/>
      <c r="K100" s="21"/>
      <c r="L100" s="21"/>
      <c r="M100" s="21"/>
      <c r="N100" s="21"/>
      <c r="O100" s="21"/>
      <c r="P100" s="21"/>
      <c r="Q100" s="21"/>
      <c r="R100" s="21"/>
      <c r="S100" s="21"/>
      <c r="T100" s="21"/>
    </row>
    <row r="101" spans="3:20">
      <c r="C101" s="21"/>
      <c r="D101" s="21"/>
      <c r="E101" s="21"/>
      <c r="F101" s="21"/>
      <c r="G101" s="21"/>
      <c r="H101" s="21"/>
      <c r="I101" s="21"/>
      <c r="J101" s="21"/>
      <c r="K101" s="21"/>
      <c r="L101" s="21"/>
      <c r="M101" s="21"/>
      <c r="N101" s="21"/>
      <c r="O101" s="21"/>
      <c r="P101" s="21"/>
      <c r="Q101" s="21"/>
      <c r="R101" s="21"/>
      <c r="S101" s="21"/>
      <c r="T101" s="21"/>
    </row>
    <row r="102" spans="3:20">
      <c r="C102" s="21"/>
      <c r="D102" s="21"/>
      <c r="E102" s="21"/>
      <c r="F102" s="21"/>
      <c r="G102" s="21"/>
      <c r="H102" s="21"/>
      <c r="I102" s="21"/>
      <c r="J102" s="21"/>
      <c r="K102" s="21"/>
      <c r="L102" s="21"/>
      <c r="M102" s="21"/>
      <c r="N102" s="21"/>
      <c r="O102" s="21"/>
      <c r="P102" s="21"/>
      <c r="Q102" s="21"/>
      <c r="R102" s="21"/>
      <c r="S102" s="21"/>
      <c r="T102" s="21"/>
    </row>
    <row r="103" spans="3:20">
      <c r="C103" s="21"/>
      <c r="D103" s="21"/>
      <c r="E103" s="21"/>
      <c r="F103" s="21"/>
      <c r="G103" s="21"/>
      <c r="H103" s="21"/>
      <c r="I103" s="21"/>
      <c r="J103" s="21"/>
      <c r="K103" s="21"/>
      <c r="L103" s="21"/>
      <c r="M103" s="21"/>
      <c r="N103" s="21"/>
      <c r="O103" s="21"/>
      <c r="P103" s="21"/>
      <c r="Q103" s="21"/>
      <c r="R103" s="21"/>
      <c r="S103" s="21"/>
      <c r="T103" s="21"/>
    </row>
    <row r="104" spans="3:20">
      <c r="C104" s="21"/>
      <c r="D104" s="21"/>
      <c r="E104" s="21"/>
      <c r="F104" s="21"/>
      <c r="G104" s="21"/>
      <c r="H104" s="21"/>
      <c r="I104" s="21"/>
      <c r="J104" s="21"/>
      <c r="K104" s="21"/>
      <c r="L104" s="21"/>
      <c r="M104" s="21"/>
      <c r="N104" s="21"/>
      <c r="O104" s="21"/>
      <c r="P104" s="21"/>
      <c r="Q104" s="21"/>
      <c r="R104" s="21"/>
      <c r="S104" s="21"/>
      <c r="T104" s="21"/>
    </row>
    <row r="105" spans="3:20">
      <c r="C105" s="21"/>
      <c r="D105" s="21"/>
      <c r="E105" s="21"/>
      <c r="F105" s="21"/>
      <c r="G105" s="21"/>
      <c r="H105" s="21"/>
      <c r="I105" s="21"/>
      <c r="J105" s="21"/>
      <c r="K105" s="21"/>
      <c r="L105" s="21"/>
      <c r="M105" s="21"/>
      <c r="N105" s="21"/>
      <c r="O105" s="21"/>
      <c r="P105" s="21"/>
      <c r="Q105" s="21"/>
      <c r="R105" s="21"/>
      <c r="S105" s="21"/>
      <c r="T105" s="21"/>
    </row>
    <row r="106" spans="3:20">
      <c r="C106" s="21"/>
      <c r="D106" s="21"/>
      <c r="E106" s="21"/>
      <c r="F106" s="21"/>
      <c r="G106" s="21"/>
      <c r="H106" s="21"/>
      <c r="I106" s="21"/>
      <c r="J106" s="21"/>
      <c r="K106" s="21"/>
      <c r="L106" s="21"/>
      <c r="M106" s="21"/>
      <c r="N106" s="21"/>
      <c r="O106" s="21"/>
      <c r="P106" s="21"/>
      <c r="Q106" s="21"/>
      <c r="R106" s="21"/>
      <c r="S106" s="21"/>
      <c r="T106" s="21"/>
    </row>
    <row r="107" spans="3:20">
      <c r="C107" s="21"/>
      <c r="D107" s="21"/>
      <c r="E107" s="21"/>
      <c r="F107" s="21"/>
      <c r="G107" s="21"/>
      <c r="H107" s="21"/>
      <c r="I107" s="21"/>
      <c r="J107" s="21"/>
      <c r="K107" s="21"/>
      <c r="L107" s="21"/>
      <c r="M107" s="21"/>
      <c r="N107" s="21"/>
      <c r="O107" s="21"/>
      <c r="P107" s="21"/>
      <c r="Q107" s="21"/>
      <c r="R107" s="21"/>
      <c r="S107" s="21"/>
      <c r="T107" s="21"/>
    </row>
    <row r="108" spans="3:20">
      <c r="C108" s="21"/>
      <c r="D108" s="21"/>
      <c r="E108" s="21"/>
      <c r="F108" s="21"/>
      <c r="G108" s="21"/>
      <c r="H108" s="21"/>
      <c r="I108" s="21"/>
      <c r="J108" s="21"/>
      <c r="K108" s="21"/>
      <c r="L108" s="21"/>
      <c r="M108" s="21"/>
      <c r="N108" s="21"/>
      <c r="O108" s="21"/>
      <c r="P108" s="21"/>
      <c r="Q108" s="21"/>
      <c r="R108" s="21"/>
      <c r="S108" s="21"/>
      <c r="T108" s="21"/>
    </row>
    <row r="109" spans="3:20">
      <c r="C109" s="21"/>
      <c r="D109" s="21"/>
      <c r="E109" s="21"/>
      <c r="F109" s="21"/>
      <c r="G109" s="21"/>
      <c r="H109" s="21"/>
      <c r="I109" s="21"/>
      <c r="J109" s="21"/>
      <c r="K109" s="21"/>
      <c r="L109" s="21"/>
      <c r="M109" s="21"/>
      <c r="N109" s="21"/>
      <c r="O109" s="21"/>
      <c r="P109" s="21"/>
      <c r="Q109" s="21"/>
      <c r="R109" s="21"/>
      <c r="S109" s="21"/>
      <c r="T109" s="21"/>
    </row>
    <row r="110" spans="3:20">
      <c r="C110" s="21"/>
      <c r="D110" s="21"/>
      <c r="E110" s="21"/>
      <c r="F110" s="21"/>
      <c r="G110" s="21"/>
      <c r="H110" s="21"/>
      <c r="I110" s="21"/>
      <c r="J110" s="21"/>
      <c r="K110" s="21"/>
      <c r="L110" s="21"/>
      <c r="M110" s="21"/>
      <c r="N110" s="21"/>
      <c r="O110" s="21"/>
      <c r="P110" s="21"/>
      <c r="Q110" s="21"/>
      <c r="R110" s="21"/>
      <c r="S110" s="21"/>
      <c r="T110" s="21"/>
    </row>
    <row r="111" spans="3:20">
      <c r="C111" s="21"/>
      <c r="D111" s="21"/>
      <c r="E111" s="21"/>
      <c r="F111" s="21"/>
      <c r="G111" s="21"/>
      <c r="H111" s="21"/>
      <c r="I111" s="21"/>
      <c r="J111" s="21"/>
      <c r="K111" s="21"/>
      <c r="L111" s="21"/>
      <c r="M111" s="21"/>
      <c r="N111" s="21"/>
      <c r="O111" s="21"/>
      <c r="P111" s="21"/>
      <c r="Q111" s="21"/>
      <c r="R111" s="21"/>
      <c r="S111" s="21"/>
      <c r="T111" s="21"/>
    </row>
    <row r="112" spans="3:20">
      <c r="C112" s="21"/>
      <c r="D112" s="21"/>
      <c r="E112" s="21"/>
      <c r="F112" s="21"/>
      <c r="G112" s="21"/>
      <c r="H112" s="21"/>
      <c r="I112" s="21"/>
      <c r="J112" s="21"/>
      <c r="K112" s="21"/>
      <c r="L112" s="21"/>
      <c r="M112" s="21"/>
      <c r="N112" s="21"/>
      <c r="O112" s="21"/>
      <c r="P112" s="21"/>
      <c r="Q112" s="21"/>
      <c r="R112" s="21"/>
      <c r="S112" s="21"/>
      <c r="T112" s="21"/>
    </row>
    <row r="113" spans="3:20">
      <c r="C113" s="21"/>
      <c r="D113" s="21"/>
      <c r="E113" s="21"/>
      <c r="F113" s="21"/>
      <c r="G113" s="21"/>
      <c r="H113" s="21"/>
      <c r="I113" s="21"/>
      <c r="J113" s="21"/>
      <c r="K113" s="21"/>
      <c r="L113" s="21"/>
      <c r="M113" s="21"/>
      <c r="N113" s="21"/>
      <c r="O113" s="21"/>
      <c r="P113" s="21"/>
      <c r="Q113" s="21"/>
      <c r="R113" s="21"/>
      <c r="S113" s="21"/>
      <c r="T113" s="21"/>
    </row>
    <row r="114" spans="3:20">
      <c r="C114" s="21"/>
      <c r="D114" s="21"/>
      <c r="E114" s="21"/>
      <c r="F114" s="21"/>
      <c r="G114" s="21"/>
      <c r="H114" s="21"/>
      <c r="I114" s="21"/>
      <c r="J114" s="21"/>
      <c r="K114" s="21"/>
      <c r="L114" s="21"/>
      <c r="M114" s="21"/>
      <c r="N114" s="21"/>
      <c r="O114" s="21"/>
      <c r="P114" s="21"/>
      <c r="Q114" s="21"/>
      <c r="R114" s="21"/>
      <c r="S114" s="21"/>
      <c r="T114" s="21"/>
    </row>
    <row r="115" spans="3:20">
      <c r="C115" s="21"/>
      <c r="D115" s="21"/>
      <c r="E115" s="21"/>
      <c r="F115" s="21"/>
      <c r="G115" s="21"/>
      <c r="H115" s="21"/>
      <c r="I115" s="21"/>
      <c r="J115" s="21"/>
      <c r="K115" s="21"/>
      <c r="L115" s="21"/>
      <c r="M115" s="21"/>
      <c r="N115" s="21"/>
      <c r="O115" s="21"/>
      <c r="P115" s="21"/>
      <c r="Q115" s="21"/>
      <c r="R115" s="21"/>
      <c r="S115" s="21"/>
      <c r="T115" s="21"/>
    </row>
    <row r="116" spans="3:20">
      <c r="C116" s="21"/>
      <c r="D116" s="21"/>
      <c r="E116" s="21"/>
      <c r="F116" s="21"/>
      <c r="G116" s="21"/>
      <c r="H116" s="21"/>
      <c r="I116" s="21"/>
      <c r="J116" s="21"/>
      <c r="K116" s="21"/>
      <c r="L116" s="21"/>
      <c r="M116" s="21"/>
      <c r="N116" s="21"/>
      <c r="O116" s="21"/>
      <c r="P116" s="21"/>
      <c r="Q116" s="21"/>
      <c r="R116" s="21"/>
      <c r="S116" s="21"/>
      <c r="T116" s="21"/>
    </row>
    <row r="117" spans="3:20">
      <c r="C117" s="21"/>
      <c r="D117" s="21"/>
      <c r="E117" s="21"/>
      <c r="F117" s="21"/>
      <c r="G117" s="21"/>
      <c r="H117" s="21"/>
      <c r="I117" s="21"/>
      <c r="J117" s="21"/>
      <c r="K117" s="21"/>
      <c r="L117" s="21"/>
      <c r="M117" s="21"/>
      <c r="N117" s="21"/>
      <c r="O117" s="21"/>
      <c r="P117" s="21"/>
      <c r="Q117" s="21"/>
      <c r="R117" s="21"/>
      <c r="S117" s="21"/>
      <c r="T117" s="21"/>
    </row>
    <row r="118" spans="3:20">
      <c r="C118" s="21"/>
      <c r="D118" s="21"/>
      <c r="E118" s="21"/>
      <c r="F118" s="21"/>
      <c r="G118" s="21"/>
      <c r="H118" s="21"/>
      <c r="I118" s="21"/>
      <c r="J118" s="21"/>
      <c r="K118" s="21"/>
      <c r="L118" s="21"/>
      <c r="M118" s="21"/>
      <c r="N118" s="21"/>
      <c r="O118" s="21"/>
      <c r="P118" s="21"/>
      <c r="Q118" s="21"/>
      <c r="R118" s="21"/>
      <c r="S118" s="21"/>
      <c r="T118" s="21"/>
    </row>
    <row r="119" spans="3:20">
      <c r="C119" s="21"/>
      <c r="D119" s="21"/>
      <c r="E119" s="21"/>
      <c r="F119" s="21"/>
      <c r="G119" s="21"/>
      <c r="H119" s="21"/>
      <c r="I119" s="21"/>
      <c r="J119" s="21"/>
      <c r="K119" s="21"/>
      <c r="L119" s="21"/>
      <c r="M119" s="21"/>
      <c r="N119" s="21"/>
      <c r="O119" s="21"/>
      <c r="P119" s="21"/>
      <c r="Q119" s="21"/>
      <c r="R119" s="21"/>
      <c r="S119" s="21"/>
      <c r="T119" s="21"/>
    </row>
    <row r="120" spans="3:20">
      <c r="C120" s="21"/>
      <c r="D120" s="21"/>
      <c r="E120" s="21"/>
      <c r="F120" s="21"/>
      <c r="G120" s="21"/>
      <c r="H120" s="21"/>
      <c r="I120" s="21"/>
      <c r="J120" s="21"/>
      <c r="K120" s="21"/>
      <c r="L120" s="21"/>
      <c r="M120" s="21"/>
      <c r="N120" s="21"/>
      <c r="O120" s="21"/>
      <c r="P120" s="21"/>
      <c r="Q120" s="21"/>
      <c r="R120" s="21"/>
      <c r="S120" s="21"/>
      <c r="T120" s="21"/>
    </row>
    <row r="121" spans="3:20">
      <c r="C121" s="21"/>
      <c r="D121" s="21"/>
      <c r="E121" s="21"/>
      <c r="F121" s="21"/>
      <c r="G121" s="21"/>
      <c r="H121" s="21"/>
      <c r="I121" s="21"/>
      <c r="J121" s="21"/>
      <c r="K121" s="21"/>
      <c r="L121" s="21"/>
      <c r="M121" s="21"/>
      <c r="N121" s="21"/>
      <c r="O121" s="21"/>
      <c r="P121" s="21"/>
      <c r="Q121" s="21"/>
      <c r="R121" s="21"/>
      <c r="S121" s="21"/>
      <c r="T121" s="21"/>
    </row>
    <row r="122" spans="3:20">
      <c r="C122" s="21"/>
      <c r="D122" s="21"/>
      <c r="E122" s="21"/>
      <c r="F122" s="21"/>
      <c r="G122" s="21"/>
      <c r="H122" s="21"/>
      <c r="I122" s="21"/>
      <c r="J122" s="21"/>
      <c r="K122" s="21"/>
      <c r="L122" s="21"/>
      <c r="M122" s="21"/>
      <c r="N122" s="21"/>
      <c r="O122" s="21"/>
      <c r="P122" s="21"/>
      <c r="Q122" s="21"/>
      <c r="R122" s="21"/>
      <c r="S122" s="21"/>
      <c r="T122" s="21"/>
    </row>
    <row r="123" spans="3:20">
      <c r="C123" s="21"/>
      <c r="D123" s="21"/>
      <c r="E123" s="21"/>
      <c r="F123" s="21"/>
      <c r="G123" s="21"/>
      <c r="H123" s="21"/>
      <c r="I123" s="21"/>
      <c r="J123" s="21"/>
      <c r="K123" s="21"/>
      <c r="L123" s="21"/>
      <c r="M123" s="21"/>
      <c r="N123" s="21"/>
      <c r="O123" s="21"/>
      <c r="P123" s="21"/>
      <c r="Q123" s="21"/>
      <c r="R123" s="21"/>
      <c r="S123" s="21"/>
      <c r="T123" s="21"/>
    </row>
    <row r="124" spans="3:20">
      <c r="C124" s="21"/>
      <c r="D124" s="21"/>
      <c r="E124" s="21"/>
      <c r="F124" s="21"/>
      <c r="G124" s="21"/>
      <c r="H124" s="21"/>
      <c r="I124" s="21"/>
      <c r="J124" s="21"/>
      <c r="K124" s="21"/>
      <c r="L124" s="21"/>
      <c r="M124" s="21"/>
      <c r="N124" s="21"/>
      <c r="O124" s="21"/>
      <c r="P124" s="21"/>
      <c r="Q124" s="21"/>
      <c r="R124" s="21"/>
      <c r="S124" s="21"/>
      <c r="T124" s="21"/>
    </row>
    <row r="125" spans="3:20">
      <c r="C125" s="21"/>
      <c r="D125" s="21"/>
      <c r="E125" s="21"/>
      <c r="F125" s="21"/>
      <c r="G125" s="21"/>
      <c r="H125" s="21"/>
      <c r="I125" s="21"/>
      <c r="J125" s="21"/>
      <c r="K125" s="21"/>
      <c r="L125" s="21"/>
      <c r="M125" s="21"/>
      <c r="N125" s="21"/>
      <c r="O125" s="21"/>
      <c r="P125" s="21"/>
      <c r="Q125" s="21"/>
      <c r="R125" s="21"/>
      <c r="S125" s="21"/>
      <c r="T125" s="21"/>
    </row>
    <row r="126" spans="3:20">
      <c r="C126" s="21"/>
      <c r="D126" s="21"/>
      <c r="E126" s="21"/>
      <c r="F126" s="21"/>
      <c r="G126" s="21"/>
      <c r="H126" s="21"/>
      <c r="I126" s="21"/>
      <c r="J126" s="21"/>
      <c r="K126" s="21"/>
      <c r="L126" s="21"/>
      <c r="M126" s="21"/>
      <c r="N126" s="21"/>
      <c r="O126" s="21"/>
      <c r="P126" s="21"/>
      <c r="Q126" s="21"/>
      <c r="R126" s="21"/>
      <c r="S126" s="21"/>
      <c r="T126" s="21"/>
    </row>
    <row r="127" spans="3:20">
      <c r="C127" s="21"/>
      <c r="D127" s="21"/>
      <c r="E127" s="21"/>
      <c r="F127" s="21"/>
      <c r="G127" s="21"/>
      <c r="H127" s="21"/>
      <c r="I127" s="21"/>
      <c r="J127" s="21"/>
      <c r="K127" s="21"/>
      <c r="L127" s="21"/>
      <c r="M127" s="21"/>
      <c r="N127" s="21"/>
      <c r="O127" s="21"/>
      <c r="P127" s="21"/>
      <c r="Q127" s="21"/>
      <c r="R127" s="21"/>
      <c r="S127" s="21"/>
      <c r="T127" s="21"/>
    </row>
    <row r="128" spans="3:20">
      <c r="C128" s="21"/>
      <c r="D128" s="21"/>
      <c r="E128" s="21"/>
      <c r="F128" s="21"/>
      <c r="G128" s="21"/>
      <c r="H128" s="21"/>
      <c r="I128" s="21"/>
      <c r="J128" s="21"/>
      <c r="K128" s="21"/>
      <c r="L128" s="21"/>
      <c r="M128" s="21"/>
      <c r="N128" s="21"/>
      <c r="O128" s="21"/>
      <c r="P128" s="21"/>
      <c r="Q128" s="21"/>
      <c r="R128" s="21"/>
      <c r="S128" s="21"/>
      <c r="T128" s="21"/>
    </row>
    <row r="129" spans="3:20">
      <c r="C129" s="21"/>
      <c r="D129" s="21"/>
      <c r="E129" s="21"/>
      <c r="F129" s="21"/>
      <c r="G129" s="21"/>
      <c r="H129" s="21"/>
      <c r="I129" s="21"/>
      <c r="J129" s="21"/>
      <c r="K129" s="21"/>
      <c r="L129" s="21"/>
      <c r="M129" s="21"/>
      <c r="N129" s="21"/>
      <c r="O129" s="21"/>
      <c r="P129" s="21"/>
      <c r="Q129" s="21"/>
      <c r="R129" s="21"/>
      <c r="S129" s="21"/>
      <c r="T129" s="21"/>
    </row>
    <row r="130" spans="3:20">
      <c r="C130" s="21"/>
      <c r="D130" s="21"/>
      <c r="E130" s="21"/>
      <c r="F130" s="21"/>
      <c r="G130" s="21"/>
      <c r="H130" s="21"/>
      <c r="I130" s="21"/>
      <c r="J130" s="21"/>
      <c r="K130" s="21"/>
      <c r="L130" s="21"/>
      <c r="M130" s="21"/>
      <c r="N130" s="21"/>
      <c r="O130" s="21"/>
      <c r="P130" s="21"/>
      <c r="Q130" s="21"/>
      <c r="R130" s="21"/>
      <c r="S130" s="21"/>
      <c r="T130" s="21"/>
    </row>
    <row r="131" spans="3:20">
      <c r="C131" s="21"/>
      <c r="D131" s="21"/>
      <c r="E131" s="21"/>
      <c r="F131" s="21"/>
      <c r="G131" s="21"/>
      <c r="H131" s="21"/>
      <c r="I131" s="21"/>
      <c r="J131" s="21"/>
      <c r="K131" s="21"/>
      <c r="L131" s="21"/>
      <c r="M131" s="21"/>
      <c r="N131" s="21"/>
      <c r="O131" s="21"/>
      <c r="P131" s="21"/>
      <c r="Q131" s="21"/>
      <c r="R131" s="21"/>
      <c r="S131" s="21"/>
      <c r="T131" s="21"/>
    </row>
    <row r="132" spans="3:20">
      <c r="C132" s="21"/>
      <c r="D132" s="21"/>
      <c r="E132" s="21"/>
      <c r="F132" s="21"/>
      <c r="G132" s="21"/>
      <c r="H132" s="21"/>
      <c r="I132" s="21"/>
      <c r="J132" s="21"/>
      <c r="K132" s="21"/>
      <c r="L132" s="21"/>
      <c r="M132" s="21"/>
      <c r="N132" s="21"/>
      <c r="O132" s="21"/>
      <c r="P132" s="21"/>
      <c r="Q132" s="21"/>
      <c r="R132" s="21"/>
      <c r="S132" s="21"/>
      <c r="T132" s="21"/>
    </row>
    <row r="133" spans="3:20">
      <c r="C133" s="21"/>
      <c r="D133" s="21"/>
      <c r="E133" s="21"/>
      <c r="F133" s="21"/>
      <c r="G133" s="21"/>
      <c r="H133" s="21"/>
      <c r="I133" s="21"/>
      <c r="J133" s="21"/>
      <c r="K133" s="21"/>
      <c r="L133" s="21"/>
      <c r="M133" s="21"/>
      <c r="N133" s="21"/>
      <c r="O133" s="21"/>
      <c r="P133" s="21"/>
      <c r="Q133" s="21"/>
      <c r="R133" s="21"/>
      <c r="S133" s="21"/>
      <c r="T133" s="21"/>
    </row>
    <row r="134" spans="3:20">
      <c r="C134" s="21"/>
      <c r="D134" s="21"/>
      <c r="E134" s="21"/>
      <c r="F134" s="21"/>
      <c r="G134" s="21"/>
      <c r="H134" s="21"/>
      <c r="I134" s="21"/>
      <c r="J134" s="21"/>
      <c r="K134" s="21"/>
      <c r="L134" s="21"/>
      <c r="M134" s="21"/>
      <c r="N134" s="21"/>
      <c r="O134" s="21"/>
      <c r="P134" s="21"/>
      <c r="Q134" s="21"/>
      <c r="R134" s="21"/>
      <c r="S134" s="21"/>
      <c r="T134" s="21"/>
    </row>
    <row r="135" spans="3:20">
      <c r="C135" s="21"/>
      <c r="D135" s="21"/>
      <c r="E135" s="21"/>
      <c r="F135" s="21"/>
      <c r="G135" s="21"/>
      <c r="H135" s="21"/>
      <c r="I135" s="21"/>
      <c r="J135" s="21"/>
      <c r="K135" s="21"/>
      <c r="L135" s="21"/>
      <c r="M135" s="21"/>
      <c r="N135" s="21"/>
      <c r="O135" s="21"/>
      <c r="P135" s="21"/>
      <c r="Q135" s="21"/>
      <c r="R135" s="21"/>
      <c r="S135" s="21"/>
      <c r="T135" s="21"/>
    </row>
    <row r="136" spans="3:20">
      <c r="C136" s="21"/>
      <c r="D136" s="21"/>
      <c r="E136" s="21"/>
      <c r="F136" s="21"/>
      <c r="G136" s="21"/>
      <c r="H136" s="21"/>
      <c r="I136" s="21"/>
      <c r="J136" s="21"/>
      <c r="K136" s="21"/>
      <c r="L136" s="21"/>
      <c r="M136" s="21"/>
      <c r="N136" s="21"/>
      <c r="O136" s="21"/>
      <c r="P136" s="21"/>
      <c r="Q136" s="21"/>
      <c r="R136" s="21"/>
      <c r="S136" s="21"/>
      <c r="T136" s="21"/>
    </row>
    <row r="137" spans="3:20">
      <c r="C137" s="21"/>
      <c r="D137" s="21"/>
      <c r="E137" s="21"/>
      <c r="F137" s="21"/>
      <c r="G137" s="21"/>
      <c r="H137" s="21"/>
      <c r="I137" s="21"/>
      <c r="J137" s="21"/>
      <c r="K137" s="21"/>
      <c r="L137" s="21"/>
      <c r="M137" s="21"/>
      <c r="N137" s="21"/>
      <c r="O137" s="21"/>
      <c r="P137" s="21"/>
      <c r="Q137" s="21"/>
      <c r="R137" s="21"/>
      <c r="S137" s="21"/>
      <c r="T137" s="21"/>
    </row>
    <row r="138" spans="3:20">
      <c r="C138" s="21"/>
      <c r="D138" s="21"/>
      <c r="E138" s="21"/>
      <c r="F138" s="21"/>
      <c r="G138" s="21"/>
      <c r="H138" s="21"/>
      <c r="I138" s="21"/>
      <c r="J138" s="21"/>
      <c r="K138" s="21"/>
      <c r="L138" s="21"/>
      <c r="M138" s="21"/>
      <c r="N138" s="21"/>
      <c r="O138" s="21"/>
      <c r="P138" s="21"/>
      <c r="Q138" s="21"/>
      <c r="R138" s="21"/>
      <c r="S138" s="21"/>
      <c r="T138" s="21"/>
    </row>
    <row r="139" spans="3:20">
      <c r="C139" s="21"/>
      <c r="D139" s="21"/>
      <c r="E139" s="21"/>
      <c r="F139" s="21"/>
      <c r="G139" s="21"/>
      <c r="H139" s="21"/>
      <c r="I139" s="21"/>
      <c r="J139" s="21"/>
      <c r="K139" s="21"/>
      <c r="L139" s="21"/>
      <c r="M139" s="21"/>
      <c r="N139" s="21"/>
      <c r="O139" s="21"/>
      <c r="P139" s="21"/>
      <c r="Q139" s="21"/>
      <c r="R139" s="21"/>
      <c r="S139" s="21"/>
      <c r="T139" s="21"/>
    </row>
    <row r="140" spans="3:20">
      <c r="C140" s="21"/>
      <c r="D140" s="21"/>
      <c r="E140" s="21"/>
      <c r="F140" s="21"/>
      <c r="G140" s="21"/>
      <c r="H140" s="21"/>
      <c r="I140" s="21"/>
      <c r="J140" s="21"/>
      <c r="K140" s="21"/>
      <c r="L140" s="21"/>
      <c r="M140" s="21"/>
      <c r="N140" s="21"/>
      <c r="O140" s="21"/>
      <c r="P140" s="21"/>
      <c r="Q140" s="21"/>
      <c r="R140" s="21"/>
      <c r="S140" s="21"/>
      <c r="T140" s="21"/>
    </row>
    <row r="141" spans="3:20">
      <c r="C141" s="21"/>
      <c r="D141" s="21"/>
      <c r="E141" s="21"/>
      <c r="F141" s="21"/>
      <c r="G141" s="21"/>
      <c r="H141" s="21"/>
      <c r="I141" s="21"/>
      <c r="J141" s="21"/>
      <c r="K141" s="21"/>
      <c r="L141" s="21"/>
      <c r="M141" s="21"/>
      <c r="N141" s="21"/>
      <c r="O141" s="21"/>
      <c r="P141" s="21"/>
      <c r="Q141" s="21"/>
      <c r="R141" s="21"/>
      <c r="S141" s="21"/>
      <c r="T141" s="21"/>
    </row>
    <row r="142" spans="3:20">
      <c r="C142" s="21"/>
      <c r="D142" s="21"/>
      <c r="E142" s="21"/>
      <c r="F142" s="21"/>
      <c r="G142" s="21"/>
      <c r="H142" s="21"/>
      <c r="I142" s="21"/>
      <c r="J142" s="21"/>
      <c r="K142" s="21"/>
      <c r="L142" s="21"/>
      <c r="M142" s="21"/>
      <c r="N142" s="21"/>
      <c r="O142" s="21"/>
      <c r="P142" s="21"/>
      <c r="Q142" s="21"/>
      <c r="R142" s="21"/>
      <c r="S142" s="21"/>
      <c r="T142" s="21"/>
    </row>
    <row r="143" spans="3:20">
      <c r="C143" s="21"/>
      <c r="D143" s="21"/>
      <c r="E143" s="21"/>
      <c r="F143" s="21"/>
      <c r="G143" s="21"/>
      <c r="H143" s="21"/>
      <c r="I143" s="21"/>
      <c r="J143" s="21"/>
      <c r="K143" s="21"/>
      <c r="L143" s="21"/>
      <c r="M143" s="21"/>
      <c r="N143" s="21"/>
      <c r="O143" s="21"/>
      <c r="P143" s="21"/>
      <c r="Q143" s="21"/>
      <c r="R143" s="21"/>
      <c r="S143" s="21"/>
      <c r="T143" s="21"/>
    </row>
    <row r="144" spans="3:20">
      <c r="C144" s="21"/>
      <c r="D144" s="21"/>
      <c r="E144" s="21"/>
      <c r="F144" s="21"/>
      <c r="G144" s="21"/>
      <c r="H144" s="21"/>
      <c r="I144" s="21"/>
      <c r="J144" s="21"/>
      <c r="K144" s="21"/>
      <c r="L144" s="21"/>
      <c r="M144" s="21"/>
      <c r="N144" s="21"/>
      <c r="O144" s="21"/>
      <c r="P144" s="21"/>
      <c r="Q144" s="21"/>
      <c r="R144" s="21"/>
      <c r="S144" s="21"/>
      <c r="T144" s="21"/>
    </row>
    <row r="145" spans="3:20">
      <c r="C145" s="21"/>
      <c r="D145" s="21"/>
      <c r="E145" s="21"/>
      <c r="F145" s="21"/>
      <c r="G145" s="21"/>
      <c r="H145" s="21"/>
      <c r="I145" s="21"/>
      <c r="J145" s="21"/>
      <c r="K145" s="21"/>
      <c r="L145" s="21"/>
      <c r="M145" s="21"/>
      <c r="N145" s="21"/>
      <c r="O145" s="21"/>
      <c r="P145" s="21"/>
      <c r="Q145" s="21"/>
      <c r="R145" s="21"/>
      <c r="S145" s="21"/>
      <c r="T145" s="21"/>
    </row>
    <row r="146" spans="3:20">
      <c r="C146" s="21"/>
      <c r="D146" s="21"/>
      <c r="E146" s="21"/>
      <c r="F146" s="21"/>
      <c r="G146" s="21"/>
      <c r="H146" s="21"/>
      <c r="I146" s="21"/>
      <c r="J146" s="21"/>
      <c r="K146" s="21"/>
      <c r="L146" s="21"/>
      <c r="M146" s="21"/>
      <c r="N146" s="21"/>
      <c r="O146" s="21"/>
      <c r="P146" s="21"/>
      <c r="Q146" s="21"/>
      <c r="R146" s="21"/>
      <c r="S146" s="21"/>
      <c r="T146" s="21"/>
    </row>
    <row r="147" spans="3:20">
      <c r="C147" s="21"/>
      <c r="D147" s="21"/>
      <c r="E147" s="21"/>
      <c r="F147" s="21"/>
      <c r="G147" s="21"/>
      <c r="H147" s="21"/>
      <c r="I147" s="21"/>
      <c r="J147" s="21"/>
      <c r="K147" s="21"/>
      <c r="L147" s="21"/>
      <c r="M147" s="21"/>
      <c r="N147" s="21"/>
      <c r="O147" s="21"/>
      <c r="P147" s="21"/>
      <c r="Q147" s="21"/>
      <c r="R147" s="21"/>
      <c r="S147" s="21"/>
      <c r="T147" s="21"/>
    </row>
    <row r="148" spans="3:20">
      <c r="C148" s="21"/>
      <c r="D148" s="21"/>
      <c r="E148" s="21"/>
      <c r="F148" s="21"/>
      <c r="G148" s="21"/>
      <c r="H148" s="21"/>
      <c r="I148" s="21"/>
      <c r="J148" s="21"/>
      <c r="K148" s="21"/>
      <c r="L148" s="21"/>
      <c r="M148" s="21"/>
      <c r="N148" s="21"/>
      <c r="O148" s="21"/>
      <c r="P148" s="21"/>
      <c r="Q148" s="21"/>
      <c r="R148" s="21"/>
      <c r="S148" s="21"/>
      <c r="T148" s="21"/>
    </row>
    <row r="149" spans="3:20">
      <c r="C149" s="21"/>
      <c r="D149" s="21"/>
      <c r="E149" s="21"/>
      <c r="F149" s="21"/>
      <c r="G149" s="21"/>
      <c r="H149" s="21"/>
      <c r="I149" s="21"/>
      <c r="J149" s="21"/>
      <c r="K149" s="21"/>
      <c r="L149" s="21"/>
      <c r="M149" s="21"/>
      <c r="N149" s="21"/>
      <c r="O149" s="21"/>
      <c r="P149" s="21"/>
      <c r="Q149" s="21"/>
      <c r="R149" s="21"/>
      <c r="S149" s="21"/>
      <c r="T149" s="21"/>
    </row>
    <row r="150" spans="3:20">
      <c r="C150" s="21"/>
      <c r="D150" s="21"/>
      <c r="E150" s="21"/>
      <c r="F150" s="21"/>
      <c r="G150" s="21"/>
      <c r="H150" s="21"/>
      <c r="I150" s="21"/>
      <c r="J150" s="21"/>
      <c r="K150" s="21"/>
      <c r="L150" s="21"/>
      <c r="M150" s="21"/>
      <c r="N150" s="21"/>
      <c r="O150" s="21"/>
      <c r="P150" s="21"/>
      <c r="Q150" s="21"/>
      <c r="R150" s="21"/>
      <c r="S150" s="21"/>
      <c r="T150" s="21"/>
    </row>
    <row r="151" spans="3:20">
      <c r="C151" s="21"/>
      <c r="D151" s="21"/>
      <c r="E151" s="21"/>
      <c r="F151" s="21"/>
      <c r="G151" s="21"/>
      <c r="H151" s="21"/>
      <c r="I151" s="21"/>
      <c r="J151" s="21"/>
      <c r="K151" s="21"/>
      <c r="L151" s="21"/>
      <c r="M151" s="21"/>
      <c r="N151" s="21"/>
      <c r="O151" s="21"/>
      <c r="P151" s="21"/>
      <c r="Q151" s="21"/>
      <c r="R151" s="21"/>
      <c r="S151" s="21"/>
      <c r="T151" s="21"/>
    </row>
    <row r="152" spans="3:20">
      <c r="C152" s="21"/>
      <c r="D152" s="21"/>
      <c r="E152" s="21"/>
      <c r="F152" s="21"/>
      <c r="G152" s="21"/>
      <c r="H152" s="21"/>
      <c r="I152" s="21"/>
      <c r="J152" s="21"/>
      <c r="K152" s="21"/>
      <c r="L152" s="21"/>
      <c r="M152" s="21"/>
      <c r="N152" s="21"/>
      <c r="O152" s="21"/>
      <c r="P152" s="21"/>
      <c r="Q152" s="21"/>
      <c r="R152" s="21"/>
      <c r="S152" s="21"/>
      <c r="T152" s="21"/>
    </row>
    <row r="153" spans="3:20">
      <c r="C153" s="21"/>
      <c r="D153" s="21"/>
      <c r="E153" s="21"/>
      <c r="F153" s="21"/>
      <c r="G153" s="21"/>
      <c r="H153" s="21"/>
      <c r="I153" s="21"/>
      <c r="J153" s="21"/>
      <c r="K153" s="21"/>
      <c r="L153" s="21"/>
      <c r="M153" s="21"/>
      <c r="N153" s="21"/>
      <c r="O153" s="21"/>
      <c r="P153" s="21"/>
      <c r="Q153" s="21"/>
      <c r="R153" s="21"/>
      <c r="S153" s="21"/>
      <c r="T153" s="21"/>
    </row>
    <row r="154" spans="3:20">
      <c r="C154" s="21"/>
      <c r="D154" s="21"/>
      <c r="E154" s="21"/>
      <c r="F154" s="21"/>
      <c r="G154" s="21"/>
      <c r="H154" s="21"/>
      <c r="I154" s="21"/>
      <c r="J154" s="21"/>
      <c r="K154" s="21"/>
      <c r="L154" s="21"/>
      <c r="M154" s="21"/>
      <c r="N154" s="21"/>
      <c r="O154" s="21"/>
      <c r="P154" s="21"/>
      <c r="Q154" s="21"/>
      <c r="R154" s="21"/>
      <c r="S154" s="21"/>
      <c r="T154" s="21"/>
    </row>
    <row r="155" spans="3:20">
      <c r="C155" s="21"/>
      <c r="D155" s="21"/>
      <c r="E155" s="21"/>
      <c r="F155" s="21"/>
      <c r="G155" s="21"/>
      <c r="H155" s="21"/>
      <c r="I155" s="21"/>
      <c r="J155" s="21"/>
      <c r="K155" s="21"/>
      <c r="L155" s="21"/>
      <c r="M155" s="21"/>
      <c r="N155" s="21"/>
      <c r="O155" s="21"/>
      <c r="P155" s="21"/>
      <c r="Q155" s="21"/>
      <c r="R155" s="21"/>
      <c r="S155" s="21"/>
      <c r="T155" s="21"/>
    </row>
    <row r="156" spans="3:20">
      <c r="C156" s="21"/>
      <c r="D156" s="21"/>
      <c r="E156" s="21"/>
      <c r="F156" s="21"/>
      <c r="G156" s="21"/>
      <c r="H156" s="21"/>
      <c r="I156" s="21"/>
      <c r="J156" s="21"/>
      <c r="K156" s="21"/>
      <c r="L156" s="21"/>
      <c r="M156" s="21"/>
      <c r="N156" s="21"/>
      <c r="O156" s="21"/>
      <c r="P156" s="21"/>
      <c r="Q156" s="21"/>
      <c r="R156" s="21"/>
      <c r="S156" s="21"/>
      <c r="T156" s="21"/>
    </row>
    <row r="157" spans="3:20">
      <c r="C157" s="21"/>
      <c r="D157" s="21"/>
      <c r="E157" s="21"/>
      <c r="F157" s="21"/>
      <c r="G157" s="21"/>
      <c r="H157" s="21"/>
      <c r="I157" s="21"/>
      <c r="J157" s="21"/>
      <c r="K157" s="21"/>
      <c r="L157" s="21"/>
      <c r="M157" s="21"/>
      <c r="N157" s="21"/>
      <c r="O157" s="21"/>
      <c r="P157" s="21"/>
      <c r="Q157" s="21"/>
      <c r="R157" s="21"/>
      <c r="S157" s="21"/>
      <c r="T157" s="21"/>
    </row>
    <row r="158" spans="3:20">
      <c r="C158" s="21"/>
      <c r="D158" s="21"/>
      <c r="E158" s="21"/>
      <c r="F158" s="21"/>
      <c r="G158" s="21"/>
      <c r="H158" s="21"/>
      <c r="I158" s="21"/>
      <c r="J158" s="21"/>
      <c r="K158" s="21"/>
      <c r="L158" s="21"/>
      <c r="M158" s="21"/>
      <c r="N158" s="21"/>
      <c r="O158" s="21"/>
      <c r="P158" s="21"/>
      <c r="Q158" s="21"/>
      <c r="R158" s="21"/>
      <c r="S158" s="21"/>
      <c r="T158" s="21"/>
    </row>
    <row r="159" spans="3:20">
      <c r="C159" s="21"/>
      <c r="D159" s="21"/>
      <c r="E159" s="21"/>
      <c r="F159" s="21"/>
      <c r="G159" s="21"/>
      <c r="H159" s="21"/>
      <c r="I159" s="21"/>
      <c r="J159" s="21"/>
      <c r="K159" s="21"/>
      <c r="L159" s="21"/>
      <c r="M159" s="21"/>
      <c r="N159" s="21"/>
      <c r="O159" s="21"/>
      <c r="P159" s="21"/>
      <c r="Q159" s="21"/>
      <c r="R159" s="21"/>
      <c r="S159" s="21"/>
      <c r="T159" s="21"/>
    </row>
    <row r="160" spans="3:20">
      <c r="C160" s="21"/>
      <c r="D160" s="21"/>
      <c r="E160" s="21"/>
      <c r="F160" s="21"/>
      <c r="G160" s="21"/>
      <c r="H160" s="21"/>
      <c r="I160" s="21"/>
      <c r="J160" s="21"/>
      <c r="K160" s="21"/>
      <c r="L160" s="21"/>
      <c r="M160" s="21"/>
      <c r="N160" s="21"/>
      <c r="O160" s="21"/>
      <c r="P160" s="21"/>
      <c r="Q160" s="21"/>
      <c r="R160" s="21"/>
      <c r="S160" s="21"/>
      <c r="T160" s="21"/>
    </row>
    <row r="161" spans="3:20">
      <c r="C161" s="21"/>
      <c r="D161" s="21"/>
      <c r="E161" s="21"/>
      <c r="F161" s="21"/>
      <c r="G161" s="21"/>
      <c r="H161" s="21"/>
      <c r="I161" s="21"/>
      <c r="J161" s="21"/>
      <c r="K161" s="21"/>
      <c r="L161" s="21"/>
      <c r="M161" s="21"/>
      <c r="N161" s="21"/>
      <c r="O161" s="21"/>
      <c r="P161" s="21"/>
      <c r="Q161" s="21"/>
      <c r="R161" s="21"/>
      <c r="S161" s="21"/>
      <c r="T161" s="21"/>
    </row>
    <row r="162" spans="3:20">
      <c r="C162" s="21"/>
      <c r="D162" s="21"/>
      <c r="E162" s="21"/>
      <c r="F162" s="21"/>
      <c r="G162" s="21"/>
      <c r="H162" s="21"/>
      <c r="I162" s="21"/>
      <c r="J162" s="21"/>
      <c r="K162" s="21"/>
      <c r="L162" s="21"/>
      <c r="M162" s="21"/>
      <c r="N162" s="21"/>
      <c r="O162" s="21"/>
      <c r="P162" s="21"/>
      <c r="Q162" s="21"/>
      <c r="R162" s="21"/>
      <c r="S162" s="21"/>
      <c r="T162" s="21"/>
    </row>
    <row r="163" spans="3:20">
      <c r="C163" s="21"/>
      <c r="D163" s="21"/>
      <c r="E163" s="21"/>
      <c r="F163" s="21"/>
      <c r="G163" s="21"/>
      <c r="H163" s="21"/>
      <c r="I163" s="21"/>
      <c r="J163" s="21"/>
      <c r="K163" s="21"/>
      <c r="L163" s="21"/>
      <c r="M163" s="21"/>
      <c r="N163" s="21"/>
      <c r="O163" s="21"/>
      <c r="P163" s="21"/>
      <c r="Q163" s="21"/>
      <c r="R163" s="21"/>
      <c r="S163" s="21"/>
      <c r="T163" s="21"/>
    </row>
    <row r="164" spans="3:20">
      <c r="C164" s="21"/>
      <c r="D164" s="21"/>
      <c r="E164" s="21"/>
      <c r="F164" s="21"/>
      <c r="G164" s="21"/>
      <c r="H164" s="21"/>
      <c r="I164" s="21"/>
      <c r="J164" s="21"/>
      <c r="K164" s="21"/>
      <c r="L164" s="21"/>
      <c r="M164" s="21"/>
      <c r="N164" s="21"/>
      <c r="O164" s="21"/>
      <c r="P164" s="21"/>
      <c r="Q164" s="21"/>
      <c r="R164" s="21"/>
      <c r="S164" s="21"/>
      <c r="T164" s="21"/>
    </row>
    <row r="165" spans="3:20">
      <c r="C165" s="21"/>
      <c r="D165" s="21"/>
      <c r="E165" s="21"/>
      <c r="F165" s="21"/>
      <c r="G165" s="21"/>
      <c r="H165" s="21"/>
      <c r="I165" s="21"/>
      <c r="J165" s="21"/>
      <c r="K165" s="21"/>
      <c r="L165" s="21"/>
      <c r="M165" s="21"/>
      <c r="N165" s="21"/>
      <c r="O165" s="21"/>
      <c r="P165" s="21"/>
      <c r="Q165" s="21"/>
      <c r="R165" s="21"/>
      <c r="S165" s="21"/>
      <c r="T165" s="21"/>
    </row>
    <row r="166" spans="3:20">
      <c r="C166" s="21"/>
      <c r="D166" s="21"/>
      <c r="E166" s="21"/>
      <c r="F166" s="21"/>
      <c r="G166" s="21"/>
      <c r="H166" s="21"/>
      <c r="I166" s="21"/>
      <c r="J166" s="21"/>
      <c r="K166" s="21"/>
      <c r="L166" s="21"/>
      <c r="M166" s="21"/>
      <c r="N166" s="21"/>
      <c r="O166" s="21"/>
      <c r="P166" s="21"/>
      <c r="Q166" s="21"/>
      <c r="R166" s="21"/>
      <c r="S166" s="21"/>
      <c r="T166" s="21"/>
    </row>
    <row r="167" spans="3:20">
      <c r="C167" s="21"/>
      <c r="D167" s="21"/>
      <c r="E167" s="21"/>
      <c r="F167" s="21"/>
      <c r="G167" s="21"/>
      <c r="H167" s="21"/>
      <c r="I167" s="21"/>
      <c r="J167" s="21"/>
      <c r="K167" s="21"/>
      <c r="L167" s="21"/>
      <c r="M167" s="21"/>
      <c r="N167" s="21"/>
      <c r="O167" s="21"/>
      <c r="P167" s="21"/>
      <c r="Q167" s="21"/>
      <c r="R167" s="21"/>
      <c r="S167" s="21"/>
      <c r="T167" s="21"/>
    </row>
    <row r="168" spans="3:20">
      <c r="C168" s="21"/>
      <c r="D168" s="21"/>
      <c r="E168" s="21"/>
      <c r="F168" s="21"/>
      <c r="G168" s="21"/>
      <c r="H168" s="21"/>
      <c r="I168" s="21"/>
      <c r="J168" s="21"/>
      <c r="K168" s="21"/>
      <c r="L168" s="21"/>
      <c r="M168" s="21"/>
      <c r="N168" s="21"/>
      <c r="O168" s="21"/>
      <c r="P168" s="21"/>
      <c r="Q168" s="21"/>
      <c r="R168" s="21"/>
      <c r="S168" s="21"/>
      <c r="T168" s="21"/>
    </row>
    <row r="169" spans="3:20">
      <c r="C169" s="21"/>
      <c r="D169" s="21"/>
      <c r="E169" s="21"/>
      <c r="F169" s="21"/>
      <c r="G169" s="21"/>
      <c r="H169" s="21"/>
      <c r="I169" s="21"/>
      <c r="J169" s="21"/>
      <c r="K169" s="21"/>
      <c r="L169" s="21"/>
      <c r="M169" s="21"/>
      <c r="N169" s="21"/>
      <c r="O169" s="21"/>
      <c r="P169" s="21"/>
      <c r="Q169" s="21"/>
      <c r="R169" s="21"/>
      <c r="S169" s="21"/>
      <c r="T169" s="21"/>
    </row>
    <row r="170" spans="3:20">
      <c r="C170" s="21"/>
      <c r="D170" s="21"/>
      <c r="E170" s="21"/>
      <c r="F170" s="21"/>
      <c r="G170" s="21"/>
      <c r="H170" s="21"/>
      <c r="I170" s="21"/>
      <c r="J170" s="21"/>
      <c r="K170" s="21"/>
      <c r="L170" s="21"/>
      <c r="M170" s="21"/>
      <c r="N170" s="21"/>
      <c r="O170" s="21"/>
      <c r="P170" s="21"/>
      <c r="Q170" s="21"/>
      <c r="R170" s="21"/>
      <c r="S170" s="21"/>
      <c r="T170" s="21"/>
    </row>
    <row r="171" spans="3:20">
      <c r="C171" s="21"/>
      <c r="D171" s="21"/>
      <c r="E171" s="21"/>
      <c r="F171" s="21"/>
      <c r="G171" s="21"/>
      <c r="H171" s="21"/>
      <c r="I171" s="21"/>
      <c r="J171" s="21"/>
      <c r="K171" s="21"/>
      <c r="L171" s="21"/>
      <c r="M171" s="21"/>
      <c r="N171" s="21"/>
      <c r="O171" s="21"/>
      <c r="P171" s="21"/>
      <c r="Q171" s="21"/>
      <c r="R171" s="21"/>
      <c r="S171" s="21"/>
      <c r="T171" s="21"/>
    </row>
    <row r="172" spans="3:20">
      <c r="C172" s="21"/>
      <c r="D172" s="21"/>
      <c r="E172" s="21"/>
      <c r="F172" s="21"/>
      <c r="G172" s="21"/>
      <c r="H172" s="21"/>
      <c r="I172" s="21"/>
      <c r="J172" s="21"/>
      <c r="K172" s="21"/>
      <c r="L172" s="21"/>
      <c r="M172" s="21"/>
      <c r="N172" s="21"/>
      <c r="O172" s="21"/>
      <c r="P172" s="21"/>
      <c r="Q172" s="21"/>
      <c r="R172" s="21"/>
      <c r="S172" s="21"/>
      <c r="T172" s="21"/>
    </row>
    <row r="173" spans="3:20">
      <c r="C173" s="21"/>
      <c r="D173" s="21"/>
      <c r="E173" s="21"/>
      <c r="F173" s="21"/>
      <c r="G173" s="21"/>
      <c r="H173" s="21"/>
      <c r="I173" s="21"/>
      <c r="J173" s="21"/>
      <c r="K173" s="21"/>
      <c r="L173" s="21"/>
      <c r="M173" s="21"/>
      <c r="N173" s="21"/>
      <c r="O173" s="21"/>
      <c r="P173" s="21"/>
      <c r="Q173" s="21"/>
      <c r="R173" s="21"/>
      <c r="S173" s="21"/>
      <c r="T173" s="21"/>
    </row>
    <row r="174" spans="3:20">
      <c r="C174" s="21"/>
      <c r="D174" s="21"/>
      <c r="E174" s="21"/>
      <c r="F174" s="21"/>
      <c r="G174" s="21"/>
      <c r="H174" s="21"/>
      <c r="I174" s="21"/>
      <c r="J174" s="21"/>
      <c r="K174" s="21"/>
      <c r="L174" s="21"/>
      <c r="M174" s="21"/>
      <c r="N174" s="21"/>
      <c r="O174" s="21"/>
      <c r="P174" s="21"/>
      <c r="Q174" s="21"/>
      <c r="R174" s="21"/>
      <c r="S174" s="21"/>
      <c r="T174" s="21"/>
    </row>
    <row r="175" spans="3:20">
      <c r="C175" s="21"/>
      <c r="D175" s="21"/>
      <c r="E175" s="21"/>
      <c r="F175" s="21"/>
      <c r="G175" s="21"/>
      <c r="H175" s="21"/>
      <c r="I175" s="21"/>
      <c r="J175" s="21"/>
      <c r="K175" s="21"/>
      <c r="L175" s="21"/>
      <c r="M175" s="21"/>
      <c r="N175" s="21"/>
      <c r="O175" s="21"/>
      <c r="P175" s="21"/>
      <c r="Q175" s="21"/>
      <c r="R175" s="21"/>
      <c r="S175" s="21"/>
      <c r="T175" s="21"/>
    </row>
    <row r="176" spans="3:20">
      <c r="C176" s="21"/>
      <c r="D176" s="21"/>
      <c r="E176" s="21"/>
      <c r="F176" s="21"/>
      <c r="G176" s="21"/>
      <c r="H176" s="21"/>
      <c r="I176" s="21"/>
      <c r="J176" s="21"/>
      <c r="K176" s="21"/>
      <c r="L176" s="21"/>
      <c r="M176" s="21"/>
      <c r="N176" s="21"/>
      <c r="O176" s="21"/>
      <c r="P176" s="21"/>
      <c r="Q176" s="21"/>
      <c r="R176" s="21"/>
      <c r="S176" s="21"/>
      <c r="T176" s="21"/>
    </row>
    <row r="177" spans="3:20">
      <c r="C177" s="21"/>
      <c r="D177" s="21"/>
      <c r="E177" s="21"/>
      <c r="F177" s="21"/>
      <c r="G177" s="21"/>
      <c r="H177" s="21"/>
      <c r="I177" s="21"/>
      <c r="J177" s="21"/>
      <c r="K177" s="21"/>
      <c r="L177" s="21"/>
      <c r="M177" s="21"/>
      <c r="N177" s="21"/>
      <c r="O177" s="21"/>
      <c r="P177" s="21"/>
      <c r="Q177" s="21"/>
      <c r="R177" s="21"/>
      <c r="S177" s="21"/>
      <c r="T177" s="21"/>
    </row>
    <row r="178" spans="3:20">
      <c r="C178" s="21"/>
      <c r="D178" s="21"/>
      <c r="E178" s="21"/>
      <c r="F178" s="21"/>
      <c r="G178" s="21"/>
      <c r="H178" s="21"/>
      <c r="I178" s="21"/>
      <c r="J178" s="21"/>
      <c r="K178" s="21"/>
      <c r="L178" s="21"/>
      <c r="M178" s="21"/>
      <c r="N178" s="21"/>
      <c r="O178" s="21"/>
      <c r="P178" s="21"/>
      <c r="Q178" s="21"/>
      <c r="R178" s="21"/>
      <c r="S178" s="21"/>
      <c r="T178" s="21"/>
    </row>
    <row r="179" spans="3:20">
      <c r="C179" s="21"/>
      <c r="D179" s="21"/>
      <c r="E179" s="21"/>
      <c r="F179" s="21"/>
      <c r="G179" s="21"/>
      <c r="H179" s="21"/>
      <c r="I179" s="21"/>
      <c r="J179" s="21"/>
      <c r="K179" s="21"/>
      <c r="L179" s="21"/>
      <c r="M179" s="21"/>
      <c r="N179" s="21"/>
      <c r="O179" s="21"/>
      <c r="P179" s="21"/>
      <c r="Q179" s="21"/>
      <c r="R179" s="21"/>
      <c r="S179" s="21"/>
      <c r="T179" s="21"/>
    </row>
    <row r="180" spans="3:20">
      <c r="C180" s="21"/>
      <c r="D180" s="21"/>
      <c r="E180" s="21"/>
      <c r="F180" s="21"/>
      <c r="G180" s="21"/>
      <c r="H180" s="21"/>
      <c r="I180" s="21"/>
      <c r="J180" s="21"/>
      <c r="K180" s="21"/>
      <c r="L180" s="21"/>
      <c r="M180" s="21"/>
      <c r="N180" s="21"/>
      <c r="O180" s="21"/>
      <c r="P180" s="21"/>
      <c r="Q180" s="21"/>
      <c r="R180" s="21"/>
      <c r="S180" s="21"/>
      <c r="T180" s="21"/>
    </row>
    <row r="181" spans="3:20">
      <c r="C181" s="21"/>
      <c r="D181" s="21"/>
      <c r="E181" s="21"/>
      <c r="F181" s="21"/>
      <c r="G181" s="21"/>
      <c r="H181" s="21"/>
      <c r="I181" s="21"/>
      <c r="J181" s="21"/>
      <c r="K181" s="21"/>
      <c r="L181" s="21"/>
      <c r="M181" s="21"/>
      <c r="N181" s="21"/>
      <c r="O181" s="21"/>
      <c r="P181" s="21"/>
      <c r="Q181" s="21"/>
      <c r="R181" s="21"/>
      <c r="S181" s="21"/>
      <c r="T181" s="21"/>
    </row>
    <row r="182" spans="3:20">
      <c r="C182" s="21"/>
      <c r="D182" s="21"/>
      <c r="E182" s="21"/>
      <c r="F182" s="21"/>
      <c r="G182" s="21"/>
      <c r="H182" s="21"/>
      <c r="I182" s="21"/>
      <c r="J182" s="21"/>
      <c r="K182" s="21"/>
      <c r="L182" s="21"/>
      <c r="M182" s="21"/>
      <c r="N182" s="21"/>
      <c r="O182" s="21"/>
      <c r="P182" s="21"/>
      <c r="Q182" s="21"/>
      <c r="R182" s="21"/>
      <c r="S182" s="21"/>
      <c r="T182" s="21"/>
    </row>
    <row r="183" spans="3:20">
      <c r="C183" s="21"/>
      <c r="D183" s="21"/>
      <c r="E183" s="21"/>
      <c r="F183" s="21"/>
      <c r="G183" s="21"/>
      <c r="H183" s="21"/>
      <c r="I183" s="21"/>
      <c r="J183" s="21"/>
      <c r="K183" s="21"/>
      <c r="L183" s="21"/>
      <c r="M183" s="21"/>
      <c r="N183" s="21"/>
      <c r="O183" s="21"/>
      <c r="P183" s="21"/>
      <c r="Q183" s="21"/>
      <c r="R183" s="21"/>
      <c r="S183" s="21"/>
      <c r="T183" s="21"/>
    </row>
    <row r="184" spans="3:20">
      <c r="C184" s="21"/>
      <c r="D184" s="21"/>
      <c r="E184" s="21"/>
      <c r="F184" s="21"/>
      <c r="G184" s="21"/>
      <c r="H184" s="21"/>
      <c r="I184" s="21"/>
      <c r="J184" s="21"/>
      <c r="K184" s="21"/>
      <c r="L184" s="21"/>
      <c r="M184" s="21"/>
      <c r="N184" s="21"/>
      <c r="O184" s="21"/>
      <c r="P184" s="21"/>
      <c r="Q184" s="21"/>
      <c r="R184" s="21"/>
      <c r="S184" s="21"/>
      <c r="T184" s="21"/>
    </row>
    <row r="185" spans="3:20">
      <c r="C185" s="21"/>
      <c r="D185" s="21"/>
      <c r="E185" s="21"/>
      <c r="F185" s="21"/>
      <c r="G185" s="21"/>
      <c r="H185" s="21"/>
      <c r="I185" s="21"/>
      <c r="J185" s="21"/>
      <c r="K185" s="21"/>
      <c r="L185" s="21"/>
      <c r="M185" s="21"/>
      <c r="N185" s="21"/>
      <c r="O185" s="21"/>
      <c r="P185" s="21"/>
      <c r="Q185" s="21"/>
      <c r="R185" s="21"/>
      <c r="S185" s="21"/>
      <c r="T185" s="21"/>
    </row>
    <row r="186" spans="3:20">
      <c r="C186" s="21"/>
      <c r="D186" s="21"/>
      <c r="E186" s="21"/>
      <c r="F186" s="21"/>
      <c r="G186" s="21"/>
      <c r="H186" s="21"/>
      <c r="I186" s="21"/>
      <c r="J186" s="21"/>
      <c r="K186" s="21"/>
      <c r="L186" s="21"/>
      <c r="M186" s="21"/>
      <c r="N186" s="21"/>
      <c r="O186" s="21"/>
      <c r="P186" s="21"/>
      <c r="Q186" s="21"/>
      <c r="R186" s="21"/>
      <c r="S186" s="21"/>
      <c r="T186" s="21"/>
    </row>
    <row r="187" spans="3:20">
      <c r="C187" s="21"/>
      <c r="D187" s="21"/>
      <c r="E187" s="21"/>
      <c r="F187" s="21"/>
      <c r="G187" s="21"/>
      <c r="H187" s="21"/>
      <c r="I187" s="21"/>
      <c r="J187" s="21"/>
      <c r="K187" s="21"/>
      <c r="L187" s="21"/>
      <c r="M187" s="21"/>
      <c r="N187" s="21"/>
      <c r="O187" s="21"/>
      <c r="P187" s="21"/>
      <c r="Q187" s="21"/>
      <c r="R187" s="21"/>
      <c r="S187" s="21"/>
      <c r="T187" s="21"/>
    </row>
    <row r="188" spans="3:20">
      <c r="C188" s="21"/>
      <c r="D188" s="21"/>
      <c r="E188" s="21"/>
      <c r="F188" s="21"/>
      <c r="G188" s="21"/>
      <c r="H188" s="21"/>
      <c r="I188" s="21"/>
      <c r="J188" s="21"/>
      <c r="K188" s="21"/>
      <c r="L188" s="21"/>
      <c r="M188" s="21"/>
      <c r="N188" s="21"/>
      <c r="O188" s="21"/>
      <c r="P188" s="21"/>
      <c r="Q188" s="21"/>
      <c r="R188" s="21"/>
      <c r="S188" s="21"/>
      <c r="T188" s="21"/>
    </row>
    <row r="189" spans="3:20">
      <c r="C189" s="21"/>
      <c r="D189" s="21"/>
      <c r="E189" s="21"/>
      <c r="F189" s="21"/>
      <c r="G189" s="21"/>
      <c r="H189" s="21"/>
      <c r="I189" s="21"/>
      <c r="J189" s="21"/>
      <c r="K189" s="21"/>
      <c r="L189" s="21"/>
      <c r="M189" s="21"/>
      <c r="N189" s="21"/>
      <c r="O189" s="21"/>
      <c r="P189" s="21"/>
      <c r="Q189" s="21"/>
      <c r="R189" s="21"/>
      <c r="S189" s="21"/>
      <c r="T189" s="21"/>
    </row>
    <row r="190" spans="3:20">
      <c r="C190" s="21"/>
      <c r="D190" s="21"/>
      <c r="E190" s="21"/>
      <c r="F190" s="21"/>
      <c r="G190" s="21"/>
      <c r="H190" s="21"/>
      <c r="I190" s="21"/>
      <c r="J190" s="21"/>
      <c r="K190" s="21"/>
      <c r="L190" s="21"/>
      <c r="M190" s="21"/>
      <c r="N190" s="21"/>
      <c r="O190" s="21"/>
      <c r="P190" s="21"/>
      <c r="Q190" s="21"/>
      <c r="R190" s="21"/>
      <c r="S190" s="21"/>
      <c r="T190" s="21"/>
    </row>
    <row r="191" spans="3:20">
      <c r="C191" s="21"/>
      <c r="D191" s="21"/>
      <c r="E191" s="21"/>
      <c r="F191" s="21"/>
      <c r="G191" s="21"/>
      <c r="H191" s="21"/>
      <c r="I191" s="21"/>
      <c r="J191" s="21"/>
      <c r="K191" s="21"/>
      <c r="L191" s="21"/>
      <c r="M191" s="21"/>
      <c r="N191" s="21"/>
      <c r="O191" s="21"/>
      <c r="P191" s="21"/>
      <c r="Q191" s="21"/>
      <c r="R191" s="21"/>
      <c r="S191" s="21"/>
      <c r="T191" s="21"/>
    </row>
    <row r="192" spans="3:20">
      <c r="C192" s="21"/>
      <c r="D192" s="21"/>
      <c r="E192" s="21"/>
      <c r="F192" s="21"/>
      <c r="G192" s="21"/>
      <c r="H192" s="21"/>
      <c r="I192" s="21"/>
      <c r="J192" s="21"/>
      <c r="K192" s="21"/>
      <c r="L192" s="21"/>
      <c r="M192" s="21"/>
      <c r="N192" s="21"/>
      <c r="O192" s="21"/>
      <c r="P192" s="21"/>
      <c r="Q192" s="21"/>
      <c r="R192" s="21"/>
      <c r="S192" s="21"/>
      <c r="T192" s="21"/>
    </row>
    <row r="193" spans="3:20">
      <c r="C193" s="21"/>
      <c r="D193" s="21"/>
      <c r="E193" s="21"/>
      <c r="F193" s="21"/>
      <c r="G193" s="21"/>
      <c r="H193" s="21"/>
      <c r="I193" s="21"/>
      <c r="J193" s="21"/>
      <c r="K193" s="21"/>
      <c r="L193" s="21"/>
      <c r="M193" s="21"/>
      <c r="N193" s="21"/>
      <c r="O193" s="21"/>
      <c r="P193" s="21"/>
      <c r="Q193" s="21"/>
      <c r="R193" s="21"/>
      <c r="S193" s="21"/>
      <c r="T193" s="21"/>
    </row>
    <row r="194" spans="3:20">
      <c r="C194" s="21"/>
      <c r="D194" s="21"/>
      <c r="E194" s="21"/>
      <c r="F194" s="21"/>
      <c r="G194" s="21"/>
      <c r="H194" s="21"/>
      <c r="I194" s="21"/>
      <c r="J194" s="21"/>
      <c r="K194" s="21"/>
      <c r="L194" s="21"/>
      <c r="M194" s="21"/>
      <c r="N194" s="21"/>
      <c r="O194" s="21"/>
      <c r="P194" s="21"/>
      <c r="Q194" s="21"/>
      <c r="R194" s="21"/>
      <c r="S194" s="21"/>
      <c r="T194" s="21"/>
    </row>
    <row r="195" spans="3:20">
      <c r="C195" s="21"/>
      <c r="D195" s="21"/>
      <c r="E195" s="21"/>
      <c r="F195" s="21"/>
      <c r="G195" s="21"/>
      <c r="H195" s="21"/>
      <c r="I195" s="21"/>
      <c r="J195" s="21"/>
      <c r="K195" s="21"/>
      <c r="L195" s="21"/>
      <c r="M195" s="21"/>
      <c r="N195" s="21"/>
      <c r="O195" s="21"/>
      <c r="P195" s="21"/>
      <c r="Q195" s="21"/>
      <c r="R195" s="21"/>
      <c r="S195" s="21"/>
      <c r="T195" s="21"/>
    </row>
    <row r="196" spans="3:20">
      <c r="C196" s="21"/>
      <c r="D196" s="21"/>
      <c r="E196" s="21"/>
      <c r="F196" s="21"/>
      <c r="G196" s="21"/>
      <c r="H196" s="21"/>
      <c r="I196" s="21"/>
      <c r="J196" s="21"/>
      <c r="K196" s="21"/>
      <c r="L196" s="21"/>
      <c r="M196" s="21"/>
      <c r="N196" s="21"/>
      <c r="O196" s="21"/>
      <c r="P196" s="21"/>
      <c r="Q196" s="21"/>
      <c r="R196" s="21"/>
      <c r="S196" s="21"/>
      <c r="T196" s="21"/>
    </row>
    <row r="197" spans="3:20">
      <c r="C197" s="21"/>
      <c r="D197" s="21"/>
      <c r="E197" s="21"/>
      <c r="F197" s="21"/>
      <c r="G197" s="21"/>
      <c r="H197" s="21"/>
      <c r="I197" s="21"/>
      <c r="J197" s="21"/>
      <c r="K197" s="21"/>
      <c r="L197" s="21"/>
      <c r="M197" s="21"/>
      <c r="N197" s="21"/>
      <c r="O197" s="21"/>
      <c r="P197" s="21"/>
      <c r="Q197" s="21"/>
      <c r="R197" s="21"/>
      <c r="S197" s="21"/>
      <c r="T197" s="21"/>
    </row>
    <row r="198" spans="3:20">
      <c r="C198" s="21"/>
      <c r="D198" s="21"/>
      <c r="E198" s="21"/>
      <c r="F198" s="21"/>
      <c r="G198" s="21"/>
      <c r="H198" s="21"/>
      <c r="I198" s="21"/>
      <c r="J198" s="21"/>
      <c r="K198" s="21"/>
      <c r="L198" s="21"/>
      <c r="M198" s="21"/>
      <c r="N198" s="21"/>
      <c r="O198" s="21"/>
      <c r="P198" s="21"/>
      <c r="Q198" s="21"/>
      <c r="R198" s="21"/>
      <c r="S198" s="21"/>
      <c r="T198" s="21"/>
    </row>
    <row r="199" spans="3:20">
      <c r="C199" s="21"/>
      <c r="D199" s="21"/>
      <c r="E199" s="21"/>
      <c r="F199" s="21"/>
      <c r="G199" s="21"/>
      <c r="H199" s="21"/>
      <c r="I199" s="21"/>
      <c r="J199" s="21"/>
      <c r="K199" s="21"/>
      <c r="L199" s="21"/>
      <c r="M199" s="21"/>
      <c r="N199" s="21"/>
      <c r="O199" s="21"/>
      <c r="P199" s="21"/>
      <c r="Q199" s="21"/>
      <c r="R199" s="21"/>
      <c r="S199" s="21"/>
      <c r="T199" s="21"/>
    </row>
    <row r="200" spans="3:20">
      <c r="C200" s="21"/>
      <c r="D200" s="21"/>
      <c r="E200" s="21"/>
      <c r="F200" s="21"/>
      <c r="G200" s="21"/>
      <c r="H200" s="21"/>
      <c r="I200" s="21"/>
      <c r="J200" s="21"/>
      <c r="K200" s="21"/>
      <c r="L200" s="21"/>
      <c r="M200" s="21"/>
      <c r="N200" s="21"/>
      <c r="O200" s="21"/>
      <c r="P200" s="21"/>
      <c r="Q200" s="21"/>
      <c r="R200" s="21"/>
      <c r="S200" s="21"/>
      <c r="T200" s="21"/>
    </row>
    <row r="201" spans="3:20">
      <c r="C201" s="21"/>
      <c r="D201" s="21"/>
      <c r="E201" s="21"/>
      <c r="F201" s="21"/>
      <c r="G201" s="21"/>
      <c r="H201" s="21"/>
      <c r="I201" s="21"/>
      <c r="J201" s="21"/>
      <c r="K201" s="21"/>
      <c r="L201" s="21"/>
      <c r="M201" s="21"/>
      <c r="N201" s="21"/>
      <c r="O201" s="21"/>
      <c r="P201" s="21"/>
      <c r="Q201" s="21"/>
      <c r="R201" s="21"/>
      <c r="S201" s="21"/>
      <c r="T201" s="21"/>
    </row>
    <row r="202" spans="3:20">
      <c r="C202" s="21"/>
      <c r="D202" s="21"/>
      <c r="E202" s="21"/>
      <c r="F202" s="21"/>
      <c r="G202" s="21"/>
      <c r="H202" s="21"/>
      <c r="I202" s="21"/>
      <c r="J202" s="21"/>
      <c r="K202" s="21"/>
      <c r="L202" s="21"/>
      <c r="M202" s="21"/>
      <c r="N202" s="21"/>
      <c r="O202" s="21"/>
      <c r="P202" s="21"/>
      <c r="Q202" s="21"/>
      <c r="R202" s="21"/>
      <c r="S202" s="21"/>
      <c r="T202" s="21"/>
    </row>
    <row r="203" spans="3:20">
      <c r="C203" s="21"/>
      <c r="D203" s="21"/>
      <c r="E203" s="21"/>
      <c r="F203" s="21"/>
      <c r="G203" s="21"/>
      <c r="H203" s="21"/>
      <c r="I203" s="21"/>
      <c r="J203" s="21"/>
      <c r="K203" s="21"/>
      <c r="L203" s="21"/>
      <c r="M203" s="21"/>
      <c r="N203" s="21"/>
      <c r="O203" s="21"/>
      <c r="P203" s="21"/>
      <c r="Q203" s="21"/>
      <c r="R203" s="21"/>
      <c r="S203" s="21"/>
      <c r="T203" s="21"/>
    </row>
    <row r="204" spans="3:20">
      <c r="C204" s="21"/>
      <c r="D204" s="21"/>
      <c r="E204" s="21"/>
      <c r="F204" s="21"/>
      <c r="G204" s="21"/>
      <c r="H204" s="21"/>
      <c r="I204" s="21"/>
      <c r="J204" s="21"/>
      <c r="K204" s="21"/>
      <c r="L204" s="21"/>
      <c r="M204" s="21"/>
      <c r="N204" s="21"/>
      <c r="O204" s="21"/>
      <c r="P204" s="21"/>
      <c r="Q204" s="21"/>
      <c r="R204" s="21"/>
      <c r="S204" s="21"/>
      <c r="T204" s="21"/>
    </row>
    <row r="205" spans="3:20">
      <c r="C205" s="21"/>
      <c r="D205" s="21"/>
      <c r="E205" s="21"/>
      <c r="F205" s="21"/>
      <c r="G205" s="21"/>
      <c r="H205" s="21"/>
      <c r="I205" s="21"/>
      <c r="J205" s="21"/>
      <c r="K205" s="21"/>
      <c r="L205" s="21"/>
      <c r="M205" s="21"/>
      <c r="N205" s="21"/>
      <c r="O205" s="21"/>
      <c r="P205" s="21"/>
      <c r="Q205" s="21"/>
      <c r="R205" s="21"/>
      <c r="S205" s="21"/>
      <c r="T205" s="21"/>
    </row>
    <row r="206" spans="3:20">
      <c r="C206" s="21"/>
      <c r="D206" s="21"/>
      <c r="E206" s="21"/>
      <c r="F206" s="21"/>
      <c r="G206" s="21"/>
      <c r="H206" s="21"/>
      <c r="I206" s="21"/>
      <c r="J206" s="21"/>
      <c r="K206" s="21"/>
      <c r="L206" s="21"/>
      <c r="M206" s="21"/>
      <c r="N206" s="21"/>
      <c r="O206" s="21"/>
      <c r="P206" s="21"/>
      <c r="Q206" s="21"/>
      <c r="R206" s="21"/>
      <c r="S206" s="21"/>
      <c r="T206" s="21"/>
    </row>
    <row r="207" spans="3:20">
      <c r="C207" s="21"/>
      <c r="D207" s="21"/>
      <c r="E207" s="21"/>
      <c r="F207" s="21"/>
      <c r="G207" s="21"/>
      <c r="H207" s="21"/>
      <c r="I207" s="21"/>
      <c r="J207" s="21"/>
      <c r="K207" s="21"/>
      <c r="L207" s="21"/>
      <c r="M207" s="21"/>
      <c r="N207" s="21"/>
      <c r="O207" s="21"/>
      <c r="P207" s="21"/>
      <c r="Q207" s="21"/>
      <c r="R207" s="21"/>
      <c r="S207" s="21"/>
      <c r="T207" s="21"/>
    </row>
    <row r="208" spans="3:20">
      <c r="C208" s="21"/>
      <c r="D208" s="21"/>
      <c r="E208" s="21"/>
      <c r="F208" s="21"/>
      <c r="G208" s="21"/>
      <c r="H208" s="21"/>
      <c r="I208" s="21"/>
      <c r="J208" s="21"/>
      <c r="K208" s="21"/>
      <c r="L208" s="21"/>
      <c r="M208" s="21"/>
      <c r="N208" s="21"/>
      <c r="O208" s="21"/>
      <c r="P208" s="21"/>
      <c r="Q208" s="21"/>
      <c r="R208" s="21"/>
      <c r="S208" s="21"/>
      <c r="T208" s="21"/>
    </row>
    <row r="209" spans="3:20">
      <c r="C209" s="21"/>
      <c r="D209" s="21"/>
      <c r="E209" s="21"/>
      <c r="F209" s="21"/>
      <c r="G209" s="21"/>
      <c r="H209" s="21"/>
      <c r="I209" s="21"/>
      <c r="J209" s="21"/>
      <c r="K209" s="21"/>
      <c r="L209" s="21"/>
      <c r="M209" s="21"/>
      <c r="N209" s="21"/>
      <c r="O209" s="21"/>
      <c r="P209" s="21"/>
      <c r="Q209" s="21"/>
      <c r="R209" s="21"/>
      <c r="S209" s="21"/>
      <c r="T209" s="21"/>
    </row>
    <row r="210" spans="3:20">
      <c r="C210" s="21"/>
      <c r="D210" s="21"/>
      <c r="E210" s="21"/>
      <c r="F210" s="21"/>
      <c r="G210" s="21"/>
      <c r="H210" s="21"/>
      <c r="I210" s="21"/>
      <c r="J210" s="21"/>
      <c r="K210" s="21"/>
      <c r="L210" s="21"/>
      <c r="M210" s="21"/>
      <c r="N210" s="21"/>
      <c r="O210" s="21"/>
      <c r="P210" s="21"/>
      <c r="Q210" s="21"/>
      <c r="R210" s="21"/>
      <c r="S210" s="21"/>
      <c r="T210" s="21"/>
    </row>
    <row r="211" spans="3:20">
      <c r="C211" s="21"/>
      <c r="D211" s="21"/>
      <c r="E211" s="21"/>
      <c r="F211" s="21"/>
      <c r="G211" s="21"/>
      <c r="H211" s="21"/>
      <c r="I211" s="21"/>
      <c r="J211" s="21"/>
      <c r="K211" s="21"/>
      <c r="L211" s="21"/>
      <c r="M211" s="21"/>
      <c r="N211" s="21"/>
      <c r="O211" s="21"/>
      <c r="P211" s="21"/>
      <c r="Q211" s="21"/>
      <c r="R211" s="21"/>
      <c r="S211" s="21"/>
      <c r="T211" s="21"/>
    </row>
    <row r="212" spans="3:20">
      <c r="C212" s="21"/>
      <c r="D212" s="21"/>
      <c r="E212" s="21"/>
      <c r="F212" s="21"/>
      <c r="G212" s="21"/>
      <c r="H212" s="21"/>
      <c r="I212" s="21"/>
      <c r="J212" s="21"/>
      <c r="K212" s="21"/>
      <c r="L212" s="21"/>
      <c r="M212" s="21"/>
      <c r="N212" s="21"/>
      <c r="O212" s="21"/>
      <c r="P212" s="21"/>
      <c r="Q212" s="21"/>
      <c r="R212" s="21"/>
      <c r="S212" s="21"/>
      <c r="T212" s="21"/>
    </row>
    <row r="213" spans="3:20">
      <c r="C213" s="21"/>
      <c r="D213" s="21"/>
      <c r="E213" s="21"/>
      <c r="F213" s="21"/>
      <c r="G213" s="21"/>
      <c r="H213" s="21"/>
      <c r="I213" s="21"/>
      <c r="J213" s="21"/>
      <c r="K213" s="21"/>
      <c r="L213" s="21"/>
      <c r="M213" s="21"/>
      <c r="N213" s="21"/>
      <c r="O213" s="21"/>
      <c r="P213" s="21"/>
      <c r="Q213" s="21"/>
      <c r="R213" s="21"/>
      <c r="S213" s="21"/>
      <c r="T213" s="21"/>
    </row>
    <row r="214" spans="3:20">
      <c r="C214" s="21"/>
      <c r="D214" s="21"/>
      <c r="E214" s="21"/>
      <c r="F214" s="21"/>
      <c r="G214" s="21"/>
      <c r="H214" s="21"/>
      <c r="I214" s="21"/>
      <c r="J214" s="21"/>
      <c r="K214" s="21"/>
      <c r="L214" s="21"/>
      <c r="M214" s="21"/>
      <c r="N214" s="21"/>
      <c r="O214" s="21"/>
      <c r="P214" s="21"/>
      <c r="Q214" s="21"/>
      <c r="R214" s="21"/>
      <c r="S214" s="21"/>
      <c r="T214" s="21"/>
    </row>
    <row r="215" spans="3:20">
      <c r="C215" s="21"/>
      <c r="D215" s="21"/>
      <c r="E215" s="21"/>
      <c r="F215" s="21"/>
      <c r="G215" s="21"/>
      <c r="H215" s="21"/>
      <c r="I215" s="21"/>
      <c r="J215" s="21"/>
      <c r="K215" s="21"/>
      <c r="L215" s="21"/>
      <c r="M215" s="21"/>
      <c r="N215" s="21"/>
      <c r="O215" s="21"/>
      <c r="P215" s="21"/>
      <c r="Q215" s="21"/>
      <c r="R215" s="21"/>
      <c r="S215" s="21"/>
      <c r="T215" s="21"/>
    </row>
    <row r="216" spans="3:20">
      <c r="C216" s="21"/>
      <c r="D216" s="21"/>
      <c r="E216" s="21"/>
      <c r="F216" s="21"/>
      <c r="G216" s="21"/>
      <c r="H216" s="21"/>
      <c r="I216" s="21"/>
      <c r="J216" s="21"/>
      <c r="K216" s="21"/>
      <c r="L216" s="21"/>
      <c r="M216" s="21"/>
      <c r="N216" s="21"/>
      <c r="O216" s="21"/>
      <c r="P216" s="21"/>
      <c r="Q216" s="21"/>
      <c r="R216" s="21"/>
      <c r="S216" s="21"/>
      <c r="T216" s="21"/>
    </row>
    <row r="217" spans="3:20">
      <c r="C217" s="21"/>
      <c r="D217" s="21"/>
      <c r="E217" s="21"/>
      <c r="F217" s="21"/>
      <c r="G217" s="21"/>
      <c r="H217" s="21"/>
      <c r="I217" s="21"/>
      <c r="J217" s="21"/>
      <c r="K217" s="21"/>
      <c r="L217" s="21"/>
      <c r="M217" s="21"/>
      <c r="N217" s="21"/>
      <c r="O217" s="21"/>
      <c r="P217" s="21"/>
      <c r="Q217" s="21"/>
      <c r="R217" s="21"/>
      <c r="S217" s="21"/>
      <c r="T217" s="21"/>
    </row>
    <row r="218" spans="3:20">
      <c r="C218" s="21"/>
      <c r="D218" s="21"/>
      <c r="E218" s="21"/>
      <c r="F218" s="21"/>
      <c r="G218" s="21"/>
      <c r="H218" s="21"/>
      <c r="I218" s="21"/>
      <c r="J218" s="21"/>
      <c r="K218" s="21"/>
      <c r="L218" s="21"/>
      <c r="M218" s="21"/>
      <c r="N218" s="21"/>
      <c r="O218" s="21"/>
      <c r="P218" s="21"/>
      <c r="Q218" s="21"/>
      <c r="R218" s="21"/>
      <c r="S218" s="21"/>
      <c r="T218" s="21"/>
    </row>
    <row r="219" spans="3:20">
      <c r="C219" s="21"/>
      <c r="D219" s="21"/>
      <c r="E219" s="21"/>
      <c r="F219" s="21"/>
      <c r="G219" s="21"/>
      <c r="H219" s="21"/>
      <c r="I219" s="21"/>
      <c r="J219" s="21"/>
      <c r="K219" s="21"/>
      <c r="L219" s="21"/>
      <c r="M219" s="21"/>
      <c r="N219" s="21"/>
      <c r="O219" s="21"/>
      <c r="P219" s="21"/>
      <c r="Q219" s="21"/>
      <c r="R219" s="21"/>
      <c r="S219" s="21"/>
      <c r="T219" s="21"/>
    </row>
    <row r="220" spans="3:20">
      <c r="C220" s="21"/>
      <c r="D220" s="21"/>
      <c r="E220" s="21"/>
      <c r="F220" s="21"/>
      <c r="G220" s="21"/>
      <c r="H220" s="21"/>
      <c r="I220" s="21"/>
      <c r="J220" s="21"/>
      <c r="K220" s="21"/>
      <c r="L220" s="21"/>
      <c r="M220" s="21"/>
      <c r="N220" s="21"/>
      <c r="O220" s="21"/>
      <c r="P220" s="21"/>
      <c r="Q220" s="21"/>
      <c r="R220" s="21"/>
      <c r="S220" s="21"/>
      <c r="T220" s="21"/>
    </row>
    <row r="221" spans="3:20">
      <c r="C221" s="21"/>
      <c r="D221" s="21"/>
      <c r="E221" s="21"/>
      <c r="F221" s="21"/>
      <c r="G221" s="21"/>
      <c r="H221" s="21"/>
      <c r="I221" s="21"/>
      <c r="J221" s="21"/>
      <c r="K221" s="21"/>
      <c r="L221" s="21"/>
      <c r="M221" s="21"/>
      <c r="N221" s="21"/>
      <c r="O221" s="21"/>
      <c r="P221" s="21"/>
      <c r="Q221" s="21"/>
      <c r="R221" s="21"/>
      <c r="S221" s="21"/>
      <c r="T221" s="21"/>
    </row>
    <row r="222" spans="3:20">
      <c r="C222" s="21"/>
      <c r="D222" s="21"/>
      <c r="E222" s="21"/>
      <c r="F222" s="21"/>
      <c r="G222" s="21"/>
      <c r="H222" s="21"/>
      <c r="I222" s="21"/>
      <c r="J222" s="21"/>
      <c r="K222" s="21"/>
      <c r="L222" s="21"/>
      <c r="M222" s="21"/>
      <c r="N222" s="21"/>
      <c r="O222" s="21"/>
      <c r="P222" s="21"/>
      <c r="Q222" s="21"/>
      <c r="R222" s="21"/>
      <c r="S222" s="21"/>
      <c r="T222" s="21"/>
    </row>
    <row r="223" spans="3:20">
      <c r="C223" s="21"/>
      <c r="D223" s="21"/>
      <c r="E223" s="21"/>
      <c r="F223" s="21"/>
      <c r="G223" s="21"/>
      <c r="H223" s="21"/>
      <c r="I223" s="21"/>
      <c r="J223" s="21"/>
      <c r="K223" s="21"/>
      <c r="L223" s="21"/>
      <c r="M223" s="21"/>
      <c r="N223" s="21"/>
      <c r="O223" s="21"/>
      <c r="P223" s="21"/>
      <c r="Q223" s="21"/>
      <c r="R223" s="21"/>
      <c r="S223" s="21"/>
      <c r="T223" s="21"/>
    </row>
    <row r="224" spans="3:20">
      <c r="C224" s="21"/>
      <c r="D224" s="21"/>
      <c r="E224" s="21"/>
      <c r="F224" s="21"/>
      <c r="G224" s="21"/>
      <c r="H224" s="21"/>
      <c r="I224" s="21"/>
      <c r="J224" s="21"/>
      <c r="K224" s="21"/>
      <c r="L224" s="21"/>
      <c r="M224" s="21"/>
      <c r="N224" s="21"/>
      <c r="O224" s="21"/>
      <c r="P224" s="21"/>
      <c r="Q224" s="21"/>
      <c r="R224" s="21"/>
      <c r="S224" s="21"/>
      <c r="T224" s="21"/>
    </row>
    <row r="225" spans="3:20">
      <c r="C225" s="21"/>
      <c r="D225" s="21"/>
      <c r="E225" s="21"/>
      <c r="F225" s="21"/>
      <c r="G225" s="21"/>
      <c r="H225" s="21"/>
      <c r="I225" s="21"/>
      <c r="J225" s="21"/>
      <c r="K225" s="21"/>
      <c r="L225" s="21"/>
      <c r="M225" s="21"/>
      <c r="N225" s="21"/>
      <c r="O225" s="21"/>
      <c r="P225" s="21"/>
      <c r="Q225" s="21"/>
      <c r="R225" s="21"/>
      <c r="S225" s="21"/>
      <c r="T225" s="21"/>
    </row>
    <row r="226" spans="3:20">
      <c r="C226" s="21"/>
      <c r="D226" s="21"/>
      <c r="E226" s="21"/>
      <c r="F226" s="21"/>
      <c r="G226" s="21"/>
      <c r="H226" s="21"/>
      <c r="I226" s="21"/>
      <c r="J226" s="21"/>
      <c r="K226" s="21"/>
      <c r="L226" s="21"/>
      <c r="M226" s="21"/>
      <c r="N226" s="21"/>
      <c r="O226" s="21"/>
      <c r="P226" s="21"/>
      <c r="Q226" s="21"/>
      <c r="R226" s="21"/>
      <c r="S226" s="21"/>
      <c r="T226" s="21"/>
    </row>
    <row r="227" spans="3:20">
      <c r="C227" s="21"/>
      <c r="D227" s="21"/>
      <c r="E227" s="21"/>
      <c r="F227" s="21"/>
      <c r="G227" s="21"/>
      <c r="H227" s="21"/>
      <c r="I227" s="21"/>
      <c r="J227" s="21"/>
      <c r="K227" s="21"/>
      <c r="L227" s="21"/>
      <c r="M227" s="21"/>
      <c r="N227" s="21"/>
      <c r="O227" s="21"/>
      <c r="P227" s="21"/>
      <c r="Q227" s="21"/>
      <c r="R227" s="21"/>
      <c r="S227" s="21"/>
      <c r="T227" s="21"/>
    </row>
    <row r="228" spans="3:20">
      <c r="C228" s="21"/>
      <c r="D228" s="21"/>
      <c r="E228" s="21"/>
      <c r="F228" s="21"/>
      <c r="G228" s="21"/>
      <c r="H228" s="21"/>
      <c r="I228" s="21"/>
      <c r="J228" s="21"/>
      <c r="K228" s="21"/>
      <c r="L228" s="21"/>
      <c r="M228" s="21"/>
      <c r="N228" s="21"/>
      <c r="O228" s="21"/>
      <c r="P228" s="21"/>
      <c r="Q228" s="21"/>
      <c r="R228" s="21"/>
      <c r="S228" s="21"/>
      <c r="T228" s="21"/>
    </row>
    <row r="229" spans="3:20">
      <c r="C229" s="21"/>
      <c r="D229" s="21"/>
      <c r="E229" s="21"/>
      <c r="F229" s="21"/>
      <c r="G229" s="21"/>
      <c r="H229" s="21"/>
      <c r="I229" s="21"/>
      <c r="J229" s="21"/>
      <c r="K229" s="21"/>
      <c r="L229" s="21"/>
      <c r="M229" s="21"/>
      <c r="N229" s="21"/>
      <c r="O229" s="21"/>
      <c r="P229" s="21"/>
      <c r="Q229" s="21"/>
      <c r="R229" s="21"/>
      <c r="S229" s="21"/>
      <c r="T229" s="21"/>
    </row>
    <row r="230" spans="3:20">
      <c r="C230" s="21"/>
      <c r="D230" s="21"/>
      <c r="E230" s="21"/>
      <c r="F230" s="21"/>
      <c r="G230" s="21"/>
      <c r="H230" s="21"/>
      <c r="I230" s="21"/>
      <c r="J230" s="21"/>
      <c r="K230" s="21"/>
      <c r="L230" s="21"/>
      <c r="M230" s="21"/>
      <c r="N230" s="21"/>
      <c r="O230" s="21"/>
      <c r="P230" s="21"/>
      <c r="Q230" s="21"/>
      <c r="R230" s="21"/>
      <c r="S230" s="21"/>
      <c r="T230" s="21"/>
    </row>
    <row r="231" spans="3:20">
      <c r="C231" s="21"/>
      <c r="D231" s="21"/>
      <c r="E231" s="21"/>
      <c r="F231" s="21"/>
      <c r="G231" s="21"/>
      <c r="H231" s="21"/>
      <c r="I231" s="21"/>
      <c r="J231" s="21"/>
      <c r="K231" s="21"/>
      <c r="L231" s="21"/>
      <c r="M231" s="21"/>
      <c r="N231" s="21"/>
      <c r="O231" s="21"/>
      <c r="P231" s="21"/>
      <c r="Q231" s="21"/>
      <c r="R231" s="21"/>
      <c r="S231" s="21"/>
      <c r="T231" s="21"/>
    </row>
    <row r="232" spans="3:20">
      <c r="C232" s="21"/>
      <c r="D232" s="21"/>
      <c r="E232" s="21"/>
      <c r="F232" s="21"/>
      <c r="G232" s="21"/>
      <c r="H232" s="21"/>
      <c r="I232" s="21"/>
      <c r="J232" s="21"/>
      <c r="K232" s="21"/>
      <c r="L232" s="21"/>
      <c r="M232" s="21"/>
      <c r="N232" s="21"/>
      <c r="O232" s="21"/>
      <c r="P232" s="21"/>
      <c r="Q232" s="21"/>
      <c r="R232" s="21"/>
      <c r="S232" s="21"/>
      <c r="T232" s="21"/>
    </row>
    <row r="233" spans="3:20">
      <c r="C233" s="21"/>
      <c r="D233" s="21"/>
      <c r="E233" s="21"/>
      <c r="F233" s="21"/>
      <c r="G233" s="21"/>
      <c r="H233" s="21"/>
      <c r="I233" s="21"/>
      <c r="J233" s="21"/>
      <c r="K233" s="21"/>
      <c r="L233" s="21"/>
      <c r="M233" s="21"/>
      <c r="N233" s="21"/>
      <c r="O233" s="21"/>
      <c r="P233" s="21"/>
      <c r="Q233" s="21"/>
      <c r="R233" s="21"/>
      <c r="S233" s="21"/>
      <c r="T233" s="21"/>
    </row>
    <row r="234" spans="3:20">
      <c r="C234" s="21"/>
      <c r="D234" s="21"/>
      <c r="E234" s="21"/>
      <c r="F234" s="21"/>
      <c r="G234" s="21"/>
      <c r="H234" s="21"/>
      <c r="I234" s="21"/>
      <c r="J234" s="21"/>
      <c r="K234" s="21"/>
      <c r="L234" s="21"/>
      <c r="M234" s="21"/>
      <c r="N234" s="21"/>
      <c r="O234" s="21"/>
      <c r="P234" s="21"/>
      <c r="Q234" s="21"/>
      <c r="R234" s="21"/>
      <c r="S234" s="21"/>
      <c r="T234" s="21"/>
    </row>
    <row r="235" spans="3:20">
      <c r="C235" s="21"/>
      <c r="D235" s="21"/>
      <c r="E235" s="21"/>
      <c r="F235" s="21"/>
      <c r="G235" s="21"/>
      <c r="H235" s="21"/>
      <c r="I235" s="21"/>
      <c r="J235" s="21"/>
      <c r="K235" s="21"/>
      <c r="L235" s="21"/>
      <c r="M235" s="21"/>
      <c r="N235" s="21"/>
      <c r="O235" s="21"/>
      <c r="P235" s="21"/>
      <c r="Q235" s="21"/>
      <c r="R235" s="21"/>
      <c r="S235" s="21"/>
      <c r="T235" s="21"/>
    </row>
    <row r="236" spans="3:20">
      <c r="C236" s="21"/>
      <c r="D236" s="21"/>
      <c r="E236" s="21"/>
      <c r="F236" s="21"/>
      <c r="G236" s="21"/>
      <c r="H236" s="21"/>
      <c r="I236" s="21"/>
      <c r="J236" s="21"/>
      <c r="K236" s="21"/>
      <c r="L236" s="21"/>
      <c r="M236" s="21"/>
      <c r="N236" s="21"/>
      <c r="O236" s="21"/>
      <c r="P236" s="21"/>
      <c r="Q236" s="21"/>
      <c r="R236" s="21"/>
      <c r="S236" s="21"/>
      <c r="T236" s="21"/>
    </row>
    <row r="237" spans="3:20">
      <c r="C237" s="21"/>
      <c r="D237" s="21"/>
      <c r="E237" s="21"/>
      <c r="F237" s="21"/>
      <c r="G237" s="21"/>
      <c r="H237" s="21"/>
      <c r="I237" s="21"/>
      <c r="J237" s="21"/>
      <c r="K237" s="21"/>
      <c r="L237" s="21"/>
      <c r="M237" s="21"/>
      <c r="N237" s="21"/>
      <c r="O237" s="21"/>
      <c r="P237" s="21"/>
      <c r="Q237" s="21"/>
      <c r="R237" s="21"/>
      <c r="S237" s="21"/>
      <c r="T237" s="21"/>
    </row>
    <row r="238" spans="3:20">
      <c r="C238" s="21"/>
      <c r="D238" s="21"/>
      <c r="E238" s="21"/>
      <c r="F238" s="21"/>
      <c r="G238" s="21"/>
      <c r="H238" s="21"/>
      <c r="I238" s="21"/>
      <c r="J238" s="21"/>
      <c r="K238" s="21"/>
      <c r="L238" s="21"/>
      <c r="M238" s="21"/>
      <c r="N238" s="21"/>
      <c r="O238" s="21"/>
      <c r="P238" s="21"/>
      <c r="Q238" s="21"/>
      <c r="R238" s="21"/>
      <c r="S238" s="21"/>
      <c r="T238" s="21"/>
    </row>
    <row r="239" spans="3:20">
      <c r="C239" s="21"/>
      <c r="D239" s="21"/>
      <c r="E239" s="21"/>
      <c r="F239" s="21"/>
      <c r="G239" s="21"/>
      <c r="H239" s="21"/>
      <c r="I239" s="21"/>
      <c r="J239" s="21"/>
      <c r="K239" s="21"/>
      <c r="L239" s="21"/>
      <c r="M239" s="21"/>
      <c r="N239" s="21"/>
      <c r="O239" s="21"/>
      <c r="P239" s="21"/>
      <c r="Q239" s="21"/>
      <c r="R239" s="21"/>
      <c r="S239" s="21"/>
      <c r="T239" s="21"/>
    </row>
    <row r="240" spans="3:20">
      <c r="C240" s="21"/>
      <c r="D240" s="21"/>
      <c r="E240" s="21"/>
      <c r="F240" s="21"/>
      <c r="G240" s="21"/>
      <c r="H240" s="21"/>
      <c r="I240" s="21"/>
      <c r="J240" s="21"/>
      <c r="K240" s="21"/>
      <c r="L240" s="21"/>
      <c r="M240" s="21"/>
      <c r="N240" s="21"/>
      <c r="O240" s="21"/>
      <c r="P240" s="21"/>
      <c r="Q240" s="21"/>
      <c r="R240" s="21"/>
      <c r="S240" s="21"/>
      <c r="T240" s="21"/>
    </row>
    <row r="241" spans="3:20">
      <c r="C241" s="21"/>
      <c r="D241" s="21"/>
      <c r="E241" s="21"/>
      <c r="F241" s="21"/>
      <c r="G241" s="21"/>
      <c r="H241" s="21"/>
      <c r="I241" s="21"/>
      <c r="J241" s="21"/>
      <c r="K241" s="21"/>
      <c r="L241" s="21"/>
      <c r="M241" s="21"/>
      <c r="N241" s="21"/>
      <c r="O241" s="21"/>
      <c r="P241" s="21"/>
      <c r="Q241" s="21"/>
      <c r="R241" s="21"/>
      <c r="S241" s="21"/>
      <c r="T241" s="21"/>
    </row>
    <row r="242" spans="3:20">
      <c r="C242" s="21"/>
      <c r="D242" s="21"/>
      <c r="E242" s="21"/>
      <c r="F242" s="21"/>
      <c r="G242" s="21"/>
      <c r="H242" s="21"/>
      <c r="I242" s="21"/>
      <c r="J242" s="21"/>
      <c r="K242" s="21"/>
      <c r="L242" s="21"/>
      <c r="M242" s="21"/>
      <c r="N242" s="21"/>
      <c r="O242" s="21"/>
      <c r="P242" s="21"/>
      <c r="Q242" s="21"/>
      <c r="R242" s="21"/>
      <c r="S242" s="21"/>
      <c r="T242" s="21"/>
    </row>
    <row r="243" spans="3:20">
      <c r="C243" s="21"/>
      <c r="D243" s="21"/>
      <c r="E243" s="21"/>
      <c r="F243" s="21"/>
      <c r="G243" s="21"/>
      <c r="H243" s="21"/>
      <c r="I243" s="21"/>
      <c r="J243" s="21"/>
      <c r="K243" s="21"/>
      <c r="L243" s="21"/>
      <c r="M243" s="21"/>
      <c r="N243" s="21"/>
      <c r="O243" s="21"/>
      <c r="P243" s="21"/>
      <c r="Q243" s="21"/>
      <c r="R243" s="21"/>
      <c r="S243" s="21"/>
      <c r="T243" s="21"/>
    </row>
    <row r="244" spans="3:20">
      <c r="C244" s="21"/>
      <c r="D244" s="21"/>
      <c r="E244" s="21"/>
      <c r="F244" s="21"/>
      <c r="G244" s="21"/>
      <c r="H244" s="21"/>
      <c r="I244" s="21"/>
      <c r="J244" s="21"/>
      <c r="K244" s="21"/>
      <c r="L244" s="21"/>
      <c r="M244" s="21"/>
      <c r="N244" s="21"/>
      <c r="O244" s="21"/>
      <c r="P244" s="21"/>
      <c r="Q244" s="21"/>
      <c r="R244" s="21"/>
      <c r="S244" s="21"/>
      <c r="T244" s="21"/>
    </row>
    <row r="245" spans="3:20">
      <c r="C245" s="21"/>
      <c r="D245" s="21"/>
      <c r="E245" s="21"/>
      <c r="F245" s="21"/>
      <c r="G245" s="21"/>
      <c r="H245" s="21"/>
      <c r="I245" s="21"/>
      <c r="J245" s="21"/>
      <c r="K245" s="21"/>
      <c r="L245" s="21"/>
      <c r="M245" s="21"/>
      <c r="N245" s="21"/>
      <c r="O245" s="21"/>
      <c r="P245" s="21"/>
      <c r="Q245" s="21"/>
      <c r="R245" s="21"/>
      <c r="S245" s="21"/>
      <c r="T245" s="21"/>
    </row>
    <row r="246" spans="3:20">
      <c r="C246" s="21"/>
      <c r="D246" s="21"/>
      <c r="E246" s="21"/>
      <c r="F246" s="21"/>
      <c r="G246" s="21"/>
      <c r="H246" s="21"/>
      <c r="I246" s="21"/>
      <c r="J246" s="21"/>
      <c r="K246" s="21"/>
      <c r="L246" s="21"/>
      <c r="M246" s="21"/>
      <c r="N246" s="21"/>
      <c r="O246" s="21"/>
      <c r="P246" s="21"/>
      <c r="Q246" s="21"/>
      <c r="R246" s="21"/>
      <c r="S246" s="21"/>
      <c r="T246" s="21"/>
    </row>
    <row r="247" spans="3:20">
      <c r="C247" s="21"/>
      <c r="D247" s="21"/>
      <c r="E247" s="21"/>
      <c r="F247" s="21"/>
      <c r="G247" s="21"/>
      <c r="H247" s="21"/>
      <c r="I247" s="21"/>
      <c r="J247" s="21"/>
      <c r="K247" s="21"/>
      <c r="L247" s="21"/>
      <c r="M247" s="21"/>
      <c r="N247" s="21"/>
      <c r="O247" s="21"/>
      <c r="P247" s="21"/>
      <c r="Q247" s="21"/>
      <c r="R247" s="21"/>
      <c r="S247" s="21"/>
      <c r="T247" s="21"/>
    </row>
    <row r="248" spans="3:20">
      <c r="C248" s="21"/>
      <c r="D248" s="21"/>
      <c r="E248" s="21"/>
      <c r="F248" s="21"/>
      <c r="G248" s="21"/>
      <c r="H248" s="21"/>
      <c r="I248" s="21"/>
      <c r="J248" s="21"/>
      <c r="K248" s="21"/>
      <c r="L248" s="21"/>
      <c r="M248" s="21"/>
      <c r="N248" s="21"/>
      <c r="O248" s="21"/>
      <c r="P248" s="21"/>
      <c r="Q248" s="21"/>
      <c r="R248" s="21"/>
      <c r="S248" s="21"/>
      <c r="T248" s="21"/>
    </row>
    <row r="249" spans="3:20">
      <c r="C249" s="21"/>
      <c r="D249" s="21"/>
      <c r="E249" s="21"/>
      <c r="F249" s="21"/>
      <c r="G249" s="21"/>
      <c r="H249" s="21"/>
      <c r="I249" s="21"/>
      <c r="J249" s="21"/>
      <c r="K249" s="21"/>
      <c r="L249" s="21"/>
      <c r="M249" s="21"/>
      <c r="N249" s="21"/>
      <c r="O249" s="21"/>
      <c r="P249" s="21"/>
      <c r="Q249" s="21"/>
      <c r="R249" s="21"/>
      <c r="S249" s="21"/>
      <c r="T249" s="21"/>
    </row>
    <row r="250" spans="3:20">
      <c r="C250" s="21"/>
      <c r="D250" s="21"/>
      <c r="E250" s="21"/>
      <c r="F250" s="21"/>
      <c r="G250" s="21"/>
      <c r="H250" s="21"/>
      <c r="I250" s="21"/>
      <c r="J250" s="21"/>
      <c r="K250" s="21"/>
      <c r="L250" s="21"/>
      <c r="M250" s="21"/>
      <c r="N250" s="21"/>
      <c r="O250" s="21"/>
      <c r="P250" s="21"/>
      <c r="Q250" s="21"/>
      <c r="R250" s="21"/>
      <c r="S250" s="21"/>
      <c r="T250" s="21"/>
    </row>
    <row r="251" spans="3:20">
      <c r="C251" s="21"/>
      <c r="D251" s="21"/>
      <c r="E251" s="21"/>
      <c r="F251" s="21"/>
      <c r="G251" s="21"/>
      <c r="H251" s="21"/>
      <c r="I251" s="21"/>
      <c r="J251" s="21"/>
      <c r="K251" s="21"/>
      <c r="L251" s="21"/>
      <c r="M251" s="21"/>
      <c r="N251" s="21"/>
      <c r="O251" s="21"/>
      <c r="P251" s="21"/>
      <c r="Q251" s="21"/>
      <c r="R251" s="21"/>
      <c r="S251" s="21"/>
      <c r="T251" s="21"/>
    </row>
    <row r="252" spans="3:20">
      <c r="C252" s="21"/>
      <c r="D252" s="21"/>
      <c r="E252" s="21"/>
      <c r="F252" s="21"/>
      <c r="G252" s="21"/>
      <c r="H252" s="21"/>
      <c r="I252" s="21"/>
      <c r="J252" s="21"/>
      <c r="K252" s="21"/>
      <c r="L252" s="21"/>
      <c r="M252" s="21"/>
      <c r="N252" s="21"/>
      <c r="O252" s="21"/>
      <c r="P252" s="21"/>
      <c r="Q252" s="21"/>
      <c r="R252" s="21"/>
      <c r="S252" s="21"/>
      <c r="T252" s="21"/>
    </row>
    <row r="253" spans="3:20">
      <c r="C253" s="21"/>
      <c r="D253" s="21"/>
      <c r="E253" s="21"/>
      <c r="F253" s="21"/>
      <c r="G253" s="21"/>
      <c r="H253" s="21"/>
      <c r="I253" s="21"/>
      <c r="J253" s="21"/>
      <c r="K253" s="21"/>
      <c r="L253" s="21"/>
      <c r="M253" s="21"/>
      <c r="N253" s="21"/>
      <c r="O253" s="21"/>
      <c r="P253" s="21"/>
      <c r="Q253" s="21"/>
      <c r="R253" s="21"/>
      <c r="S253" s="21"/>
      <c r="T253" s="21"/>
    </row>
    <row r="254" spans="3:20">
      <c r="C254" s="21"/>
      <c r="D254" s="21"/>
      <c r="E254" s="21"/>
      <c r="F254" s="21"/>
      <c r="G254" s="21"/>
      <c r="H254" s="21"/>
      <c r="I254" s="21"/>
      <c r="J254" s="21"/>
      <c r="K254" s="21"/>
      <c r="L254" s="21"/>
      <c r="M254" s="21"/>
      <c r="N254" s="21"/>
      <c r="O254" s="21"/>
      <c r="P254" s="21"/>
      <c r="Q254" s="21"/>
      <c r="R254" s="21"/>
      <c r="S254" s="21"/>
      <c r="T254" s="21"/>
    </row>
    <row r="255" spans="3:20">
      <c r="C255" s="21"/>
      <c r="D255" s="21"/>
      <c r="E255" s="21"/>
      <c r="F255" s="21"/>
      <c r="G255" s="21"/>
      <c r="H255" s="21"/>
      <c r="I255" s="21"/>
      <c r="J255" s="21"/>
      <c r="K255" s="21"/>
      <c r="L255" s="21"/>
      <c r="M255" s="21"/>
      <c r="N255" s="21"/>
      <c r="O255" s="21"/>
      <c r="P255" s="21"/>
      <c r="Q255" s="21"/>
      <c r="R255" s="21"/>
      <c r="S255" s="21"/>
      <c r="T255" s="21"/>
    </row>
    <row r="256" spans="3:20">
      <c r="C256" s="21"/>
      <c r="D256" s="21"/>
      <c r="E256" s="21"/>
      <c r="F256" s="21"/>
      <c r="G256" s="21"/>
      <c r="H256" s="21"/>
      <c r="I256" s="21"/>
      <c r="J256" s="21"/>
      <c r="K256" s="21"/>
      <c r="L256" s="21"/>
      <c r="M256" s="21"/>
      <c r="N256" s="21"/>
      <c r="O256" s="21"/>
      <c r="P256" s="21"/>
      <c r="Q256" s="21"/>
      <c r="R256" s="21"/>
      <c r="S256" s="21"/>
      <c r="T256" s="21"/>
    </row>
    <row r="257" spans="3:20">
      <c r="C257" s="21"/>
      <c r="D257" s="21"/>
      <c r="E257" s="21"/>
      <c r="F257" s="21"/>
      <c r="G257" s="21"/>
      <c r="H257" s="21"/>
      <c r="I257" s="21"/>
      <c r="J257" s="21"/>
      <c r="K257" s="21"/>
      <c r="L257" s="21"/>
      <c r="M257" s="21"/>
      <c r="N257" s="21"/>
      <c r="O257" s="21"/>
      <c r="P257" s="21"/>
      <c r="Q257" s="21"/>
      <c r="R257" s="21"/>
      <c r="S257" s="21"/>
      <c r="T257" s="21"/>
    </row>
    <row r="258" spans="3:20">
      <c r="C258" s="21"/>
      <c r="D258" s="21"/>
      <c r="E258" s="21"/>
      <c r="F258" s="21"/>
      <c r="G258" s="21"/>
      <c r="H258" s="21"/>
      <c r="I258" s="21"/>
      <c r="J258" s="21"/>
      <c r="K258" s="21"/>
      <c r="L258" s="21"/>
      <c r="M258" s="21"/>
      <c r="N258" s="21"/>
      <c r="O258" s="21"/>
      <c r="P258" s="21"/>
      <c r="Q258" s="21"/>
      <c r="R258" s="21"/>
      <c r="S258" s="21"/>
      <c r="T258" s="21"/>
    </row>
    <row r="259" spans="3:20">
      <c r="C259" s="21"/>
      <c r="D259" s="21"/>
      <c r="E259" s="21"/>
      <c r="F259" s="21"/>
      <c r="G259" s="21"/>
      <c r="H259" s="21"/>
      <c r="I259" s="21"/>
      <c r="J259" s="21"/>
      <c r="K259" s="21"/>
      <c r="L259" s="21"/>
      <c r="M259" s="21"/>
      <c r="N259" s="21"/>
      <c r="O259" s="21"/>
      <c r="P259" s="21"/>
      <c r="Q259" s="21"/>
      <c r="R259" s="21"/>
      <c r="S259" s="21"/>
      <c r="T259" s="21"/>
    </row>
    <row r="260" spans="3:20">
      <c r="C260" s="21"/>
      <c r="D260" s="21"/>
      <c r="E260" s="21"/>
      <c r="F260" s="21"/>
      <c r="G260" s="21"/>
      <c r="H260" s="21"/>
      <c r="I260" s="21"/>
      <c r="J260" s="21"/>
      <c r="K260" s="21"/>
      <c r="L260" s="21"/>
      <c r="M260" s="21"/>
      <c r="N260" s="21"/>
      <c r="O260" s="21"/>
      <c r="P260" s="21"/>
      <c r="Q260" s="21"/>
      <c r="R260" s="21"/>
      <c r="S260" s="21"/>
      <c r="T260" s="21"/>
    </row>
    <row r="261" spans="3:20">
      <c r="C261" s="21"/>
      <c r="D261" s="21"/>
      <c r="E261" s="21"/>
      <c r="F261" s="21"/>
      <c r="G261" s="21"/>
      <c r="H261" s="21"/>
      <c r="I261" s="21"/>
      <c r="J261" s="21"/>
      <c r="K261" s="21"/>
      <c r="L261" s="21"/>
      <c r="M261" s="21"/>
      <c r="N261" s="21"/>
      <c r="O261" s="21"/>
      <c r="P261" s="21"/>
      <c r="Q261" s="21"/>
      <c r="R261" s="21"/>
      <c r="S261" s="21"/>
      <c r="T261" s="21"/>
    </row>
    <row r="262" spans="3:20">
      <c r="C262" s="21"/>
      <c r="D262" s="21"/>
      <c r="E262" s="21"/>
      <c r="F262" s="21"/>
      <c r="G262" s="21"/>
      <c r="H262" s="21"/>
      <c r="I262" s="21"/>
      <c r="J262" s="21"/>
      <c r="K262" s="21"/>
      <c r="L262" s="21"/>
      <c r="M262" s="21"/>
      <c r="N262" s="21"/>
      <c r="O262" s="21"/>
      <c r="P262" s="21"/>
      <c r="Q262" s="21"/>
      <c r="R262" s="21"/>
      <c r="S262" s="21"/>
      <c r="T262" s="21"/>
    </row>
    <row r="263" spans="3:20">
      <c r="C263" s="21"/>
      <c r="D263" s="21"/>
      <c r="E263" s="21"/>
      <c r="F263" s="21"/>
      <c r="G263" s="21"/>
      <c r="H263" s="21"/>
      <c r="I263" s="21"/>
      <c r="J263" s="21"/>
      <c r="K263" s="21"/>
      <c r="L263" s="21"/>
      <c r="M263" s="21"/>
      <c r="N263" s="21"/>
      <c r="O263" s="21"/>
      <c r="P263" s="21"/>
      <c r="Q263" s="21"/>
      <c r="R263" s="21"/>
      <c r="S263" s="21"/>
      <c r="T263" s="21"/>
    </row>
    <row r="264" spans="3:20">
      <c r="C264" s="21"/>
      <c r="D264" s="21"/>
      <c r="E264" s="21"/>
      <c r="F264" s="21"/>
      <c r="G264" s="21"/>
      <c r="H264" s="21"/>
      <c r="I264" s="21"/>
      <c r="J264" s="21"/>
      <c r="K264" s="21"/>
      <c r="L264" s="21"/>
      <c r="M264" s="21"/>
      <c r="N264" s="21"/>
      <c r="O264" s="21"/>
      <c r="P264" s="21"/>
      <c r="Q264" s="21"/>
      <c r="R264" s="21"/>
      <c r="S264" s="21"/>
      <c r="T264" s="21"/>
    </row>
    <row r="265" spans="3:20">
      <c r="C265" s="21"/>
      <c r="D265" s="21"/>
      <c r="E265" s="21"/>
      <c r="F265" s="21"/>
      <c r="G265" s="21"/>
      <c r="H265" s="21"/>
      <c r="I265" s="21"/>
      <c r="J265" s="21"/>
      <c r="K265" s="21"/>
      <c r="L265" s="21"/>
      <c r="M265" s="21"/>
      <c r="N265" s="21"/>
      <c r="O265" s="21"/>
      <c r="P265" s="21"/>
      <c r="Q265" s="21"/>
      <c r="R265" s="21"/>
      <c r="S265" s="21"/>
      <c r="T265" s="21"/>
    </row>
    <row r="266" spans="3:20">
      <c r="C266" s="21"/>
      <c r="D266" s="21"/>
      <c r="E266" s="21"/>
      <c r="F266" s="21"/>
      <c r="G266" s="21"/>
      <c r="H266" s="21"/>
      <c r="I266" s="21"/>
      <c r="J266" s="21"/>
      <c r="K266" s="21"/>
      <c r="L266" s="21"/>
      <c r="M266" s="21"/>
      <c r="N266" s="21"/>
      <c r="O266" s="21"/>
      <c r="P266" s="21"/>
      <c r="Q266" s="21"/>
      <c r="R266" s="21"/>
      <c r="S266" s="21"/>
      <c r="T266" s="21"/>
    </row>
    <row r="267" spans="3:20">
      <c r="C267" s="21"/>
      <c r="D267" s="21"/>
      <c r="E267" s="21"/>
      <c r="F267" s="21"/>
      <c r="G267" s="21"/>
      <c r="H267" s="21"/>
      <c r="I267" s="21"/>
      <c r="J267" s="21"/>
      <c r="K267" s="21"/>
      <c r="L267" s="21"/>
      <c r="M267" s="21"/>
      <c r="N267" s="21"/>
      <c r="O267" s="21"/>
      <c r="P267" s="21"/>
      <c r="Q267" s="21"/>
      <c r="R267" s="21"/>
      <c r="S267" s="21"/>
      <c r="T267" s="21"/>
    </row>
    <row r="268" spans="3:20">
      <c r="C268" s="21"/>
      <c r="D268" s="21"/>
      <c r="E268" s="21"/>
      <c r="F268" s="21"/>
      <c r="G268" s="21"/>
      <c r="H268" s="21"/>
      <c r="I268" s="21"/>
      <c r="J268" s="21"/>
      <c r="K268" s="21"/>
      <c r="L268" s="21"/>
      <c r="M268" s="21"/>
      <c r="N268" s="21"/>
      <c r="O268" s="21"/>
      <c r="P268" s="21"/>
      <c r="Q268" s="21"/>
      <c r="R268" s="21"/>
      <c r="S268" s="21"/>
      <c r="T268" s="21"/>
    </row>
    <row r="269" spans="3:20">
      <c r="C269" s="21"/>
      <c r="D269" s="21"/>
      <c r="E269" s="21"/>
      <c r="F269" s="21"/>
      <c r="G269" s="21"/>
      <c r="H269" s="21"/>
      <c r="I269" s="21"/>
      <c r="J269" s="21"/>
      <c r="K269" s="21"/>
      <c r="L269" s="21"/>
      <c r="M269" s="21"/>
      <c r="N269" s="21"/>
      <c r="O269" s="21"/>
      <c r="P269" s="21"/>
      <c r="Q269" s="21"/>
      <c r="R269" s="21"/>
      <c r="S269" s="21"/>
      <c r="T269" s="21"/>
    </row>
    <row r="270" spans="3:20">
      <c r="C270" s="21"/>
      <c r="D270" s="21"/>
      <c r="E270" s="21"/>
      <c r="F270" s="21"/>
      <c r="G270" s="21"/>
      <c r="H270" s="21"/>
      <c r="I270" s="21"/>
      <c r="J270" s="21"/>
      <c r="K270" s="21"/>
      <c r="L270" s="21"/>
      <c r="M270" s="21"/>
      <c r="N270" s="21"/>
      <c r="O270" s="21"/>
      <c r="P270" s="21"/>
      <c r="Q270" s="21"/>
      <c r="R270" s="21"/>
      <c r="S270" s="21"/>
      <c r="T270" s="21"/>
    </row>
    <row r="271" spans="3:20">
      <c r="C271" s="21"/>
      <c r="D271" s="21"/>
      <c r="E271" s="21"/>
      <c r="F271" s="21"/>
      <c r="G271" s="21"/>
      <c r="H271" s="21"/>
      <c r="I271" s="21"/>
      <c r="J271" s="21"/>
      <c r="K271" s="21"/>
      <c r="L271" s="21"/>
      <c r="M271" s="21"/>
      <c r="N271" s="21"/>
      <c r="O271" s="21"/>
      <c r="P271" s="21"/>
      <c r="Q271" s="21"/>
      <c r="R271" s="21"/>
      <c r="S271" s="21"/>
      <c r="T271" s="21"/>
    </row>
    <row r="272" spans="3:20">
      <c r="C272" s="21"/>
      <c r="D272" s="21"/>
      <c r="E272" s="21"/>
      <c r="F272" s="21"/>
      <c r="G272" s="21"/>
      <c r="H272" s="21"/>
      <c r="I272" s="21"/>
      <c r="J272" s="21"/>
      <c r="K272" s="21"/>
      <c r="L272" s="21"/>
      <c r="M272" s="21"/>
      <c r="N272" s="21"/>
      <c r="O272" s="21"/>
      <c r="P272" s="21"/>
      <c r="Q272" s="21"/>
      <c r="R272" s="21"/>
      <c r="S272" s="21"/>
      <c r="T272" s="21"/>
    </row>
    <row r="273" spans="3:20">
      <c r="C273" s="21"/>
      <c r="D273" s="21"/>
      <c r="E273" s="21"/>
      <c r="F273" s="21"/>
      <c r="G273" s="21"/>
      <c r="H273" s="21"/>
      <c r="I273" s="21"/>
      <c r="J273" s="21"/>
      <c r="K273" s="21"/>
      <c r="L273" s="21"/>
      <c r="M273" s="21"/>
      <c r="N273" s="21"/>
      <c r="O273" s="21"/>
      <c r="P273" s="21"/>
      <c r="Q273" s="21"/>
      <c r="R273" s="21"/>
      <c r="S273" s="21"/>
      <c r="T273" s="21"/>
    </row>
    <row r="274" spans="3:20">
      <c r="C274" s="21"/>
      <c r="D274" s="21"/>
      <c r="E274" s="21"/>
      <c r="F274" s="21"/>
      <c r="G274" s="21"/>
      <c r="H274" s="21"/>
      <c r="I274" s="21"/>
      <c r="J274" s="21"/>
      <c r="K274" s="21"/>
      <c r="L274" s="21"/>
      <c r="M274" s="21"/>
      <c r="N274" s="21"/>
      <c r="O274" s="21"/>
      <c r="P274" s="21"/>
      <c r="Q274" s="21"/>
      <c r="R274" s="21"/>
      <c r="S274" s="21"/>
      <c r="T274" s="21"/>
    </row>
    <row r="275" spans="3:20">
      <c r="C275" s="21"/>
      <c r="D275" s="21"/>
      <c r="E275" s="21"/>
      <c r="F275" s="21"/>
      <c r="G275" s="21"/>
      <c r="H275" s="21"/>
      <c r="I275" s="21"/>
      <c r="J275" s="21"/>
      <c r="K275" s="21"/>
      <c r="L275" s="21"/>
      <c r="M275" s="21"/>
      <c r="N275" s="21"/>
      <c r="O275" s="21"/>
      <c r="P275" s="21"/>
      <c r="Q275" s="21"/>
      <c r="R275" s="21"/>
      <c r="S275" s="21"/>
      <c r="T275" s="21"/>
    </row>
    <row r="276" spans="3:20">
      <c r="C276" s="21"/>
      <c r="D276" s="21"/>
      <c r="E276" s="21"/>
      <c r="F276" s="21"/>
      <c r="G276" s="21"/>
      <c r="H276" s="21"/>
      <c r="I276" s="21"/>
      <c r="J276" s="21"/>
      <c r="K276" s="21"/>
      <c r="L276" s="21"/>
      <c r="M276" s="21"/>
      <c r="N276" s="21"/>
      <c r="O276" s="21"/>
      <c r="P276" s="21"/>
      <c r="Q276" s="21"/>
      <c r="R276" s="21"/>
      <c r="S276" s="21"/>
      <c r="T276" s="21"/>
    </row>
    <row r="277" spans="3:20">
      <c r="C277" s="21"/>
      <c r="D277" s="21"/>
      <c r="E277" s="21"/>
      <c r="F277" s="21"/>
      <c r="G277" s="21"/>
      <c r="H277" s="21"/>
      <c r="I277" s="21"/>
      <c r="J277" s="21"/>
      <c r="K277" s="21"/>
      <c r="L277" s="21"/>
      <c r="M277" s="21"/>
      <c r="N277" s="21"/>
      <c r="O277" s="21"/>
      <c r="P277" s="21"/>
      <c r="Q277" s="21"/>
      <c r="R277" s="21"/>
      <c r="S277" s="21"/>
      <c r="T277" s="21"/>
    </row>
    <row r="278" spans="3:20">
      <c r="C278" s="21"/>
      <c r="D278" s="21"/>
      <c r="E278" s="21"/>
      <c r="F278" s="21"/>
      <c r="G278" s="21"/>
      <c r="H278" s="21"/>
      <c r="I278" s="21"/>
      <c r="J278" s="21"/>
      <c r="K278" s="21"/>
      <c r="L278" s="21"/>
      <c r="M278" s="21"/>
      <c r="N278" s="21"/>
      <c r="O278" s="21"/>
      <c r="P278" s="21"/>
      <c r="Q278" s="21"/>
      <c r="R278" s="21"/>
      <c r="S278" s="21"/>
      <c r="T278" s="21"/>
    </row>
    <row r="279" spans="3:20">
      <c r="C279" s="21"/>
      <c r="D279" s="21"/>
      <c r="E279" s="21"/>
      <c r="F279" s="21"/>
      <c r="G279" s="21"/>
      <c r="H279" s="21"/>
      <c r="I279" s="21"/>
      <c r="J279" s="21"/>
      <c r="K279" s="21"/>
      <c r="L279" s="21"/>
      <c r="M279" s="21"/>
      <c r="N279" s="21"/>
      <c r="O279" s="21"/>
      <c r="P279" s="21"/>
      <c r="Q279" s="21"/>
      <c r="R279" s="21"/>
      <c r="S279" s="21"/>
      <c r="T279" s="21"/>
    </row>
    <row r="280" spans="3:20">
      <c r="C280" s="21"/>
      <c r="D280" s="21"/>
      <c r="E280" s="21"/>
      <c r="F280" s="21"/>
      <c r="G280" s="21"/>
      <c r="H280" s="21"/>
      <c r="I280" s="21"/>
      <c r="J280" s="21"/>
      <c r="K280" s="21"/>
      <c r="L280" s="21"/>
      <c r="M280" s="21"/>
      <c r="N280" s="21"/>
      <c r="O280" s="21"/>
      <c r="P280" s="21"/>
      <c r="Q280" s="21"/>
      <c r="R280" s="21"/>
      <c r="S280" s="21"/>
      <c r="T280" s="21"/>
    </row>
    <row r="281" spans="3:20">
      <c r="C281" s="21"/>
      <c r="D281" s="21"/>
      <c r="E281" s="21"/>
      <c r="F281" s="21"/>
      <c r="G281" s="21"/>
      <c r="H281" s="21"/>
      <c r="I281" s="21"/>
      <c r="J281" s="21"/>
      <c r="K281" s="21"/>
      <c r="L281" s="21"/>
      <c r="M281" s="21"/>
      <c r="N281" s="21"/>
      <c r="O281" s="21"/>
      <c r="P281" s="21"/>
      <c r="Q281" s="21"/>
      <c r="R281" s="21"/>
      <c r="S281" s="21"/>
      <c r="T281" s="21"/>
    </row>
    <row r="282" spans="3:20">
      <c r="C282" s="21"/>
      <c r="D282" s="21"/>
      <c r="E282" s="21"/>
      <c r="F282" s="21"/>
      <c r="G282" s="21"/>
      <c r="H282" s="21"/>
      <c r="I282" s="21"/>
      <c r="J282" s="21"/>
      <c r="K282" s="21"/>
      <c r="L282" s="21"/>
      <c r="M282" s="21"/>
      <c r="N282" s="21"/>
      <c r="O282" s="21"/>
      <c r="P282" s="21"/>
      <c r="Q282" s="21"/>
      <c r="R282" s="21"/>
      <c r="S282" s="21"/>
      <c r="T282" s="21"/>
    </row>
    <row r="283" spans="3:20">
      <c r="C283" s="21"/>
      <c r="D283" s="21"/>
      <c r="E283" s="21"/>
      <c r="F283" s="21"/>
      <c r="G283" s="21"/>
      <c r="H283" s="21"/>
      <c r="I283" s="21"/>
      <c r="J283" s="21"/>
      <c r="K283" s="21"/>
      <c r="L283" s="21"/>
      <c r="M283" s="21"/>
      <c r="N283" s="21"/>
      <c r="O283" s="21"/>
      <c r="P283" s="21"/>
      <c r="Q283" s="21"/>
      <c r="R283" s="21"/>
      <c r="S283" s="21"/>
      <c r="T283" s="21"/>
    </row>
    <row r="284" spans="3:20">
      <c r="C284" s="21"/>
      <c r="D284" s="21"/>
      <c r="E284" s="21"/>
      <c r="F284" s="21"/>
      <c r="G284" s="21"/>
      <c r="H284" s="21"/>
      <c r="I284" s="21"/>
      <c r="J284" s="21"/>
      <c r="K284" s="21"/>
      <c r="L284" s="21"/>
      <c r="M284" s="21"/>
      <c r="N284" s="21"/>
      <c r="O284" s="21"/>
      <c r="P284" s="21"/>
      <c r="Q284" s="21"/>
      <c r="R284" s="21"/>
      <c r="S284" s="21"/>
      <c r="T284" s="21"/>
    </row>
  </sheetData>
  <mergeCells count="3">
    <mergeCell ref="A1:S1"/>
    <mergeCell ref="A2:S2"/>
    <mergeCell ref="A3:S3"/>
  </mergeCells>
  <pageMargins left="0.75" right="0.75" top="1" bottom="1" header="0.5" footer="0.5"/>
  <pageSetup scale="55" orientation="landscape" r:id="rId1"/>
  <headerFooter alignWithMargins="0">
    <oddFooter>&amp;L&amp;Z
&amp;F&amp;C&amp;A&amp;R4.&amp;P</oddFooter>
  </headerFooter>
</worksheet>
</file>

<file path=xl/worksheets/sheet124.xml><?xml version="1.0" encoding="utf-8"?>
<worksheet xmlns="http://schemas.openxmlformats.org/spreadsheetml/2006/main" xmlns:r="http://schemas.openxmlformats.org/officeDocument/2006/relationships">
  <sheetPr codeName="Sheet127">
    <pageSetUpPr fitToPage="1"/>
  </sheetPr>
  <dimension ref="A1:P160"/>
  <sheetViews>
    <sheetView zoomScaleNormal="100" workbookViewId="0">
      <selection sqref="A1:P1"/>
    </sheetView>
  </sheetViews>
  <sheetFormatPr defaultRowHeight="12.75"/>
  <cols>
    <col min="1" max="1" width="40.5703125" bestFit="1" customWidth="1"/>
    <col min="2" max="2" width="17.7109375" customWidth="1"/>
    <col min="3" max="3" width="1.7109375" customWidth="1"/>
    <col min="4" max="4" width="17.7109375" customWidth="1"/>
    <col min="5" max="5" width="1.7109375" customWidth="1"/>
    <col min="6" max="6" width="17.7109375" customWidth="1"/>
    <col min="7" max="7" width="1.7109375" customWidth="1"/>
    <col min="8" max="8" width="17.7109375" customWidth="1"/>
    <col min="9" max="9" width="1.7109375" customWidth="1"/>
    <col min="10" max="10" width="17.7109375" customWidth="1"/>
    <col min="11" max="11" width="1.7109375" customWidth="1"/>
    <col min="12" max="12" width="17.7109375" customWidth="1"/>
    <col min="13" max="13" width="2.140625" customWidth="1"/>
    <col min="14" max="14" width="16.7109375" customWidth="1"/>
    <col min="15" max="15" width="2.28515625" customWidth="1"/>
    <col min="16" max="16" width="23.140625" bestFit="1" customWidth="1"/>
  </cols>
  <sheetData>
    <row r="1" spans="1:16" s="38" customFormat="1" ht="15.75">
      <c r="A1" s="366" t="s">
        <v>134</v>
      </c>
      <c r="B1" s="366"/>
      <c r="C1" s="366"/>
      <c r="D1" s="366"/>
      <c r="E1" s="366"/>
      <c r="F1" s="366"/>
      <c r="G1" s="366"/>
      <c r="H1" s="366"/>
      <c r="I1" s="366"/>
      <c r="J1" s="366"/>
      <c r="K1" s="366"/>
      <c r="L1" s="366"/>
      <c r="M1" s="366"/>
      <c r="N1" s="366"/>
      <c r="O1" s="366"/>
      <c r="P1" s="366"/>
    </row>
    <row r="2" spans="1:16" s="38" customFormat="1" ht="15.75">
      <c r="A2" s="367" t="s">
        <v>1152</v>
      </c>
      <c r="B2" s="366"/>
      <c r="C2" s="366"/>
      <c r="D2" s="366"/>
      <c r="E2" s="366"/>
      <c r="F2" s="366"/>
      <c r="G2" s="366"/>
      <c r="H2" s="366"/>
      <c r="I2" s="366"/>
      <c r="J2" s="366"/>
      <c r="K2" s="366"/>
      <c r="L2" s="366"/>
      <c r="M2" s="366"/>
      <c r="N2" s="366"/>
      <c r="O2" s="366"/>
      <c r="P2" s="366"/>
    </row>
    <row r="3" spans="1:16">
      <c r="A3" s="357" t="str">
        <f>'Summary - Cost - PG 1 (PA)'!A3:N3</f>
        <v>MARCH 2012</v>
      </c>
      <c r="B3" s="357"/>
      <c r="C3" s="357"/>
      <c r="D3" s="357"/>
      <c r="E3" s="357"/>
      <c r="F3" s="357"/>
      <c r="G3" s="357"/>
      <c r="H3" s="357"/>
      <c r="I3" s="357"/>
      <c r="J3" s="357"/>
      <c r="K3" s="357"/>
      <c r="L3" s="357"/>
      <c r="M3" s="357"/>
      <c r="N3" s="357"/>
      <c r="O3" s="357"/>
      <c r="P3" s="357"/>
    </row>
    <row r="4" spans="1:16">
      <c r="A4" s="190"/>
      <c r="B4" s="190"/>
      <c r="C4" s="190"/>
      <c r="D4" s="190"/>
      <c r="E4" s="190"/>
      <c r="F4" s="190"/>
      <c r="G4" s="190"/>
      <c r="H4" s="190"/>
      <c r="I4" s="190"/>
      <c r="J4" s="190"/>
      <c r="K4" s="190"/>
      <c r="L4" s="190"/>
    </row>
    <row r="6" spans="1:16">
      <c r="B6" s="41" t="s">
        <v>25</v>
      </c>
      <c r="D6" s="182"/>
      <c r="F6" s="182"/>
      <c r="H6" s="41" t="s">
        <v>612</v>
      </c>
      <c r="J6" s="182"/>
      <c r="L6" s="41" t="s">
        <v>26</v>
      </c>
      <c r="P6" s="29" t="s">
        <v>422</v>
      </c>
    </row>
    <row r="7" spans="1:16" s="10" customFormat="1">
      <c r="A7" s="12" t="s">
        <v>371</v>
      </c>
      <c r="B7" s="42" t="s">
        <v>27</v>
      </c>
      <c r="C7"/>
      <c r="D7" s="42" t="s">
        <v>107</v>
      </c>
      <c r="E7"/>
      <c r="F7" s="42" t="s">
        <v>108</v>
      </c>
      <c r="G7"/>
      <c r="H7" s="42" t="s">
        <v>613</v>
      </c>
      <c r="I7"/>
      <c r="J7" s="42" t="s">
        <v>109</v>
      </c>
      <c r="K7"/>
      <c r="L7" s="42" t="s">
        <v>27</v>
      </c>
      <c r="N7" s="42" t="s">
        <v>46</v>
      </c>
      <c r="P7" s="42" t="s">
        <v>419</v>
      </c>
    </row>
    <row r="8" spans="1:16" s="10" customFormat="1">
      <c r="A8" s="12" t="s">
        <v>296</v>
      </c>
      <c r="B8" s="54"/>
      <c r="C8"/>
      <c r="D8" s="54"/>
      <c r="E8"/>
      <c r="F8" s="54"/>
      <c r="G8"/>
      <c r="H8" s="54"/>
      <c r="I8"/>
      <c r="J8" s="54"/>
      <c r="K8"/>
      <c r="L8" s="54"/>
    </row>
    <row r="9" spans="1:16" s="10" customFormat="1">
      <c r="A9" s="12" t="s">
        <v>420</v>
      </c>
      <c r="B9"/>
      <c r="C9"/>
      <c r="D9"/>
      <c r="E9"/>
      <c r="F9"/>
      <c r="G9"/>
      <c r="H9"/>
      <c r="I9"/>
      <c r="J9"/>
      <c r="K9"/>
      <c r="L9"/>
    </row>
    <row r="10" spans="1:16" s="10" customFormat="1">
      <c r="A10" s="12" t="s">
        <v>807</v>
      </c>
      <c r="B10"/>
      <c r="C10"/>
      <c r="D10"/>
      <c r="E10"/>
      <c r="F10"/>
      <c r="G10"/>
      <c r="H10"/>
      <c r="I10"/>
      <c r="J10"/>
      <c r="K10"/>
      <c r="L10"/>
    </row>
    <row r="11" spans="1:16">
      <c r="A11" t="s">
        <v>19</v>
      </c>
      <c r="B11" s="182">
        <f>'KY_Cost-Plant Acct-Comm-P8(PA)'!B11</f>
        <v>0</v>
      </c>
      <c r="C11" s="182"/>
      <c r="D11" s="182">
        <f>'KY_Cost-Plant Acct-Comm-P8(PA)'!D11</f>
        <v>0</v>
      </c>
      <c r="E11" s="182"/>
      <c r="F11" s="182">
        <f>'KY_Cost-Plant Acct-Comm-P8(PA)'!F11</f>
        <v>0</v>
      </c>
      <c r="G11" s="182"/>
      <c r="H11" s="182">
        <f>'KY_Cost-Plant Acct-Comm-P8(PA)'!H11</f>
        <v>0</v>
      </c>
      <c r="I11" s="182"/>
      <c r="J11" s="182">
        <f t="shared" ref="J11:J39" si="0">H11+F11+D11</f>
        <v>0</v>
      </c>
      <c r="K11" s="182"/>
      <c r="L11" s="182">
        <f t="shared" ref="L11:L39" si="1">J11+B11</f>
        <v>0</v>
      </c>
      <c r="M11" s="4"/>
      <c r="N11" s="89">
        <f>'KY_Res by Plant Acct-P29 (PA)'!R403</f>
        <v>0</v>
      </c>
      <c r="P11" s="89">
        <f t="shared" ref="P11:P39" si="2">L11+N11</f>
        <v>0</v>
      </c>
    </row>
    <row r="12" spans="1:16">
      <c r="A12" t="s">
        <v>20</v>
      </c>
      <c r="B12" s="182">
        <f>'KY_Cost-Plant Acct-Comm-P8(PA)'!B12</f>
        <v>-127911.26</v>
      </c>
      <c r="C12" s="182"/>
      <c r="D12" s="182">
        <f>'KY_Cost-Plant Acct-Comm-P8(PA)'!D12</f>
        <v>0</v>
      </c>
      <c r="E12" s="182"/>
      <c r="F12" s="182">
        <f>'KY_Cost-Plant Acct-Comm-P8(PA)'!F12</f>
        <v>0</v>
      </c>
      <c r="G12" s="182"/>
      <c r="H12" s="182">
        <f>'KY_Cost-Plant Acct-Comm-P8(PA)'!H12</f>
        <v>0</v>
      </c>
      <c r="I12" s="182"/>
      <c r="J12" s="182">
        <f t="shared" si="0"/>
        <v>0</v>
      </c>
      <c r="K12" s="182"/>
      <c r="L12" s="182">
        <f t="shared" si="1"/>
        <v>-127911.26</v>
      </c>
      <c r="M12" s="4"/>
      <c r="N12" s="89">
        <f>'KY_Res by Plant Acct-P29 (PA)'!R404</f>
        <v>127911.26</v>
      </c>
      <c r="P12" s="89">
        <f t="shared" si="2"/>
        <v>0</v>
      </c>
    </row>
    <row r="13" spans="1:16">
      <c r="A13" t="s">
        <v>266</v>
      </c>
      <c r="B13" s="182">
        <f>'KY_Cost-Plant Acct-Comm-P8(PA)'!B13+'KY_Cost-Plant Acct-Comm-P8(PA)'!B48</f>
        <v>-17029091.589999996</v>
      </c>
      <c r="C13" s="182"/>
      <c r="D13" s="182">
        <f>'KY_Cost-Plant Acct-Comm-P8(PA)'!D13+'KY_Cost-Plant Acct-Comm-P8(PA)'!D48</f>
        <v>0</v>
      </c>
      <c r="E13" s="182"/>
      <c r="F13" s="182">
        <f>'KY_Cost-Plant Acct-Comm-P8(PA)'!F13</f>
        <v>70384.41</v>
      </c>
      <c r="G13" s="182"/>
      <c r="H13" s="182">
        <f>'KY_Cost-Plant Acct-Comm-P8(PA)'!H13</f>
        <v>0</v>
      </c>
      <c r="I13" s="182"/>
      <c r="J13" s="182">
        <f t="shared" si="0"/>
        <v>70384.41</v>
      </c>
      <c r="K13" s="182"/>
      <c r="L13" s="182">
        <f t="shared" si="1"/>
        <v>-16958707.179999996</v>
      </c>
      <c r="M13" s="4"/>
      <c r="N13" s="89">
        <f>'KY_Res by Plant Acct-P29 (PA)'!R408+'KY_Res by Plant Acct-P29 (PA)'!R405+'KY_Res by Plant Acct-P29 (PA)'!R409+'KY_Res by Plant Acct-P29 (PA)'!R407+'KY_Res by Plant Acct-P29 (PA)'!R406</f>
        <v>16958707.179999996</v>
      </c>
      <c r="P13" s="89">
        <f t="shared" si="2"/>
        <v>0</v>
      </c>
    </row>
    <row r="14" spans="1:16">
      <c r="A14" t="s">
        <v>84</v>
      </c>
      <c r="B14" s="182">
        <f>'KY_Cost-Plant Acct-Comm-P8(PA)'!B14</f>
        <v>600967.29</v>
      </c>
      <c r="C14" s="182"/>
      <c r="D14" s="182">
        <f>'KY_Cost-Plant Acct-Comm-P8(PA)'!D14</f>
        <v>0</v>
      </c>
      <c r="E14" s="182"/>
      <c r="F14" s="182">
        <f>'KY_Cost-Plant Acct-Comm-P8(PA)'!F14</f>
        <v>0</v>
      </c>
      <c r="G14" s="182"/>
      <c r="H14" s="182">
        <f>'KY_Cost-Plant Acct-Comm-P8(PA)'!H14</f>
        <v>0</v>
      </c>
      <c r="I14" s="182"/>
      <c r="J14" s="182">
        <f t="shared" si="0"/>
        <v>0</v>
      </c>
      <c r="K14" s="182"/>
      <c r="L14" s="182">
        <f t="shared" si="1"/>
        <v>600967.29</v>
      </c>
      <c r="M14" s="4"/>
      <c r="N14" s="89">
        <f>'KY_Res by Plant Acct-P29 (PA)'!R410</f>
        <v>-600967.29</v>
      </c>
      <c r="P14" s="89">
        <f t="shared" si="2"/>
        <v>0</v>
      </c>
    </row>
    <row r="15" spans="1:16">
      <c r="A15" t="s">
        <v>85</v>
      </c>
      <c r="B15" s="182">
        <f>'KY_Cost-Plant Acct-Comm-P8(PA)'!B15</f>
        <v>-6942482.5999999996</v>
      </c>
      <c r="C15" s="182"/>
      <c r="D15" s="182">
        <f>'KY_Cost-Plant Acct-Comm-P8(PA)'!D15</f>
        <v>0</v>
      </c>
      <c r="E15" s="182"/>
      <c r="F15" s="182">
        <f>'KY_Cost-Plant Acct-Comm-P8(PA)'!F15</f>
        <v>76572.990000000005</v>
      </c>
      <c r="G15" s="182"/>
      <c r="H15" s="182">
        <f>'KY_Cost-Plant Acct-Comm-P8(PA)'!H15</f>
        <v>0</v>
      </c>
      <c r="I15" s="182"/>
      <c r="J15" s="182">
        <f t="shared" si="0"/>
        <v>76572.990000000005</v>
      </c>
      <c r="K15" s="182"/>
      <c r="L15" s="182">
        <f t="shared" si="1"/>
        <v>-6865909.6099999994</v>
      </c>
      <c r="M15" s="4"/>
      <c r="N15" s="89">
        <f>'KY_Res by Plant Acct-P29 (PA)'!R411</f>
        <v>6865909.6099999994</v>
      </c>
      <c r="P15" s="89">
        <f t="shared" si="2"/>
        <v>0</v>
      </c>
    </row>
    <row r="16" spans="1:16">
      <c r="A16" t="s">
        <v>86</v>
      </c>
      <c r="B16" s="182">
        <f>'KY_Cost-Plant Acct-Comm-P8(PA)'!B16</f>
        <v>-146026.66999999998</v>
      </c>
      <c r="C16" s="182"/>
      <c r="D16" s="182">
        <f>'KY_Cost-Plant Acct-Comm-P8(PA)'!D16</f>
        <v>0</v>
      </c>
      <c r="E16" s="182"/>
      <c r="F16" s="182">
        <f>'KY_Cost-Plant Acct-Comm-P8(PA)'!F16</f>
        <v>0</v>
      </c>
      <c r="G16" s="182"/>
      <c r="H16" s="182">
        <f>'KY_Cost-Plant Acct-Comm-P8(PA)'!H16</f>
        <v>0</v>
      </c>
      <c r="I16" s="182"/>
      <c r="J16" s="182">
        <f t="shared" si="0"/>
        <v>0</v>
      </c>
      <c r="K16" s="182"/>
      <c r="L16" s="182">
        <f t="shared" si="1"/>
        <v>-146026.66999999998</v>
      </c>
      <c r="M16" s="4"/>
      <c r="N16" s="89">
        <f>'KY_Res by Plant Acct-P29 (PA)'!R412</f>
        <v>146026.66999999998</v>
      </c>
      <c r="P16" s="89">
        <f t="shared" si="2"/>
        <v>0</v>
      </c>
    </row>
    <row r="17" spans="1:16">
      <c r="A17" t="s">
        <v>87</v>
      </c>
      <c r="B17" s="182">
        <f>'KY_Cost-Plant Acct-Comm-P8(PA)'!B17</f>
        <v>-199308.37</v>
      </c>
      <c r="C17" s="182"/>
      <c r="D17" s="182">
        <f>'KY_Cost-Plant Acct-Comm-P8(PA)'!D17</f>
        <v>0</v>
      </c>
      <c r="E17" s="182"/>
      <c r="F17" s="182">
        <f>'KY_Cost-Plant Acct-Comm-P8(PA)'!F17</f>
        <v>0</v>
      </c>
      <c r="G17" s="182"/>
      <c r="H17" s="182">
        <f>'KY_Cost-Plant Acct-Comm-P8(PA)'!H17</f>
        <v>0</v>
      </c>
      <c r="I17" s="182"/>
      <c r="J17" s="182">
        <f t="shared" si="0"/>
        <v>0</v>
      </c>
      <c r="K17" s="182"/>
      <c r="L17" s="182">
        <f t="shared" si="1"/>
        <v>-199308.37</v>
      </c>
      <c r="M17" s="4"/>
      <c r="N17" s="89">
        <f>'KY_Res by Plant Acct-P29 (PA)'!R413</f>
        <v>199308.37</v>
      </c>
      <c r="P17" s="89">
        <f t="shared" si="2"/>
        <v>0</v>
      </c>
    </row>
    <row r="18" spans="1:16">
      <c r="A18" t="s">
        <v>88</v>
      </c>
      <c r="B18" s="182">
        <f>'KY_Cost-Plant Acct-Comm-P8(PA)'!B18+'KY_Cost-Plant Acct-Comm-P8(PA)'!B49</f>
        <v>-1916398.4500000002</v>
      </c>
      <c r="C18" s="182"/>
      <c r="D18" s="182">
        <f>'KY_Cost-Plant Acct-Comm-P8(PA)'!D18+'KY_Cost-Plant Acct-Comm-P8(PA)'!D49</f>
        <v>0</v>
      </c>
      <c r="E18" s="182"/>
      <c r="F18" s="182">
        <f>'KY_Cost-Plant Acct-Comm-P8(PA)'!F18</f>
        <v>0</v>
      </c>
      <c r="G18" s="182"/>
      <c r="H18" s="182">
        <f>'KY_Cost-Plant Acct-Comm-P8(PA)'!H18</f>
        <v>0</v>
      </c>
      <c r="I18" s="182"/>
      <c r="J18" s="182">
        <f t="shared" si="0"/>
        <v>0</v>
      </c>
      <c r="K18" s="182"/>
      <c r="L18" s="182">
        <f t="shared" si="1"/>
        <v>-1916398.4500000002</v>
      </c>
      <c r="M18" s="4"/>
      <c r="N18" s="89">
        <f>'KY_Res by Plant Acct-P29 (PA)'!R414</f>
        <v>1916398.4500000002</v>
      </c>
      <c r="P18" s="89">
        <f t="shared" si="2"/>
        <v>0</v>
      </c>
    </row>
    <row r="19" spans="1:16">
      <c r="A19" t="s">
        <v>89</v>
      </c>
      <c r="B19" s="182">
        <f>'KY_Cost-Plant Acct-Comm-P8(PA)'!B19+'KY_Cost-Plant Acct-Comm-P8(PA)'!B50</f>
        <v>-863581.7100000002</v>
      </c>
      <c r="C19" s="182"/>
      <c r="D19" s="182">
        <f>'KY_Cost-Plant Acct-Comm-P8(PA)'!D19+'KY_Cost-Plant Acct-Comm-P8(PA)'!D50</f>
        <v>0</v>
      </c>
      <c r="E19" s="182"/>
      <c r="F19" s="182">
        <f>'KY_Cost-Plant Acct-Comm-P8(PA)'!F19</f>
        <v>0</v>
      </c>
      <c r="G19" s="182"/>
      <c r="H19" s="182">
        <f>'KY_Cost-Plant Acct-Comm-P8(PA)'!H19</f>
        <v>0</v>
      </c>
      <c r="I19" s="182"/>
      <c r="J19" s="182">
        <f t="shared" si="0"/>
        <v>0</v>
      </c>
      <c r="K19" s="182"/>
      <c r="L19" s="182">
        <f t="shared" si="1"/>
        <v>-863581.7100000002</v>
      </c>
      <c r="M19" s="4"/>
      <c r="N19" s="89">
        <f>'KY_Res by Plant Acct-P29 (PA)'!R415</f>
        <v>863581.7100000002</v>
      </c>
      <c r="P19" s="89">
        <f t="shared" si="2"/>
        <v>0</v>
      </c>
    </row>
    <row r="20" spans="1:16">
      <c r="A20" t="s">
        <v>90</v>
      </c>
      <c r="B20" s="182">
        <f>'KY_Cost-Plant Acct-Comm-P8(PA)'!B20+'KY_Cost-Plant Acct-Comm-P8(PA)'!B51</f>
        <v>-8175460.9799999986</v>
      </c>
      <c r="C20" s="182"/>
      <c r="D20" s="182">
        <f>'KY_Cost-Plant Acct-Comm-P8(PA)'!D20+'KY_Cost-Plant Acct-Comm-P8(PA)'!D51</f>
        <v>0</v>
      </c>
      <c r="E20" s="182"/>
      <c r="F20" s="182">
        <f>'KY_Cost-Plant Acct-Comm-P8(PA)'!F20</f>
        <v>0</v>
      </c>
      <c r="G20" s="182"/>
      <c r="H20" s="182">
        <f>'KY_Cost-Plant Acct-Comm-P8(PA)'!H20+'KY_Cost-Plant Acct-Comm-P8(PA)'!H51</f>
        <v>0</v>
      </c>
      <c r="I20" s="182"/>
      <c r="J20" s="182">
        <f t="shared" si="0"/>
        <v>0</v>
      </c>
      <c r="K20" s="182"/>
      <c r="L20" s="182">
        <f t="shared" si="1"/>
        <v>-8175460.9799999986</v>
      </c>
      <c r="M20" s="4"/>
      <c r="N20" s="89">
        <f>'KY_Res by Plant Acct-P29 (PA)'!R416</f>
        <v>8271990.9299999988</v>
      </c>
      <c r="P20" s="89">
        <f t="shared" si="2"/>
        <v>96529.950000000186</v>
      </c>
    </row>
    <row r="21" spans="1:16">
      <c r="A21" t="s">
        <v>91</v>
      </c>
      <c r="B21" s="182">
        <f>'KY_Cost-Plant Acct-Comm-P8(PA)'!B21+'KY_Cost-Plant Acct-Comm-P8(PA)'!B52</f>
        <v>-1352505.5799999998</v>
      </c>
      <c r="C21" s="182"/>
      <c r="D21" s="182">
        <f>'KY_Cost-Plant Acct-Comm-P8(PA)'!D21+'KY_Cost-Plant Acct-Comm-P8(PA)'!D52</f>
        <v>0</v>
      </c>
      <c r="E21" s="182"/>
      <c r="F21" s="182">
        <f>'KY_Cost-Plant Acct-Comm-P8(PA)'!F21</f>
        <v>0</v>
      </c>
      <c r="G21" s="182"/>
      <c r="H21" s="182">
        <f>'KY_Cost-Plant Acct-Comm-P8(PA)'!H21</f>
        <v>0</v>
      </c>
      <c r="I21" s="182"/>
      <c r="J21" s="182">
        <f t="shared" si="0"/>
        <v>0</v>
      </c>
      <c r="K21" s="182"/>
      <c r="L21" s="182">
        <f t="shared" si="1"/>
        <v>-1352505.5799999998</v>
      </c>
      <c r="M21" s="4"/>
      <c r="N21" s="89">
        <f>'KY_Res by Plant Acct-P29 (PA)'!R417</f>
        <v>1352505.5799999998</v>
      </c>
      <c r="P21" s="89">
        <f t="shared" si="2"/>
        <v>0</v>
      </c>
    </row>
    <row r="22" spans="1:16">
      <c r="A22" s="179" t="s">
        <v>1430</v>
      </c>
      <c r="B22" s="182">
        <f>'KY_Cost-Plant Acct-Comm-P8(PA)'!B22+'KY_Cost-Plant Acct-Comm-P8(PA)'!B53</f>
        <v>-85821.35</v>
      </c>
      <c r="C22" s="182"/>
      <c r="D22" s="182">
        <f>'KY_Cost-Plant Acct-Comm-P8(PA)'!D22+'KY_Cost-Plant Acct-Comm-P8(PA)'!D53</f>
        <v>0</v>
      </c>
      <c r="E22" s="182"/>
      <c r="F22" s="182">
        <f>'KY_Cost-Plant Acct-Comm-P8(PA)'!F22</f>
        <v>0</v>
      </c>
      <c r="G22" s="182"/>
      <c r="H22" s="182">
        <f>'KY_Cost-Plant Acct-Comm-P8(PA)'!H22</f>
        <v>0</v>
      </c>
      <c r="I22" s="182"/>
      <c r="J22" s="182">
        <f t="shared" ref="J22" si="3">H22+F22+D22</f>
        <v>0</v>
      </c>
      <c r="K22" s="182"/>
      <c r="L22" s="182">
        <f t="shared" ref="L22" si="4">J22+B22</f>
        <v>-85821.35</v>
      </c>
      <c r="M22" s="4"/>
      <c r="N22" s="89">
        <f>'KY_Res by Plant Acct-P29 (PA)'!R418</f>
        <v>86682.62</v>
      </c>
      <c r="P22" s="89">
        <f t="shared" ref="P22" si="5">L22+N22</f>
        <v>861.26999999998952</v>
      </c>
    </row>
    <row r="23" spans="1:16">
      <c r="A23" t="s">
        <v>92</v>
      </c>
      <c r="B23" s="182">
        <f>'KY_Cost-Plant Acct-Comm-P8(PA)'!B23+'KY_Cost-Plant Acct-Comm-P8(PA)'!B53</f>
        <v>-743414.12999999989</v>
      </c>
      <c r="C23" s="182"/>
      <c r="D23" s="182">
        <f>'KY_Cost-Plant Acct-Comm-P8(PA)'!D23+'KY_Cost-Plant Acct-Comm-P8(PA)'!D53</f>
        <v>0</v>
      </c>
      <c r="E23" s="182"/>
      <c r="F23" s="182">
        <f>'KY_Cost-Plant Acct-Comm-P8(PA)'!F23</f>
        <v>0</v>
      </c>
      <c r="G23" s="182"/>
      <c r="H23" s="182">
        <f>'KY_Cost-Plant Acct-Comm-P8(PA)'!H23</f>
        <v>0</v>
      </c>
      <c r="I23" s="182"/>
      <c r="J23" s="182">
        <f t="shared" si="0"/>
        <v>0</v>
      </c>
      <c r="K23" s="182"/>
      <c r="L23" s="182">
        <f t="shared" si="1"/>
        <v>-743414.12999999989</v>
      </c>
      <c r="M23" s="4"/>
      <c r="N23" s="89">
        <f>'KY_Res by Plant Acct-P29 (PA)'!R419</f>
        <v>743414.12999999989</v>
      </c>
      <c r="P23" s="89">
        <f t="shared" si="2"/>
        <v>0</v>
      </c>
    </row>
    <row r="24" spans="1:16">
      <c r="A24" t="s">
        <v>93</v>
      </c>
      <c r="B24" s="182">
        <f>'KY_Cost-Plant Acct-Comm-P8(PA)'!B24</f>
        <v>-99859.38</v>
      </c>
      <c r="C24" s="182"/>
      <c r="D24" s="182">
        <f>'KY_Cost-Plant Acct-Comm-P8(PA)'!D24</f>
        <v>0</v>
      </c>
      <c r="E24" s="182"/>
      <c r="F24" s="182">
        <f>'KY_Cost-Plant Acct-Comm-P8(PA)'!F24</f>
        <v>0</v>
      </c>
      <c r="G24" s="182"/>
      <c r="H24" s="182">
        <f>'KY_Cost-Plant Acct-Comm-P8(PA)'!H24</f>
        <v>0</v>
      </c>
      <c r="I24" s="182"/>
      <c r="J24" s="182">
        <f t="shared" si="0"/>
        <v>0</v>
      </c>
      <c r="K24" s="182"/>
      <c r="L24" s="182">
        <f t="shared" si="1"/>
        <v>-99859.38</v>
      </c>
      <c r="M24" s="4"/>
      <c r="N24" s="89">
        <f>'KY_Res by Plant Acct-P29 (PA)'!R420</f>
        <v>99859.38</v>
      </c>
      <c r="P24" s="89">
        <f t="shared" si="2"/>
        <v>0</v>
      </c>
    </row>
    <row r="25" spans="1:16">
      <c r="A25" t="s">
        <v>94</v>
      </c>
      <c r="B25" s="182">
        <f>'KY_Cost-Plant Acct-Comm-P8(PA)'!B25</f>
        <v>-28332.58</v>
      </c>
      <c r="C25" s="182"/>
      <c r="D25" s="182">
        <f>'KY_Cost-Plant Acct-Comm-P8(PA)'!D25+'KY_Cost-Plant Acct-Comm-P8(PA)'!D54</f>
        <v>0</v>
      </c>
      <c r="E25" s="182"/>
      <c r="F25" s="182">
        <f>'KY_Cost-Plant Acct-Comm-P8(PA)'!F25</f>
        <v>0</v>
      </c>
      <c r="G25" s="182"/>
      <c r="H25" s="182">
        <f>'KY_Cost-Plant Acct-Comm-P8(PA)'!H25</f>
        <v>0</v>
      </c>
      <c r="I25" s="182"/>
      <c r="J25" s="182">
        <f t="shared" si="0"/>
        <v>0</v>
      </c>
      <c r="K25" s="182"/>
      <c r="L25" s="182">
        <f t="shared" si="1"/>
        <v>-28332.58</v>
      </c>
      <c r="M25" s="4"/>
      <c r="N25" s="89">
        <f>'KY_Res by Plant Acct-P29 (PA)'!R421</f>
        <v>28332.58</v>
      </c>
      <c r="P25" s="89">
        <f t="shared" si="2"/>
        <v>0</v>
      </c>
    </row>
    <row r="26" spans="1:16">
      <c r="A26" t="s">
        <v>95</v>
      </c>
      <c r="B26" s="182">
        <f>'KY_Cost-Plant Acct-Comm-P8(PA)'!B26</f>
        <v>-466972.45999999996</v>
      </c>
      <c r="C26" s="182"/>
      <c r="D26" s="182">
        <f>'KY_Cost-Plant Acct-Comm-P8(PA)'!D26+'KY_Cost-Plant Acct-Comm-P8(PA)'!D55</f>
        <v>0</v>
      </c>
      <c r="E26" s="182"/>
      <c r="F26" s="182">
        <f>'KY_Cost-Plant Acct-Comm-P8(PA)'!F26</f>
        <v>0</v>
      </c>
      <c r="G26" s="182"/>
      <c r="H26" s="182">
        <f>'KY_Cost-Plant Acct-Comm-P8(PA)'!H26</f>
        <v>0</v>
      </c>
      <c r="I26" s="182"/>
      <c r="J26" s="182">
        <f t="shared" si="0"/>
        <v>0</v>
      </c>
      <c r="K26" s="182"/>
      <c r="L26" s="182">
        <f t="shared" si="1"/>
        <v>-466972.45999999996</v>
      </c>
      <c r="M26" s="4"/>
      <c r="N26" s="89">
        <f>'KY_Res by Plant Acct-P29 (PA)'!R422</f>
        <v>466972.45999999996</v>
      </c>
      <c r="P26" s="89">
        <f t="shared" si="2"/>
        <v>0</v>
      </c>
    </row>
    <row r="27" spans="1:16">
      <c r="A27" t="s">
        <v>96</v>
      </c>
      <c r="B27" s="182">
        <f>'KY_Cost-Plant Acct-Comm-P8(PA)'!B27+'KY_Cost-Plant Acct-Comm-P8(PA)'!B56</f>
        <v>-921632.03</v>
      </c>
      <c r="C27" s="182"/>
      <c r="D27" s="182">
        <f>'KY_Cost-Plant Acct-Comm-P8(PA)'!D27+'KY_Cost-Plant Acct-Comm-P8(PA)'!D56</f>
        <v>0</v>
      </c>
      <c r="E27" s="182"/>
      <c r="F27" s="182">
        <f>'KY_Cost-Plant Acct-Comm-P8(PA)'!F27</f>
        <v>0</v>
      </c>
      <c r="G27" s="182"/>
      <c r="H27" s="182">
        <f>'KY_Cost-Plant Acct-Comm-P8(PA)'!H27</f>
        <v>-174.36</v>
      </c>
      <c r="I27" s="182"/>
      <c r="J27" s="182">
        <f t="shared" si="0"/>
        <v>-174.36</v>
      </c>
      <c r="K27" s="182"/>
      <c r="L27" s="182">
        <f t="shared" si="1"/>
        <v>-921806.39</v>
      </c>
      <c r="M27" s="4"/>
      <c r="N27" s="89">
        <f>'KY_Res by Plant Acct-P29 (PA)'!R423</f>
        <v>921806.39</v>
      </c>
      <c r="P27" s="89">
        <f t="shared" si="2"/>
        <v>0</v>
      </c>
    </row>
    <row r="28" spans="1:16">
      <c r="A28" t="s">
        <v>97</v>
      </c>
      <c r="B28" s="182">
        <f>'KY_Cost-Plant Acct-Comm-P8(PA)'!B28</f>
        <v>-231.25</v>
      </c>
      <c r="C28" s="182"/>
      <c r="D28" s="182">
        <f>'KY_Cost-Plant Acct-Comm-P8(PA)'!D28</f>
        <v>0</v>
      </c>
      <c r="E28" s="182"/>
      <c r="F28" s="182">
        <f>'KY_Cost-Plant Acct-Comm-P8(PA)'!F28</f>
        <v>0</v>
      </c>
      <c r="G28" s="182"/>
      <c r="H28" s="182">
        <f>'KY_Cost-Plant Acct-Comm-P8(PA)'!H28</f>
        <v>0</v>
      </c>
      <c r="I28" s="182"/>
      <c r="J28" s="182">
        <f t="shared" si="0"/>
        <v>0</v>
      </c>
      <c r="K28" s="182"/>
      <c r="L28" s="182">
        <f t="shared" si="1"/>
        <v>-231.25</v>
      </c>
      <c r="M28" s="4"/>
      <c r="N28" s="89">
        <f>'KY_Res by Plant Acct-P29 (PA)'!R424</f>
        <v>231.25</v>
      </c>
      <c r="P28" s="89">
        <f t="shared" si="2"/>
        <v>0</v>
      </c>
    </row>
    <row r="29" spans="1:16">
      <c r="A29" t="s">
        <v>98</v>
      </c>
      <c r="B29" s="182">
        <f>'KY_Cost-Plant Acct-Comm-P8(PA)'!B29</f>
        <v>-202390.13</v>
      </c>
      <c r="C29" s="182"/>
      <c r="D29" s="182">
        <f>'KY_Cost-Plant Acct-Comm-P8(PA)'!D29</f>
        <v>0</v>
      </c>
      <c r="E29" s="182"/>
      <c r="F29" s="182">
        <f>'KY_Cost-Plant Acct-Comm-P8(PA)'!F29</f>
        <v>0</v>
      </c>
      <c r="G29" s="182"/>
      <c r="H29" s="182">
        <f>'KY_Cost-Plant Acct-Comm-P8(PA)'!H29</f>
        <v>0</v>
      </c>
      <c r="I29" s="182"/>
      <c r="J29" s="182">
        <f t="shared" si="0"/>
        <v>0</v>
      </c>
      <c r="K29" s="182"/>
      <c r="L29" s="182">
        <f t="shared" si="1"/>
        <v>-202390.13</v>
      </c>
      <c r="M29" s="4"/>
      <c r="N29" s="89">
        <f>'KY_Res by Plant Acct-P29 (PA)'!R425</f>
        <v>202390.13</v>
      </c>
      <c r="P29" s="89">
        <f t="shared" si="2"/>
        <v>0</v>
      </c>
    </row>
    <row r="30" spans="1:16">
      <c r="A30" t="s">
        <v>99</v>
      </c>
      <c r="B30" s="182">
        <f>'KY_Cost-Plant Acct-Comm-P8(PA)'!B30</f>
        <v>-9369.6299999999992</v>
      </c>
      <c r="C30" s="182"/>
      <c r="D30" s="182">
        <f>'KY_Cost-Plant Acct-Comm-P8(PA)'!D30</f>
        <v>0</v>
      </c>
      <c r="E30" s="182"/>
      <c r="F30" s="182">
        <f>'KY_Cost-Plant Acct-Comm-P8(PA)'!F30</f>
        <v>0</v>
      </c>
      <c r="G30" s="182"/>
      <c r="H30" s="182">
        <f>'KY_Cost-Plant Acct-Comm-P8(PA)'!H30</f>
        <v>0</v>
      </c>
      <c r="I30" s="182"/>
      <c r="J30" s="182">
        <f t="shared" si="0"/>
        <v>0</v>
      </c>
      <c r="K30" s="182"/>
      <c r="L30" s="182">
        <f t="shared" si="1"/>
        <v>-9369.6299999999992</v>
      </c>
      <c r="M30" s="4"/>
      <c r="N30" s="89">
        <f>'KY_Res by Plant Acct-P29 (PA)'!R426</f>
        <v>9369.6299999999992</v>
      </c>
      <c r="P30" s="89">
        <f t="shared" si="2"/>
        <v>0</v>
      </c>
    </row>
    <row r="31" spans="1:16">
      <c r="A31" t="s">
        <v>4</v>
      </c>
      <c r="B31" s="182">
        <f>'KY_Cost-Plant Acct-Comm-P8(PA)'!B31+'KY_Cost-Plant Acct-Comm-P8(PA)'!B57+'IN_Cost-Plant Acct-Com-P10 (PA)'!B10</f>
        <v>-18628141.269999996</v>
      </c>
      <c r="C31" s="182"/>
      <c r="D31" s="182">
        <f>'KY_Cost-Plant Acct-Comm-P8(PA)'!D31+'KY_Cost-Plant Acct-Comm-P8(PA)'!D57+'IN_Cost-Plant Acct-Com-P10 (PA)'!D10</f>
        <v>0</v>
      </c>
      <c r="E31" s="182"/>
      <c r="F31" s="182">
        <f>'KY_Cost-Plant Acct-Comm-P8(PA)'!F31+'IN_Cost-Plant Acct-Com-P10 (PA)'!F10</f>
        <v>208.14</v>
      </c>
      <c r="G31" s="182"/>
      <c r="H31" s="182">
        <f>'KY_Cost-Plant Acct-Comm-P8(PA)'!H31+'IN_Cost-Plant Acct-Com-P10 (PA)'!H10+'KY_Cost-Plant Acct-Comm-P8(PA)'!H57</f>
        <v>0</v>
      </c>
      <c r="I31" s="182"/>
      <c r="J31" s="182">
        <f t="shared" si="0"/>
        <v>208.14</v>
      </c>
      <c r="K31" s="182"/>
      <c r="L31" s="182">
        <f t="shared" si="1"/>
        <v>-18627933.129999995</v>
      </c>
      <c r="M31" s="4"/>
      <c r="N31" s="89">
        <f>'KY_Res by Plant Acct-P29 (PA)'!R427+'IN_Res by Plant Acct-P30 (PA)'!R43</f>
        <v>18628881.139999997</v>
      </c>
      <c r="P31" s="89">
        <f t="shared" si="2"/>
        <v>948.01000000163913</v>
      </c>
    </row>
    <row r="32" spans="1:16">
      <c r="A32" t="s">
        <v>100</v>
      </c>
      <c r="B32" s="182">
        <f>'KY_Cost-Plant Acct-Comm-P8(PA)'!B32+'KY_Cost-Plant Acct-Comm-P8(PA)'!B58</f>
        <v>-5741950.46</v>
      </c>
      <c r="C32" s="182"/>
      <c r="D32" s="182">
        <f>'KY_Cost-Plant Acct-Comm-P8(PA)'!D32+'KY_Cost-Plant Acct-Comm-P8(PA)'!D58</f>
        <v>0</v>
      </c>
      <c r="E32" s="182"/>
      <c r="F32" s="182">
        <f>'KY_Cost-Plant Acct-Comm-P8(PA)'!F32</f>
        <v>0</v>
      </c>
      <c r="G32" s="182"/>
      <c r="H32" s="182">
        <f>'KY_Cost-Plant Acct-Comm-P8(PA)'!H32</f>
        <v>0</v>
      </c>
      <c r="I32" s="182"/>
      <c r="J32" s="182">
        <f t="shared" si="0"/>
        <v>0</v>
      </c>
      <c r="K32" s="182"/>
      <c r="L32" s="182">
        <f t="shared" si="1"/>
        <v>-5741950.46</v>
      </c>
      <c r="M32" s="4"/>
      <c r="N32" s="89">
        <f>'KY_Res by Plant Acct-P29 (PA)'!R428</f>
        <v>5741950.46</v>
      </c>
      <c r="P32" s="89">
        <f t="shared" si="2"/>
        <v>0</v>
      </c>
    </row>
    <row r="33" spans="1:16">
      <c r="A33" t="s">
        <v>101</v>
      </c>
      <c r="B33" s="182">
        <f>'KY_Cost-Plant Acct-Comm-P8(PA)'!B33</f>
        <v>-174.36000000010245</v>
      </c>
      <c r="C33" s="182"/>
      <c r="D33" s="182">
        <f>'KY_Cost-Plant Acct-Comm-P8(PA)'!D33+'KY_Cost-Plant Acct-Comm-P8(PA)'!D59</f>
        <v>0</v>
      </c>
      <c r="E33" s="182"/>
      <c r="F33" s="182">
        <f>'KY_Cost-Plant Acct-Comm-P8(PA)'!F33</f>
        <v>0</v>
      </c>
      <c r="G33" s="182"/>
      <c r="H33" s="182">
        <f>'KY_Cost-Plant Acct-Comm-P8(PA)'!H33</f>
        <v>174.36</v>
      </c>
      <c r="I33" s="182"/>
      <c r="J33" s="182">
        <f t="shared" si="0"/>
        <v>174.36</v>
      </c>
      <c r="K33" s="182"/>
      <c r="L33" s="182">
        <f t="shared" si="1"/>
        <v>-1.0243184078717604E-10</v>
      </c>
      <c r="M33" s="4"/>
      <c r="N33" s="89">
        <f>'KY_Res by Plant Acct-P29 (PA)'!R429</f>
        <v>1.0243184078717604E-10</v>
      </c>
      <c r="P33" s="89">
        <f t="shared" si="2"/>
        <v>0</v>
      </c>
    </row>
    <row r="34" spans="1:16">
      <c r="A34" t="s">
        <v>102</v>
      </c>
      <c r="B34" s="182">
        <f>'KY_Cost-Plant Acct-Comm-P8(PA)'!B34</f>
        <v>0</v>
      </c>
      <c r="C34" s="182"/>
      <c r="D34" s="182">
        <f>'KY_Cost-Plant Acct-Comm-P8(PA)'!D34</f>
        <v>0</v>
      </c>
      <c r="E34" s="182"/>
      <c r="F34" s="182">
        <f>'KY_Cost-Plant Acct-Comm-P8(PA)'!F34</f>
        <v>0</v>
      </c>
      <c r="G34" s="182"/>
      <c r="H34" s="182">
        <f>'KY_Cost-Plant Acct-Comm-P8(PA)'!H34</f>
        <v>0</v>
      </c>
      <c r="I34" s="182"/>
      <c r="J34" s="182">
        <f t="shared" si="0"/>
        <v>0</v>
      </c>
      <c r="K34" s="182"/>
      <c r="L34" s="182">
        <f t="shared" si="1"/>
        <v>0</v>
      </c>
      <c r="M34" s="4"/>
      <c r="N34" s="89">
        <f>'KY_Res by Plant Acct-P29 (PA)'!R430</f>
        <v>0</v>
      </c>
      <c r="P34" s="89">
        <f t="shared" si="2"/>
        <v>0</v>
      </c>
    </row>
    <row r="35" spans="1:16">
      <c r="A35" t="s">
        <v>103</v>
      </c>
      <c r="B35" s="182">
        <f>'KY_Cost-Plant Acct-Comm-P8(PA)'!B35</f>
        <v>0</v>
      </c>
      <c r="C35" s="182"/>
      <c r="D35" s="182">
        <f>'KY_Cost-Plant Acct-Comm-P8(PA)'!D35</f>
        <v>0</v>
      </c>
      <c r="E35" s="182"/>
      <c r="F35" s="182">
        <f>'KY_Cost-Plant Acct-Comm-P8(PA)'!F35</f>
        <v>0</v>
      </c>
      <c r="G35" s="182"/>
      <c r="H35" s="182">
        <f>'KY_Cost-Plant Acct-Comm-P8(PA)'!H35</f>
        <v>0</v>
      </c>
      <c r="I35" s="182"/>
      <c r="J35" s="182">
        <f t="shared" si="0"/>
        <v>0</v>
      </c>
      <c r="K35" s="182"/>
      <c r="L35" s="182">
        <f t="shared" si="1"/>
        <v>0</v>
      </c>
      <c r="M35" s="4"/>
      <c r="N35" s="89">
        <f>'KY_Res by Plant Acct-P29 (PA)'!R445</f>
        <v>0</v>
      </c>
      <c r="P35" s="89">
        <f t="shared" si="2"/>
        <v>0</v>
      </c>
    </row>
    <row r="36" spans="1:16">
      <c r="A36" t="s">
        <v>267</v>
      </c>
      <c r="B36" s="182">
        <f>'KY_Cost-Plant Acct-Comm-P8(PA)'!B36</f>
        <v>0</v>
      </c>
      <c r="C36" s="182"/>
      <c r="D36" s="182">
        <f>'KY_Cost-Plant Acct-Comm-P8(PA)'!D36</f>
        <v>0</v>
      </c>
      <c r="E36" s="182"/>
      <c r="F36" s="182">
        <f>'KY_Cost-Plant Acct-Comm-P8(PA)'!F36</f>
        <v>0</v>
      </c>
      <c r="G36" s="182"/>
      <c r="H36" s="182">
        <f>'KY_Cost-Plant Acct-Comm-P8(PA)'!H36</f>
        <v>0</v>
      </c>
      <c r="I36" s="182"/>
      <c r="J36" s="182">
        <f t="shared" si="0"/>
        <v>0</v>
      </c>
      <c r="K36" s="182"/>
      <c r="L36" s="182">
        <f t="shared" si="1"/>
        <v>0</v>
      </c>
      <c r="M36" s="4"/>
      <c r="N36" s="89">
        <f>'KY_Res by Plant Acct-P29 (PA)'!R446</f>
        <v>0</v>
      </c>
      <c r="P36" s="89">
        <f t="shared" si="2"/>
        <v>0</v>
      </c>
    </row>
    <row r="37" spans="1:16">
      <c r="A37" t="s">
        <v>268</v>
      </c>
      <c r="B37" s="182">
        <f>'KY_Cost-Plant Acct-Comm-P8(PA)'!B37+'KY_Cost-Plant Acct-Comm-P8(PA)'!B60</f>
        <v>-5067676.8100000005</v>
      </c>
      <c r="C37" s="182"/>
      <c r="D37" s="182">
        <f>'KY_Cost-Plant Acct-Comm-P8(PA)'!D37+'KY_Cost-Plant Acct-Comm-P8(PA)'!D60</f>
        <v>0</v>
      </c>
      <c r="E37" s="182"/>
      <c r="F37" s="182">
        <f>'KY_Cost-Plant Acct-Comm-P8(PA)'!F37</f>
        <v>793063.15</v>
      </c>
      <c r="G37" s="182"/>
      <c r="H37" s="182">
        <f>'KY_Cost-Plant Acct-Comm-P8(PA)'!H37+'KY_Cost-Plant Acct-Comm-P8(PA)'!H60</f>
        <v>0</v>
      </c>
      <c r="I37" s="182"/>
      <c r="J37" s="182">
        <f t="shared" si="0"/>
        <v>793063.15</v>
      </c>
      <c r="K37" s="182"/>
      <c r="L37" s="182">
        <f t="shared" si="1"/>
        <v>-4274613.66</v>
      </c>
      <c r="M37" s="4"/>
      <c r="N37" s="89">
        <f>'KY_Res by Plant Acct-P29 (PA)'!R447</f>
        <v>4177222.4400000009</v>
      </c>
      <c r="P37" s="89">
        <f t="shared" si="2"/>
        <v>-97391.219999999274</v>
      </c>
    </row>
    <row r="38" spans="1:16">
      <c r="A38" t="s">
        <v>1023</v>
      </c>
      <c r="B38" s="182">
        <f>'KY_Cost-Plant Acct-Comm-P8(PA)'!B38+'KY_Cost-Plant Acct-Comm-P8(PA)'!B61</f>
        <v>-6298007.6399999997</v>
      </c>
      <c r="C38" s="182"/>
      <c r="D38" s="182">
        <f>'KY_Cost-Plant Acct-Comm-P8(PA)'!D38+'KY_Cost-Plant Acct-Comm-P8(PA)'!D61</f>
        <v>0</v>
      </c>
      <c r="E38" s="182"/>
      <c r="F38" s="182">
        <f>'KY_Cost-Plant Acct-Comm-P8(PA)'!F38</f>
        <v>0</v>
      </c>
      <c r="G38" s="182"/>
      <c r="H38" s="182">
        <f>'KY_Cost-Plant Acct-Comm-P8(PA)'!H38+'KY_Cost-Plant Acct-Comm-P8(PA)'!H61</f>
        <v>0</v>
      </c>
      <c r="I38" s="182"/>
      <c r="J38" s="182">
        <f t="shared" si="0"/>
        <v>0</v>
      </c>
      <c r="K38" s="182"/>
      <c r="L38" s="182">
        <f t="shared" si="1"/>
        <v>-6298007.6399999997</v>
      </c>
      <c r="M38" s="4"/>
      <c r="N38" s="89">
        <f>'KY_Res by Plant Acct-P29 (PA)'!R448</f>
        <v>6298007.6399999997</v>
      </c>
      <c r="P38" s="89">
        <f t="shared" si="2"/>
        <v>0</v>
      </c>
    </row>
    <row r="39" spans="1:16">
      <c r="A39" t="s">
        <v>269</v>
      </c>
      <c r="B39" s="48">
        <f>'KY_Cost-Plant Acct-Comm-P8(PA)'!B39</f>
        <v>0</v>
      </c>
      <c r="C39" s="52"/>
      <c r="D39" s="48">
        <f>'KY_Cost-Plant Acct-Comm-P8(PA)'!D39</f>
        <v>0</v>
      </c>
      <c r="E39" s="52"/>
      <c r="F39" s="48">
        <f>'KY_Cost-Plant Acct-Comm-P8(PA)'!F39</f>
        <v>0</v>
      </c>
      <c r="G39" s="52"/>
      <c r="H39" s="48">
        <f>'KY_Cost-Plant Acct-Comm-P8(PA)'!H39</f>
        <v>0</v>
      </c>
      <c r="I39" s="52"/>
      <c r="J39" s="48">
        <f t="shared" si="0"/>
        <v>0</v>
      </c>
      <c r="K39" s="52"/>
      <c r="L39" s="48">
        <f t="shared" si="1"/>
        <v>0</v>
      </c>
      <c r="M39" s="55"/>
      <c r="N39" s="90">
        <f>'KY_Res by Plant Acct-P29 (PA)'!R449</f>
        <v>0</v>
      </c>
      <c r="P39" s="90">
        <f t="shared" si="2"/>
        <v>0</v>
      </c>
    </row>
    <row r="40" spans="1:16">
      <c r="B40" s="52">
        <f>SUM(B11:B39)</f>
        <v>-74445773.400000006</v>
      </c>
      <c r="C40" s="52"/>
      <c r="D40" s="52">
        <f>SUM(D11:D39)</f>
        <v>0</v>
      </c>
      <c r="E40" s="52"/>
      <c r="F40" s="52">
        <f>SUM(F11:F39)</f>
        <v>940228.69000000006</v>
      </c>
      <c r="G40" s="52"/>
      <c r="H40" s="52">
        <f>SUM(H11:H39)</f>
        <v>0</v>
      </c>
      <c r="I40" s="52"/>
      <c r="J40" s="52">
        <f>SUM(J11:J39)</f>
        <v>940228.69000000006</v>
      </c>
      <c r="K40" s="52"/>
      <c r="L40" s="52">
        <f>SUM(L11:L39)</f>
        <v>-73505544.710000008</v>
      </c>
      <c r="M40" s="55"/>
      <c r="N40" s="52">
        <f>SUM(N11:N39)</f>
        <v>73506492.720000014</v>
      </c>
      <c r="P40" s="52">
        <f>SUM(P11:P39)</f>
        <v>948.01000000254135</v>
      </c>
    </row>
    <row r="41" spans="1:16">
      <c r="B41" s="52"/>
      <c r="C41" s="52"/>
      <c r="D41" s="52"/>
      <c r="E41" s="52"/>
      <c r="F41" s="52"/>
      <c r="G41" s="52"/>
      <c r="H41" s="52"/>
      <c r="I41" s="52"/>
      <c r="J41" s="52"/>
      <c r="K41" s="52"/>
      <c r="L41" s="52"/>
      <c r="M41" s="55"/>
    </row>
    <row r="42" spans="1:16">
      <c r="B42" s="52"/>
      <c r="C42" s="52"/>
      <c r="D42" s="52"/>
      <c r="E42" s="52"/>
      <c r="F42" s="52"/>
      <c r="G42" s="52"/>
      <c r="H42" s="52"/>
      <c r="I42" s="52"/>
      <c r="J42" s="52"/>
      <c r="K42" s="52"/>
      <c r="L42" s="52"/>
      <c r="M42" s="55"/>
    </row>
    <row r="43" spans="1:16" ht="13.5" thickBot="1">
      <c r="A43" s="3" t="s">
        <v>203</v>
      </c>
      <c r="B43" s="46">
        <f>B40</f>
        <v>-74445773.400000006</v>
      </c>
      <c r="C43" s="55"/>
      <c r="D43" s="46">
        <f>D40</f>
        <v>0</v>
      </c>
      <c r="E43" s="55"/>
      <c r="F43" s="46">
        <f>F40</f>
        <v>940228.69000000006</v>
      </c>
      <c r="G43" s="55"/>
      <c r="H43" s="46">
        <f>H40</f>
        <v>0</v>
      </c>
      <c r="I43" s="55"/>
      <c r="J43" s="46">
        <f>J40</f>
        <v>940228.69000000006</v>
      </c>
      <c r="K43" s="55"/>
      <c r="L43" s="46">
        <f>L40</f>
        <v>-73505544.710000008</v>
      </c>
      <c r="M43" s="55"/>
      <c r="N43" s="46">
        <f>N40</f>
        <v>73506492.720000014</v>
      </c>
      <c r="P43" s="46">
        <f>P40</f>
        <v>948.01000000254135</v>
      </c>
    </row>
    <row r="44" spans="1:16" ht="13.5" thickTop="1">
      <c r="B44" s="52"/>
      <c r="C44" s="52"/>
      <c r="D44" s="52"/>
      <c r="E44" s="52"/>
      <c r="F44" s="52"/>
      <c r="G44" s="52"/>
      <c r="H44" s="52"/>
      <c r="I44" s="52"/>
      <c r="J44" s="52"/>
      <c r="K44" s="52"/>
      <c r="L44" s="52"/>
      <c r="M44" s="55"/>
    </row>
    <row r="45" spans="1:16">
      <c r="B45" s="52"/>
      <c r="C45" s="52"/>
      <c r="D45" s="52"/>
      <c r="E45" s="52"/>
      <c r="F45" s="52"/>
      <c r="G45" s="52"/>
      <c r="H45" s="52"/>
      <c r="I45" s="52"/>
      <c r="J45" s="52"/>
      <c r="K45" s="52"/>
      <c r="L45" s="52"/>
      <c r="M45" s="55"/>
    </row>
    <row r="46" spans="1:16">
      <c r="B46" s="182"/>
      <c r="C46" s="182"/>
      <c r="D46" s="182"/>
      <c r="E46" s="182"/>
      <c r="F46" s="182"/>
      <c r="G46" s="182"/>
      <c r="H46" s="182"/>
      <c r="I46" s="182"/>
      <c r="J46" s="182"/>
      <c r="K46" s="182"/>
      <c r="L46" s="182"/>
      <c r="M46" s="4"/>
    </row>
    <row r="47" spans="1:16">
      <c r="B47" s="4"/>
      <c r="C47" s="4"/>
      <c r="D47" s="4"/>
      <c r="E47" s="4"/>
      <c r="F47" s="4"/>
      <c r="G47" s="4"/>
      <c r="H47" s="4"/>
      <c r="I47" s="4"/>
      <c r="J47" s="4"/>
      <c r="K47" s="4"/>
      <c r="L47" s="4"/>
      <c r="M47" s="4"/>
    </row>
    <row r="48" spans="1:16">
      <c r="B48" s="4"/>
      <c r="C48" s="4"/>
      <c r="D48" s="4"/>
      <c r="E48" s="4"/>
      <c r="F48" s="4"/>
      <c r="G48" s="4"/>
      <c r="H48" s="4"/>
      <c r="I48" s="4"/>
      <c r="J48" s="4"/>
      <c r="K48" s="4"/>
      <c r="L48" s="4"/>
      <c r="M48" s="4"/>
    </row>
    <row r="49" spans="2:13">
      <c r="B49" s="4"/>
      <c r="C49" s="4"/>
      <c r="D49" s="4"/>
      <c r="E49" s="4"/>
      <c r="F49" s="4"/>
      <c r="G49" s="4"/>
      <c r="H49" s="4"/>
      <c r="I49" s="4"/>
      <c r="J49" s="4"/>
      <c r="K49" s="4"/>
      <c r="L49" s="4"/>
      <c r="M49" s="4"/>
    </row>
    <row r="50" spans="2:13">
      <c r="B50" s="4"/>
      <c r="C50" s="4"/>
      <c r="D50" s="4"/>
      <c r="E50" s="4"/>
      <c r="F50" s="4"/>
      <c r="G50" s="4"/>
      <c r="H50" s="4"/>
      <c r="I50" s="4"/>
      <c r="J50" s="4"/>
      <c r="K50" s="4"/>
      <c r="L50" s="4"/>
      <c r="M50" s="4"/>
    </row>
    <row r="51" spans="2:13">
      <c r="B51" s="4"/>
      <c r="C51" s="4"/>
      <c r="D51" s="4"/>
      <c r="E51" s="4"/>
      <c r="F51" s="4"/>
      <c r="G51" s="4"/>
      <c r="H51" s="4"/>
      <c r="I51" s="4"/>
      <c r="J51" s="4"/>
      <c r="K51" s="4"/>
      <c r="L51" s="4"/>
      <c r="M51" s="4"/>
    </row>
    <row r="52" spans="2:13">
      <c r="B52" s="4"/>
      <c r="C52" s="4"/>
      <c r="D52" s="4"/>
      <c r="E52" s="4"/>
      <c r="F52" s="4"/>
      <c r="G52" s="4"/>
      <c r="H52" s="4"/>
      <c r="I52" s="4"/>
      <c r="J52" s="4"/>
      <c r="K52" s="4"/>
      <c r="L52" s="4"/>
      <c r="M52" s="4"/>
    </row>
    <row r="53" spans="2:13">
      <c r="B53" s="4"/>
      <c r="C53" s="4"/>
      <c r="D53" s="4"/>
      <c r="E53" s="4"/>
      <c r="F53" s="4"/>
      <c r="G53" s="4"/>
      <c r="H53" s="4"/>
      <c r="I53" s="4"/>
      <c r="J53" s="4"/>
      <c r="K53" s="4"/>
      <c r="L53" s="4"/>
      <c r="M53" s="4"/>
    </row>
    <row r="54" spans="2:13">
      <c r="B54" s="4"/>
      <c r="C54" s="4"/>
      <c r="D54" s="4"/>
      <c r="E54" s="4"/>
      <c r="F54" s="4"/>
      <c r="G54" s="4"/>
      <c r="H54" s="4"/>
      <c r="I54" s="4"/>
      <c r="J54" s="4"/>
      <c r="K54" s="4"/>
      <c r="L54" s="4"/>
      <c r="M54" s="4"/>
    </row>
    <row r="55" spans="2:13">
      <c r="B55" s="4"/>
      <c r="C55" s="4"/>
      <c r="D55" s="4"/>
      <c r="E55" s="4"/>
      <c r="F55" s="4"/>
      <c r="G55" s="4"/>
      <c r="H55" s="4"/>
      <c r="I55" s="4"/>
      <c r="J55" s="4"/>
      <c r="K55" s="4"/>
      <c r="L55" s="4"/>
      <c r="M55" s="4"/>
    </row>
    <row r="56" spans="2:13">
      <c r="B56" s="4"/>
      <c r="C56" s="4"/>
      <c r="D56" s="4"/>
      <c r="E56" s="4"/>
      <c r="F56" s="4"/>
      <c r="G56" s="4"/>
      <c r="H56" s="4"/>
      <c r="I56" s="4"/>
      <c r="J56" s="4"/>
      <c r="K56" s="4"/>
      <c r="L56" s="4"/>
      <c r="M56" s="4"/>
    </row>
    <row r="57" spans="2:13">
      <c r="B57" s="4"/>
      <c r="C57" s="4"/>
      <c r="D57" s="4"/>
      <c r="E57" s="4"/>
      <c r="F57" s="4"/>
      <c r="G57" s="4"/>
      <c r="H57" s="4"/>
      <c r="I57" s="4"/>
      <c r="J57" s="4"/>
      <c r="K57" s="4"/>
      <c r="L57" s="4"/>
      <c r="M57" s="4"/>
    </row>
    <row r="58" spans="2:13">
      <c r="B58" s="4"/>
      <c r="C58" s="4"/>
      <c r="D58" s="4"/>
      <c r="E58" s="4"/>
      <c r="F58" s="4"/>
      <c r="G58" s="4"/>
      <c r="H58" s="4"/>
      <c r="I58" s="4"/>
      <c r="J58" s="4"/>
      <c r="K58" s="4"/>
      <c r="L58" s="4"/>
      <c r="M58" s="4"/>
    </row>
    <row r="59" spans="2:13">
      <c r="B59" s="4"/>
      <c r="C59" s="4"/>
      <c r="D59" s="4"/>
      <c r="E59" s="4"/>
      <c r="F59" s="4"/>
      <c r="G59" s="4"/>
      <c r="H59" s="4"/>
      <c r="I59" s="4"/>
      <c r="J59" s="4"/>
      <c r="K59" s="4"/>
      <c r="L59" s="4"/>
      <c r="M59" s="4"/>
    </row>
    <row r="60" spans="2:13">
      <c r="B60" s="4"/>
      <c r="C60" s="4"/>
      <c r="D60" s="4"/>
      <c r="E60" s="4"/>
      <c r="F60" s="4"/>
      <c r="G60" s="4"/>
      <c r="H60" s="4"/>
      <c r="I60" s="4"/>
      <c r="J60" s="4"/>
      <c r="K60" s="4"/>
      <c r="L60" s="4"/>
      <c r="M60" s="4"/>
    </row>
    <row r="61" spans="2:13">
      <c r="B61" s="4"/>
      <c r="C61" s="4"/>
      <c r="D61" s="4"/>
      <c r="E61" s="4"/>
      <c r="F61" s="4"/>
      <c r="G61" s="4"/>
      <c r="H61" s="4"/>
      <c r="I61" s="4"/>
      <c r="J61" s="4"/>
      <c r="K61" s="4"/>
      <c r="L61" s="4"/>
      <c r="M61" s="4"/>
    </row>
    <row r="62" spans="2:13">
      <c r="B62" s="4"/>
      <c r="C62" s="4"/>
      <c r="D62" s="4"/>
      <c r="E62" s="4"/>
      <c r="F62" s="4"/>
      <c r="G62" s="4"/>
      <c r="H62" s="4"/>
      <c r="I62" s="4"/>
      <c r="J62" s="4"/>
      <c r="K62" s="4"/>
      <c r="L62" s="4"/>
      <c r="M62" s="4"/>
    </row>
    <row r="63" spans="2:13">
      <c r="B63" s="4"/>
      <c r="C63" s="4"/>
      <c r="D63" s="4"/>
      <c r="E63" s="4"/>
      <c r="F63" s="4"/>
      <c r="G63" s="4"/>
      <c r="H63" s="4"/>
      <c r="I63" s="4"/>
      <c r="J63" s="4"/>
      <c r="K63" s="4"/>
      <c r="L63" s="4"/>
      <c r="M63" s="4"/>
    </row>
    <row r="64" spans="2:13">
      <c r="B64" s="4"/>
      <c r="C64" s="4"/>
      <c r="D64" s="4"/>
      <c r="E64" s="4"/>
      <c r="F64" s="4"/>
      <c r="G64" s="4"/>
      <c r="H64" s="4"/>
      <c r="I64" s="4"/>
      <c r="J64" s="4"/>
      <c r="K64" s="4"/>
      <c r="L64" s="4"/>
      <c r="M64" s="4"/>
    </row>
    <row r="65" spans="2:13">
      <c r="B65" s="4"/>
      <c r="C65" s="4"/>
      <c r="D65" s="4"/>
      <c r="E65" s="4"/>
      <c r="F65" s="4"/>
      <c r="G65" s="4"/>
      <c r="H65" s="4"/>
      <c r="I65" s="4"/>
      <c r="J65" s="4"/>
      <c r="K65" s="4"/>
      <c r="L65" s="4"/>
      <c r="M65" s="4"/>
    </row>
    <row r="66" spans="2:13">
      <c r="B66" s="4"/>
      <c r="C66" s="4"/>
      <c r="D66" s="4"/>
      <c r="E66" s="4"/>
      <c r="F66" s="4"/>
      <c r="G66" s="4"/>
      <c r="H66" s="4"/>
      <c r="I66" s="4"/>
      <c r="J66" s="4"/>
      <c r="K66" s="4"/>
      <c r="L66" s="4"/>
      <c r="M66" s="4"/>
    </row>
    <row r="67" spans="2:13">
      <c r="B67" s="4"/>
      <c r="C67" s="4"/>
      <c r="D67" s="4"/>
      <c r="E67" s="4"/>
      <c r="F67" s="4"/>
      <c r="G67" s="4"/>
      <c r="H67" s="4"/>
      <c r="I67" s="4"/>
      <c r="J67" s="4"/>
      <c r="K67" s="4"/>
      <c r="L67" s="4"/>
      <c r="M67" s="4"/>
    </row>
    <row r="68" spans="2:13">
      <c r="B68" s="4"/>
      <c r="C68" s="4"/>
      <c r="D68" s="4"/>
      <c r="E68" s="4"/>
      <c r="F68" s="4"/>
      <c r="G68" s="4"/>
      <c r="H68" s="4"/>
      <c r="I68" s="4"/>
      <c r="J68" s="4"/>
      <c r="K68" s="4"/>
      <c r="L68" s="4"/>
      <c r="M68" s="4"/>
    </row>
    <row r="69" spans="2:13">
      <c r="B69" s="4"/>
      <c r="C69" s="4"/>
      <c r="D69" s="4"/>
      <c r="E69" s="4"/>
      <c r="F69" s="4"/>
      <c r="G69" s="4"/>
      <c r="H69" s="4"/>
      <c r="I69" s="4"/>
      <c r="J69" s="4"/>
      <c r="K69" s="4"/>
      <c r="L69" s="4"/>
      <c r="M69" s="4"/>
    </row>
    <row r="70" spans="2:13">
      <c r="B70" s="4"/>
      <c r="C70" s="4"/>
      <c r="D70" s="4"/>
      <c r="E70" s="4"/>
      <c r="F70" s="4"/>
      <c r="G70" s="4"/>
      <c r="H70" s="4"/>
      <c r="I70" s="4"/>
      <c r="J70" s="4"/>
      <c r="K70" s="4"/>
      <c r="L70" s="4"/>
      <c r="M70" s="4"/>
    </row>
    <row r="71" spans="2:13">
      <c r="B71" s="4"/>
      <c r="C71" s="4"/>
      <c r="D71" s="4"/>
      <c r="E71" s="4"/>
      <c r="F71" s="4"/>
      <c r="G71" s="4"/>
      <c r="H71" s="4"/>
      <c r="I71" s="4"/>
      <c r="J71" s="4"/>
      <c r="K71" s="4"/>
      <c r="L71" s="4"/>
      <c r="M71" s="4"/>
    </row>
    <row r="72" spans="2:13">
      <c r="B72" s="4"/>
      <c r="C72" s="4"/>
      <c r="D72" s="4"/>
      <c r="E72" s="4"/>
      <c r="F72" s="4"/>
      <c r="G72" s="4"/>
      <c r="H72" s="4"/>
      <c r="I72" s="4"/>
      <c r="J72" s="4"/>
      <c r="K72" s="4"/>
      <c r="L72" s="4"/>
      <c r="M72" s="4"/>
    </row>
    <row r="73" spans="2:13">
      <c r="B73" s="4"/>
      <c r="C73" s="4"/>
      <c r="D73" s="4"/>
      <c r="E73" s="4"/>
      <c r="F73" s="4"/>
      <c r="G73" s="4"/>
      <c r="H73" s="4"/>
      <c r="I73" s="4"/>
      <c r="J73" s="4"/>
      <c r="K73" s="4"/>
      <c r="L73" s="4"/>
      <c r="M73" s="4"/>
    </row>
    <row r="74" spans="2:13">
      <c r="B74" s="4"/>
      <c r="C74" s="4"/>
      <c r="D74" s="4"/>
      <c r="E74" s="4"/>
      <c r="F74" s="4"/>
      <c r="G74" s="4"/>
      <c r="H74" s="4"/>
      <c r="I74" s="4"/>
      <c r="J74" s="4"/>
      <c r="K74" s="4"/>
      <c r="L74" s="4"/>
      <c r="M74" s="4"/>
    </row>
    <row r="75" spans="2:13">
      <c r="B75" s="4"/>
      <c r="C75" s="4"/>
      <c r="D75" s="4"/>
      <c r="E75" s="4"/>
      <c r="F75" s="4"/>
      <c r="G75" s="4"/>
      <c r="H75" s="4"/>
      <c r="I75" s="4"/>
      <c r="J75" s="4"/>
      <c r="K75" s="4"/>
      <c r="L75" s="4"/>
      <c r="M75" s="4"/>
    </row>
    <row r="76" spans="2:13">
      <c r="B76" s="4"/>
      <c r="C76" s="4"/>
      <c r="D76" s="4"/>
      <c r="E76" s="4"/>
      <c r="F76" s="4"/>
      <c r="G76" s="4"/>
      <c r="H76" s="4"/>
      <c r="I76" s="4"/>
      <c r="J76" s="4"/>
      <c r="K76" s="4"/>
      <c r="L76" s="4"/>
      <c r="M76" s="4"/>
    </row>
    <row r="77" spans="2:13">
      <c r="B77" s="4"/>
      <c r="C77" s="4"/>
      <c r="D77" s="4"/>
      <c r="E77" s="4"/>
      <c r="F77" s="4"/>
      <c r="G77" s="4"/>
      <c r="H77" s="4"/>
      <c r="I77" s="4"/>
      <c r="J77" s="4"/>
      <c r="K77" s="4"/>
      <c r="L77" s="4"/>
      <c r="M77" s="4"/>
    </row>
    <row r="78" spans="2:13">
      <c r="B78" s="4"/>
      <c r="C78" s="4"/>
      <c r="D78" s="4"/>
      <c r="E78" s="4"/>
      <c r="F78" s="4"/>
      <c r="G78" s="4"/>
      <c r="H78" s="4"/>
      <c r="I78" s="4"/>
      <c r="J78" s="4"/>
      <c r="K78" s="4"/>
      <c r="L78" s="4"/>
      <c r="M78" s="4"/>
    </row>
    <row r="79" spans="2:13">
      <c r="B79" s="4"/>
      <c r="C79" s="4"/>
      <c r="D79" s="4"/>
      <c r="E79" s="4"/>
      <c r="F79" s="4"/>
      <c r="G79" s="4"/>
      <c r="H79" s="4"/>
      <c r="I79" s="4"/>
      <c r="J79" s="4"/>
      <c r="K79" s="4"/>
      <c r="L79" s="4"/>
      <c r="M79" s="4"/>
    </row>
    <row r="80" spans="2:13">
      <c r="B80" s="4"/>
      <c r="C80" s="4"/>
      <c r="D80" s="4"/>
      <c r="E80" s="4"/>
      <c r="F80" s="4"/>
      <c r="G80" s="4"/>
      <c r="H80" s="4"/>
      <c r="I80" s="4"/>
      <c r="J80" s="4"/>
      <c r="K80" s="4"/>
      <c r="L80" s="4"/>
      <c r="M80" s="4"/>
    </row>
    <row r="81" spans="2:13">
      <c r="B81" s="4"/>
      <c r="C81" s="4"/>
      <c r="D81" s="4"/>
      <c r="E81" s="4"/>
      <c r="F81" s="4"/>
      <c r="G81" s="4"/>
      <c r="H81" s="4"/>
      <c r="I81" s="4"/>
      <c r="J81" s="4"/>
      <c r="K81" s="4"/>
      <c r="L81" s="4"/>
      <c r="M81" s="4"/>
    </row>
    <row r="82" spans="2:13">
      <c r="B82" s="4"/>
      <c r="C82" s="4"/>
      <c r="D82" s="4"/>
      <c r="E82" s="4"/>
      <c r="F82" s="4"/>
      <c r="G82" s="4"/>
      <c r="H82" s="4"/>
      <c r="I82" s="4"/>
      <c r="J82" s="4"/>
      <c r="K82" s="4"/>
      <c r="L82" s="4"/>
      <c r="M82" s="4"/>
    </row>
    <row r="83" spans="2:13">
      <c r="B83" s="4"/>
      <c r="C83" s="4"/>
      <c r="D83" s="4"/>
      <c r="E83" s="4"/>
      <c r="F83" s="4"/>
      <c r="G83" s="4"/>
      <c r="H83" s="4"/>
      <c r="I83" s="4"/>
      <c r="J83" s="4"/>
      <c r="K83" s="4"/>
      <c r="L83" s="4"/>
      <c r="M83" s="4"/>
    </row>
    <row r="84" spans="2:13">
      <c r="B84" s="4"/>
      <c r="C84" s="4"/>
      <c r="D84" s="4"/>
      <c r="E84" s="4"/>
      <c r="F84" s="4"/>
      <c r="G84" s="4"/>
      <c r="H84" s="4"/>
      <c r="I84" s="4"/>
      <c r="J84" s="4"/>
      <c r="K84" s="4"/>
      <c r="L84" s="4"/>
      <c r="M84" s="4"/>
    </row>
    <row r="85" spans="2:13">
      <c r="B85" s="4"/>
      <c r="C85" s="4"/>
      <c r="D85" s="4"/>
      <c r="E85" s="4"/>
      <c r="F85" s="4"/>
      <c r="G85" s="4"/>
      <c r="H85" s="4"/>
      <c r="I85" s="4"/>
      <c r="J85" s="4"/>
      <c r="K85" s="4"/>
      <c r="L85" s="4"/>
      <c r="M85" s="4"/>
    </row>
    <row r="86" spans="2:13">
      <c r="B86" s="4"/>
      <c r="C86" s="4"/>
      <c r="D86" s="4"/>
      <c r="E86" s="4"/>
      <c r="F86" s="4"/>
      <c r="G86" s="4"/>
      <c r="H86" s="4"/>
      <c r="I86" s="4"/>
      <c r="J86" s="4"/>
      <c r="K86" s="4"/>
      <c r="L86" s="4"/>
      <c r="M86" s="4"/>
    </row>
    <row r="87" spans="2:13">
      <c r="B87" s="4"/>
      <c r="C87" s="4"/>
      <c r="D87" s="4"/>
      <c r="E87" s="4"/>
      <c r="F87" s="4"/>
      <c r="G87" s="4"/>
      <c r="H87" s="4"/>
      <c r="I87" s="4"/>
      <c r="J87" s="4"/>
      <c r="K87" s="4"/>
      <c r="L87" s="4"/>
      <c r="M87" s="4"/>
    </row>
    <row r="88" spans="2:13">
      <c r="B88" s="4"/>
      <c r="C88" s="4"/>
      <c r="D88" s="4"/>
      <c r="E88" s="4"/>
      <c r="F88" s="4"/>
      <c r="G88" s="4"/>
      <c r="H88" s="4"/>
      <c r="I88" s="4"/>
      <c r="J88" s="4"/>
      <c r="K88" s="4"/>
      <c r="L88" s="4"/>
      <c r="M88" s="4"/>
    </row>
    <row r="89" spans="2:13">
      <c r="B89" s="4"/>
      <c r="C89" s="4"/>
      <c r="D89" s="4"/>
      <c r="E89" s="4"/>
      <c r="F89" s="4"/>
      <c r="G89" s="4"/>
      <c r="H89" s="4"/>
      <c r="I89" s="4"/>
      <c r="J89" s="4"/>
      <c r="K89" s="4"/>
      <c r="L89" s="4"/>
      <c r="M89" s="4"/>
    </row>
    <row r="90" spans="2:13">
      <c r="B90" s="4"/>
      <c r="C90" s="4"/>
      <c r="D90" s="4"/>
      <c r="E90" s="4"/>
      <c r="F90" s="4"/>
      <c r="G90" s="4"/>
      <c r="H90" s="4"/>
      <c r="I90" s="4"/>
      <c r="J90" s="4"/>
      <c r="K90" s="4"/>
      <c r="L90" s="4"/>
      <c r="M90" s="4"/>
    </row>
    <row r="91" spans="2:13">
      <c r="B91" s="4"/>
      <c r="C91" s="4"/>
      <c r="D91" s="4"/>
      <c r="E91" s="4"/>
      <c r="F91" s="4"/>
      <c r="G91" s="4"/>
      <c r="H91" s="4"/>
      <c r="I91" s="4"/>
      <c r="J91" s="4"/>
      <c r="K91" s="4"/>
      <c r="L91" s="4"/>
      <c r="M91" s="4"/>
    </row>
    <row r="92" spans="2:13">
      <c r="B92" s="4"/>
      <c r="C92" s="4"/>
      <c r="D92" s="4"/>
      <c r="E92" s="4"/>
      <c r="F92" s="4"/>
      <c r="G92" s="4"/>
      <c r="H92" s="4"/>
      <c r="I92" s="4"/>
      <c r="J92" s="4"/>
      <c r="K92" s="4"/>
      <c r="L92" s="4"/>
      <c r="M92" s="4"/>
    </row>
    <row r="93" spans="2:13">
      <c r="B93" s="4"/>
      <c r="C93" s="4"/>
      <c r="D93" s="4"/>
      <c r="E93" s="4"/>
      <c r="F93" s="4"/>
      <c r="G93" s="4"/>
      <c r="H93" s="4"/>
      <c r="I93" s="4"/>
      <c r="J93" s="4"/>
      <c r="K93" s="4"/>
      <c r="L93" s="4"/>
      <c r="M93" s="4"/>
    </row>
    <row r="94" spans="2:13">
      <c r="B94" s="4"/>
      <c r="C94" s="4"/>
      <c r="D94" s="4"/>
      <c r="E94" s="4"/>
      <c r="F94" s="4"/>
      <c r="G94" s="4"/>
      <c r="H94" s="4"/>
      <c r="I94" s="4"/>
      <c r="J94" s="4"/>
      <c r="K94" s="4"/>
      <c r="L94" s="4"/>
      <c r="M94" s="4"/>
    </row>
    <row r="95" spans="2:13">
      <c r="B95" s="4"/>
      <c r="C95" s="4"/>
      <c r="D95" s="4"/>
      <c r="E95" s="4"/>
      <c r="F95" s="4"/>
      <c r="G95" s="4"/>
      <c r="H95" s="4"/>
      <c r="I95" s="4"/>
      <c r="J95" s="4"/>
      <c r="K95" s="4"/>
      <c r="L95" s="4"/>
      <c r="M95" s="4"/>
    </row>
    <row r="96" spans="2:13">
      <c r="B96" s="4"/>
      <c r="C96" s="4"/>
      <c r="D96" s="4"/>
      <c r="E96" s="4"/>
      <c r="F96" s="4"/>
      <c r="G96" s="4"/>
      <c r="H96" s="4"/>
      <c r="I96" s="4"/>
      <c r="J96" s="4"/>
      <c r="K96" s="4"/>
      <c r="L96" s="4"/>
      <c r="M96" s="4"/>
    </row>
    <row r="97" spans="2:13">
      <c r="B97" s="4"/>
      <c r="C97" s="4"/>
      <c r="D97" s="4"/>
      <c r="E97" s="4"/>
      <c r="F97" s="4"/>
      <c r="G97" s="4"/>
      <c r="H97" s="4"/>
      <c r="I97" s="4"/>
      <c r="J97" s="4"/>
      <c r="K97" s="4"/>
      <c r="L97" s="4"/>
      <c r="M97" s="4"/>
    </row>
    <row r="98" spans="2:13">
      <c r="B98" s="4"/>
      <c r="C98" s="4"/>
      <c r="D98" s="4"/>
      <c r="E98" s="4"/>
      <c r="F98" s="4"/>
      <c r="G98" s="4"/>
      <c r="H98" s="4"/>
      <c r="I98" s="4"/>
      <c r="J98" s="4"/>
      <c r="K98" s="4"/>
      <c r="L98" s="4"/>
      <c r="M98" s="4"/>
    </row>
    <row r="99" spans="2:13">
      <c r="B99" s="4"/>
      <c r="C99" s="4"/>
      <c r="D99" s="4"/>
      <c r="E99" s="4"/>
      <c r="F99" s="4"/>
      <c r="G99" s="4"/>
      <c r="H99" s="4"/>
      <c r="I99" s="4"/>
      <c r="J99" s="4"/>
      <c r="K99" s="4"/>
      <c r="L99" s="4"/>
      <c r="M99" s="4"/>
    </row>
    <row r="100" spans="2:13">
      <c r="B100" s="4"/>
      <c r="C100" s="4"/>
      <c r="D100" s="4"/>
      <c r="E100" s="4"/>
      <c r="F100" s="4"/>
      <c r="G100" s="4"/>
      <c r="H100" s="4"/>
      <c r="I100" s="4"/>
      <c r="J100" s="4"/>
      <c r="K100" s="4"/>
      <c r="L100" s="4"/>
      <c r="M100" s="4"/>
    </row>
    <row r="101" spans="2:13">
      <c r="B101" s="4"/>
      <c r="C101" s="4"/>
      <c r="D101" s="4"/>
      <c r="E101" s="4"/>
      <c r="F101" s="4"/>
      <c r="G101" s="4"/>
      <c r="H101" s="4"/>
      <c r="I101" s="4"/>
      <c r="J101" s="4"/>
      <c r="K101" s="4"/>
      <c r="L101" s="4"/>
      <c r="M101" s="4"/>
    </row>
    <row r="102" spans="2:13">
      <c r="B102" s="4"/>
      <c r="C102" s="4"/>
      <c r="D102" s="4"/>
      <c r="E102" s="4"/>
      <c r="F102" s="4"/>
      <c r="G102" s="4"/>
      <c r="H102" s="4"/>
      <c r="I102" s="4"/>
      <c r="J102" s="4"/>
      <c r="K102" s="4"/>
      <c r="L102" s="4"/>
      <c r="M102" s="4"/>
    </row>
    <row r="103" spans="2:13">
      <c r="B103" s="4"/>
      <c r="C103" s="4"/>
      <c r="D103" s="4"/>
      <c r="E103" s="4"/>
      <c r="F103" s="4"/>
      <c r="G103" s="4"/>
      <c r="H103" s="4"/>
      <c r="I103" s="4"/>
      <c r="J103" s="4"/>
      <c r="K103" s="4"/>
      <c r="L103" s="4"/>
      <c r="M103" s="4"/>
    </row>
    <row r="104" spans="2:13">
      <c r="B104" s="4"/>
      <c r="C104" s="4"/>
      <c r="D104" s="4"/>
      <c r="E104" s="4"/>
      <c r="F104" s="4"/>
      <c r="G104" s="4"/>
      <c r="H104" s="4"/>
      <c r="I104" s="4"/>
      <c r="J104" s="4"/>
      <c r="K104" s="4"/>
      <c r="L104" s="4"/>
      <c r="M104" s="4"/>
    </row>
    <row r="105" spans="2:13">
      <c r="B105" s="4"/>
      <c r="C105" s="4"/>
      <c r="D105" s="4"/>
      <c r="E105" s="4"/>
      <c r="F105" s="4"/>
      <c r="G105" s="4"/>
      <c r="H105" s="4"/>
      <c r="I105" s="4"/>
      <c r="J105" s="4"/>
      <c r="K105" s="4"/>
      <c r="L105" s="4"/>
      <c r="M105" s="4"/>
    </row>
    <row r="106" spans="2:13">
      <c r="B106" s="4"/>
      <c r="C106" s="4"/>
      <c r="D106" s="4"/>
      <c r="E106" s="4"/>
      <c r="F106" s="4"/>
      <c r="G106" s="4"/>
      <c r="H106" s="4"/>
      <c r="I106" s="4"/>
      <c r="J106" s="4"/>
      <c r="K106" s="4"/>
      <c r="L106" s="4"/>
      <c r="M106" s="4"/>
    </row>
    <row r="107" spans="2:13">
      <c r="B107" s="4"/>
      <c r="C107" s="4"/>
      <c r="D107" s="4"/>
      <c r="E107" s="4"/>
      <c r="F107" s="4"/>
      <c r="G107" s="4"/>
      <c r="H107" s="4"/>
      <c r="I107" s="4"/>
      <c r="J107" s="4"/>
      <c r="K107" s="4"/>
      <c r="L107" s="4"/>
      <c r="M107" s="4"/>
    </row>
    <row r="108" spans="2:13">
      <c r="B108" s="4"/>
      <c r="C108" s="4"/>
      <c r="D108" s="4"/>
      <c r="E108" s="4"/>
      <c r="F108" s="4"/>
      <c r="G108" s="4"/>
      <c r="H108" s="4"/>
      <c r="I108" s="4"/>
      <c r="J108" s="4"/>
      <c r="K108" s="4"/>
      <c r="L108" s="4"/>
      <c r="M108" s="4"/>
    </row>
    <row r="109" spans="2:13">
      <c r="B109" s="4"/>
      <c r="C109" s="4"/>
      <c r="D109" s="4"/>
      <c r="E109" s="4"/>
      <c r="F109" s="4"/>
      <c r="G109" s="4"/>
      <c r="H109" s="4"/>
      <c r="I109" s="4"/>
      <c r="J109" s="4"/>
      <c r="K109" s="4"/>
      <c r="L109" s="4"/>
      <c r="M109" s="4"/>
    </row>
    <row r="110" spans="2:13">
      <c r="B110" s="4"/>
      <c r="C110" s="4"/>
      <c r="D110" s="4"/>
      <c r="E110" s="4"/>
      <c r="F110" s="4"/>
      <c r="G110" s="4"/>
      <c r="H110" s="4"/>
      <c r="I110" s="4"/>
      <c r="J110" s="4"/>
      <c r="K110" s="4"/>
      <c r="L110" s="4"/>
      <c r="M110" s="4"/>
    </row>
    <row r="111" spans="2:13">
      <c r="B111" s="4"/>
      <c r="C111" s="4"/>
      <c r="D111" s="4"/>
      <c r="E111" s="4"/>
      <c r="F111" s="4"/>
      <c r="G111" s="4"/>
      <c r="H111" s="4"/>
      <c r="I111" s="4"/>
      <c r="J111" s="4"/>
      <c r="K111" s="4"/>
      <c r="L111" s="4"/>
      <c r="M111" s="4"/>
    </row>
    <row r="112" spans="2:13">
      <c r="B112" s="4"/>
      <c r="C112" s="4"/>
      <c r="D112" s="4"/>
      <c r="E112" s="4"/>
      <c r="F112" s="4"/>
      <c r="G112" s="4"/>
      <c r="H112" s="4"/>
      <c r="I112" s="4"/>
      <c r="J112" s="4"/>
      <c r="K112" s="4"/>
      <c r="L112" s="4"/>
      <c r="M112" s="4"/>
    </row>
    <row r="113" spans="2:13">
      <c r="B113" s="4"/>
      <c r="C113" s="4"/>
      <c r="D113" s="4"/>
      <c r="E113" s="4"/>
      <c r="F113" s="4"/>
      <c r="G113" s="4"/>
      <c r="H113" s="4"/>
      <c r="I113" s="4"/>
      <c r="J113" s="4"/>
      <c r="K113" s="4"/>
      <c r="L113" s="4"/>
      <c r="M113" s="4"/>
    </row>
    <row r="114" spans="2:13">
      <c r="B114" s="4"/>
      <c r="C114" s="4"/>
      <c r="D114" s="4"/>
      <c r="E114" s="4"/>
      <c r="F114" s="4"/>
      <c r="G114" s="4"/>
      <c r="H114" s="4"/>
      <c r="I114" s="4"/>
      <c r="J114" s="4"/>
      <c r="K114" s="4"/>
      <c r="L114" s="4"/>
      <c r="M114" s="4"/>
    </row>
    <row r="115" spans="2:13">
      <c r="B115" s="4"/>
      <c r="C115" s="4"/>
      <c r="D115" s="4"/>
      <c r="E115" s="4"/>
      <c r="F115" s="4"/>
      <c r="G115" s="4"/>
      <c r="H115" s="4"/>
      <c r="I115" s="4"/>
      <c r="J115" s="4"/>
      <c r="K115" s="4"/>
      <c r="L115" s="4"/>
      <c r="M115" s="4"/>
    </row>
    <row r="116" spans="2:13">
      <c r="B116" s="4"/>
      <c r="C116" s="4"/>
      <c r="D116" s="4"/>
      <c r="E116" s="4"/>
      <c r="F116" s="4"/>
      <c r="G116" s="4"/>
      <c r="H116" s="4"/>
      <c r="I116" s="4"/>
      <c r="J116" s="4"/>
      <c r="K116" s="4"/>
      <c r="L116" s="4"/>
      <c r="M116" s="4"/>
    </row>
    <row r="117" spans="2:13">
      <c r="B117" s="4"/>
      <c r="C117" s="4"/>
      <c r="D117" s="4"/>
      <c r="E117" s="4"/>
      <c r="F117" s="4"/>
      <c r="G117" s="4"/>
      <c r="H117" s="4"/>
      <c r="I117" s="4"/>
      <c r="J117" s="4"/>
      <c r="K117" s="4"/>
      <c r="L117" s="4"/>
      <c r="M117" s="4"/>
    </row>
    <row r="118" spans="2:13">
      <c r="B118" s="4"/>
      <c r="C118" s="4"/>
      <c r="D118" s="4"/>
      <c r="E118" s="4"/>
      <c r="F118" s="4"/>
      <c r="G118" s="4"/>
      <c r="H118" s="4"/>
      <c r="I118" s="4"/>
      <c r="J118" s="4"/>
      <c r="K118" s="4"/>
      <c r="L118" s="4"/>
      <c r="M118" s="4"/>
    </row>
    <row r="119" spans="2:13">
      <c r="B119" s="4"/>
      <c r="C119" s="4"/>
      <c r="D119" s="4"/>
      <c r="E119" s="4"/>
      <c r="F119" s="4"/>
      <c r="G119" s="4"/>
      <c r="H119" s="4"/>
      <c r="I119" s="4"/>
      <c r="J119" s="4"/>
      <c r="K119" s="4"/>
      <c r="L119" s="4"/>
      <c r="M119" s="4"/>
    </row>
    <row r="120" spans="2:13">
      <c r="B120" s="4"/>
      <c r="C120" s="4"/>
      <c r="D120" s="4"/>
      <c r="E120" s="4"/>
      <c r="F120" s="4"/>
      <c r="G120" s="4"/>
      <c r="H120" s="4"/>
      <c r="I120" s="4"/>
      <c r="J120" s="4"/>
      <c r="K120" s="4"/>
      <c r="L120" s="4"/>
      <c r="M120" s="4"/>
    </row>
    <row r="121" spans="2:13">
      <c r="B121" s="4"/>
      <c r="C121" s="4"/>
      <c r="D121" s="4"/>
      <c r="E121" s="4"/>
      <c r="F121" s="4"/>
      <c r="G121" s="4"/>
      <c r="H121" s="4"/>
      <c r="I121" s="4"/>
      <c r="J121" s="4"/>
      <c r="K121" s="4"/>
      <c r="L121" s="4"/>
      <c r="M121" s="4"/>
    </row>
    <row r="122" spans="2:13">
      <c r="B122" s="4"/>
      <c r="C122" s="4"/>
      <c r="D122" s="4"/>
      <c r="E122" s="4"/>
      <c r="F122" s="4"/>
      <c r="G122" s="4"/>
      <c r="H122" s="4"/>
      <c r="I122" s="4"/>
      <c r="J122" s="4"/>
      <c r="K122" s="4"/>
      <c r="L122" s="4"/>
      <c r="M122" s="4"/>
    </row>
    <row r="123" spans="2:13">
      <c r="B123" s="4"/>
      <c r="C123" s="4"/>
      <c r="D123" s="4"/>
      <c r="E123" s="4"/>
      <c r="F123" s="4"/>
      <c r="G123" s="4"/>
      <c r="H123" s="4"/>
      <c r="I123" s="4"/>
      <c r="J123" s="4"/>
      <c r="K123" s="4"/>
      <c r="L123" s="4"/>
      <c r="M123" s="4"/>
    </row>
    <row r="124" spans="2:13">
      <c r="B124" s="4"/>
      <c r="C124" s="4"/>
      <c r="D124" s="4"/>
      <c r="E124" s="4"/>
      <c r="F124" s="4"/>
      <c r="G124" s="4"/>
      <c r="H124" s="4"/>
      <c r="I124" s="4"/>
      <c r="J124" s="4"/>
      <c r="K124" s="4"/>
      <c r="L124" s="4"/>
      <c r="M124" s="4"/>
    </row>
    <row r="125" spans="2:13">
      <c r="B125" s="4"/>
      <c r="C125" s="4"/>
      <c r="D125" s="4"/>
      <c r="E125" s="4"/>
      <c r="F125" s="4"/>
      <c r="G125" s="4"/>
      <c r="H125" s="4"/>
      <c r="I125" s="4"/>
      <c r="J125" s="4"/>
      <c r="K125" s="4"/>
      <c r="L125" s="4"/>
      <c r="M125" s="4"/>
    </row>
    <row r="126" spans="2:13">
      <c r="B126" s="4"/>
      <c r="C126" s="4"/>
      <c r="D126" s="4"/>
      <c r="E126" s="4"/>
      <c r="F126" s="4"/>
      <c r="G126" s="4"/>
      <c r="H126" s="4"/>
      <c r="I126" s="4"/>
      <c r="J126" s="4"/>
      <c r="K126" s="4"/>
      <c r="L126" s="4"/>
      <c r="M126" s="4"/>
    </row>
    <row r="127" spans="2:13">
      <c r="B127" s="4"/>
      <c r="C127" s="4"/>
      <c r="D127" s="4"/>
      <c r="E127" s="4"/>
      <c r="F127" s="4"/>
      <c r="G127" s="4"/>
      <c r="H127" s="4"/>
      <c r="I127" s="4"/>
      <c r="J127" s="4"/>
      <c r="K127" s="4"/>
      <c r="L127" s="4"/>
      <c r="M127" s="4"/>
    </row>
    <row r="128" spans="2:13">
      <c r="B128" s="4"/>
      <c r="C128" s="4"/>
      <c r="D128" s="4"/>
      <c r="E128" s="4"/>
      <c r="F128" s="4"/>
      <c r="G128" s="4"/>
      <c r="H128" s="4"/>
      <c r="I128" s="4"/>
      <c r="J128" s="4"/>
      <c r="K128" s="4"/>
      <c r="L128" s="4"/>
      <c r="M128" s="4"/>
    </row>
    <row r="129" spans="2:13">
      <c r="B129" s="4"/>
      <c r="C129" s="4"/>
      <c r="D129" s="4"/>
      <c r="E129" s="4"/>
      <c r="F129" s="4"/>
      <c r="G129" s="4"/>
      <c r="H129" s="4"/>
      <c r="I129" s="4"/>
      <c r="J129" s="4"/>
      <c r="K129" s="4"/>
      <c r="L129" s="4"/>
      <c r="M129" s="4"/>
    </row>
    <row r="130" spans="2:13">
      <c r="B130" s="4"/>
      <c r="C130" s="4"/>
      <c r="D130" s="4"/>
      <c r="E130" s="4"/>
      <c r="F130" s="4"/>
      <c r="G130" s="4"/>
      <c r="H130" s="4"/>
      <c r="I130" s="4"/>
      <c r="J130" s="4"/>
      <c r="K130" s="4"/>
      <c r="L130" s="4"/>
      <c r="M130" s="4"/>
    </row>
    <row r="131" spans="2:13">
      <c r="B131" s="4"/>
      <c r="C131" s="4"/>
      <c r="D131" s="4"/>
      <c r="E131" s="4"/>
      <c r="F131" s="4"/>
      <c r="G131" s="4"/>
      <c r="H131" s="4"/>
      <c r="I131" s="4"/>
      <c r="J131" s="4"/>
      <c r="K131" s="4"/>
      <c r="L131" s="4"/>
      <c r="M131" s="4"/>
    </row>
    <row r="132" spans="2:13">
      <c r="B132" s="4"/>
      <c r="C132" s="4"/>
      <c r="D132" s="4"/>
      <c r="E132" s="4"/>
      <c r="F132" s="4"/>
      <c r="G132" s="4"/>
      <c r="H132" s="4"/>
      <c r="I132" s="4"/>
      <c r="J132" s="4"/>
      <c r="K132" s="4"/>
      <c r="L132" s="4"/>
      <c r="M132" s="4"/>
    </row>
    <row r="133" spans="2:13">
      <c r="B133" s="4"/>
      <c r="C133" s="4"/>
      <c r="D133" s="4"/>
      <c r="E133" s="4"/>
      <c r="F133" s="4"/>
      <c r="G133" s="4"/>
      <c r="H133" s="4"/>
      <c r="I133" s="4"/>
      <c r="J133" s="4"/>
      <c r="K133" s="4"/>
      <c r="L133" s="4"/>
      <c r="M133" s="4"/>
    </row>
    <row r="134" spans="2:13">
      <c r="B134" s="4"/>
      <c r="C134" s="4"/>
      <c r="D134" s="4"/>
      <c r="E134" s="4"/>
      <c r="F134" s="4"/>
      <c r="G134" s="4"/>
      <c r="H134" s="4"/>
      <c r="I134" s="4"/>
      <c r="J134" s="4"/>
      <c r="K134" s="4"/>
      <c r="L134" s="4"/>
      <c r="M134" s="4"/>
    </row>
    <row r="135" spans="2:13">
      <c r="B135" s="4"/>
      <c r="C135" s="4"/>
      <c r="D135" s="4"/>
      <c r="E135" s="4"/>
      <c r="F135" s="4"/>
      <c r="G135" s="4"/>
      <c r="H135" s="4"/>
      <c r="I135" s="4"/>
      <c r="J135" s="4"/>
      <c r="K135" s="4"/>
      <c r="L135" s="4"/>
      <c r="M135" s="4"/>
    </row>
    <row r="136" spans="2:13">
      <c r="B136" s="4"/>
      <c r="C136" s="4"/>
      <c r="D136" s="4"/>
      <c r="E136" s="4"/>
      <c r="F136" s="4"/>
      <c r="G136" s="4"/>
      <c r="H136" s="4"/>
      <c r="I136" s="4"/>
      <c r="J136" s="4"/>
      <c r="K136" s="4"/>
      <c r="L136" s="4"/>
      <c r="M136" s="4"/>
    </row>
    <row r="137" spans="2:13">
      <c r="B137" s="4"/>
      <c r="C137" s="4"/>
      <c r="D137" s="4"/>
      <c r="E137" s="4"/>
      <c r="F137" s="4"/>
      <c r="G137" s="4"/>
      <c r="H137" s="4"/>
      <c r="I137" s="4"/>
      <c r="J137" s="4"/>
      <c r="K137" s="4"/>
      <c r="L137" s="4"/>
      <c r="M137" s="4"/>
    </row>
    <row r="138" spans="2:13">
      <c r="B138" s="4"/>
      <c r="C138" s="4"/>
      <c r="D138" s="4"/>
      <c r="E138" s="4"/>
      <c r="F138" s="4"/>
      <c r="G138" s="4"/>
      <c r="H138" s="4"/>
      <c r="I138" s="4"/>
      <c r="J138" s="4"/>
      <c r="K138" s="4"/>
      <c r="L138" s="4"/>
      <c r="M138" s="4"/>
    </row>
    <row r="139" spans="2:13">
      <c r="B139" s="4"/>
      <c r="C139" s="4"/>
      <c r="D139" s="4"/>
      <c r="E139" s="4"/>
      <c r="F139" s="4"/>
      <c r="G139" s="4"/>
      <c r="H139" s="4"/>
      <c r="I139" s="4"/>
      <c r="J139" s="4"/>
      <c r="K139" s="4"/>
      <c r="L139" s="4"/>
      <c r="M139" s="4"/>
    </row>
    <row r="140" spans="2:13">
      <c r="B140" s="4"/>
      <c r="C140" s="4"/>
      <c r="D140" s="4"/>
      <c r="E140" s="4"/>
      <c r="F140" s="4"/>
      <c r="G140" s="4"/>
      <c r="H140" s="4"/>
      <c r="I140" s="4"/>
      <c r="J140" s="4"/>
      <c r="K140" s="4"/>
      <c r="L140" s="4"/>
      <c r="M140" s="4"/>
    </row>
    <row r="141" spans="2:13">
      <c r="B141" s="4"/>
      <c r="C141" s="4"/>
      <c r="D141" s="4"/>
      <c r="E141" s="4"/>
      <c r="F141" s="4"/>
      <c r="G141" s="4"/>
      <c r="H141" s="4"/>
      <c r="I141" s="4"/>
      <c r="J141" s="4"/>
      <c r="K141" s="4"/>
      <c r="L141" s="4"/>
      <c r="M141" s="4"/>
    </row>
    <row r="142" spans="2:13">
      <c r="B142" s="4"/>
      <c r="C142" s="4"/>
      <c r="D142" s="4"/>
      <c r="E142" s="4"/>
      <c r="F142" s="4"/>
      <c r="G142" s="4"/>
      <c r="H142" s="4"/>
      <c r="I142" s="4"/>
      <c r="J142" s="4"/>
      <c r="K142" s="4"/>
      <c r="L142" s="4"/>
      <c r="M142" s="4"/>
    </row>
    <row r="143" spans="2:13">
      <c r="B143" s="4"/>
      <c r="C143" s="4"/>
      <c r="D143" s="4"/>
      <c r="E143" s="4"/>
      <c r="F143" s="4"/>
      <c r="G143" s="4"/>
      <c r="H143" s="4"/>
      <c r="I143" s="4"/>
      <c r="J143" s="4"/>
      <c r="K143" s="4"/>
      <c r="L143" s="4"/>
      <c r="M143" s="4"/>
    </row>
    <row r="144" spans="2:13">
      <c r="B144" s="4"/>
      <c r="C144" s="4"/>
      <c r="D144" s="4"/>
      <c r="E144" s="4"/>
      <c r="F144" s="4"/>
      <c r="G144" s="4"/>
      <c r="H144" s="4"/>
      <c r="I144" s="4"/>
      <c r="J144" s="4"/>
      <c r="K144" s="4"/>
      <c r="L144" s="4"/>
      <c r="M144" s="4"/>
    </row>
    <row r="145" spans="2:13">
      <c r="B145" s="4"/>
      <c r="C145" s="4"/>
      <c r="D145" s="4"/>
      <c r="E145" s="4"/>
      <c r="F145" s="4"/>
      <c r="G145" s="4"/>
      <c r="H145" s="4"/>
      <c r="I145" s="4"/>
      <c r="J145" s="4"/>
      <c r="K145" s="4"/>
      <c r="L145" s="4"/>
      <c r="M145" s="4"/>
    </row>
    <row r="146" spans="2:13">
      <c r="B146" s="4"/>
      <c r="C146" s="4"/>
      <c r="D146" s="4"/>
      <c r="E146" s="4"/>
      <c r="F146" s="4"/>
      <c r="G146" s="4"/>
      <c r="H146" s="4"/>
      <c r="I146" s="4"/>
      <c r="J146" s="4"/>
      <c r="K146" s="4"/>
      <c r="L146" s="4"/>
      <c r="M146" s="4"/>
    </row>
    <row r="147" spans="2:13">
      <c r="B147" s="4"/>
      <c r="C147" s="4"/>
      <c r="D147" s="4"/>
      <c r="E147" s="4"/>
      <c r="F147" s="4"/>
      <c r="G147" s="4"/>
      <c r="H147" s="4"/>
      <c r="I147" s="4"/>
      <c r="J147" s="4"/>
      <c r="K147" s="4"/>
      <c r="L147" s="4"/>
      <c r="M147" s="4"/>
    </row>
    <row r="148" spans="2:13">
      <c r="B148" s="4"/>
      <c r="C148" s="4"/>
      <c r="D148" s="4"/>
      <c r="E148" s="4"/>
      <c r="F148" s="4"/>
      <c r="G148" s="4"/>
      <c r="H148" s="4"/>
      <c r="I148" s="4"/>
      <c r="J148" s="4"/>
      <c r="K148" s="4"/>
      <c r="L148" s="4"/>
      <c r="M148" s="4"/>
    </row>
    <row r="149" spans="2:13">
      <c r="B149" s="4"/>
      <c r="C149" s="4"/>
      <c r="D149" s="4"/>
      <c r="E149" s="4"/>
      <c r="F149" s="4"/>
      <c r="G149" s="4"/>
      <c r="H149" s="4"/>
      <c r="I149" s="4"/>
      <c r="J149" s="4"/>
      <c r="K149" s="4"/>
      <c r="L149" s="4"/>
      <c r="M149" s="4"/>
    </row>
    <row r="150" spans="2:13">
      <c r="B150" s="4"/>
      <c r="C150" s="4"/>
      <c r="D150" s="4"/>
      <c r="E150" s="4"/>
      <c r="F150" s="4"/>
      <c r="G150" s="4"/>
      <c r="H150" s="4"/>
      <c r="I150" s="4"/>
      <c r="J150" s="4"/>
      <c r="K150" s="4"/>
      <c r="L150" s="4"/>
      <c r="M150" s="4"/>
    </row>
    <row r="151" spans="2:13">
      <c r="B151" s="4"/>
      <c r="C151" s="4"/>
      <c r="D151" s="4"/>
      <c r="E151" s="4"/>
      <c r="F151" s="4"/>
      <c r="G151" s="4"/>
      <c r="H151" s="4"/>
      <c r="I151" s="4"/>
      <c r="J151" s="4"/>
      <c r="K151" s="4"/>
      <c r="L151" s="4"/>
      <c r="M151" s="4"/>
    </row>
    <row r="152" spans="2:13">
      <c r="B152" s="4"/>
      <c r="C152" s="4"/>
      <c r="D152" s="4"/>
      <c r="E152" s="4"/>
      <c r="F152" s="4"/>
      <c r="G152" s="4"/>
      <c r="H152" s="4"/>
      <c r="I152" s="4"/>
      <c r="J152" s="4"/>
      <c r="K152" s="4"/>
      <c r="L152" s="4"/>
      <c r="M152" s="4"/>
    </row>
    <row r="153" spans="2:13">
      <c r="B153" s="4"/>
      <c r="C153" s="4"/>
      <c r="D153" s="4"/>
      <c r="E153" s="4"/>
      <c r="F153" s="4"/>
      <c r="G153" s="4"/>
      <c r="H153" s="4"/>
      <c r="I153" s="4"/>
      <c r="J153" s="4"/>
      <c r="K153" s="4"/>
      <c r="L153" s="4"/>
      <c r="M153" s="4"/>
    </row>
    <row r="154" spans="2:13">
      <c r="B154" s="4"/>
      <c r="C154" s="4"/>
      <c r="D154" s="4"/>
      <c r="E154" s="4"/>
      <c r="F154" s="4"/>
      <c r="G154" s="4"/>
      <c r="H154" s="4"/>
      <c r="I154" s="4"/>
      <c r="J154" s="4"/>
      <c r="K154" s="4"/>
      <c r="L154" s="4"/>
      <c r="M154" s="4"/>
    </row>
    <row r="155" spans="2:13">
      <c r="B155" s="4"/>
      <c r="C155" s="4"/>
      <c r="D155" s="4"/>
      <c r="E155" s="4"/>
      <c r="F155" s="4"/>
      <c r="G155" s="4"/>
      <c r="H155" s="4"/>
      <c r="I155" s="4"/>
      <c r="J155" s="4"/>
      <c r="K155" s="4"/>
      <c r="L155" s="4"/>
      <c r="M155" s="4"/>
    </row>
    <row r="156" spans="2:13">
      <c r="B156" s="4"/>
      <c r="C156" s="4"/>
      <c r="D156" s="4"/>
      <c r="E156" s="4"/>
      <c r="F156" s="4"/>
      <c r="G156" s="4"/>
      <c r="H156" s="4"/>
      <c r="I156" s="4"/>
      <c r="J156" s="4"/>
      <c r="K156" s="4"/>
      <c r="L156" s="4"/>
      <c r="M156" s="4"/>
    </row>
    <row r="157" spans="2:13">
      <c r="B157" s="4"/>
      <c r="C157" s="4"/>
      <c r="D157" s="4"/>
      <c r="E157" s="4"/>
      <c r="F157" s="4"/>
      <c r="G157" s="4"/>
      <c r="H157" s="4"/>
      <c r="I157" s="4"/>
      <c r="J157" s="4"/>
      <c r="K157" s="4"/>
      <c r="L157" s="4"/>
      <c r="M157" s="4"/>
    </row>
    <row r="158" spans="2:13">
      <c r="B158" s="4"/>
      <c r="C158" s="4"/>
      <c r="D158" s="4"/>
      <c r="E158" s="4"/>
      <c r="F158" s="4"/>
      <c r="G158" s="4"/>
      <c r="H158" s="4"/>
      <c r="I158" s="4"/>
      <c r="J158" s="4"/>
      <c r="K158" s="4"/>
      <c r="L158" s="4"/>
      <c r="M158" s="4"/>
    </row>
    <row r="159" spans="2:13">
      <c r="B159" s="4"/>
      <c r="C159" s="4"/>
      <c r="D159" s="4"/>
      <c r="E159" s="4"/>
      <c r="F159" s="4"/>
      <c r="G159" s="4"/>
      <c r="H159" s="4"/>
      <c r="I159" s="4"/>
      <c r="J159" s="4"/>
      <c r="K159" s="4"/>
      <c r="L159" s="4"/>
      <c r="M159" s="4"/>
    </row>
    <row r="160" spans="2:13">
      <c r="B160" s="4"/>
      <c r="C160" s="4"/>
      <c r="D160" s="4"/>
      <c r="E160" s="4"/>
      <c r="F160" s="4"/>
      <c r="G160" s="4"/>
      <c r="H160" s="4"/>
      <c r="I160" s="4"/>
      <c r="J160" s="4"/>
      <c r="K160" s="4"/>
      <c r="L160" s="4"/>
      <c r="M160" s="4"/>
    </row>
  </sheetData>
  <mergeCells count="3">
    <mergeCell ref="A1:P1"/>
    <mergeCell ref="A2:P2"/>
    <mergeCell ref="A3:P3"/>
  </mergeCells>
  <pageMargins left="0.75" right="0.75" top="1" bottom="1" header="0.5" footer="0.5"/>
  <pageSetup scale="61" orientation="landscape" r:id="rId1"/>
  <headerFooter alignWithMargins="0">
    <oddFooter>&amp;L&amp;Z
&amp;F&amp;C&amp;A&amp;R5.&amp;P</oddFooter>
  </headerFooter>
  <rowBreaks count="1" manualBreakCount="1">
    <brk id="44" max="15" man="1"/>
  </rowBreaks>
</worksheet>
</file>

<file path=xl/worksheets/sheet125.xml><?xml version="1.0" encoding="utf-8"?>
<worksheet xmlns="http://schemas.openxmlformats.org/spreadsheetml/2006/main" xmlns:r="http://schemas.openxmlformats.org/officeDocument/2006/relationships">
  <sheetPr codeName="Sheet128"/>
  <dimension ref="A1:M193"/>
  <sheetViews>
    <sheetView zoomScaleNormal="100" workbookViewId="0">
      <selection sqref="A1:M1"/>
    </sheetView>
  </sheetViews>
  <sheetFormatPr defaultRowHeight="12.75"/>
  <cols>
    <col min="1" max="1" width="40.5703125" bestFit="1" customWidth="1"/>
    <col min="2" max="2" width="17.7109375" customWidth="1"/>
    <col min="3" max="3" width="1.7109375" customWidth="1"/>
    <col min="4" max="4" width="17.7109375" customWidth="1"/>
    <col min="5" max="5" width="1.7109375" customWidth="1"/>
    <col min="6" max="6" width="17.7109375" customWidth="1"/>
    <col min="7" max="7" width="1.7109375" customWidth="1"/>
    <col min="8" max="8" width="17.7109375" customWidth="1"/>
    <col min="9" max="9" width="1.7109375" customWidth="1"/>
    <col min="10" max="10" width="17.7109375" customWidth="1"/>
    <col min="11" max="11" width="1.7109375" customWidth="1"/>
    <col min="12" max="12" width="17.7109375" customWidth="1"/>
    <col min="13" max="13" width="2.140625" customWidth="1"/>
  </cols>
  <sheetData>
    <row r="1" spans="1:13" s="38" customFormat="1" ht="15.75">
      <c r="A1" s="366" t="s">
        <v>134</v>
      </c>
      <c r="B1" s="366"/>
      <c r="C1" s="366"/>
      <c r="D1" s="366"/>
      <c r="E1" s="366"/>
      <c r="F1" s="366"/>
      <c r="G1" s="366"/>
      <c r="H1" s="366"/>
      <c r="I1" s="366"/>
      <c r="J1" s="366"/>
      <c r="K1" s="366"/>
      <c r="L1" s="366"/>
      <c r="M1" s="366"/>
    </row>
    <row r="2" spans="1:13" s="38" customFormat="1" ht="15.75">
      <c r="A2" s="367" t="s">
        <v>1153</v>
      </c>
      <c r="B2" s="366"/>
      <c r="C2" s="366"/>
      <c r="D2" s="366"/>
      <c r="E2" s="366"/>
      <c r="F2" s="366"/>
      <c r="G2" s="366"/>
      <c r="H2" s="366"/>
      <c r="I2" s="366"/>
      <c r="J2" s="366"/>
      <c r="K2" s="366"/>
      <c r="L2" s="366"/>
      <c r="M2" s="366"/>
    </row>
    <row r="3" spans="1:13">
      <c r="A3" s="357" t="str">
        <f>'Summary - Cost - PG 1 (PA)'!A3:N3</f>
        <v>MARCH 2012</v>
      </c>
      <c r="B3" s="357"/>
      <c r="C3" s="357"/>
      <c r="D3" s="357"/>
      <c r="E3" s="357"/>
      <c r="F3" s="357"/>
      <c r="G3" s="357"/>
      <c r="H3" s="357"/>
      <c r="I3" s="357"/>
      <c r="J3" s="357"/>
      <c r="K3" s="357"/>
      <c r="L3" s="357"/>
      <c r="M3" s="357"/>
    </row>
    <row r="4" spans="1:13">
      <c r="A4" s="190"/>
      <c r="B4" s="190"/>
      <c r="C4" s="190"/>
      <c r="D4" s="190"/>
      <c r="E4" s="190"/>
      <c r="F4" s="190"/>
      <c r="G4" s="190"/>
      <c r="H4" s="190"/>
      <c r="I4" s="190"/>
      <c r="J4" s="190"/>
      <c r="K4" s="190"/>
      <c r="L4" s="190"/>
    </row>
    <row r="6" spans="1:13">
      <c r="B6" s="41" t="s">
        <v>25</v>
      </c>
      <c r="D6" s="182"/>
      <c r="F6" s="182"/>
      <c r="H6" s="41" t="s">
        <v>612</v>
      </c>
      <c r="J6" s="182"/>
      <c r="L6" s="41" t="s">
        <v>26</v>
      </c>
    </row>
    <row r="7" spans="1:13" s="10" customFormat="1">
      <c r="A7" s="12" t="s">
        <v>371</v>
      </c>
      <c r="B7" s="42" t="s">
        <v>27</v>
      </c>
      <c r="C7"/>
      <c r="D7" s="42" t="s">
        <v>107</v>
      </c>
      <c r="E7"/>
      <c r="F7" s="42" t="s">
        <v>108</v>
      </c>
      <c r="G7"/>
      <c r="H7" s="42" t="s">
        <v>613</v>
      </c>
      <c r="I7"/>
      <c r="J7" s="42" t="s">
        <v>109</v>
      </c>
      <c r="K7"/>
      <c r="L7" s="42" t="s">
        <v>27</v>
      </c>
    </row>
    <row r="8" spans="1:13" s="10" customFormat="1">
      <c r="A8" s="12" t="s">
        <v>1244</v>
      </c>
      <c r="B8" s="54"/>
      <c r="C8"/>
      <c r="D8" s="54"/>
      <c r="E8"/>
      <c r="F8" s="54"/>
      <c r="G8"/>
      <c r="H8" s="54"/>
      <c r="I8"/>
      <c r="J8" s="54"/>
      <c r="K8"/>
      <c r="L8" s="54"/>
    </row>
    <row r="9" spans="1:13" s="10" customFormat="1">
      <c r="A9" s="12" t="s">
        <v>420</v>
      </c>
      <c r="B9"/>
      <c r="C9"/>
      <c r="D9"/>
      <c r="E9"/>
      <c r="F9"/>
      <c r="G9"/>
      <c r="H9"/>
      <c r="I9"/>
      <c r="J9"/>
      <c r="K9"/>
      <c r="L9"/>
    </row>
    <row r="10" spans="1:13" s="10" customFormat="1">
      <c r="A10" s="12" t="s">
        <v>807</v>
      </c>
      <c r="B10"/>
      <c r="C10"/>
      <c r="D10"/>
      <c r="E10"/>
      <c r="F10"/>
      <c r="G10"/>
      <c r="H10"/>
      <c r="I10"/>
      <c r="J10"/>
      <c r="K10"/>
      <c r="L10"/>
    </row>
    <row r="11" spans="1:13">
      <c r="A11" t="s">
        <v>19</v>
      </c>
      <c r="B11" s="182">
        <f>'KY_Cost-Plant Acct-Comm-P8(PA)'!B11</f>
        <v>0</v>
      </c>
      <c r="C11" s="182"/>
      <c r="D11" s="182">
        <f>'KY_Cost-Plant Acct-Comm-P8(PA)'!D11</f>
        <v>0</v>
      </c>
      <c r="E11" s="182"/>
      <c r="F11" s="182">
        <f>'KY_Cost-Plant Acct-Comm-P8(PA)'!F11</f>
        <v>0</v>
      </c>
      <c r="G11" s="182"/>
      <c r="H11" s="182">
        <f>'KY_Cost-Plant Acct-Comm-P8(PA)'!H11</f>
        <v>0</v>
      </c>
      <c r="I11" s="182"/>
      <c r="J11" s="182">
        <f t="shared" ref="J11:J39" si="0">H11+F11+D11</f>
        <v>0</v>
      </c>
      <c r="K11" s="182"/>
      <c r="L11" s="182">
        <f t="shared" ref="L11:L39" si="1">J11+B11</f>
        <v>0</v>
      </c>
      <c r="M11" s="4"/>
    </row>
    <row r="12" spans="1:13">
      <c r="A12" t="s">
        <v>20</v>
      </c>
      <c r="B12" s="182">
        <f>'KY_Cost-Plant Acct-Comm-P8(PA)'!B12</f>
        <v>-127911.26</v>
      </c>
      <c r="C12" s="182"/>
      <c r="D12" s="182">
        <f>'KY_Cost-Plant Acct-Comm-P8(PA)'!D12</f>
        <v>0</v>
      </c>
      <c r="E12" s="182"/>
      <c r="F12" s="182">
        <f>'KY_Cost-Plant Acct-Comm-P8(PA)'!F12</f>
        <v>0</v>
      </c>
      <c r="G12" s="182"/>
      <c r="H12" s="182">
        <f>'KY_Cost-Plant Acct-Comm-P8(PA)'!H12</f>
        <v>0</v>
      </c>
      <c r="I12" s="182"/>
      <c r="J12" s="182">
        <f t="shared" si="0"/>
        <v>0</v>
      </c>
      <c r="K12" s="182"/>
      <c r="L12" s="182">
        <f t="shared" si="1"/>
        <v>-127911.26</v>
      </c>
      <c r="M12" s="4"/>
    </row>
    <row r="13" spans="1:13">
      <c r="A13" t="s">
        <v>266</v>
      </c>
      <c r="B13" s="182">
        <f>'KY_Cost-Plant Acct-Comm-P8(PA)'!B13</f>
        <v>-17029091.589999996</v>
      </c>
      <c r="C13" s="182"/>
      <c r="D13" s="182">
        <f>'KY_Cost-Plant Acct-Comm-P8(PA)'!D13</f>
        <v>0</v>
      </c>
      <c r="E13" s="182"/>
      <c r="F13" s="182">
        <f>'KY_Cost-Plant Acct-Comm-P8(PA)'!F13</f>
        <v>70384.41</v>
      </c>
      <c r="G13" s="182"/>
      <c r="H13" s="182">
        <f>'KY_Cost-Plant Acct-Comm-P8(PA)'!H13</f>
        <v>0</v>
      </c>
      <c r="I13" s="182"/>
      <c r="J13" s="182">
        <f t="shared" si="0"/>
        <v>70384.41</v>
      </c>
      <c r="K13" s="182"/>
      <c r="L13" s="182">
        <f t="shared" si="1"/>
        <v>-16958707.179999996</v>
      </c>
      <c r="M13" s="4"/>
    </row>
    <row r="14" spans="1:13">
      <c r="A14" t="s">
        <v>84</v>
      </c>
      <c r="B14" s="182">
        <f>'KY_Cost-Plant Acct-Comm-P8(PA)'!B14</f>
        <v>600967.29</v>
      </c>
      <c r="C14" s="182"/>
      <c r="D14" s="182">
        <f>'KY_Cost-Plant Acct-Comm-P8(PA)'!D14</f>
        <v>0</v>
      </c>
      <c r="E14" s="182"/>
      <c r="F14" s="182">
        <f>'KY_Cost-Plant Acct-Comm-P8(PA)'!F14</f>
        <v>0</v>
      </c>
      <c r="G14" s="182"/>
      <c r="H14" s="182">
        <f>'KY_Cost-Plant Acct-Comm-P8(PA)'!H14</f>
        <v>0</v>
      </c>
      <c r="I14" s="182"/>
      <c r="J14" s="182">
        <f t="shared" si="0"/>
        <v>0</v>
      </c>
      <c r="K14" s="182"/>
      <c r="L14" s="182">
        <f t="shared" si="1"/>
        <v>600967.29</v>
      </c>
      <c r="M14" s="4"/>
    </row>
    <row r="15" spans="1:13">
      <c r="A15" t="s">
        <v>85</v>
      </c>
      <c r="B15" s="182">
        <f>'KY_Cost-Plant Acct-Comm-P8(PA)'!B15</f>
        <v>-6942482.5999999996</v>
      </c>
      <c r="C15" s="182"/>
      <c r="D15" s="182">
        <f>'KY_Cost-Plant Acct-Comm-P8(PA)'!D15</f>
        <v>0</v>
      </c>
      <c r="E15" s="182"/>
      <c r="F15" s="182">
        <f>'KY_Cost-Plant Acct-Comm-P8(PA)'!F15</f>
        <v>76572.990000000005</v>
      </c>
      <c r="G15" s="182"/>
      <c r="H15" s="182">
        <f>'KY_Cost-Plant Acct-Comm-P8(PA)'!H15</f>
        <v>0</v>
      </c>
      <c r="I15" s="182"/>
      <c r="J15" s="182">
        <f t="shared" si="0"/>
        <v>76572.990000000005</v>
      </c>
      <c r="K15" s="182"/>
      <c r="L15" s="182">
        <f t="shared" si="1"/>
        <v>-6865909.6099999994</v>
      </c>
      <c r="M15" s="4"/>
    </row>
    <row r="16" spans="1:13">
      <c r="A16" t="s">
        <v>86</v>
      </c>
      <c r="B16" s="182">
        <f>'KY_Cost-Plant Acct-Comm-P8(PA)'!B16</f>
        <v>-146026.66999999998</v>
      </c>
      <c r="C16" s="182"/>
      <c r="D16" s="182">
        <f>'KY_Cost-Plant Acct-Comm-P8(PA)'!D16</f>
        <v>0</v>
      </c>
      <c r="E16" s="182"/>
      <c r="F16" s="182">
        <f>'KY_Cost-Plant Acct-Comm-P8(PA)'!F16</f>
        <v>0</v>
      </c>
      <c r="G16" s="182"/>
      <c r="H16" s="182">
        <f>'KY_Cost-Plant Acct-Comm-P8(PA)'!H16</f>
        <v>0</v>
      </c>
      <c r="I16" s="182"/>
      <c r="J16" s="182">
        <f t="shared" si="0"/>
        <v>0</v>
      </c>
      <c r="K16" s="182"/>
      <c r="L16" s="182">
        <f t="shared" si="1"/>
        <v>-146026.66999999998</v>
      </c>
      <c r="M16" s="4"/>
    </row>
    <row r="17" spans="1:13">
      <c r="A17" t="s">
        <v>87</v>
      </c>
      <c r="B17" s="182">
        <f>'KY_Cost-Plant Acct-Comm-P8(PA)'!B17</f>
        <v>-199308.37</v>
      </c>
      <c r="C17" s="182"/>
      <c r="D17" s="182">
        <f>'KY_Cost-Plant Acct-Comm-P8(PA)'!D17</f>
        <v>0</v>
      </c>
      <c r="E17" s="182"/>
      <c r="F17" s="182">
        <f>'KY_Cost-Plant Acct-Comm-P8(PA)'!F17</f>
        <v>0</v>
      </c>
      <c r="G17" s="182"/>
      <c r="H17" s="182">
        <f>'KY_Cost-Plant Acct-Comm-P8(PA)'!H17</f>
        <v>0</v>
      </c>
      <c r="I17" s="182"/>
      <c r="J17" s="182">
        <f t="shared" si="0"/>
        <v>0</v>
      </c>
      <c r="K17" s="182"/>
      <c r="L17" s="182">
        <f t="shared" si="1"/>
        <v>-199308.37</v>
      </c>
      <c r="M17" s="4"/>
    </row>
    <row r="18" spans="1:13">
      <c r="A18" t="s">
        <v>88</v>
      </c>
      <c r="B18" s="182">
        <f>'KY_Cost-Plant Acct-Comm-P8(PA)'!B18</f>
        <v>-1916398.4500000002</v>
      </c>
      <c r="C18" s="182"/>
      <c r="D18" s="182">
        <f>'KY_Cost-Plant Acct-Comm-P8(PA)'!D18</f>
        <v>0</v>
      </c>
      <c r="E18" s="182"/>
      <c r="F18" s="182">
        <f>'KY_Cost-Plant Acct-Comm-P8(PA)'!F18</f>
        <v>0</v>
      </c>
      <c r="G18" s="182"/>
      <c r="H18" s="182">
        <f>'KY_Cost-Plant Acct-Comm-P8(PA)'!H18</f>
        <v>0</v>
      </c>
      <c r="I18" s="182"/>
      <c r="J18" s="182">
        <f t="shared" si="0"/>
        <v>0</v>
      </c>
      <c r="K18" s="182"/>
      <c r="L18" s="182">
        <f t="shared" si="1"/>
        <v>-1916398.4500000002</v>
      </c>
      <c r="M18" s="4"/>
    </row>
    <row r="19" spans="1:13">
      <c r="A19" t="s">
        <v>89</v>
      </c>
      <c r="B19" s="182">
        <f>'KY_Cost-Plant Acct-Comm-P8(PA)'!B19</f>
        <v>-863581.7100000002</v>
      </c>
      <c r="C19" s="182"/>
      <c r="D19" s="182">
        <f>'KY_Cost-Plant Acct-Comm-P8(PA)'!D19</f>
        <v>0</v>
      </c>
      <c r="E19" s="182"/>
      <c r="F19" s="182">
        <f>'KY_Cost-Plant Acct-Comm-P8(PA)'!F19</f>
        <v>0</v>
      </c>
      <c r="G19" s="182"/>
      <c r="H19" s="182">
        <f>'KY_Cost-Plant Acct-Comm-P8(PA)'!H19</f>
        <v>0</v>
      </c>
      <c r="I19" s="182"/>
      <c r="J19" s="182">
        <f t="shared" si="0"/>
        <v>0</v>
      </c>
      <c r="K19" s="182"/>
      <c r="L19" s="182">
        <f t="shared" si="1"/>
        <v>-863581.7100000002</v>
      </c>
      <c r="M19" s="4"/>
    </row>
    <row r="20" spans="1:13">
      <c r="A20" t="s">
        <v>90</v>
      </c>
      <c r="B20" s="182">
        <f>'KY_Cost-Plant Acct-Comm-P8(PA)'!B20</f>
        <v>-8175460.9799999986</v>
      </c>
      <c r="C20" s="182"/>
      <c r="D20" s="182">
        <f>'KY_Cost-Plant Acct-Comm-P8(PA)'!D20</f>
        <v>0</v>
      </c>
      <c r="E20" s="182"/>
      <c r="F20" s="182">
        <f>'KY_Cost-Plant Acct-Comm-P8(PA)'!F20</f>
        <v>0</v>
      </c>
      <c r="G20" s="182"/>
      <c r="H20" s="182">
        <f>'KY_Cost-Plant Acct-Comm-P8(PA)'!H20</f>
        <v>0</v>
      </c>
      <c r="I20" s="182"/>
      <c r="J20" s="182">
        <f t="shared" si="0"/>
        <v>0</v>
      </c>
      <c r="K20" s="182"/>
      <c r="L20" s="182">
        <f t="shared" si="1"/>
        <v>-8175460.9799999986</v>
      </c>
      <c r="M20" s="4"/>
    </row>
    <row r="21" spans="1:13">
      <c r="A21" t="s">
        <v>91</v>
      </c>
      <c r="B21" s="182">
        <f>'KY_Cost-Plant Acct-Comm-P8(PA)'!B21</f>
        <v>-1352505.5799999998</v>
      </c>
      <c r="C21" s="182"/>
      <c r="D21" s="182">
        <f>'KY_Cost-Plant Acct-Comm-P8(PA)'!D21</f>
        <v>0</v>
      </c>
      <c r="E21" s="182"/>
      <c r="F21" s="182">
        <f>'KY_Cost-Plant Acct-Comm-P8(PA)'!F21</f>
        <v>0</v>
      </c>
      <c r="G21" s="182"/>
      <c r="H21" s="182">
        <f>'KY_Cost-Plant Acct-Comm-P8(PA)'!H21</f>
        <v>0</v>
      </c>
      <c r="I21" s="182"/>
      <c r="J21" s="182">
        <f t="shared" si="0"/>
        <v>0</v>
      </c>
      <c r="K21" s="182"/>
      <c r="L21" s="182">
        <f t="shared" si="1"/>
        <v>-1352505.5799999998</v>
      </c>
      <c r="M21" s="4"/>
    </row>
    <row r="22" spans="1:13">
      <c r="A22" s="179" t="s">
        <v>1430</v>
      </c>
      <c r="B22" s="182">
        <f>'KY_Cost-Plant Acct-Comm-P8(PA)'!B22</f>
        <v>-85821.35</v>
      </c>
      <c r="C22" s="182"/>
      <c r="D22" s="182">
        <f>'KY_Cost-Plant Acct-Comm-P8(PA)'!D22</f>
        <v>0</v>
      </c>
      <c r="E22" s="182"/>
      <c r="F22" s="182">
        <f>'KY_Cost-Plant Acct-Comm-P8(PA)'!F22</f>
        <v>0</v>
      </c>
      <c r="G22" s="182"/>
      <c r="H22" s="182">
        <f>'KY_Cost-Plant Acct-Comm-P8(PA)'!H22</f>
        <v>0</v>
      </c>
      <c r="I22" s="182"/>
      <c r="J22" s="182">
        <f t="shared" ref="J22" si="2">H22+F22+D22</f>
        <v>0</v>
      </c>
      <c r="K22" s="182"/>
      <c r="L22" s="182">
        <f t="shared" ref="L22" si="3">J22+B22</f>
        <v>-85821.35</v>
      </c>
      <c r="M22" s="4"/>
    </row>
    <row r="23" spans="1:13">
      <c r="A23" t="s">
        <v>92</v>
      </c>
      <c r="B23" s="182">
        <f>'KY_Cost-Plant Acct-Comm-P8(PA)'!B23</f>
        <v>-743414.12999999989</v>
      </c>
      <c r="C23" s="182"/>
      <c r="D23" s="182">
        <f>'KY_Cost-Plant Acct-Comm-P8(PA)'!D23</f>
        <v>0</v>
      </c>
      <c r="E23" s="182"/>
      <c r="F23" s="182">
        <f>'KY_Cost-Plant Acct-Comm-P8(PA)'!F23</f>
        <v>0</v>
      </c>
      <c r="G23" s="182"/>
      <c r="H23" s="182">
        <f>'KY_Cost-Plant Acct-Comm-P8(PA)'!H23</f>
        <v>0</v>
      </c>
      <c r="I23" s="182"/>
      <c r="J23" s="182">
        <f t="shared" si="0"/>
        <v>0</v>
      </c>
      <c r="K23" s="182"/>
      <c r="L23" s="182">
        <f t="shared" si="1"/>
        <v>-743414.12999999989</v>
      </c>
      <c r="M23" s="4"/>
    </row>
    <row r="24" spans="1:13">
      <c r="A24" t="s">
        <v>93</v>
      </c>
      <c r="B24" s="182">
        <f>'KY_Cost-Plant Acct-Comm-P8(PA)'!B24</f>
        <v>-99859.38</v>
      </c>
      <c r="C24" s="182"/>
      <c r="D24" s="182">
        <f>'KY_Cost-Plant Acct-Comm-P8(PA)'!D24</f>
        <v>0</v>
      </c>
      <c r="E24" s="182"/>
      <c r="F24" s="182">
        <f>'KY_Cost-Plant Acct-Comm-P8(PA)'!F24</f>
        <v>0</v>
      </c>
      <c r="G24" s="182"/>
      <c r="H24" s="182">
        <f>'KY_Cost-Plant Acct-Comm-P8(PA)'!H24</f>
        <v>0</v>
      </c>
      <c r="I24" s="182"/>
      <c r="J24" s="182">
        <f t="shared" si="0"/>
        <v>0</v>
      </c>
      <c r="K24" s="182"/>
      <c r="L24" s="182">
        <f t="shared" si="1"/>
        <v>-99859.38</v>
      </c>
      <c r="M24" s="4"/>
    </row>
    <row r="25" spans="1:13">
      <c r="A25" t="s">
        <v>94</v>
      </c>
      <c r="B25" s="182">
        <f>'KY_Cost-Plant Acct-Comm-P8(PA)'!B25</f>
        <v>-28332.58</v>
      </c>
      <c r="C25" s="182"/>
      <c r="D25" s="182">
        <f>'KY_Cost-Plant Acct-Comm-P8(PA)'!D25</f>
        <v>0</v>
      </c>
      <c r="E25" s="182"/>
      <c r="F25" s="182">
        <f>'KY_Cost-Plant Acct-Comm-P8(PA)'!F25</f>
        <v>0</v>
      </c>
      <c r="G25" s="182"/>
      <c r="H25" s="182">
        <f>'KY_Cost-Plant Acct-Comm-P8(PA)'!H25</f>
        <v>0</v>
      </c>
      <c r="I25" s="182"/>
      <c r="J25" s="182">
        <f t="shared" si="0"/>
        <v>0</v>
      </c>
      <c r="K25" s="182"/>
      <c r="L25" s="182">
        <f t="shared" si="1"/>
        <v>-28332.58</v>
      </c>
      <c r="M25" s="4"/>
    </row>
    <row r="26" spans="1:13">
      <c r="A26" t="s">
        <v>95</v>
      </c>
      <c r="B26" s="182">
        <f>'KY_Cost-Plant Acct-Comm-P8(PA)'!B26</f>
        <v>-466972.45999999996</v>
      </c>
      <c r="C26" s="182"/>
      <c r="D26" s="182">
        <f>'KY_Cost-Plant Acct-Comm-P8(PA)'!D26</f>
        <v>0</v>
      </c>
      <c r="E26" s="182"/>
      <c r="F26" s="182">
        <f>'KY_Cost-Plant Acct-Comm-P8(PA)'!F26</f>
        <v>0</v>
      </c>
      <c r="G26" s="182"/>
      <c r="H26" s="182">
        <f>'KY_Cost-Plant Acct-Comm-P8(PA)'!H26</f>
        <v>0</v>
      </c>
      <c r="I26" s="182"/>
      <c r="J26" s="182">
        <f t="shared" si="0"/>
        <v>0</v>
      </c>
      <c r="K26" s="182"/>
      <c r="L26" s="182">
        <f t="shared" si="1"/>
        <v>-466972.45999999996</v>
      </c>
      <c r="M26" s="4"/>
    </row>
    <row r="27" spans="1:13">
      <c r="A27" t="s">
        <v>96</v>
      </c>
      <c r="B27" s="182">
        <f>'KY_Cost-Plant Acct-Comm-P8(PA)'!B27</f>
        <v>-921632.03</v>
      </c>
      <c r="C27" s="182"/>
      <c r="D27" s="182">
        <f>'KY_Cost-Plant Acct-Comm-P8(PA)'!D27</f>
        <v>0</v>
      </c>
      <c r="E27" s="182"/>
      <c r="F27" s="182">
        <f>'KY_Cost-Plant Acct-Comm-P8(PA)'!F27</f>
        <v>0</v>
      </c>
      <c r="G27" s="182"/>
      <c r="H27" s="182">
        <f>'KY_Cost-Plant Acct-Comm-P8(PA)'!H27</f>
        <v>-174.36</v>
      </c>
      <c r="I27" s="182"/>
      <c r="J27" s="182">
        <f t="shared" si="0"/>
        <v>-174.36</v>
      </c>
      <c r="K27" s="182"/>
      <c r="L27" s="182">
        <f t="shared" si="1"/>
        <v>-921806.39</v>
      </c>
      <c r="M27" s="4"/>
    </row>
    <row r="28" spans="1:13">
      <c r="A28" t="s">
        <v>97</v>
      </c>
      <c r="B28" s="182">
        <f>'KY_Cost-Plant Acct-Comm-P8(PA)'!B28</f>
        <v>-231.25</v>
      </c>
      <c r="C28" s="182"/>
      <c r="D28" s="182">
        <f>'KY_Cost-Plant Acct-Comm-P8(PA)'!D28</f>
        <v>0</v>
      </c>
      <c r="E28" s="182"/>
      <c r="F28" s="182">
        <f>'KY_Cost-Plant Acct-Comm-P8(PA)'!F28</f>
        <v>0</v>
      </c>
      <c r="G28" s="182"/>
      <c r="H28" s="182">
        <f>'KY_Cost-Plant Acct-Comm-P8(PA)'!H28</f>
        <v>0</v>
      </c>
      <c r="I28" s="182"/>
      <c r="J28" s="182">
        <f t="shared" si="0"/>
        <v>0</v>
      </c>
      <c r="K28" s="182"/>
      <c r="L28" s="182">
        <f t="shared" si="1"/>
        <v>-231.25</v>
      </c>
      <c r="M28" s="4"/>
    </row>
    <row r="29" spans="1:13">
      <c r="A29" t="s">
        <v>98</v>
      </c>
      <c r="B29" s="182">
        <f>'KY_Cost-Plant Acct-Comm-P8(PA)'!B29</f>
        <v>-202390.13</v>
      </c>
      <c r="C29" s="182"/>
      <c r="D29" s="182">
        <f>'KY_Cost-Plant Acct-Comm-P8(PA)'!D29</f>
        <v>0</v>
      </c>
      <c r="E29" s="182"/>
      <c r="F29" s="182">
        <f>'KY_Cost-Plant Acct-Comm-P8(PA)'!F29</f>
        <v>0</v>
      </c>
      <c r="G29" s="182"/>
      <c r="H29" s="182">
        <f>'KY_Cost-Plant Acct-Comm-P8(PA)'!H29</f>
        <v>0</v>
      </c>
      <c r="I29" s="182"/>
      <c r="J29" s="182">
        <f t="shared" si="0"/>
        <v>0</v>
      </c>
      <c r="K29" s="182"/>
      <c r="L29" s="182">
        <f t="shared" si="1"/>
        <v>-202390.13</v>
      </c>
      <c r="M29" s="4"/>
    </row>
    <row r="30" spans="1:13">
      <c r="A30" t="s">
        <v>99</v>
      </c>
      <c r="B30" s="182">
        <f>'KY_Cost-Plant Acct-Comm-P8(PA)'!B30</f>
        <v>-9369.6299999999992</v>
      </c>
      <c r="C30" s="182"/>
      <c r="D30" s="182">
        <f>'KY_Cost-Plant Acct-Comm-P8(PA)'!D30</f>
        <v>0</v>
      </c>
      <c r="E30" s="182"/>
      <c r="F30" s="182">
        <f>'KY_Cost-Plant Acct-Comm-P8(PA)'!F30</f>
        <v>0</v>
      </c>
      <c r="G30" s="182"/>
      <c r="H30" s="182">
        <f>'KY_Cost-Plant Acct-Comm-P8(PA)'!H30</f>
        <v>0</v>
      </c>
      <c r="I30" s="182"/>
      <c r="J30" s="182">
        <f t="shared" si="0"/>
        <v>0</v>
      </c>
      <c r="K30" s="182"/>
      <c r="L30" s="182">
        <f t="shared" si="1"/>
        <v>-9369.6299999999992</v>
      </c>
      <c r="M30" s="4"/>
    </row>
    <row r="31" spans="1:13">
      <c r="A31" t="s">
        <v>4</v>
      </c>
      <c r="B31" s="182">
        <f>'KY_Cost-Plant Acct-Comm-P8(PA)'!B31+'IN_Cost-Plant Acct-Com-P10 (PA)'!B10</f>
        <v>-18628141.269999996</v>
      </c>
      <c r="C31" s="182"/>
      <c r="D31" s="182">
        <f>'KY_Cost-Plant Acct-Comm-P8(PA)'!D31+'IN_Cost-Plant Acct-Com-P10 (PA)'!D10</f>
        <v>0</v>
      </c>
      <c r="E31" s="182"/>
      <c r="F31" s="182">
        <f>'KY_Cost-Plant Acct-Comm-P8(PA)'!F31+'IN_Cost-Plant Acct-Com-P10 (PA)'!F10</f>
        <v>208.14</v>
      </c>
      <c r="G31" s="182"/>
      <c r="H31" s="182">
        <f>'KY_Cost-Plant Acct-Comm-P8(PA)'!H31+'IN_Cost-Plant Acct-Com-P10 (PA)'!H10</f>
        <v>0</v>
      </c>
      <c r="I31" s="182"/>
      <c r="J31" s="182">
        <f t="shared" si="0"/>
        <v>208.14</v>
      </c>
      <c r="K31" s="182"/>
      <c r="L31" s="182">
        <f t="shared" si="1"/>
        <v>-18627933.129999995</v>
      </c>
      <c r="M31" s="4"/>
    </row>
    <row r="32" spans="1:13">
      <c r="A32" t="s">
        <v>100</v>
      </c>
      <c r="B32" s="182">
        <f>'KY_Cost-Plant Acct-Comm-P8(PA)'!B32</f>
        <v>-5741950.46</v>
      </c>
      <c r="C32" s="182"/>
      <c r="D32" s="182">
        <f>'KY_Cost-Plant Acct-Comm-P8(PA)'!D32</f>
        <v>0</v>
      </c>
      <c r="E32" s="182"/>
      <c r="F32" s="182">
        <f>'KY_Cost-Plant Acct-Comm-P8(PA)'!F32</f>
        <v>0</v>
      </c>
      <c r="G32" s="182"/>
      <c r="H32" s="182">
        <f>'KY_Cost-Plant Acct-Comm-P8(PA)'!H32</f>
        <v>0</v>
      </c>
      <c r="I32" s="182"/>
      <c r="J32" s="182">
        <f t="shared" si="0"/>
        <v>0</v>
      </c>
      <c r="K32" s="182"/>
      <c r="L32" s="182">
        <f t="shared" si="1"/>
        <v>-5741950.46</v>
      </c>
      <c r="M32" s="4"/>
    </row>
    <row r="33" spans="1:13">
      <c r="A33" t="s">
        <v>101</v>
      </c>
      <c r="B33" s="182">
        <f>'KY_Cost-Plant Acct-Comm-P8(PA)'!B33</f>
        <v>-174.36000000010245</v>
      </c>
      <c r="C33" s="182"/>
      <c r="D33" s="182">
        <f>'KY_Cost-Plant Acct-Comm-P8(PA)'!D33</f>
        <v>0</v>
      </c>
      <c r="E33" s="182"/>
      <c r="F33" s="182">
        <f>'KY_Cost-Plant Acct-Comm-P8(PA)'!F33</f>
        <v>0</v>
      </c>
      <c r="G33" s="182"/>
      <c r="H33" s="182">
        <f>'KY_Cost-Plant Acct-Comm-P8(PA)'!H33</f>
        <v>174.36</v>
      </c>
      <c r="I33" s="182"/>
      <c r="J33" s="182">
        <f t="shared" si="0"/>
        <v>174.36</v>
      </c>
      <c r="K33" s="182"/>
      <c r="L33" s="182">
        <f t="shared" si="1"/>
        <v>-1.0243184078717604E-10</v>
      </c>
      <c r="M33" s="4"/>
    </row>
    <row r="34" spans="1:13">
      <c r="A34" t="s">
        <v>102</v>
      </c>
      <c r="B34" s="182">
        <f>'KY_Cost-Plant Acct-Comm-P8(PA)'!B34</f>
        <v>0</v>
      </c>
      <c r="C34" s="182"/>
      <c r="D34" s="182">
        <f>'KY_Cost-Plant Acct-Comm-P8(PA)'!D34</f>
        <v>0</v>
      </c>
      <c r="E34" s="182"/>
      <c r="F34" s="182">
        <f>'KY_Cost-Plant Acct-Comm-P8(PA)'!F34</f>
        <v>0</v>
      </c>
      <c r="G34" s="182"/>
      <c r="H34" s="182">
        <f>'KY_Cost-Plant Acct-Comm-P8(PA)'!H34</f>
        <v>0</v>
      </c>
      <c r="I34" s="182"/>
      <c r="J34" s="182">
        <f t="shared" si="0"/>
        <v>0</v>
      </c>
      <c r="K34" s="182"/>
      <c r="L34" s="182">
        <f t="shared" si="1"/>
        <v>0</v>
      </c>
      <c r="M34" s="4"/>
    </row>
    <row r="35" spans="1:13">
      <c r="A35" t="s">
        <v>103</v>
      </c>
      <c r="B35" s="182">
        <f>'KY_Cost-Plant Acct-Comm-P8(PA)'!B35</f>
        <v>0</v>
      </c>
      <c r="C35" s="182"/>
      <c r="D35" s="182">
        <f>'KY_Cost-Plant Acct-Comm-P8(PA)'!D35</f>
        <v>0</v>
      </c>
      <c r="E35" s="182"/>
      <c r="F35" s="182">
        <f>'KY_Cost-Plant Acct-Comm-P8(PA)'!F35</f>
        <v>0</v>
      </c>
      <c r="G35" s="182"/>
      <c r="H35" s="182">
        <f>'KY_Cost-Plant Acct-Comm-P8(PA)'!H35</f>
        <v>0</v>
      </c>
      <c r="I35" s="182"/>
      <c r="J35" s="182">
        <f t="shared" si="0"/>
        <v>0</v>
      </c>
      <c r="K35" s="182"/>
      <c r="L35" s="182">
        <f t="shared" si="1"/>
        <v>0</v>
      </c>
      <c r="M35" s="4"/>
    </row>
    <row r="36" spans="1:13">
      <c r="A36" t="s">
        <v>267</v>
      </c>
      <c r="B36" s="182">
        <f>'KY_Cost-Plant Acct-Comm-P8(PA)'!B36</f>
        <v>0</v>
      </c>
      <c r="C36" s="182"/>
      <c r="D36" s="182">
        <f>'KY_Cost-Plant Acct-Comm-P8(PA)'!D36</f>
        <v>0</v>
      </c>
      <c r="E36" s="182"/>
      <c r="F36" s="182">
        <f>'KY_Cost-Plant Acct-Comm-P8(PA)'!F36</f>
        <v>0</v>
      </c>
      <c r="G36" s="182"/>
      <c r="H36" s="182">
        <f>'KY_Cost-Plant Acct-Comm-P8(PA)'!H36</f>
        <v>0</v>
      </c>
      <c r="I36" s="182"/>
      <c r="J36" s="182">
        <f t="shared" si="0"/>
        <v>0</v>
      </c>
      <c r="K36" s="182"/>
      <c r="L36" s="182">
        <f t="shared" si="1"/>
        <v>0</v>
      </c>
      <c r="M36" s="4"/>
    </row>
    <row r="37" spans="1:13">
      <c r="A37" t="s">
        <v>268</v>
      </c>
      <c r="B37" s="182">
        <f>'KY_Cost-Plant Acct-Comm-P8(PA)'!B37</f>
        <v>-5067676.8100000005</v>
      </c>
      <c r="C37" s="182"/>
      <c r="D37" s="182">
        <f>'KY_Cost-Plant Acct-Comm-P8(PA)'!D37</f>
        <v>0</v>
      </c>
      <c r="E37" s="182"/>
      <c r="F37" s="182">
        <f>'KY_Cost-Plant Acct-Comm-P8(PA)'!F37</f>
        <v>793063.15</v>
      </c>
      <c r="G37" s="182"/>
      <c r="H37" s="182">
        <f>'KY_Cost-Plant Acct-Comm-P8(PA)'!H37</f>
        <v>0</v>
      </c>
      <c r="I37" s="182"/>
      <c r="J37" s="182">
        <f t="shared" si="0"/>
        <v>793063.15</v>
      </c>
      <c r="K37" s="182"/>
      <c r="L37" s="182">
        <f t="shared" si="1"/>
        <v>-4274613.66</v>
      </c>
      <c r="M37" s="4"/>
    </row>
    <row r="38" spans="1:13">
      <c r="A38" t="s">
        <v>1023</v>
      </c>
      <c r="B38" s="182">
        <f>'KY_Cost-Plant Acct-Comm-P8(PA)'!B38</f>
        <v>-6298007.6399999997</v>
      </c>
      <c r="C38" s="182"/>
      <c r="D38" s="182">
        <f>'KY_Cost-Plant Acct-Comm-P8(PA)'!D38</f>
        <v>0</v>
      </c>
      <c r="E38" s="182"/>
      <c r="F38" s="182">
        <f>'KY_Cost-Plant Acct-Comm-P8(PA)'!F38</f>
        <v>0</v>
      </c>
      <c r="G38" s="182"/>
      <c r="H38" s="182">
        <f>'KY_Cost-Plant Acct-Comm-P8(PA)'!H38</f>
        <v>0</v>
      </c>
      <c r="I38" s="182"/>
      <c r="J38" s="182">
        <f t="shared" si="0"/>
        <v>0</v>
      </c>
      <c r="K38" s="182"/>
      <c r="L38" s="182">
        <f t="shared" si="1"/>
        <v>-6298007.6399999997</v>
      </c>
      <c r="M38" s="4"/>
    </row>
    <row r="39" spans="1:13">
      <c r="A39" t="s">
        <v>269</v>
      </c>
      <c r="B39" s="48">
        <f>'KY_Cost-Plant Acct-Comm-P8(PA)'!B39</f>
        <v>0</v>
      </c>
      <c r="C39" s="52"/>
      <c r="D39" s="48">
        <f>'KY_Cost-Plant Acct-Comm-P8(PA)'!D39</f>
        <v>0</v>
      </c>
      <c r="E39" s="52"/>
      <c r="F39" s="48">
        <f>'KY_Cost-Plant Acct-Comm-P8(PA)'!F39</f>
        <v>0</v>
      </c>
      <c r="G39" s="52"/>
      <c r="H39" s="48">
        <f>'KY_Cost-Plant Acct-Comm-P8(PA)'!H39</f>
        <v>0</v>
      </c>
      <c r="I39" s="52"/>
      <c r="J39" s="48">
        <f t="shared" si="0"/>
        <v>0</v>
      </c>
      <c r="K39" s="52"/>
      <c r="L39" s="48">
        <f t="shared" si="1"/>
        <v>0</v>
      </c>
      <c r="M39" s="55"/>
    </row>
    <row r="40" spans="1:13">
      <c r="B40" s="52">
        <f>SUM(B11:B39)</f>
        <v>-74445773.400000006</v>
      </c>
      <c r="C40" s="52"/>
      <c r="D40" s="52">
        <f>SUM(D11:D39)</f>
        <v>0</v>
      </c>
      <c r="E40" s="52"/>
      <c r="F40" s="52">
        <f>SUM(F11:F39)</f>
        <v>940228.69000000006</v>
      </c>
      <c r="G40" s="52"/>
      <c r="H40" s="52">
        <f>SUM(H11:H39)</f>
        <v>0</v>
      </c>
      <c r="I40" s="52"/>
      <c r="J40" s="52">
        <f>SUM(J11:J39)</f>
        <v>940228.69000000006</v>
      </c>
      <c r="K40" s="52"/>
      <c r="L40" s="52">
        <f>SUM(L11:L39)</f>
        <v>-73505544.710000008</v>
      </c>
      <c r="M40" s="55"/>
    </row>
    <row r="41" spans="1:13" s="10" customFormat="1">
      <c r="B41" s="65"/>
      <c r="C41" s="65"/>
      <c r="D41" s="65"/>
      <c r="E41" s="65"/>
      <c r="F41" s="65"/>
      <c r="G41" s="65"/>
      <c r="H41" s="65"/>
      <c r="I41" s="65"/>
      <c r="J41" s="65"/>
      <c r="K41" s="65"/>
      <c r="L41" s="65"/>
      <c r="M41" s="263"/>
    </row>
    <row r="42" spans="1:13" s="10" customFormat="1">
      <c r="B42" s="65"/>
      <c r="C42" s="65"/>
      <c r="D42" s="65"/>
      <c r="E42" s="65"/>
      <c r="F42" s="65"/>
      <c r="G42" s="65"/>
      <c r="H42" s="65"/>
      <c r="I42" s="65"/>
      <c r="J42" s="65"/>
      <c r="K42" s="65"/>
      <c r="L42" s="65"/>
      <c r="M42" s="263"/>
    </row>
    <row r="43" spans="1:13" s="10" customFormat="1">
      <c r="A43" s="12" t="s">
        <v>206</v>
      </c>
      <c r="B43" s="85"/>
      <c r="D43" s="85"/>
      <c r="F43" s="85"/>
      <c r="H43" s="85"/>
      <c r="J43" s="85"/>
      <c r="L43" s="85"/>
    </row>
    <row r="44" spans="1:13" s="10" customFormat="1">
      <c r="A44" s="12" t="s">
        <v>420</v>
      </c>
    </row>
    <row r="45" spans="1:13" s="10" customFormat="1">
      <c r="A45" s="12" t="s">
        <v>807</v>
      </c>
    </row>
    <row r="46" spans="1:13" s="10" customFormat="1">
      <c r="A46" s="10" t="s">
        <v>19</v>
      </c>
      <c r="B46" s="64">
        <v>0</v>
      </c>
      <c r="C46" s="64"/>
      <c r="D46" s="64">
        <v>0</v>
      </c>
      <c r="E46" s="64"/>
      <c r="F46" s="64">
        <v>0</v>
      </c>
      <c r="G46" s="64"/>
      <c r="H46" s="64">
        <v>0</v>
      </c>
      <c r="I46" s="64"/>
      <c r="J46" s="64">
        <f t="shared" ref="J46:J73" si="4">H46+F46+D46</f>
        <v>0</v>
      </c>
      <c r="K46" s="64"/>
      <c r="L46" s="64">
        <f t="shared" ref="L46:L73" si="5">J46+B46</f>
        <v>0</v>
      </c>
      <c r="M46" s="161"/>
    </row>
    <row r="47" spans="1:13" s="10" customFormat="1">
      <c r="A47" s="10" t="s">
        <v>20</v>
      </c>
      <c r="B47" s="64">
        <v>0</v>
      </c>
      <c r="C47" s="64"/>
      <c r="D47" s="64">
        <v>0</v>
      </c>
      <c r="E47" s="64"/>
      <c r="F47" s="64">
        <v>0</v>
      </c>
      <c r="G47" s="64"/>
      <c r="H47" s="64">
        <v>0</v>
      </c>
      <c r="I47" s="64"/>
      <c r="J47" s="64">
        <f t="shared" si="4"/>
        <v>0</v>
      </c>
      <c r="K47" s="64"/>
      <c r="L47" s="64">
        <f t="shared" si="5"/>
        <v>0</v>
      </c>
      <c r="M47" s="161"/>
    </row>
    <row r="48" spans="1:13" s="10" customFormat="1">
      <c r="A48" s="10" t="s">
        <v>266</v>
      </c>
      <c r="B48" s="64">
        <f>'KY_Cost-Plant Acct-Comm-P8(PA)'!B48</f>
        <v>0</v>
      </c>
      <c r="C48" s="64"/>
      <c r="D48" s="64">
        <f>'KY_Cost-Plant Acct-Comm-P8(PA)'!D48</f>
        <v>0</v>
      </c>
      <c r="E48" s="64"/>
      <c r="F48" s="64">
        <v>0</v>
      </c>
      <c r="G48" s="64"/>
      <c r="H48" s="64">
        <v>0</v>
      </c>
      <c r="I48" s="64"/>
      <c r="J48" s="64">
        <f t="shared" si="4"/>
        <v>0</v>
      </c>
      <c r="K48" s="64"/>
      <c r="L48" s="64">
        <f t="shared" si="5"/>
        <v>0</v>
      </c>
      <c r="M48" s="161"/>
    </row>
    <row r="49" spans="1:13" s="10" customFormat="1">
      <c r="A49" s="10" t="s">
        <v>84</v>
      </c>
      <c r="B49" s="64">
        <v>0</v>
      </c>
      <c r="C49" s="64"/>
      <c r="D49" s="64">
        <v>0</v>
      </c>
      <c r="E49" s="64"/>
      <c r="F49" s="64">
        <v>0</v>
      </c>
      <c r="G49" s="64"/>
      <c r="H49" s="64">
        <v>0</v>
      </c>
      <c r="I49" s="64"/>
      <c r="J49" s="64">
        <f t="shared" si="4"/>
        <v>0</v>
      </c>
      <c r="K49" s="64"/>
      <c r="L49" s="64">
        <f t="shared" si="5"/>
        <v>0</v>
      </c>
      <c r="M49" s="161"/>
    </row>
    <row r="50" spans="1:13" s="10" customFormat="1">
      <c r="A50" s="10" t="s">
        <v>85</v>
      </c>
      <c r="B50" s="64">
        <v>0</v>
      </c>
      <c r="C50" s="64"/>
      <c r="D50" s="64">
        <v>0</v>
      </c>
      <c r="E50" s="64"/>
      <c r="F50" s="64">
        <v>0</v>
      </c>
      <c r="G50" s="64"/>
      <c r="H50" s="64">
        <v>0</v>
      </c>
      <c r="I50" s="64"/>
      <c r="J50" s="64">
        <f t="shared" si="4"/>
        <v>0</v>
      </c>
      <c r="K50" s="64"/>
      <c r="L50" s="64">
        <f t="shared" si="5"/>
        <v>0</v>
      </c>
      <c r="M50" s="161"/>
    </row>
    <row r="51" spans="1:13" s="10" customFormat="1">
      <c r="A51" s="10" t="s">
        <v>86</v>
      </c>
      <c r="B51" s="64">
        <v>0</v>
      </c>
      <c r="C51" s="64"/>
      <c r="D51" s="64">
        <v>0</v>
      </c>
      <c r="E51" s="64"/>
      <c r="F51" s="64">
        <v>0</v>
      </c>
      <c r="G51" s="64"/>
      <c r="H51" s="64">
        <v>0</v>
      </c>
      <c r="I51" s="64"/>
      <c r="J51" s="64">
        <f t="shared" si="4"/>
        <v>0</v>
      </c>
      <c r="K51" s="64"/>
      <c r="L51" s="64">
        <f t="shared" si="5"/>
        <v>0</v>
      </c>
      <c r="M51" s="161"/>
    </row>
    <row r="52" spans="1:13" s="10" customFormat="1">
      <c r="A52" s="10" t="s">
        <v>87</v>
      </c>
      <c r="B52" s="64">
        <v>0</v>
      </c>
      <c r="C52" s="64"/>
      <c r="D52" s="64">
        <v>0</v>
      </c>
      <c r="E52" s="64"/>
      <c r="F52" s="64">
        <v>0</v>
      </c>
      <c r="G52" s="64"/>
      <c r="H52" s="64">
        <v>0</v>
      </c>
      <c r="I52" s="64"/>
      <c r="J52" s="64">
        <f t="shared" si="4"/>
        <v>0</v>
      </c>
      <c r="K52" s="64"/>
      <c r="L52" s="64">
        <f t="shared" si="5"/>
        <v>0</v>
      </c>
      <c r="M52" s="161"/>
    </row>
    <row r="53" spans="1:13" s="10" customFormat="1">
      <c r="A53" s="10" t="s">
        <v>88</v>
      </c>
      <c r="B53" s="64">
        <f>'KY_Cost-Plant Acct-Comm-P8(PA)'!B49</f>
        <v>0</v>
      </c>
      <c r="C53" s="64"/>
      <c r="D53" s="64">
        <f>'KY_Cost-Plant Acct-Comm-P8(PA)'!D49</f>
        <v>0</v>
      </c>
      <c r="E53" s="64"/>
      <c r="F53" s="64">
        <v>0</v>
      </c>
      <c r="G53" s="64"/>
      <c r="H53" s="64">
        <v>0</v>
      </c>
      <c r="I53" s="64"/>
      <c r="J53" s="64">
        <f t="shared" si="4"/>
        <v>0</v>
      </c>
      <c r="K53" s="64"/>
      <c r="L53" s="64">
        <f t="shared" si="5"/>
        <v>0</v>
      </c>
      <c r="M53" s="161"/>
    </row>
    <row r="54" spans="1:13" s="10" customFormat="1">
      <c r="A54" s="10" t="s">
        <v>89</v>
      </c>
      <c r="B54" s="64">
        <f>'KY_Cost-Plant Acct-Comm-P8(PA)'!B50</f>
        <v>0</v>
      </c>
      <c r="C54" s="64"/>
      <c r="D54" s="64">
        <f>'KY_Cost-Plant Acct-Comm-P8(PA)'!D50</f>
        <v>0</v>
      </c>
      <c r="E54" s="64"/>
      <c r="F54" s="64">
        <v>0</v>
      </c>
      <c r="G54" s="64"/>
      <c r="H54" s="64">
        <v>0</v>
      </c>
      <c r="I54" s="64"/>
      <c r="J54" s="64">
        <f t="shared" si="4"/>
        <v>0</v>
      </c>
      <c r="K54" s="64"/>
      <c r="L54" s="64">
        <f t="shared" si="5"/>
        <v>0</v>
      </c>
      <c r="M54" s="161"/>
    </row>
    <row r="55" spans="1:13" s="10" customFormat="1">
      <c r="A55" s="10" t="s">
        <v>90</v>
      </c>
      <c r="B55" s="64">
        <f>'KY_Cost-Plant Acct-Comm-P8(PA)'!B51</f>
        <v>0</v>
      </c>
      <c r="C55" s="64"/>
      <c r="D55" s="64">
        <f>'KY_Cost-Plant Acct-Comm-P8(PA)'!D51</f>
        <v>0</v>
      </c>
      <c r="E55" s="64"/>
      <c r="F55" s="64">
        <f>'KY_Cost-Plant Acct-Comm-P8(PA)'!F51</f>
        <v>0</v>
      </c>
      <c r="G55" s="64"/>
      <c r="H55" s="64">
        <f>'KY_Cost-Plant Acct-Comm-P8(PA)'!H51</f>
        <v>0</v>
      </c>
      <c r="I55" s="64"/>
      <c r="J55" s="64">
        <f t="shared" si="4"/>
        <v>0</v>
      </c>
      <c r="K55" s="64"/>
      <c r="L55" s="64">
        <f t="shared" si="5"/>
        <v>0</v>
      </c>
      <c r="M55" s="161"/>
    </row>
    <row r="56" spans="1:13" s="10" customFormat="1">
      <c r="A56" s="10" t="s">
        <v>91</v>
      </c>
      <c r="B56" s="64">
        <f>'KY_Cost-Plant Acct-Comm-P8(PA)'!B52</f>
        <v>0</v>
      </c>
      <c r="C56" s="64"/>
      <c r="D56" s="64">
        <f>'KY_Cost-Plant Acct-Comm-P8(PA)'!D52</f>
        <v>0</v>
      </c>
      <c r="E56" s="64"/>
      <c r="F56" s="64">
        <f>'KY_Cost-Plant Acct-Comm-P8(PA)'!F52</f>
        <v>0</v>
      </c>
      <c r="G56" s="64"/>
      <c r="H56" s="64">
        <f>'KY_Cost-Plant Acct-Comm-P8(PA)'!H52</f>
        <v>0</v>
      </c>
      <c r="I56" s="64"/>
      <c r="J56" s="64">
        <f t="shared" si="4"/>
        <v>0</v>
      </c>
      <c r="K56" s="64"/>
      <c r="L56" s="64">
        <f t="shared" si="5"/>
        <v>0</v>
      </c>
      <c r="M56" s="161"/>
    </row>
    <row r="57" spans="1:13" s="10" customFormat="1">
      <c r="A57" s="10" t="s">
        <v>92</v>
      </c>
      <c r="B57" s="64">
        <f>'KY_Cost-Plant Acct-Comm-P8(PA)'!B53</f>
        <v>0</v>
      </c>
      <c r="C57" s="64"/>
      <c r="D57" s="64">
        <f>'KY_Cost-Plant Acct-Comm-P8(PA)'!D53</f>
        <v>0</v>
      </c>
      <c r="E57" s="64"/>
      <c r="F57" s="64">
        <v>0</v>
      </c>
      <c r="G57" s="64"/>
      <c r="H57" s="64">
        <v>0</v>
      </c>
      <c r="I57" s="64"/>
      <c r="J57" s="64">
        <f t="shared" si="4"/>
        <v>0</v>
      </c>
      <c r="K57" s="64"/>
      <c r="L57" s="64">
        <f t="shared" si="5"/>
        <v>0</v>
      </c>
      <c r="M57" s="161"/>
    </row>
    <row r="58" spans="1:13" s="10" customFormat="1">
      <c r="A58" s="10" t="s">
        <v>93</v>
      </c>
      <c r="B58" s="64">
        <v>0</v>
      </c>
      <c r="C58" s="64"/>
      <c r="D58" s="64">
        <v>0</v>
      </c>
      <c r="E58" s="64"/>
      <c r="F58" s="64">
        <v>0</v>
      </c>
      <c r="G58" s="64"/>
      <c r="H58" s="64">
        <v>0</v>
      </c>
      <c r="I58" s="64"/>
      <c r="J58" s="64">
        <f t="shared" si="4"/>
        <v>0</v>
      </c>
      <c r="K58" s="64"/>
      <c r="L58" s="64">
        <f t="shared" si="5"/>
        <v>0</v>
      </c>
      <c r="M58" s="161"/>
    </row>
    <row r="59" spans="1:13" s="10" customFormat="1">
      <c r="A59" s="10" t="s">
        <v>94</v>
      </c>
      <c r="B59" s="64">
        <v>0</v>
      </c>
      <c r="C59" s="64"/>
      <c r="D59" s="64">
        <f>'KY_Cost-Plant Acct-Comm-P8(PA)'!D54</f>
        <v>0</v>
      </c>
      <c r="E59" s="64"/>
      <c r="F59" s="64">
        <v>0</v>
      </c>
      <c r="G59" s="64"/>
      <c r="H59" s="64">
        <v>0</v>
      </c>
      <c r="I59" s="64"/>
      <c r="J59" s="64">
        <f t="shared" si="4"/>
        <v>0</v>
      </c>
      <c r="K59" s="64"/>
      <c r="L59" s="64">
        <f t="shared" si="5"/>
        <v>0</v>
      </c>
      <c r="M59" s="161"/>
    </row>
    <row r="60" spans="1:13" s="10" customFormat="1">
      <c r="A60" s="10" t="s">
        <v>95</v>
      </c>
      <c r="B60" s="64">
        <v>0</v>
      </c>
      <c r="C60" s="64"/>
      <c r="D60" s="64">
        <f>'KY_Cost-Plant Acct-Comm-P8(PA)'!D55</f>
        <v>0</v>
      </c>
      <c r="E60" s="64"/>
      <c r="F60" s="64">
        <v>0</v>
      </c>
      <c r="G60" s="64"/>
      <c r="H60" s="64">
        <v>0</v>
      </c>
      <c r="I60" s="64"/>
      <c r="J60" s="64">
        <f t="shared" si="4"/>
        <v>0</v>
      </c>
      <c r="K60" s="64"/>
      <c r="L60" s="64">
        <f t="shared" si="5"/>
        <v>0</v>
      </c>
      <c r="M60" s="161"/>
    </row>
    <row r="61" spans="1:13" s="10" customFormat="1">
      <c r="A61" s="10" t="s">
        <v>96</v>
      </c>
      <c r="B61" s="64">
        <f>'KY_Cost-Plant Acct-Comm-P8(PA)'!B56</f>
        <v>0</v>
      </c>
      <c r="C61" s="64"/>
      <c r="D61" s="64">
        <f>'KY_Cost-Plant Acct-Comm-P8(PA)'!D56</f>
        <v>0</v>
      </c>
      <c r="E61" s="64"/>
      <c r="F61" s="64">
        <f>'KY_Cost-Plant Acct-Comm-P8(PA)'!F56</f>
        <v>0</v>
      </c>
      <c r="G61" s="64"/>
      <c r="H61" s="64">
        <f>'KY_Cost-Plant Acct-Comm-P8(PA)'!H56</f>
        <v>0</v>
      </c>
      <c r="I61" s="64"/>
      <c r="J61" s="64">
        <f t="shared" si="4"/>
        <v>0</v>
      </c>
      <c r="K61" s="64"/>
      <c r="L61" s="64">
        <f t="shared" si="5"/>
        <v>0</v>
      </c>
      <c r="M61" s="161"/>
    </row>
    <row r="62" spans="1:13" s="10" customFormat="1">
      <c r="A62" s="10" t="s">
        <v>97</v>
      </c>
      <c r="B62" s="64">
        <v>0</v>
      </c>
      <c r="C62" s="64"/>
      <c r="D62" s="64">
        <v>0</v>
      </c>
      <c r="E62" s="64"/>
      <c r="F62" s="64">
        <v>0</v>
      </c>
      <c r="G62" s="64"/>
      <c r="H62" s="64">
        <v>0</v>
      </c>
      <c r="I62" s="64"/>
      <c r="J62" s="64">
        <f t="shared" si="4"/>
        <v>0</v>
      </c>
      <c r="K62" s="64"/>
      <c r="L62" s="64">
        <f t="shared" si="5"/>
        <v>0</v>
      </c>
      <c r="M62" s="161"/>
    </row>
    <row r="63" spans="1:13" s="10" customFormat="1">
      <c r="A63" s="10" t="s">
        <v>98</v>
      </c>
      <c r="B63" s="64">
        <v>0</v>
      </c>
      <c r="C63" s="64"/>
      <c r="D63" s="64">
        <v>0</v>
      </c>
      <c r="E63" s="64"/>
      <c r="F63" s="64">
        <v>0</v>
      </c>
      <c r="G63" s="64"/>
      <c r="H63" s="64">
        <v>0</v>
      </c>
      <c r="I63" s="64"/>
      <c r="J63" s="64">
        <f t="shared" si="4"/>
        <v>0</v>
      </c>
      <c r="K63" s="64"/>
      <c r="L63" s="64">
        <f t="shared" si="5"/>
        <v>0</v>
      </c>
      <c r="M63" s="161"/>
    </row>
    <row r="64" spans="1:13" s="10" customFormat="1">
      <c r="A64" s="10" t="s">
        <v>99</v>
      </c>
      <c r="B64" s="64">
        <v>0</v>
      </c>
      <c r="C64" s="64"/>
      <c r="D64" s="64">
        <v>0</v>
      </c>
      <c r="E64" s="64"/>
      <c r="F64" s="64">
        <v>0</v>
      </c>
      <c r="G64" s="64"/>
      <c r="H64" s="64">
        <v>0</v>
      </c>
      <c r="I64" s="64"/>
      <c r="J64" s="64">
        <f t="shared" si="4"/>
        <v>0</v>
      </c>
      <c r="K64" s="64"/>
      <c r="L64" s="64">
        <f t="shared" si="5"/>
        <v>0</v>
      </c>
      <c r="M64" s="161"/>
    </row>
    <row r="65" spans="1:13" s="10" customFormat="1">
      <c r="A65" s="10" t="s">
        <v>4</v>
      </c>
      <c r="B65" s="64">
        <f>'KY_Cost-Plant Acct-Comm-P8(PA)'!B57</f>
        <v>0</v>
      </c>
      <c r="C65" s="64"/>
      <c r="D65" s="64">
        <f>'KY_Cost-Plant Acct-Comm-P8(PA)'!D57</f>
        <v>0</v>
      </c>
      <c r="E65" s="64"/>
      <c r="F65" s="64">
        <f>'KY_Cost-Plant Acct-Comm-P8(PA)'!F57</f>
        <v>0</v>
      </c>
      <c r="G65" s="64"/>
      <c r="H65" s="64">
        <f>'KY_Cost-Plant Acct-Comm-P8(PA)'!H57</f>
        <v>0</v>
      </c>
      <c r="I65" s="64"/>
      <c r="J65" s="64">
        <f t="shared" si="4"/>
        <v>0</v>
      </c>
      <c r="K65" s="64"/>
      <c r="L65" s="64">
        <f t="shared" si="5"/>
        <v>0</v>
      </c>
      <c r="M65" s="161"/>
    </row>
    <row r="66" spans="1:13" s="10" customFormat="1">
      <c r="A66" s="10" t="s">
        <v>100</v>
      </c>
      <c r="B66" s="64">
        <f>'KY_Cost-Plant Acct-Comm-P8(PA)'!B58</f>
        <v>0</v>
      </c>
      <c r="C66" s="64"/>
      <c r="D66" s="64">
        <v>0</v>
      </c>
      <c r="E66" s="64"/>
      <c r="F66" s="64">
        <v>0</v>
      </c>
      <c r="G66" s="64"/>
      <c r="H66" s="64">
        <v>0</v>
      </c>
      <c r="I66" s="64"/>
      <c r="J66" s="64">
        <f t="shared" si="4"/>
        <v>0</v>
      </c>
      <c r="K66" s="64"/>
      <c r="L66" s="64">
        <f t="shared" si="5"/>
        <v>0</v>
      </c>
      <c r="M66" s="161"/>
    </row>
    <row r="67" spans="1:13" s="10" customFormat="1">
      <c r="A67" s="10" t="s">
        <v>101</v>
      </c>
      <c r="B67" s="64">
        <v>0</v>
      </c>
      <c r="C67" s="64"/>
      <c r="D67" s="64">
        <f>'KY_Cost-Plant Acct-Comm-P8(PA)'!D59</f>
        <v>0</v>
      </c>
      <c r="E67" s="64"/>
      <c r="F67" s="64">
        <v>0</v>
      </c>
      <c r="G67" s="64"/>
      <c r="H67" s="64">
        <v>0</v>
      </c>
      <c r="I67" s="64"/>
      <c r="J67" s="64">
        <f t="shared" si="4"/>
        <v>0</v>
      </c>
      <c r="K67" s="64"/>
      <c r="L67" s="64">
        <f t="shared" si="5"/>
        <v>0</v>
      </c>
      <c r="M67" s="161"/>
    </row>
    <row r="68" spans="1:13" s="10" customFormat="1">
      <c r="A68" s="10" t="s">
        <v>102</v>
      </c>
      <c r="B68" s="64">
        <v>0</v>
      </c>
      <c r="C68" s="64"/>
      <c r="D68" s="64">
        <v>0</v>
      </c>
      <c r="E68" s="64"/>
      <c r="F68" s="64">
        <v>0</v>
      </c>
      <c r="G68" s="64"/>
      <c r="H68" s="64">
        <v>0</v>
      </c>
      <c r="I68" s="64"/>
      <c r="J68" s="64">
        <f t="shared" si="4"/>
        <v>0</v>
      </c>
      <c r="K68" s="64"/>
      <c r="L68" s="64">
        <f t="shared" si="5"/>
        <v>0</v>
      </c>
      <c r="M68" s="161"/>
    </row>
    <row r="69" spans="1:13" s="10" customFormat="1">
      <c r="A69" s="10" t="s">
        <v>103</v>
      </c>
      <c r="B69" s="64">
        <v>0</v>
      </c>
      <c r="C69" s="64"/>
      <c r="D69" s="64">
        <v>0</v>
      </c>
      <c r="E69" s="64"/>
      <c r="F69" s="64">
        <v>0</v>
      </c>
      <c r="G69" s="64"/>
      <c r="H69" s="64">
        <v>0</v>
      </c>
      <c r="I69" s="64"/>
      <c r="J69" s="64">
        <f t="shared" si="4"/>
        <v>0</v>
      </c>
      <c r="K69" s="64"/>
      <c r="L69" s="64">
        <f t="shared" si="5"/>
        <v>0</v>
      </c>
      <c r="M69" s="161"/>
    </row>
    <row r="70" spans="1:13" s="10" customFormat="1">
      <c r="A70" s="10" t="s">
        <v>267</v>
      </c>
      <c r="B70" s="64">
        <v>0</v>
      </c>
      <c r="C70" s="64"/>
      <c r="D70" s="64">
        <v>0</v>
      </c>
      <c r="E70" s="64"/>
      <c r="F70" s="64">
        <v>0</v>
      </c>
      <c r="G70" s="64"/>
      <c r="H70" s="64">
        <v>0</v>
      </c>
      <c r="I70" s="64"/>
      <c r="J70" s="64">
        <f t="shared" si="4"/>
        <v>0</v>
      </c>
      <c r="K70" s="64"/>
      <c r="L70" s="64">
        <f t="shared" si="5"/>
        <v>0</v>
      </c>
      <c r="M70" s="161"/>
    </row>
    <row r="71" spans="1:13" s="10" customFormat="1">
      <c r="A71" s="10" t="s">
        <v>268</v>
      </c>
      <c r="B71" s="64">
        <f>'KY_Cost-Plant Acct-Comm-P8(PA)'!B60</f>
        <v>0</v>
      </c>
      <c r="C71" s="64"/>
      <c r="D71" s="64">
        <f>'KY_Cost-Plant Acct-Comm-P8(PA)'!D60</f>
        <v>0</v>
      </c>
      <c r="E71" s="64"/>
      <c r="F71" s="64">
        <f>'KY_Cost-Plant Acct-Comm-P8(PA)'!F61</f>
        <v>0</v>
      </c>
      <c r="G71" s="64"/>
      <c r="H71" s="64">
        <f>'KY_Cost-Plant Acct-Comm-P8(PA)'!H61</f>
        <v>0</v>
      </c>
      <c r="I71" s="64"/>
      <c r="J71" s="64">
        <f t="shared" si="4"/>
        <v>0</v>
      </c>
      <c r="K71" s="64"/>
      <c r="L71" s="64">
        <f t="shared" si="5"/>
        <v>0</v>
      </c>
      <c r="M71" s="161"/>
    </row>
    <row r="72" spans="1:13" s="10" customFormat="1">
      <c r="A72" s="10" t="s">
        <v>1023</v>
      </c>
      <c r="B72" s="64">
        <f>'KY_Cost-Plant Acct-Comm-P8(PA)'!B61</f>
        <v>0</v>
      </c>
      <c r="C72" s="64"/>
      <c r="D72" s="64">
        <f>'KY_Cost-Plant Acct-Comm-P8(PA)'!D61</f>
        <v>0</v>
      </c>
      <c r="E72" s="64"/>
      <c r="F72" s="64">
        <v>0</v>
      </c>
      <c r="G72" s="64"/>
      <c r="H72" s="64">
        <f>+'KY_Cost-Plant Acct-Comm-P8(PA)'!H60</f>
        <v>0</v>
      </c>
      <c r="I72" s="64"/>
      <c r="J72" s="64">
        <f t="shared" si="4"/>
        <v>0</v>
      </c>
      <c r="K72" s="64"/>
      <c r="L72" s="64">
        <f t="shared" si="5"/>
        <v>0</v>
      </c>
      <c r="M72" s="161"/>
    </row>
    <row r="73" spans="1:13" s="10" customFormat="1">
      <c r="A73" s="10" t="s">
        <v>269</v>
      </c>
      <c r="B73" s="159">
        <v>0</v>
      </c>
      <c r="C73" s="65"/>
      <c r="D73" s="159">
        <v>0</v>
      </c>
      <c r="E73" s="65"/>
      <c r="F73" s="159">
        <v>0</v>
      </c>
      <c r="G73" s="65"/>
      <c r="H73" s="159">
        <v>0</v>
      </c>
      <c r="I73" s="65"/>
      <c r="J73" s="159">
        <f t="shared" si="4"/>
        <v>0</v>
      </c>
      <c r="K73" s="65"/>
      <c r="L73" s="159">
        <f t="shared" si="5"/>
        <v>0</v>
      </c>
      <c r="M73" s="263"/>
    </row>
    <row r="74" spans="1:13" s="10" customFormat="1">
      <c r="B74" s="65">
        <f>SUM(B46:B73)</f>
        <v>0</v>
      </c>
      <c r="C74" s="65"/>
      <c r="D74" s="65">
        <f>SUM(D46:D73)</f>
        <v>0</v>
      </c>
      <c r="E74" s="65"/>
      <c r="F74" s="65">
        <f>SUM(F46:F73)</f>
        <v>0</v>
      </c>
      <c r="G74" s="65"/>
      <c r="H74" s="65">
        <f>SUM(H46:H73)</f>
        <v>0</v>
      </c>
      <c r="I74" s="65"/>
      <c r="J74" s="65">
        <f>SUM(J46:J73)</f>
        <v>0</v>
      </c>
      <c r="K74" s="65"/>
      <c r="L74" s="65">
        <f>SUM(L46:L73)</f>
        <v>0</v>
      </c>
      <c r="M74" s="263"/>
    </row>
    <row r="75" spans="1:13" s="10" customFormat="1">
      <c r="B75" s="65"/>
      <c r="C75" s="65"/>
      <c r="D75" s="65"/>
      <c r="E75" s="65"/>
      <c r="F75" s="65"/>
      <c r="G75" s="65"/>
      <c r="H75" s="65"/>
      <c r="I75" s="65"/>
      <c r="J75" s="65"/>
      <c r="K75" s="65"/>
      <c r="L75" s="65"/>
      <c r="M75" s="263"/>
    </row>
    <row r="76" spans="1:13" ht="13.5" thickBot="1">
      <c r="A76" s="3" t="s">
        <v>203</v>
      </c>
      <c r="B76" s="46">
        <f>B74+B40</f>
        <v>-74445773.400000006</v>
      </c>
      <c r="C76" s="55"/>
      <c r="D76" s="46">
        <f>D74+D40</f>
        <v>0</v>
      </c>
      <c r="E76" s="55"/>
      <c r="F76" s="46">
        <f>F74+F40</f>
        <v>940228.69000000006</v>
      </c>
      <c r="G76" s="55"/>
      <c r="H76" s="46">
        <f>H74+H40</f>
        <v>0</v>
      </c>
      <c r="I76" s="55"/>
      <c r="J76" s="46">
        <f>J74+J40</f>
        <v>940228.69000000006</v>
      </c>
      <c r="K76" s="55"/>
      <c r="L76" s="46">
        <f>L74+L40</f>
        <v>-73505544.710000008</v>
      </c>
      <c r="M76" s="55"/>
    </row>
    <row r="77" spans="1:13" ht="13.5" thickTop="1">
      <c r="B77" s="52"/>
      <c r="C77" s="52"/>
      <c r="D77" s="52"/>
      <c r="E77" s="52"/>
      <c r="F77" s="52"/>
      <c r="G77" s="52"/>
      <c r="H77" s="52"/>
      <c r="I77" s="52"/>
      <c r="J77" s="52"/>
      <c r="K77" s="52"/>
      <c r="L77" s="52"/>
      <c r="M77" s="55"/>
    </row>
    <row r="78" spans="1:13">
      <c r="B78" s="52"/>
      <c r="C78" s="52"/>
      <c r="D78" s="52"/>
      <c r="E78" s="52"/>
      <c r="F78" s="52"/>
      <c r="G78" s="52"/>
      <c r="H78" s="52"/>
      <c r="I78" s="52"/>
      <c r="J78" s="52"/>
      <c r="K78" s="52"/>
      <c r="L78" s="52"/>
      <c r="M78" s="55"/>
    </row>
    <row r="79" spans="1:13">
      <c r="B79" s="182"/>
      <c r="C79" s="182"/>
      <c r="D79" s="182"/>
      <c r="E79" s="182"/>
      <c r="F79" s="182"/>
      <c r="G79" s="182"/>
      <c r="H79" s="182"/>
      <c r="I79" s="182"/>
      <c r="J79" s="182"/>
      <c r="K79" s="182"/>
      <c r="L79" s="182"/>
      <c r="M79" s="4"/>
    </row>
    <row r="80" spans="1:13">
      <c r="B80" s="4"/>
      <c r="C80" s="4"/>
      <c r="D80" s="4"/>
      <c r="E80" s="4"/>
      <c r="F80" s="4"/>
      <c r="G80" s="4"/>
      <c r="H80" s="4"/>
      <c r="I80" s="4"/>
      <c r="J80" s="4"/>
      <c r="K80" s="4"/>
      <c r="L80" s="4"/>
      <c r="M80" s="4"/>
    </row>
    <row r="81" spans="2:13">
      <c r="B81" s="4"/>
      <c r="C81" s="4"/>
      <c r="D81" s="4"/>
      <c r="E81" s="4"/>
      <c r="F81" s="4"/>
      <c r="G81" s="4"/>
      <c r="H81" s="4"/>
      <c r="I81" s="4"/>
      <c r="J81" s="4"/>
      <c r="K81" s="4"/>
      <c r="L81" s="4"/>
      <c r="M81" s="4"/>
    </row>
    <row r="82" spans="2:13">
      <c r="B82" s="4"/>
      <c r="C82" s="4"/>
      <c r="D82" s="4"/>
      <c r="E82" s="4"/>
      <c r="F82" s="4"/>
      <c r="G82" s="4"/>
      <c r="H82" s="4"/>
      <c r="I82" s="4"/>
      <c r="J82" s="4"/>
      <c r="K82" s="4"/>
      <c r="L82" s="4"/>
      <c r="M82" s="4"/>
    </row>
    <row r="83" spans="2:13">
      <c r="B83" s="4"/>
      <c r="C83" s="4"/>
      <c r="D83" s="4"/>
      <c r="E83" s="4"/>
      <c r="F83" s="4"/>
      <c r="G83" s="4"/>
      <c r="H83" s="4"/>
      <c r="I83" s="4"/>
      <c r="J83" s="4"/>
      <c r="K83" s="4"/>
      <c r="L83" s="4"/>
      <c r="M83" s="4"/>
    </row>
    <row r="84" spans="2:13">
      <c r="B84" s="4"/>
      <c r="C84" s="4"/>
      <c r="D84" s="4"/>
      <c r="E84" s="4"/>
      <c r="F84" s="4"/>
      <c r="G84" s="4"/>
      <c r="H84" s="4"/>
      <c r="I84" s="4"/>
      <c r="J84" s="4"/>
      <c r="K84" s="4"/>
      <c r="L84" s="4"/>
      <c r="M84" s="4"/>
    </row>
    <row r="85" spans="2:13">
      <c r="B85" s="4"/>
      <c r="C85" s="4"/>
      <c r="D85" s="4"/>
      <c r="E85" s="4"/>
      <c r="F85" s="4"/>
      <c r="G85" s="4"/>
      <c r="H85" s="4"/>
      <c r="I85" s="4"/>
      <c r="J85" s="4"/>
      <c r="K85" s="4"/>
      <c r="L85" s="4"/>
      <c r="M85" s="4"/>
    </row>
    <row r="86" spans="2:13">
      <c r="B86" s="4"/>
      <c r="C86" s="4"/>
      <c r="D86" s="4"/>
      <c r="E86" s="4"/>
      <c r="F86" s="4"/>
      <c r="G86" s="4"/>
      <c r="H86" s="4"/>
      <c r="I86" s="4"/>
      <c r="J86" s="4"/>
      <c r="K86" s="4"/>
      <c r="L86" s="4"/>
      <c r="M86" s="4"/>
    </row>
    <row r="87" spans="2:13">
      <c r="B87" s="4"/>
      <c r="C87" s="4"/>
      <c r="D87" s="4"/>
      <c r="E87" s="4"/>
      <c r="F87" s="4"/>
      <c r="G87" s="4"/>
      <c r="H87" s="4"/>
      <c r="I87" s="4"/>
      <c r="J87" s="4"/>
      <c r="K87" s="4"/>
      <c r="L87" s="4"/>
      <c r="M87" s="4"/>
    </row>
    <row r="88" spans="2:13">
      <c r="B88" s="4"/>
      <c r="C88" s="4"/>
      <c r="D88" s="4"/>
      <c r="E88" s="4"/>
      <c r="F88" s="4"/>
      <c r="G88" s="4"/>
      <c r="H88" s="4"/>
      <c r="I88" s="4"/>
      <c r="J88" s="4"/>
      <c r="K88" s="4"/>
      <c r="L88" s="4"/>
      <c r="M88" s="4"/>
    </row>
    <row r="89" spans="2:13">
      <c r="B89" s="4"/>
      <c r="C89" s="4"/>
      <c r="D89" s="4"/>
      <c r="E89" s="4"/>
      <c r="F89" s="4"/>
      <c r="G89" s="4"/>
      <c r="H89" s="4"/>
      <c r="I89" s="4"/>
      <c r="J89" s="4"/>
      <c r="K89" s="4"/>
      <c r="L89" s="4"/>
      <c r="M89" s="4"/>
    </row>
    <row r="90" spans="2:13">
      <c r="B90" s="4"/>
      <c r="C90" s="4"/>
      <c r="D90" s="4"/>
      <c r="E90" s="4"/>
      <c r="F90" s="4"/>
      <c r="G90" s="4"/>
      <c r="H90" s="4"/>
      <c r="I90" s="4"/>
      <c r="J90" s="4"/>
      <c r="K90" s="4"/>
      <c r="L90" s="4"/>
      <c r="M90" s="4"/>
    </row>
    <row r="91" spans="2:13">
      <c r="B91" s="4"/>
      <c r="C91" s="4"/>
      <c r="D91" s="4"/>
      <c r="E91" s="4"/>
      <c r="F91" s="4"/>
      <c r="G91" s="4"/>
      <c r="H91" s="4"/>
      <c r="I91" s="4"/>
      <c r="J91" s="4"/>
      <c r="K91" s="4"/>
      <c r="L91" s="4"/>
      <c r="M91" s="4"/>
    </row>
    <row r="92" spans="2:13">
      <c r="B92" s="4"/>
      <c r="C92" s="4"/>
      <c r="D92" s="4"/>
      <c r="E92" s="4"/>
      <c r="F92" s="4"/>
      <c r="G92" s="4"/>
      <c r="H92" s="4"/>
      <c r="I92" s="4"/>
      <c r="J92" s="4"/>
      <c r="K92" s="4"/>
      <c r="L92" s="4"/>
      <c r="M92" s="4"/>
    </row>
    <row r="93" spans="2:13">
      <c r="B93" s="4"/>
      <c r="C93" s="4"/>
      <c r="D93" s="4"/>
      <c r="E93" s="4"/>
      <c r="F93" s="4"/>
      <c r="G93" s="4"/>
      <c r="H93" s="4"/>
      <c r="I93" s="4"/>
      <c r="J93" s="4"/>
      <c r="K93" s="4"/>
      <c r="L93" s="4"/>
      <c r="M93" s="4"/>
    </row>
    <row r="94" spans="2:13">
      <c r="B94" s="4"/>
      <c r="C94" s="4"/>
      <c r="D94" s="4"/>
      <c r="E94" s="4"/>
      <c r="F94" s="4"/>
      <c r="G94" s="4"/>
      <c r="H94" s="4"/>
      <c r="I94" s="4"/>
      <c r="J94" s="4"/>
      <c r="K94" s="4"/>
      <c r="L94" s="4"/>
      <c r="M94" s="4"/>
    </row>
    <row r="95" spans="2:13">
      <c r="B95" s="4"/>
      <c r="C95" s="4"/>
      <c r="D95" s="4"/>
      <c r="E95" s="4"/>
      <c r="F95" s="4"/>
      <c r="G95" s="4"/>
      <c r="H95" s="4"/>
      <c r="I95" s="4"/>
      <c r="J95" s="4"/>
      <c r="K95" s="4"/>
      <c r="L95" s="4"/>
      <c r="M95" s="4"/>
    </row>
    <row r="96" spans="2:13">
      <c r="B96" s="4"/>
      <c r="C96" s="4"/>
      <c r="D96" s="4"/>
      <c r="E96" s="4"/>
      <c r="F96" s="4"/>
      <c r="G96" s="4"/>
      <c r="H96" s="4"/>
      <c r="I96" s="4"/>
      <c r="J96" s="4"/>
      <c r="K96" s="4"/>
      <c r="L96" s="4"/>
      <c r="M96" s="4"/>
    </row>
    <row r="97" spans="2:13">
      <c r="B97" s="4"/>
      <c r="C97" s="4"/>
      <c r="D97" s="4"/>
      <c r="E97" s="4"/>
      <c r="F97" s="4"/>
      <c r="G97" s="4"/>
      <c r="H97" s="4"/>
      <c r="I97" s="4"/>
      <c r="J97" s="4"/>
      <c r="K97" s="4"/>
      <c r="L97" s="4"/>
      <c r="M97" s="4"/>
    </row>
    <row r="98" spans="2:13">
      <c r="B98" s="4"/>
      <c r="C98" s="4"/>
      <c r="D98" s="4"/>
      <c r="E98" s="4"/>
      <c r="F98" s="4"/>
      <c r="G98" s="4"/>
      <c r="H98" s="4"/>
      <c r="I98" s="4"/>
      <c r="J98" s="4"/>
      <c r="K98" s="4"/>
      <c r="L98" s="4"/>
      <c r="M98" s="4"/>
    </row>
    <row r="99" spans="2:13">
      <c r="B99" s="4"/>
      <c r="C99" s="4"/>
      <c r="D99" s="4"/>
      <c r="E99" s="4"/>
      <c r="F99" s="4"/>
      <c r="G99" s="4"/>
      <c r="H99" s="4"/>
      <c r="I99" s="4"/>
      <c r="J99" s="4"/>
      <c r="K99" s="4"/>
      <c r="L99" s="4"/>
      <c r="M99" s="4"/>
    </row>
    <row r="100" spans="2:13">
      <c r="B100" s="4"/>
      <c r="C100" s="4"/>
      <c r="D100" s="4"/>
      <c r="E100" s="4"/>
      <c r="F100" s="4"/>
      <c r="G100" s="4"/>
      <c r="H100" s="4"/>
      <c r="I100" s="4"/>
      <c r="J100" s="4"/>
      <c r="K100" s="4"/>
      <c r="L100" s="4"/>
      <c r="M100" s="4"/>
    </row>
    <row r="101" spans="2:13">
      <c r="B101" s="4"/>
      <c r="C101" s="4"/>
      <c r="D101" s="4"/>
      <c r="E101" s="4"/>
      <c r="F101" s="4"/>
      <c r="G101" s="4"/>
      <c r="H101" s="4"/>
      <c r="I101" s="4"/>
      <c r="J101" s="4"/>
      <c r="K101" s="4"/>
      <c r="L101" s="4"/>
      <c r="M101" s="4"/>
    </row>
    <row r="102" spans="2:13">
      <c r="B102" s="4"/>
      <c r="C102" s="4"/>
      <c r="D102" s="4"/>
      <c r="E102" s="4"/>
      <c r="F102" s="4"/>
      <c r="G102" s="4"/>
      <c r="H102" s="4"/>
      <c r="I102" s="4"/>
      <c r="J102" s="4"/>
      <c r="K102" s="4"/>
      <c r="L102" s="4"/>
      <c r="M102" s="4"/>
    </row>
    <row r="103" spans="2:13">
      <c r="B103" s="4"/>
      <c r="C103" s="4"/>
      <c r="D103" s="4"/>
      <c r="E103" s="4"/>
      <c r="F103" s="4"/>
      <c r="G103" s="4"/>
      <c r="H103" s="4"/>
      <c r="I103" s="4"/>
      <c r="J103" s="4"/>
      <c r="K103" s="4"/>
      <c r="L103" s="4"/>
      <c r="M103" s="4"/>
    </row>
    <row r="104" spans="2:13">
      <c r="B104" s="4"/>
      <c r="C104" s="4"/>
      <c r="D104" s="4"/>
      <c r="E104" s="4"/>
      <c r="F104" s="4"/>
      <c r="G104" s="4"/>
      <c r="H104" s="4"/>
      <c r="I104" s="4"/>
      <c r="J104" s="4"/>
      <c r="K104" s="4"/>
      <c r="L104" s="4"/>
      <c r="M104" s="4"/>
    </row>
    <row r="105" spans="2:13">
      <c r="B105" s="4"/>
      <c r="C105" s="4"/>
      <c r="D105" s="4"/>
      <c r="E105" s="4"/>
      <c r="F105" s="4"/>
      <c r="G105" s="4"/>
      <c r="H105" s="4"/>
      <c r="I105" s="4"/>
      <c r="J105" s="4"/>
      <c r="K105" s="4"/>
      <c r="L105" s="4"/>
      <c r="M105" s="4"/>
    </row>
    <row r="106" spans="2:13">
      <c r="B106" s="4"/>
      <c r="C106" s="4"/>
      <c r="D106" s="4"/>
      <c r="E106" s="4"/>
      <c r="F106" s="4"/>
      <c r="G106" s="4"/>
      <c r="H106" s="4"/>
      <c r="I106" s="4"/>
      <c r="J106" s="4"/>
      <c r="K106" s="4"/>
      <c r="L106" s="4"/>
      <c r="M106" s="4"/>
    </row>
    <row r="107" spans="2:13">
      <c r="B107" s="4"/>
      <c r="C107" s="4"/>
      <c r="D107" s="4"/>
      <c r="E107" s="4"/>
      <c r="F107" s="4"/>
      <c r="G107" s="4"/>
      <c r="H107" s="4"/>
      <c r="I107" s="4"/>
      <c r="J107" s="4"/>
      <c r="K107" s="4"/>
      <c r="L107" s="4"/>
      <c r="M107" s="4"/>
    </row>
    <row r="108" spans="2:13">
      <c r="B108" s="4"/>
      <c r="C108" s="4"/>
      <c r="D108" s="4"/>
      <c r="E108" s="4"/>
      <c r="F108" s="4"/>
      <c r="G108" s="4"/>
      <c r="H108" s="4"/>
      <c r="I108" s="4"/>
      <c r="J108" s="4"/>
      <c r="K108" s="4"/>
      <c r="L108" s="4"/>
      <c r="M108" s="4"/>
    </row>
    <row r="109" spans="2:13">
      <c r="B109" s="4"/>
      <c r="C109" s="4"/>
      <c r="D109" s="4"/>
      <c r="E109" s="4"/>
      <c r="F109" s="4"/>
      <c r="G109" s="4"/>
      <c r="H109" s="4"/>
      <c r="I109" s="4"/>
      <c r="J109" s="4"/>
      <c r="K109" s="4"/>
      <c r="L109" s="4"/>
      <c r="M109" s="4"/>
    </row>
    <row r="110" spans="2:13">
      <c r="B110" s="4"/>
      <c r="C110" s="4"/>
      <c r="D110" s="4"/>
      <c r="E110" s="4"/>
      <c r="F110" s="4"/>
      <c r="G110" s="4"/>
      <c r="H110" s="4"/>
      <c r="I110" s="4"/>
      <c r="J110" s="4"/>
      <c r="K110" s="4"/>
      <c r="L110" s="4"/>
      <c r="M110" s="4"/>
    </row>
    <row r="111" spans="2:13">
      <c r="B111" s="4"/>
      <c r="C111" s="4"/>
      <c r="D111" s="4"/>
      <c r="E111" s="4"/>
      <c r="F111" s="4"/>
      <c r="G111" s="4"/>
      <c r="H111" s="4"/>
      <c r="I111" s="4"/>
      <c r="J111" s="4"/>
      <c r="K111" s="4"/>
      <c r="L111" s="4"/>
      <c r="M111" s="4"/>
    </row>
    <row r="112" spans="2:13">
      <c r="B112" s="4"/>
      <c r="C112" s="4"/>
      <c r="D112" s="4"/>
      <c r="E112" s="4"/>
      <c r="F112" s="4"/>
      <c r="G112" s="4"/>
      <c r="H112" s="4"/>
      <c r="I112" s="4"/>
      <c r="J112" s="4"/>
      <c r="K112" s="4"/>
      <c r="L112" s="4"/>
      <c r="M112" s="4"/>
    </row>
    <row r="113" spans="2:13">
      <c r="B113" s="4"/>
      <c r="C113" s="4"/>
      <c r="D113" s="4"/>
      <c r="E113" s="4"/>
      <c r="F113" s="4"/>
      <c r="G113" s="4"/>
      <c r="H113" s="4"/>
      <c r="I113" s="4"/>
      <c r="J113" s="4"/>
      <c r="K113" s="4"/>
      <c r="L113" s="4"/>
      <c r="M113" s="4"/>
    </row>
    <row r="114" spans="2:13">
      <c r="B114" s="4"/>
      <c r="C114" s="4"/>
      <c r="D114" s="4"/>
      <c r="E114" s="4"/>
      <c r="F114" s="4"/>
      <c r="G114" s="4"/>
      <c r="H114" s="4"/>
      <c r="I114" s="4"/>
      <c r="J114" s="4"/>
      <c r="K114" s="4"/>
      <c r="L114" s="4"/>
      <c r="M114" s="4"/>
    </row>
    <row r="115" spans="2:13">
      <c r="B115" s="4"/>
      <c r="C115" s="4"/>
      <c r="D115" s="4"/>
      <c r="E115" s="4"/>
      <c r="F115" s="4"/>
      <c r="G115" s="4"/>
      <c r="H115" s="4"/>
      <c r="I115" s="4"/>
      <c r="J115" s="4"/>
      <c r="K115" s="4"/>
      <c r="L115" s="4"/>
      <c r="M115" s="4"/>
    </row>
    <row r="116" spans="2:13">
      <c r="B116" s="4"/>
      <c r="C116" s="4"/>
      <c r="D116" s="4"/>
      <c r="E116" s="4"/>
      <c r="F116" s="4"/>
      <c r="G116" s="4"/>
      <c r="H116" s="4"/>
      <c r="I116" s="4"/>
      <c r="J116" s="4"/>
      <c r="K116" s="4"/>
      <c r="L116" s="4"/>
      <c r="M116" s="4"/>
    </row>
    <row r="117" spans="2:13">
      <c r="B117" s="4"/>
      <c r="C117" s="4"/>
      <c r="D117" s="4"/>
      <c r="E117" s="4"/>
      <c r="F117" s="4"/>
      <c r="G117" s="4"/>
      <c r="H117" s="4"/>
      <c r="I117" s="4"/>
      <c r="J117" s="4"/>
      <c r="K117" s="4"/>
      <c r="L117" s="4"/>
      <c r="M117" s="4"/>
    </row>
    <row r="118" spans="2:13">
      <c r="B118" s="4"/>
      <c r="C118" s="4"/>
      <c r="D118" s="4"/>
      <c r="E118" s="4"/>
      <c r="F118" s="4"/>
      <c r="G118" s="4"/>
      <c r="H118" s="4"/>
      <c r="I118" s="4"/>
      <c r="J118" s="4"/>
      <c r="K118" s="4"/>
      <c r="L118" s="4"/>
      <c r="M118" s="4"/>
    </row>
    <row r="119" spans="2:13">
      <c r="B119" s="4"/>
      <c r="C119" s="4"/>
      <c r="D119" s="4"/>
      <c r="E119" s="4"/>
      <c r="F119" s="4"/>
      <c r="G119" s="4"/>
      <c r="H119" s="4"/>
      <c r="I119" s="4"/>
      <c r="J119" s="4"/>
      <c r="K119" s="4"/>
      <c r="L119" s="4"/>
      <c r="M119" s="4"/>
    </row>
    <row r="120" spans="2:13">
      <c r="B120" s="4"/>
      <c r="C120" s="4"/>
      <c r="D120" s="4"/>
      <c r="E120" s="4"/>
      <c r="F120" s="4"/>
      <c r="G120" s="4"/>
      <c r="H120" s="4"/>
      <c r="I120" s="4"/>
      <c r="J120" s="4"/>
      <c r="K120" s="4"/>
      <c r="L120" s="4"/>
      <c r="M120" s="4"/>
    </row>
    <row r="121" spans="2:13">
      <c r="B121" s="4"/>
      <c r="C121" s="4"/>
      <c r="D121" s="4"/>
      <c r="E121" s="4"/>
      <c r="F121" s="4"/>
      <c r="G121" s="4"/>
      <c r="H121" s="4"/>
      <c r="I121" s="4"/>
      <c r="J121" s="4"/>
      <c r="K121" s="4"/>
      <c r="L121" s="4"/>
      <c r="M121" s="4"/>
    </row>
    <row r="122" spans="2:13">
      <c r="B122" s="4"/>
      <c r="C122" s="4"/>
      <c r="D122" s="4"/>
      <c r="E122" s="4"/>
      <c r="F122" s="4"/>
      <c r="G122" s="4"/>
      <c r="H122" s="4"/>
      <c r="I122" s="4"/>
      <c r="J122" s="4"/>
      <c r="K122" s="4"/>
      <c r="L122" s="4"/>
      <c r="M122" s="4"/>
    </row>
    <row r="123" spans="2:13">
      <c r="B123" s="4"/>
      <c r="C123" s="4"/>
      <c r="D123" s="4"/>
      <c r="E123" s="4"/>
      <c r="F123" s="4"/>
      <c r="G123" s="4"/>
      <c r="H123" s="4"/>
      <c r="I123" s="4"/>
      <c r="J123" s="4"/>
      <c r="K123" s="4"/>
      <c r="L123" s="4"/>
      <c r="M123" s="4"/>
    </row>
    <row r="124" spans="2:13">
      <c r="B124" s="4"/>
      <c r="C124" s="4"/>
      <c r="D124" s="4"/>
      <c r="E124" s="4"/>
      <c r="F124" s="4"/>
      <c r="G124" s="4"/>
      <c r="H124" s="4"/>
      <c r="I124" s="4"/>
      <c r="J124" s="4"/>
      <c r="K124" s="4"/>
      <c r="L124" s="4"/>
      <c r="M124" s="4"/>
    </row>
    <row r="125" spans="2:13">
      <c r="B125" s="4"/>
      <c r="C125" s="4"/>
      <c r="D125" s="4"/>
      <c r="E125" s="4"/>
      <c r="F125" s="4"/>
      <c r="G125" s="4"/>
      <c r="H125" s="4"/>
      <c r="I125" s="4"/>
      <c r="J125" s="4"/>
      <c r="K125" s="4"/>
      <c r="L125" s="4"/>
      <c r="M125" s="4"/>
    </row>
    <row r="126" spans="2:13">
      <c r="B126" s="4"/>
      <c r="C126" s="4"/>
      <c r="D126" s="4"/>
      <c r="E126" s="4"/>
      <c r="F126" s="4"/>
      <c r="G126" s="4"/>
      <c r="H126" s="4"/>
      <c r="I126" s="4"/>
      <c r="J126" s="4"/>
      <c r="K126" s="4"/>
      <c r="L126" s="4"/>
      <c r="M126" s="4"/>
    </row>
    <row r="127" spans="2:13">
      <c r="B127" s="4"/>
      <c r="C127" s="4"/>
      <c r="D127" s="4"/>
      <c r="E127" s="4"/>
      <c r="F127" s="4"/>
      <c r="G127" s="4"/>
      <c r="H127" s="4"/>
      <c r="I127" s="4"/>
      <c r="J127" s="4"/>
      <c r="K127" s="4"/>
      <c r="L127" s="4"/>
      <c r="M127" s="4"/>
    </row>
    <row r="128" spans="2:13">
      <c r="B128" s="4"/>
      <c r="C128" s="4"/>
      <c r="D128" s="4"/>
      <c r="E128" s="4"/>
      <c r="F128" s="4"/>
      <c r="G128" s="4"/>
      <c r="H128" s="4"/>
      <c r="I128" s="4"/>
      <c r="J128" s="4"/>
      <c r="K128" s="4"/>
      <c r="L128" s="4"/>
      <c r="M128" s="4"/>
    </row>
    <row r="129" spans="2:13">
      <c r="B129" s="4"/>
      <c r="C129" s="4"/>
      <c r="D129" s="4"/>
      <c r="E129" s="4"/>
      <c r="F129" s="4"/>
      <c r="G129" s="4"/>
      <c r="H129" s="4"/>
      <c r="I129" s="4"/>
      <c r="J129" s="4"/>
      <c r="K129" s="4"/>
      <c r="L129" s="4"/>
      <c r="M129" s="4"/>
    </row>
    <row r="130" spans="2:13">
      <c r="B130" s="4"/>
      <c r="C130" s="4"/>
      <c r="D130" s="4"/>
      <c r="E130" s="4"/>
      <c r="F130" s="4"/>
      <c r="G130" s="4"/>
      <c r="H130" s="4"/>
      <c r="I130" s="4"/>
      <c r="J130" s="4"/>
      <c r="K130" s="4"/>
      <c r="L130" s="4"/>
      <c r="M130" s="4"/>
    </row>
    <row r="131" spans="2:13">
      <c r="B131" s="4"/>
      <c r="C131" s="4"/>
      <c r="D131" s="4"/>
      <c r="E131" s="4"/>
      <c r="F131" s="4"/>
      <c r="G131" s="4"/>
      <c r="H131" s="4"/>
      <c r="I131" s="4"/>
      <c r="J131" s="4"/>
      <c r="K131" s="4"/>
      <c r="L131" s="4"/>
      <c r="M131" s="4"/>
    </row>
    <row r="132" spans="2:13">
      <c r="B132" s="4"/>
      <c r="C132" s="4"/>
      <c r="D132" s="4"/>
      <c r="E132" s="4"/>
      <c r="F132" s="4"/>
      <c r="G132" s="4"/>
      <c r="H132" s="4"/>
      <c r="I132" s="4"/>
      <c r="J132" s="4"/>
      <c r="K132" s="4"/>
      <c r="L132" s="4"/>
      <c r="M132" s="4"/>
    </row>
    <row r="133" spans="2:13">
      <c r="B133" s="4"/>
      <c r="C133" s="4"/>
      <c r="D133" s="4"/>
      <c r="E133" s="4"/>
      <c r="F133" s="4"/>
      <c r="G133" s="4"/>
      <c r="H133" s="4"/>
      <c r="I133" s="4"/>
      <c r="J133" s="4"/>
      <c r="K133" s="4"/>
      <c r="L133" s="4"/>
      <c r="M133" s="4"/>
    </row>
    <row r="134" spans="2:13">
      <c r="B134" s="4"/>
      <c r="C134" s="4"/>
      <c r="D134" s="4"/>
      <c r="E134" s="4"/>
      <c r="F134" s="4"/>
      <c r="G134" s="4"/>
      <c r="H134" s="4"/>
      <c r="I134" s="4"/>
      <c r="J134" s="4"/>
      <c r="K134" s="4"/>
      <c r="L134" s="4"/>
      <c r="M134" s="4"/>
    </row>
    <row r="135" spans="2:13">
      <c r="B135" s="4"/>
      <c r="C135" s="4"/>
      <c r="D135" s="4"/>
      <c r="E135" s="4"/>
      <c r="F135" s="4"/>
      <c r="G135" s="4"/>
      <c r="H135" s="4"/>
      <c r="I135" s="4"/>
      <c r="J135" s="4"/>
      <c r="K135" s="4"/>
      <c r="L135" s="4"/>
      <c r="M135" s="4"/>
    </row>
    <row r="136" spans="2:13">
      <c r="B136" s="4"/>
      <c r="C136" s="4"/>
      <c r="D136" s="4"/>
      <c r="E136" s="4"/>
      <c r="F136" s="4"/>
      <c r="G136" s="4"/>
      <c r="H136" s="4"/>
      <c r="I136" s="4"/>
      <c r="J136" s="4"/>
      <c r="K136" s="4"/>
      <c r="L136" s="4"/>
      <c r="M136" s="4"/>
    </row>
    <row r="137" spans="2:13">
      <c r="B137" s="4"/>
      <c r="C137" s="4"/>
      <c r="D137" s="4"/>
      <c r="E137" s="4"/>
      <c r="F137" s="4"/>
      <c r="G137" s="4"/>
      <c r="H137" s="4"/>
      <c r="I137" s="4"/>
      <c r="J137" s="4"/>
      <c r="K137" s="4"/>
      <c r="L137" s="4"/>
      <c r="M137" s="4"/>
    </row>
    <row r="138" spans="2:13">
      <c r="B138" s="4"/>
      <c r="C138" s="4"/>
      <c r="D138" s="4"/>
      <c r="E138" s="4"/>
      <c r="F138" s="4"/>
      <c r="G138" s="4"/>
      <c r="H138" s="4"/>
      <c r="I138" s="4"/>
      <c r="J138" s="4"/>
      <c r="K138" s="4"/>
      <c r="L138" s="4"/>
      <c r="M138" s="4"/>
    </row>
    <row r="139" spans="2:13">
      <c r="B139" s="4"/>
      <c r="C139" s="4"/>
      <c r="D139" s="4"/>
      <c r="E139" s="4"/>
      <c r="F139" s="4"/>
      <c r="G139" s="4"/>
      <c r="H139" s="4"/>
      <c r="I139" s="4"/>
      <c r="J139" s="4"/>
      <c r="K139" s="4"/>
      <c r="L139" s="4"/>
      <c r="M139" s="4"/>
    </row>
    <row r="140" spans="2:13">
      <c r="B140" s="4"/>
      <c r="C140" s="4"/>
      <c r="D140" s="4"/>
      <c r="E140" s="4"/>
      <c r="F140" s="4"/>
      <c r="G140" s="4"/>
      <c r="H140" s="4"/>
      <c r="I140" s="4"/>
      <c r="J140" s="4"/>
      <c r="K140" s="4"/>
      <c r="L140" s="4"/>
      <c r="M140" s="4"/>
    </row>
    <row r="141" spans="2:13">
      <c r="B141" s="4"/>
      <c r="C141" s="4"/>
      <c r="D141" s="4"/>
      <c r="E141" s="4"/>
      <c r="F141" s="4"/>
      <c r="G141" s="4"/>
      <c r="H141" s="4"/>
      <c r="I141" s="4"/>
      <c r="J141" s="4"/>
      <c r="K141" s="4"/>
      <c r="L141" s="4"/>
      <c r="M141" s="4"/>
    </row>
    <row r="142" spans="2:13">
      <c r="B142" s="4"/>
      <c r="C142" s="4"/>
      <c r="D142" s="4"/>
      <c r="E142" s="4"/>
      <c r="F142" s="4"/>
      <c r="G142" s="4"/>
      <c r="H142" s="4"/>
      <c r="I142" s="4"/>
      <c r="J142" s="4"/>
      <c r="K142" s="4"/>
      <c r="L142" s="4"/>
      <c r="M142" s="4"/>
    </row>
    <row r="143" spans="2:13">
      <c r="B143" s="4"/>
      <c r="C143" s="4"/>
      <c r="D143" s="4"/>
      <c r="E143" s="4"/>
      <c r="F143" s="4"/>
      <c r="G143" s="4"/>
      <c r="H143" s="4"/>
      <c r="I143" s="4"/>
      <c r="J143" s="4"/>
      <c r="K143" s="4"/>
      <c r="L143" s="4"/>
      <c r="M143" s="4"/>
    </row>
    <row r="144" spans="2:13">
      <c r="B144" s="4"/>
      <c r="C144" s="4"/>
      <c r="D144" s="4"/>
      <c r="E144" s="4"/>
      <c r="F144" s="4"/>
      <c r="G144" s="4"/>
      <c r="H144" s="4"/>
      <c r="I144" s="4"/>
      <c r="J144" s="4"/>
      <c r="K144" s="4"/>
      <c r="L144" s="4"/>
      <c r="M144" s="4"/>
    </row>
    <row r="145" spans="2:13">
      <c r="B145" s="4"/>
      <c r="C145" s="4"/>
      <c r="D145" s="4"/>
      <c r="E145" s="4"/>
      <c r="F145" s="4"/>
      <c r="G145" s="4"/>
      <c r="H145" s="4"/>
      <c r="I145" s="4"/>
      <c r="J145" s="4"/>
      <c r="K145" s="4"/>
      <c r="L145" s="4"/>
      <c r="M145" s="4"/>
    </row>
    <row r="146" spans="2:13">
      <c r="B146" s="4"/>
      <c r="C146" s="4"/>
      <c r="D146" s="4"/>
      <c r="E146" s="4"/>
      <c r="F146" s="4"/>
      <c r="G146" s="4"/>
      <c r="H146" s="4"/>
      <c r="I146" s="4"/>
      <c r="J146" s="4"/>
      <c r="K146" s="4"/>
      <c r="L146" s="4"/>
      <c r="M146" s="4"/>
    </row>
    <row r="147" spans="2:13">
      <c r="B147" s="4"/>
      <c r="C147" s="4"/>
      <c r="D147" s="4"/>
      <c r="E147" s="4"/>
      <c r="F147" s="4"/>
      <c r="G147" s="4"/>
      <c r="H147" s="4"/>
      <c r="I147" s="4"/>
      <c r="J147" s="4"/>
      <c r="K147" s="4"/>
      <c r="L147" s="4"/>
      <c r="M147" s="4"/>
    </row>
    <row r="148" spans="2:13">
      <c r="B148" s="4"/>
      <c r="C148" s="4"/>
      <c r="D148" s="4"/>
      <c r="E148" s="4"/>
      <c r="F148" s="4"/>
      <c r="G148" s="4"/>
      <c r="H148" s="4"/>
      <c r="I148" s="4"/>
      <c r="J148" s="4"/>
      <c r="K148" s="4"/>
      <c r="L148" s="4"/>
      <c r="M148" s="4"/>
    </row>
    <row r="149" spans="2:13">
      <c r="B149" s="4"/>
      <c r="C149" s="4"/>
      <c r="D149" s="4"/>
      <c r="E149" s="4"/>
      <c r="F149" s="4"/>
      <c r="G149" s="4"/>
      <c r="H149" s="4"/>
      <c r="I149" s="4"/>
      <c r="J149" s="4"/>
      <c r="K149" s="4"/>
      <c r="L149" s="4"/>
      <c r="M149" s="4"/>
    </row>
    <row r="150" spans="2:13">
      <c r="B150" s="4"/>
      <c r="C150" s="4"/>
      <c r="D150" s="4"/>
      <c r="E150" s="4"/>
      <c r="F150" s="4"/>
      <c r="G150" s="4"/>
      <c r="H150" s="4"/>
      <c r="I150" s="4"/>
      <c r="J150" s="4"/>
      <c r="K150" s="4"/>
      <c r="L150" s="4"/>
      <c r="M150" s="4"/>
    </row>
    <row r="151" spans="2:13">
      <c r="B151" s="4"/>
      <c r="C151" s="4"/>
      <c r="D151" s="4"/>
      <c r="E151" s="4"/>
      <c r="F151" s="4"/>
      <c r="G151" s="4"/>
      <c r="H151" s="4"/>
      <c r="I151" s="4"/>
      <c r="J151" s="4"/>
      <c r="K151" s="4"/>
      <c r="L151" s="4"/>
      <c r="M151" s="4"/>
    </row>
    <row r="152" spans="2:13">
      <c r="B152" s="4"/>
      <c r="C152" s="4"/>
      <c r="D152" s="4"/>
      <c r="E152" s="4"/>
      <c r="F152" s="4"/>
      <c r="G152" s="4"/>
      <c r="H152" s="4"/>
      <c r="I152" s="4"/>
      <c r="J152" s="4"/>
      <c r="K152" s="4"/>
      <c r="L152" s="4"/>
      <c r="M152" s="4"/>
    </row>
    <row r="153" spans="2:13">
      <c r="B153" s="4"/>
      <c r="C153" s="4"/>
      <c r="D153" s="4"/>
      <c r="E153" s="4"/>
      <c r="F153" s="4"/>
      <c r="G153" s="4"/>
      <c r="H153" s="4"/>
      <c r="I153" s="4"/>
      <c r="J153" s="4"/>
      <c r="K153" s="4"/>
      <c r="L153" s="4"/>
      <c r="M153" s="4"/>
    </row>
    <row r="154" spans="2:13">
      <c r="B154" s="4"/>
      <c r="C154" s="4"/>
      <c r="D154" s="4"/>
      <c r="E154" s="4"/>
      <c r="F154" s="4"/>
      <c r="G154" s="4"/>
      <c r="H154" s="4"/>
      <c r="I154" s="4"/>
      <c r="J154" s="4"/>
      <c r="K154" s="4"/>
      <c r="L154" s="4"/>
      <c r="M154" s="4"/>
    </row>
    <row r="155" spans="2:13">
      <c r="B155" s="4"/>
      <c r="C155" s="4"/>
      <c r="D155" s="4"/>
      <c r="E155" s="4"/>
      <c r="F155" s="4"/>
      <c r="G155" s="4"/>
      <c r="H155" s="4"/>
      <c r="I155" s="4"/>
      <c r="J155" s="4"/>
      <c r="K155" s="4"/>
      <c r="L155" s="4"/>
      <c r="M155" s="4"/>
    </row>
    <row r="156" spans="2:13">
      <c r="B156" s="4"/>
      <c r="C156" s="4"/>
      <c r="D156" s="4"/>
      <c r="E156" s="4"/>
      <c r="F156" s="4"/>
      <c r="G156" s="4"/>
      <c r="H156" s="4"/>
      <c r="I156" s="4"/>
      <c r="J156" s="4"/>
      <c r="K156" s="4"/>
      <c r="L156" s="4"/>
      <c r="M156" s="4"/>
    </row>
    <row r="157" spans="2:13">
      <c r="B157" s="4"/>
      <c r="C157" s="4"/>
      <c r="D157" s="4"/>
      <c r="E157" s="4"/>
      <c r="F157" s="4"/>
      <c r="G157" s="4"/>
      <c r="H157" s="4"/>
      <c r="I157" s="4"/>
      <c r="J157" s="4"/>
      <c r="K157" s="4"/>
      <c r="L157" s="4"/>
      <c r="M157" s="4"/>
    </row>
    <row r="158" spans="2:13">
      <c r="B158" s="4"/>
      <c r="C158" s="4"/>
      <c r="D158" s="4"/>
      <c r="E158" s="4"/>
      <c r="F158" s="4"/>
      <c r="G158" s="4"/>
      <c r="H158" s="4"/>
      <c r="I158" s="4"/>
      <c r="J158" s="4"/>
      <c r="K158" s="4"/>
      <c r="L158" s="4"/>
      <c r="M158" s="4"/>
    </row>
    <row r="159" spans="2:13">
      <c r="B159" s="4"/>
      <c r="C159" s="4"/>
      <c r="D159" s="4"/>
      <c r="E159" s="4"/>
      <c r="F159" s="4"/>
      <c r="G159" s="4"/>
      <c r="H159" s="4"/>
      <c r="I159" s="4"/>
      <c r="J159" s="4"/>
      <c r="K159" s="4"/>
      <c r="L159" s="4"/>
      <c r="M159" s="4"/>
    </row>
    <row r="160" spans="2:13">
      <c r="B160" s="4"/>
      <c r="C160" s="4"/>
      <c r="D160" s="4"/>
      <c r="E160" s="4"/>
      <c r="F160" s="4"/>
      <c r="G160" s="4"/>
      <c r="H160" s="4"/>
      <c r="I160" s="4"/>
      <c r="J160" s="4"/>
      <c r="K160" s="4"/>
      <c r="L160" s="4"/>
      <c r="M160" s="4"/>
    </row>
    <row r="161" spans="2:13">
      <c r="B161" s="4"/>
      <c r="C161" s="4"/>
      <c r="D161" s="4"/>
      <c r="E161" s="4"/>
      <c r="F161" s="4"/>
      <c r="G161" s="4"/>
      <c r="H161" s="4"/>
      <c r="I161" s="4"/>
      <c r="J161" s="4"/>
      <c r="K161" s="4"/>
      <c r="L161" s="4"/>
      <c r="M161" s="4"/>
    </row>
    <row r="162" spans="2:13">
      <c r="B162" s="4"/>
      <c r="C162" s="4"/>
      <c r="D162" s="4"/>
      <c r="E162" s="4"/>
      <c r="F162" s="4"/>
      <c r="G162" s="4"/>
      <c r="H162" s="4"/>
      <c r="I162" s="4"/>
      <c r="J162" s="4"/>
      <c r="K162" s="4"/>
      <c r="L162" s="4"/>
      <c r="M162" s="4"/>
    </row>
    <row r="163" spans="2:13">
      <c r="B163" s="4"/>
      <c r="C163" s="4"/>
      <c r="D163" s="4"/>
      <c r="E163" s="4"/>
      <c r="F163" s="4"/>
      <c r="G163" s="4"/>
      <c r="H163" s="4"/>
      <c r="I163" s="4"/>
      <c r="J163" s="4"/>
      <c r="K163" s="4"/>
      <c r="L163" s="4"/>
      <c r="M163" s="4"/>
    </row>
    <row r="164" spans="2:13">
      <c r="B164" s="4"/>
      <c r="C164" s="4"/>
      <c r="D164" s="4"/>
      <c r="E164" s="4"/>
      <c r="F164" s="4"/>
      <c r="G164" s="4"/>
      <c r="H164" s="4"/>
      <c r="I164" s="4"/>
      <c r="J164" s="4"/>
      <c r="K164" s="4"/>
      <c r="L164" s="4"/>
      <c r="M164" s="4"/>
    </row>
    <row r="165" spans="2:13">
      <c r="B165" s="4"/>
      <c r="C165" s="4"/>
      <c r="D165" s="4"/>
      <c r="E165" s="4"/>
      <c r="F165" s="4"/>
      <c r="G165" s="4"/>
      <c r="H165" s="4"/>
      <c r="I165" s="4"/>
      <c r="J165" s="4"/>
      <c r="K165" s="4"/>
      <c r="L165" s="4"/>
      <c r="M165" s="4"/>
    </row>
    <row r="166" spans="2:13">
      <c r="B166" s="4"/>
      <c r="C166" s="4"/>
      <c r="D166" s="4"/>
      <c r="E166" s="4"/>
      <c r="F166" s="4"/>
      <c r="G166" s="4"/>
      <c r="H166" s="4"/>
      <c r="I166" s="4"/>
      <c r="J166" s="4"/>
      <c r="K166" s="4"/>
      <c r="L166" s="4"/>
      <c r="M166" s="4"/>
    </row>
    <row r="167" spans="2:13">
      <c r="B167" s="4"/>
      <c r="C167" s="4"/>
      <c r="D167" s="4"/>
      <c r="E167" s="4"/>
      <c r="F167" s="4"/>
      <c r="G167" s="4"/>
      <c r="H167" s="4"/>
      <c r="I167" s="4"/>
      <c r="J167" s="4"/>
      <c r="K167" s="4"/>
      <c r="L167" s="4"/>
      <c r="M167" s="4"/>
    </row>
    <row r="168" spans="2:13">
      <c r="B168" s="4"/>
      <c r="C168" s="4"/>
      <c r="D168" s="4"/>
      <c r="E168" s="4"/>
      <c r="F168" s="4"/>
      <c r="G168" s="4"/>
      <c r="H168" s="4"/>
      <c r="I168" s="4"/>
      <c r="J168" s="4"/>
      <c r="K168" s="4"/>
      <c r="L168" s="4"/>
      <c r="M168" s="4"/>
    </row>
    <row r="169" spans="2:13">
      <c r="B169" s="4"/>
      <c r="C169" s="4"/>
      <c r="D169" s="4"/>
      <c r="E169" s="4"/>
      <c r="F169" s="4"/>
      <c r="G169" s="4"/>
      <c r="H169" s="4"/>
      <c r="I169" s="4"/>
      <c r="J169" s="4"/>
      <c r="K169" s="4"/>
      <c r="L169" s="4"/>
      <c r="M169" s="4"/>
    </row>
    <row r="170" spans="2:13">
      <c r="B170" s="4"/>
      <c r="C170" s="4"/>
      <c r="D170" s="4"/>
      <c r="E170" s="4"/>
      <c r="F170" s="4"/>
      <c r="G170" s="4"/>
      <c r="H170" s="4"/>
      <c r="I170" s="4"/>
      <c r="J170" s="4"/>
      <c r="K170" s="4"/>
      <c r="L170" s="4"/>
      <c r="M170" s="4"/>
    </row>
    <row r="171" spans="2:13">
      <c r="B171" s="4"/>
      <c r="C171" s="4"/>
      <c r="D171" s="4"/>
      <c r="E171" s="4"/>
      <c r="F171" s="4"/>
      <c r="G171" s="4"/>
      <c r="H171" s="4"/>
      <c r="I171" s="4"/>
      <c r="J171" s="4"/>
      <c r="K171" s="4"/>
      <c r="L171" s="4"/>
      <c r="M171" s="4"/>
    </row>
    <row r="172" spans="2:13">
      <c r="B172" s="4"/>
      <c r="C172" s="4"/>
      <c r="D172" s="4"/>
      <c r="E172" s="4"/>
      <c r="F172" s="4"/>
      <c r="G172" s="4"/>
      <c r="H172" s="4"/>
      <c r="I172" s="4"/>
      <c r="J172" s="4"/>
      <c r="K172" s="4"/>
      <c r="L172" s="4"/>
      <c r="M172" s="4"/>
    </row>
    <row r="173" spans="2:13">
      <c r="B173" s="4"/>
      <c r="C173" s="4"/>
      <c r="D173" s="4"/>
      <c r="E173" s="4"/>
      <c r="F173" s="4"/>
      <c r="G173" s="4"/>
      <c r="H173" s="4"/>
      <c r="I173" s="4"/>
      <c r="J173" s="4"/>
      <c r="K173" s="4"/>
      <c r="L173" s="4"/>
      <c r="M173" s="4"/>
    </row>
    <row r="174" spans="2:13">
      <c r="B174" s="4"/>
      <c r="C174" s="4"/>
      <c r="D174" s="4"/>
      <c r="E174" s="4"/>
      <c r="F174" s="4"/>
      <c r="G174" s="4"/>
      <c r="H174" s="4"/>
      <c r="I174" s="4"/>
      <c r="J174" s="4"/>
      <c r="K174" s="4"/>
      <c r="L174" s="4"/>
      <c r="M174" s="4"/>
    </row>
    <row r="175" spans="2:13">
      <c r="B175" s="4"/>
      <c r="C175" s="4"/>
      <c r="D175" s="4"/>
      <c r="E175" s="4"/>
      <c r="F175" s="4"/>
      <c r="G175" s="4"/>
      <c r="H175" s="4"/>
      <c r="I175" s="4"/>
      <c r="J175" s="4"/>
      <c r="K175" s="4"/>
      <c r="L175" s="4"/>
      <c r="M175" s="4"/>
    </row>
    <row r="176" spans="2:13">
      <c r="B176" s="4"/>
      <c r="C176" s="4"/>
      <c r="D176" s="4"/>
      <c r="E176" s="4"/>
      <c r="F176" s="4"/>
      <c r="G176" s="4"/>
      <c r="H176" s="4"/>
      <c r="I176" s="4"/>
      <c r="J176" s="4"/>
      <c r="K176" s="4"/>
      <c r="L176" s="4"/>
      <c r="M176" s="4"/>
    </row>
    <row r="177" spans="2:13">
      <c r="B177" s="4"/>
      <c r="C177" s="4"/>
      <c r="D177" s="4"/>
      <c r="E177" s="4"/>
      <c r="F177" s="4"/>
      <c r="G177" s="4"/>
      <c r="H177" s="4"/>
      <c r="I177" s="4"/>
      <c r="J177" s="4"/>
      <c r="K177" s="4"/>
      <c r="L177" s="4"/>
      <c r="M177" s="4"/>
    </row>
    <row r="178" spans="2:13">
      <c r="B178" s="4"/>
      <c r="C178" s="4"/>
      <c r="D178" s="4"/>
      <c r="E178" s="4"/>
      <c r="F178" s="4"/>
      <c r="G178" s="4"/>
      <c r="H178" s="4"/>
      <c r="I178" s="4"/>
      <c r="J178" s="4"/>
      <c r="K178" s="4"/>
      <c r="L178" s="4"/>
      <c r="M178" s="4"/>
    </row>
    <row r="179" spans="2:13">
      <c r="B179" s="4"/>
      <c r="C179" s="4"/>
      <c r="D179" s="4"/>
      <c r="E179" s="4"/>
      <c r="F179" s="4"/>
      <c r="G179" s="4"/>
      <c r="H179" s="4"/>
      <c r="I179" s="4"/>
      <c r="J179" s="4"/>
      <c r="K179" s="4"/>
      <c r="L179" s="4"/>
      <c r="M179" s="4"/>
    </row>
    <row r="180" spans="2:13">
      <c r="B180" s="4"/>
      <c r="C180" s="4"/>
      <c r="D180" s="4"/>
      <c r="E180" s="4"/>
      <c r="F180" s="4"/>
      <c r="G180" s="4"/>
      <c r="H180" s="4"/>
      <c r="I180" s="4"/>
      <c r="J180" s="4"/>
      <c r="K180" s="4"/>
      <c r="L180" s="4"/>
      <c r="M180" s="4"/>
    </row>
    <row r="181" spans="2:13">
      <c r="B181" s="4"/>
      <c r="C181" s="4"/>
      <c r="D181" s="4"/>
      <c r="E181" s="4"/>
      <c r="F181" s="4"/>
      <c r="G181" s="4"/>
      <c r="H181" s="4"/>
      <c r="I181" s="4"/>
      <c r="J181" s="4"/>
      <c r="K181" s="4"/>
      <c r="L181" s="4"/>
      <c r="M181" s="4"/>
    </row>
    <row r="182" spans="2:13">
      <c r="B182" s="4"/>
      <c r="C182" s="4"/>
      <c r="D182" s="4"/>
      <c r="E182" s="4"/>
      <c r="F182" s="4"/>
      <c r="G182" s="4"/>
      <c r="H182" s="4"/>
      <c r="I182" s="4"/>
      <c r="J182" s="4"/>
      <c r="K182" s="4"/>
      <c r="L182" s="4"/>
      <c r="M182" s="4"/>
    </row>
    <row r="183" spans="2:13">
      <c r="B183" s="4"/>
      <c r="C183" s="4"/>
      <c r="D183" s="4"/>
      <c r="E183" s="4"/>
      <c r="F183" s="4"/>
      <c r="G183" s="4"/>
      <c r="H183" s="4"/>
      <c r="I183" s="4"/>
      <c r="J183" s="4"/>
      <c r="K183" s="4"/>
      <c r="L183" s="4"/>
      <c r="M183" s="4"/>
    </row>
    <row r="184" spans="2:13">
      <c r="B184" s="4"/>
      <c r="C184" s="4"/>
      <c r="D184" s="4"/>
      <c r="E184" s="4"/>
      <c r="F184" s="4"/>
      <c r="G184" s="4"/>
      <c r="H184" s="4"/>
      <c r="I184" s="4"/>
      <c r="J184" s="4"/>
      <c r="K184" s="4"/>
      <c r="L184" s="4"/>
      <c r="M184" s="4"/>
    </row>
    <row r="185" spans="2:13">
      <c r="B185" s="4"/>
      <c r="C185" s="4"/>
      <c r="D185" s="4"/>
      <c r="E185" s="4"/>
      <c r="F185" s="4"/>
      <c r="G185" s="4"/>
      <c r="H185" s="4"/>
      <c r="I185" s="4"/>
      <c r="J185" s="4"/>
      <c r="K185" s="4"/>
      <c r="L185" s="4"/>
      <c r="M185" s="4"/>
    </row>
    <row r="186" spans="2:13">
      <c r="B186" s="4"/>
      <c r="C186" s="4"/>
      <c r="D186" s="4"/>
      <c r="E186" s="4"/>
      <c r="F186" s="4"/>
      <c r="G186" s="4"/>
      <c r="H186" s="4"/>
      <c r="I186" s="4"/>
      <c r="J186" s="4"/>
      <c r="K186" s="4"/>
      <c r="L186" s="4"/>
      <c r="M186" s="4"/>
    </row>
    <row r="187" spans="2:13">
      <c r="B187" s="4"/>
      <c r="C187" s="4"/>
      <c r="D187" s="4"/>
      <c r="E187" s="4"/>
      <c r="F187" s="4"/>
      <c r="G187" s="4"/>
      <c r="H187" s="4"/>
      <c r="I187" s="4"/>
      <c r="J187" s="4"/>
      <c r="K187" s="4"/>
      <c r="L187" s="4"/>
      <c r="M187" s="4"/>
    </row>
    <row r="188" spans="2:13">
      <c r="B188" s="4"/>
      <c r="C188" s="4"/>
      <c r="D188" s="4"/>
      <c r="E188" s="4"/>
      <c r="F188" s="4"/>
      <c r="G188" s="4"/>
      <c r="H188" s="4"/>
      <c r="I188" s="4"/>
      <c r="J188" s="4"/>
      <c r="K188" s="4"/>
      <c r="L188" s="4"/>
      <c r="M188" s="4"/>
    </row>
    <row r="189" spans="2:13">
      <c r="B189" s="4"/>
      <c r="C189" s="4"/>
      <c r="D189" s="4"/>
      <c r="E189" s="4"/>
      <c r="F189" s="4"/>
      <c r="G189" s="4"/>
      <c r="H189" s="4"/>
      <c r="I189" s="4"/>
      <c r="J189" s="4"/>
      <c r="K189" s="4"/>
      <c r="L189" s="4"/>
      <c r="M189" s="4"/>
    </row>
    <row r="190" spans="2:13">
      <c r="B190" s="4"/>
      <c r="C190" s="4"/>
      <c r="D190" s="4"/>
      <c r="E190" s="4"/>
      <c r="F190" s="4"/>
      <c r="G190" s="4"/>
      <c r="H190" s="4"/>
      <c r="I190" s="4"/>
      <c r="J190" s="4"/>
      <c r="K190" s="4"/>
      <c r="L190" s="4"/>
      <c r="M190" s="4"/>
    </row>
    <row r="191" spans="2:13">
      <c r="B191" s="4"/>
      <c r="C191" s="4"/>
      <c r="D191" s="4"/>
      <c r="E191" s="4"/>
      <c r="F191" s="4"/>
      <c r="G191" s="4"/>
      <c r="H191" s="4"/>
      <c r="I191" s="4"/>
      <c r="J191" s="4"/>
      <c r="K191" s="4"/>
      <c r="L191" s="4"/>
      <c r="M191" s="4"/>
    </row>
    <row r="192" spans="2:13">
      <c r="B192" s="4"/>
      <c r="C192" s="4"/>
      <c r="D192" s="4"/>
      <c r="E192" s="4"/>
      <c r="F192" s="4"/>
      <c r="G192" s="4"/>
      <c r="H192" s="4"/>
      <c r="I192" s="4"/>
      <c r="J192" s="4"/>
      <c r="K192" s="4"/>
      <c r="L192" s="4"/>
      <c r="M192" s="4"/>
    </row>
    <row r="193" spans="2:13">
      <c r="B193" s="4"/>
      <c r="C193" s="4"/>
      <c r="D193" s="4"/>
      <c r="E193" s="4"/>
      <c r="F193" s="4"/>
      <c r="G193" s="4"/>
      <c r="H193" s="4"/>
      <c r="I193" s="4"/>
      <c r="J193" s="4"/>
      <c r="K193" s="4"/>
      <c r="L193" s="4"/>
      <c r="M193" s="4"/>
    </row>
  </sheetData>
  <mergeCells count="3">
    <mergeCell ref="A1:M1"/>
    <mergeCell ref="A2:M2"/>
    <mergeCell ref="A3:M3"/>
  </mergeCells>
  <pageMargins left="0.75" right="0.75" top="1" bottom="1" header="0.5" footer="0.5"/>
  <pageSetup scale="78" fitToHeight="2" orientation="landscape" r:id="rId1"/>
  <headerFooter alignWithMargins="0">
    <oddFooter>&amp;L&amp;Z
&amp;F&amp;C&amp;A&amp;R6.&amp;P</oddFooter>
  </headerFooter>
  <rowBreaks count="1" manualBreakCount="1">
    <brk id="42" max="12" man="1"/>
  </rowBreaks>
</worksheet>
</file>

<file path=xl/worksheets/sheet126.xml><?xml version="1.0" encoding="utf-8"?>
<worksheet xmlns="http://schemas.openxmlformats.org/spreadsheetml/2006/main" xmlns:r="http://schemas.openxmlformats.org/officeDocument/2006/relationships">
  <sheetPr codeName="Sheet129">
    <pageSetUpPr fitToPage="1"/>
  </sheetPr>
  <dimension ref="A1:P160"/>
  <sheetViews>
    <sheetView zoomScale="90" zoomScaleNormal="90" workbookViewId="0">
      <selection sqref="A1:P1"/>
    </sheetView>
  </sheetViews>
  <sheetFormatPr defaultRowHeight="12.75"/>
  <cols>
    <col min="1" max="1" width="40.5703125" bestFit="1" customWidth="1"/>
    <col min="2" max="2" width="17.7109375" customWidth="1"/>
    <col min="3" max="3" width="1.7109375" customWidth="1"/>
    <col min="4" max="4" width="17.7109375" customWidth="1"/>
    <col min="5" max="5" width="1.7109375" customWidth="1"/>
    <col min="6" max="6" width="17.7109375" customWidth="1"/>
    <col min="7" max="7" width="1.7109375" customWidth="1"/>
    <col min="8" max="8" width="17.7109375" customWidth="1"/>
    <col min="9" max="9" width="1.7109375" customWidth="1"/>
    <col min="10" max="10" width="17.7109375" customWidth="1"/>
    <col min="11" max="11" width="1.7109375" customWidth="1"/>
    <col min="12" max="12" width="17.7109375" customWidth="1"/>
    <col min="13" max="13" width="2.140625" customWidth="1"/>
    <col min="14" max="14" width="16.7109375" customWidth="1"/>
    <col min="15" max="15" width="2.28515625" customWidth="1"/>
    <col min="16" max="16" width="23.140625" bestFit="1" customWidth="1"/>
  </cols>
  <sheetData>
    <row r="1" spans="1:16" s="38" customFormat="1" ht="15.75">
      <c r="A1" s="366" t="s">
        <v>134</v>
      </c>
      <c r="B1" s="366"/>
      <c r="C1" s="366"/>
      <c r="D1" s="366"/>
      <c r="E1" s="366"/>
      <c r="F1" s="366"/>
      <c r="G1" s="366"/>
      <c r="H1" s="366"/>
      <c r="I1" s="366"/>
      <c r="J1" s="366"/>
      <c r="K1" s="366"/>
      <c r="L1" s="366"/>
      <c r="M1" s="366"/>
      <c r="N1" s="366"/>
      <c r="O1" s="366"/>
      <c r="P1" s="366"/>
    </row>
    <row r="2" spans="1:16" s="38" customFormat="1" ht="15.75">
      <c r="A2" s="366" t="s">
        <v>1154</v>
      </c>
      <c r="B2" s="366"/>
      <c r="C2" s="366"/>
      <c r="D2" s="366"/>
      <c r="E2" s="366"/>
      <c r="F2" s="366"/>
      <c r="G2" s="366"/>
      <c r="H2" s="366"/>
      <c r="I2" s="366"/>
      <c r="J2" s="366"/>
      <c r="K2" s="366"/>
      <c r="L2" s="366"/>
      <c r="M2" s="366"/>
      <c r="N2" s="366"/>
      <c r="O2" s="366"/>
      <c r="P2" s="366"/>
    </row>
    <row r="3" spans="1:16">
      <c r="A3" s="357" t="str">
        <f>'Summary - Cost - PG 1 (PA)'!A3:N3</f>
        <v>MARCH 2012</v>
      </c>
      <c r="B3" s="357"/>
      <c r="C3" s="357"/>
      <c r="D3" s="357"/>
      <c r="E3" s="357"/>
      <c r="F3" s="357"/>
      <c r="G3" s="357"/>
      <c r="H3" s="357"/>
      <c r="I3" s="357"/>
      <c r="J3" s="357"/>
      <c r="K3" s="357"/>
      <c r="L3" s="357"/>
      <c r="M3" s="357"/>
      <c r="N3" s="357"/>
      <c r="O3" s="357"/>
      <c r="P3" s="357"/>
    </row>
    <row r="4" spans="1:16">
      <c r="A4" s="190"/>
      <c r="B4" s="190"/>
      <c r="C4" s="190"/>
      <c r="D4" s="190"/>
      <c r="E4" s="190"/>
      <c r="F4" s="190"/>
      <c r="G4" s="190"/>
      <c r="H4" s="190"/>
      <c r="I4" s="190"/>
      <c r="J4" s="190"/>
      <c r="K4" s="190"/>
      <c r="L4" s="190"/>
    </row>
    <row r="6" spans="1:16">
      <c r="B6" s="41" t="s">
        <v>25</v>
      </c>
      <c r="D6" s="182"/>
      <c r="F6" s="182"/>
      <c r="H6" s="41" t="s">
        <v>612</v>
      </c>
      <c r="J6" s="182"/>
      <c r="L6" s="41" t="s">
        <v>26</v>
      </c>
      <c r="P6" s="29" t="s">
        <v>422</v>
      </c>
    </row>
    <row r="7" spans="1:16" s="10" customFormat="1">
      <c r="B7" s="42" t="s">
        <v>27</v>
      </c>
      <c r="C7"/>
      <c r="D7" s="42" t="s">
        <v>107</v>
      </c>
      <c r="E7"/>
      <c r="F7" s="42" t="s">
        <v>108</v>
      </c>
      <c r="G7"/>
      <c r="H7" s="42" t="s">
        <v>613</v>
      </c>
      <c r="I7"/>
      <c r="J7" s="42" t="s">
        <v>109</v>
      </c>
      <c r="K7"/>
      <c r="L7" s="42" t="s">
        <v>27</v>
      </c>
      <c r="N7" s="42" t="s">
        <v>46</v>
      </c>
      <c r="P7" s="42" t="s">
        <v>419</v>
      </c>
    </row>
    <row r="8" spans="1:16" s="10" customFormat="1">
      <c r="A8" s="12" t="s">
        <v>296</v>
      </c>
      <c r="B8" s="54"/>
      <c r="C8"/>
      <c r="D8" s="54"/>
      <c r="E8"/>
      <c r="F8" s="54"/>
      <c r="G8"/>
      <c r="H8" s="54"/>
      <c r="I8"/>
      <c r="J8" s="54"/>
      <c r="K8"/>
      <c r="L8" s="54"/>
    </row>
    <row r="9" spans="1:16" s="10" customFormat="1">
      <c r="A9" s="12" t="s">
        <v>420</v>
      </c>
      <c r="B9"/>
      <c r="C9"/>
      <c r="D9"/>
      <c r="E9"/>
      <c r="F9"/>
      <c r="G9"/>
      <c r="H9"/>
      <c r="I9"/>
      <c r="J9"/>
      <c r="K9"/>
      <c r="L9"/>
    </row>
    <row r="10" spans="1:16" s="10" customFormat="1">
      <c r="A10" s="12" t="s">
        <v>807</v>
      </c>
      <c r="B10"/>
      <c r="C10"/>
      <c r="D10"/>
      <c r="E10"/>
      <c r="F10"/>
      <c r="G10"/>
      <c r="H10"/>
      <c r="I10"/>
      <c r="J10"/>
      <c r="K10"/>
      <c r="L10"/>
    </row>
    <row r="11" spans="1:16">
      <c r="A11" t="s">
        <v>19</v>
      </c>
      <c r="B11" s="182">
        <f>'KY_Cost-Plant Acct-Comm-P8(PA)'!B11</f>
        <v>0</v>
      </c>
      <c r="C11" s="182"/>
      <c r="D11" s="182">
        <f>'KY_Cost-Plant Acct-Comm-P8(PA)'!D11</f>
        <v>0</v>
      </c>
      <c r="E11" s="182"/>
      <c r="F11" s="182">
        <f>'KY_Cost-Plant Acct-Comm-P8(PA)'!F11</f>
        <v>0</v>
      </c>
      <c r="G11" s="182"/>
      <c r="H11" s="182">
        <f>'KY_Cost-Plant Acct-Comm-P8(PA)'!H11</f>
        <v>0</v>
      </c>
      <c r="I11" s="182"/>
      <c r="J11" s="182">
        <f t="shared" ref="J11:J39" si="0">H11+F11+D11</f>
        <v>0</v>
      </c>
      <c r="K11" s="182"/>
      <c r="L11" s="182">
        <f t="shared" ref="L11:L39" si="1">J11+B11</f>
        <v>0</v>
      </c>
      <c r="M11" s="4"/>
      <c r="N11" s="89">
        <f>'KY_Res by Plant Acct-P29 (PA)'!R403</f>
        <v>0</v>
      </c>
      <c r="P11" s="89">
        <f>L11+N11</f>
        <v>0</v>
      </c>
    </row>
    <row r="12" spans="1:16">
      <c r="A12" t="s">
        <v>20</v>
      </c>
      <c r="B12" s="182">
        <f>'KY_Cost-Plant Acct-Comm-P8(PA)'!B12</f>
        <v>-127911.26</v>
      </c>
      <c r="C12" s="182"/>
      <c r="D12" s="182">
        <f>'KY_Cost-Plant Acct-Comm-P8(PA)'!D12</f>
        <v>0</v>
      </c>
      <c r="E12" s="182"/>
      <c r="F12" s="182">
        <f>'KY_Cost-Plant Acct-Comm-P8(PA)'!F12</f>
        <v>0</v>
      </c>
      <c r="G12" s="182"/>
      <c r="H12" s="182">
        <f>'KY_Cost-Plant Acct-Comm-P8(PA)'!H12</f>
        <v>0</v>
      </c>
      <c r="I12" s="182"/>
      <c r="J12" s="182">
        <f t="shared" si="0"/>
        <v>0</v>
      </c>
      <c r="K12" s="182"/>
      <c r="L12" s="182">
        <f t="shared" si="1"/>
        <v>-127911.26</v>
      </c>
      <c r="M12" s="4"/>
      <c r="N12" s="89">
        <f>'KY_Res by Plant Acct-P29 (PA)'!R404</f>
        <v>127911.26</v>
      </c>
      <c r="P12" s="89">
        <f t="shared" ref="P12:P39" si="2">L12+N12</f>
        <v>0</v>
      </c>
    </row>
    <row r="13" spans="1:16">
      <c r="A13" t="s">
        <v>266</v>
      </c>
      <c r="B13" s="182">
        <f>'KY_Cost-Plant Acct-Comm-P8(PA)'!B13+'KY_Cost-Plant Acct-Comm-P8(PA)'!B48</f>
        <v>-17029091.589999996</v>
      </c>
      <c r="C13" s="182"/>
      <c r="D13" s="182">
        <f>'KY_Cost-Plant Acct-Comm-P8(PA)'!D13+'KY_Cost-Plant Acct-Comm-P8(PA)'!D48</f>
        <v>0</v>
      </c>
      <c r="E13" s="182"/>
      <c r="F13" s="182">
        <f>'KY_Cost-Plant Acct-Comm-P8(PA)'!F13</f>
        <v>70384.41</v>
      </c>
      <c r="G13" s="182"/>
      <c r="H13" s="182">
        <f>'KY_Cost-Plant Acct-Comm-P8(PA)'!H13</f>
        <v>0</v>
      </c>
      <c r="I13" s="182"/>
      <c r="J13" s="182">
        <f t="shared" si="0"/>
        <v>70384.41</v>
      </c>
      <c r="K13" s="182"/>
      <c r="L13" s="182">
        <f t="shared" si="1"/>
        <v>-16958707.179999996</v>
      </c>
      <c r="M13" s="4"/>
      <c r="N13" s="89">
        <f>'KY_Res by Plant Acct-P29 (PA)'!R408+'KY_Res by Plant Acct-P29 (PA)'!R405+'KY_Res by Plant Acct-P29 (PA)'!R409+'KY_Res by Plant Acct-P29 (PA)'!R407+'KY_Res by Plant Acct-P29 (PA)'!R406</f>
        <v>16958707.179999996</v>
      </c>
      <c r="P13" s="89">
        <f t="shared" si="2"/>
        <v>0</v>
      </c>
    </row>
    <row r="14" spans="1:16">
      <c r="A14" t="s">
        <v>84</v>
      </c>
      <c r="B14" s="182">
        <f>'KY_Cost-Plant Acct-Comm-P8(PA)'!B14</f>
        <v>600967.29</v>
      </c>
      <c r="C14" s="182"/>
      <c r="D14" s="182">
        <f>'KY_Cost-Plant Acct-Comm-P8(PA)'!D14</f>
        <v>0</v>
      </c>
      <c r="E14" s="182"/>
      <c r="F14" s="182">
        <f>'KY_Cost-Plant Acct-Comm-P8(PA)'!F14</f>
        <v>0</v>
      </c>
      <c r="G14" s="182"/>
      <c r="H14" s="182">
        <f>'KY_Cost-Plant Acct-Comm-P8(PA)'!H14</f>
        <v>0</v>
      </c>
      <c r="I14" s="182"/>
      <c r="J14" s="182">
        <f t="shared" si="0"/>
        <v>0</v>
      </c>
      <c r="K14" s="182"/>
      <c r="L14" s="182">
        <f t="shared" si="1"/>
        <v>600967.29</v>
      </c>
      <c r="M14" s="4"/>
      <c r="N14" s="89">
        <f>'KY_Res by Plant Acct-P29 (PA)'!R410</f>
        <v>-600967.29</v>
      </c>
      <c r="P14" s="89">
        <f t="shared" si="2"/>
        <v>0</v>
      </c>
    </row>
    <row r="15" spans="1:16">
      <c r="A15" t="s">
        <v>85</v>
      </c>
      <c r="B15" s="182">
        <f>'KY_Cost-Plant Acct-Comm-P8(PA)'!B15</f>
        <v>-6942482.5999999996</v>
      </c>
      <c r="C15" s="182"/>
      <c r="D15" s="182">
        <f>'KY_Cost-Plant Acct-Comm-P8(PA)'!D15</f>
        <v>0</v>
      </c>
      <c r="E15" s="182"/>
      <c r="F15" s="182">
        <f>'KY_Cost-Plant Acct-Comm-P8(PA)'!F15</f>
        <v>76572.990000000005</v>
      </c>
      <c r="G15" s="182"/>
      <c r="H15" s="182">
        <f>'KY_Cost-Plant Acct-Comm-P8(PA)'!H15</f>
        <v>0</v>
      </c>
      <c r="I15" s="182"/>
      <c r="J15" s="182">
        <f t="shared" si="0"/>
        <v>76572.990000000005</v>
      </c>
      <c r="K15" s="182"/>
      <c r="L15" s="182">
        <f t="shared" si="1"/>
        <v>-6865909.6099999994</v>
      </c>
      <c r="M15" s="4"/>
      <c r="N15" s="89">
        <f>'KY_Res by Plant Acct-P29 (PA)'!R411</f>
        <v>6865909.6099999994</v>
      </c>
      <c r="P15" s="89">
        <f t="shared" si="2"/>
        <v>0</v>
      </c>
    </row>
    <row r="16" spans="1:16">
      <c r="A16" t="s">
        <v>86</v>
      </c>
      <c r="B16" s="182">
        <f>'KY_Cost-Plant Acct-Comm-P8(PA)'!B16</f>
        <v>-146026.66999999998</v>
      </c>
      <c r="C16" s="182"/>
      <c r="D16" s="182">
        <f>'KY_Cost-Plant Acct-Comm-P8(PA)'!D16</f>
        <v>0</v>
      </c>
      <c r="E16" s="182"/>
      <c r="F16" s="182">
        <f>'KY_Cost-Plant Acct-Comm-P8(PA)'!F16</f>
        <v>0</v>
      </c>
      <c r="G16" s="182"/>
      <c r="H16" s="182">
        <f>'KY_Cost-Plant Acct-Comm-P8(PA)'!H16</f>
        <v>0</v>
      </c>
      <c r="I16" s="182"/>
      <c r="J16" s="182">
        <f t="shared" si="0"/>
        <v>0</v>
      </c>
      <c r="K16" s="182"/>
      <c r="L16" s="182">
        <f t="shared" si="1"/>
        <v>-146026.66999999998</v>
      </c>
      <c r="M16" s="4"/>
      <c r="N16" s="89">
        <f>'KY_Res by Plant Acct-P29 (PA)'!R412</f>
        <v>146026.66999999998</v>
      </c>
      <c r="P16" s="89">
        <f t="shared" si="2"/>
        <v>0</v>
      </c>
    </row>
    <row r="17" spans="1:16">
      <c r="A17" t="s">
        <v>87</v>
      </c>
      <c r="B17" s="182">
        <f>'KY_Cost-Plant Acct-Comm-P8(PA)'!B17</f>
        <v>-199308.37</v>
      </c>
      <c r="C17" s="182"/>
      <c r="D17" s="182">
        <f>'KY_Cost-Plant Acct-Comm-P8(PA)'!D17</f>
        <v>0</v>
      </c>
      <c r="E17" s="182"/>
      <c r="F17" s="182">
        <f>'KY_Cost-Plant Acct-Comm-P8(PA)'!F17</f>
        <v>0</v>
      </c>
      <c r="G17" s="182"/>
      <c r="H17" s="182">
        <f>'KY_Cost-Plant Acct-Comm-P8(PA)'!H17</f>
        <v>0</v>
      </c>
      <c r="I17" s="182"/>
      <c r="J17" s="182">
        <f t="shared" si="0"/>
        <v>0</v>
      </c>
      <c r="K17" s="182"/>
      <c r="L17" s="182">
        <f t="shared" si="1"/>
        <v>-199308.37</v>
      </c>
      <c r="M17" s="4"/>
      <c r="N17" s="89">
        <f>'KY_Res by Plant Acct-P29 (PA)'!R413</f>
        <v>199308.37</v>
      </c>
      <c r="P17" s="89">
        <f t="shared" si="2"/>
        <v>0</v>
      </c>
    </row>
    <row r="18" spans="1:16">
      <c r="A18" t="s">
        <v>88</v>
      </c>
      <c r="B18" s="182">
        <f>'KY_Cost-Plant Acct-Comm-P8(PA)'!B18+'KY_Cost-Plant Acct-Comm-P8(PA)'!B49</f>
        <v>-1916398.4500000002</v>
      </c>
      <c r="C18" s="182"/>
      <c r="D18" s="182">
        <f>'KY_Cost-Plant Acct-Comm-P8(PA)'!D18+'KY_Cost-Plant Acct-Comm-P8(PA)'!D49</f>
        <v>0</v>
      </c>
      <c r="E18" s="182"/>
      <c r="F18" s="182">
        <f>'KY_Cost-Plant Acct-Comm-P8(PA)'!F18</f>
        <v>0</v>
      </c>
      <c r="G18" s="182"/>
      <c r="H18" s="182">
        <f>'KY_Cost-Plant Acct-Comm-P8(PA)'!H18</f>
        <v>0</v>
      </c>
      <c r="I18" s="182"/>
      <c r="J18" s="182">
        <f t="shared" si="0"/>
        <v>0</v>
      </c>
      <c r="K18" s="182"/>
      <c r="L18" s="182">
        <f t="shared" si="1"/>
        <v>-1916398.4500000002</v>
      </c>
      <c r="M18" s="4"/>
      <c r="N18" s="89">
        <f>'KY_Res by Plant Acct-P29 (PA)'!R414</f>
        <v>1916398.4500000002</v>
      </c>
      <c r="P18" s="89">
        <f t="shared" si="2"/>
        <v>0</v>
      </c>
    </row>
    <row r="19" spans="1:16">
      <c r="A19" t="s">
        <v>89</v>
      </c>
      <c r="B19" s="182">
        <f>'KY_Cost-Plant Acct-Comm-P8(PA)'!B19+'KY_Cost-Plant Acct-Comm-P8(PA)'!B50</f>
        <v>-863581.7100000002</v>
      </c>
      <c r="C19" s="182"/>
      <c r="D19" s="182">
        <f>'KY_Cost-Plant Acct-Comm-P8(PA)'!D19+'KY_Cost-Plant Acct-Comm-P8(PA)'!D50</f>
        <v>0</v>
      </c>
      <c r="E19" s="182"/>
      <c r="F19" s="182">
        <f>'KY_Cost-Plant Acct-Comm-P8(PA)'!F19</f>
        <v>0</v>
      </c>
      <c r="G19" s="182"/>
      <c r="H19" s="182">
        <f>'KY_Cost-Plant Acct-Comm-P8(PA)'!H19</f>
        <v>0</v>
      </c>
      <c r="I19" s="182"/>
      <c r="J19" s="182">
        <f t="shared" si="0"/>
        <v>0</v>
      </c>
      <c r="K19" s="182"/>
      <c r="L19" s="182">
        <f t="shared" si="1"/>
        <v>-863581.7100000002</v>
      </c>
      <c r="M19" s="4"/>
      <c r="N19" s="89">
        <f>'KY_Res by Plant Acct-P29 (PA)'!R415</f>
        <v>863581.7100000002</v>
      </c>
      <c r="P19" s="89">
        <f t="shared" si="2"/>
        <v>0</v>
      </c>
    </row>
    <row r="20" spans="1:16">
      <c r="A20" t="s">
        <v>90</v>
      </c>
      <c r="B20" s="182">
        <f>'KY_Cost-Plant Acct-Comm-P8(PA)'!B20+'KY_Cost-Plant Acct-Comm-P8(PA)'!B51</f>
        <v>-8175460.9799999986</v>
      </c>
      <c r="C20" s="182"/>
      <c r="D20" s="182">
        <f>'KY_Cost-Plant Acct-Comm-P8(PA)'!D20+'KY_Cost-Plant Acct-Comm-P8(PA)'!D51</f>
        <v>0</v>
      </c>
      <c r="E20" s="182"/>
      <c r="F20" s="182">
        <f>'KY_Cost-Plant Acct-Comm-P8(PA)'!F20</f>
        <v>0</v>
      </c>
      <c r="G20" s="182"/>
      <c r="H20" s="182">
        <f>'KY_Cost-Plant Acct-Comm-P8(PA)'!H20+'KY_Cost-Plant Acct-Comm-P8(PA)'!H51</f>
        <v>0</v>
      </c>
      <c r="I20" s="182"/>
      <c r="J20" s="182">
        <f t="shared" si="0"/>
        <v>0</v>
      </c>
      <c r="K20" s="182"/>
      <c r="L20" s="182">
        <f t="shared" si="1"/>
        <v>-8175460.9799999986</v>
      </c>
      <c r="M20" s="4"/>
      <c r="N20" s="89">
        <f>'KY_Res by Plant Acct-P29 (PA)'!R416</f>
        <v>8271990.9299999988</v>
      </c>
      <c r="P20" s="89">
        <f t="shared" si="2"/>
        <v>96529.950000000186</v>
      </c>
    </row>
    <row r="21" spans="1:16">
      <c r="A21" t="s">
        <v>91</v>
      </c>
      <c r="B21" s="182">
        <f>'KY_Cost-Plant Acct-Comm-P8(PA)'!B21+'KY_Cost-Plant Acct-Comm-P8(PA)'!B52</f>
        <v>-1352505.5799999998</v>
      </c>
      <c r="C21" s="182"/>
      <c r="D21" s="182">
        <f>'KY_Cost-Plant Acct-Comm-P8(PA)'!D21+'KY_Cost-Plant Acct-Comm-P8(PA)'!D52</f>
        <v>0</v>
      </c>
      <c r="E21" s="182"/>
      <c r="F21" s="182">
        <f>'KY_Cost-Plant Acct-Comm-P8(PA)'!F21</f>
        <v>0</v>
      </c>
      <c r="G21" s="182"/>
      <c r="H21" s="182">
        <f>'KY_Cost-Plant Acct-Comm-P8(PA)'!H21</f>
        <v>0</v>
      </c>
      <c r="I21" s="182"/>
      <c r="J21" s="182">
        <f t="shared" si="0"/>
        <v>0</v>
      </c>
      <c r="K21" s="182"/>
      <c r="L21" s="182">
        <f t="shared" si="1"/>
        <v>-1352505.5799999998</v>
      </c>
      <c r="M21" s="4"/>
      <c r="N21" s="89">
        <f>'KY_Res by Plant Acct-P29 (PA)'!R417</f>
        <v>1352505.5799999998</v>
      </c>
      <c r="P21" s="89">
        <f t="shared" si="2"/>
        <v>0</v>
      </c>
    </row>
    <row r="22" spans="1:16">
      <c r="A22" s="179" t="s">
        <v>1430</v>
      </c>
      <c r="B22" s="182">
        <f>'KY_Cost-Plant Acct-Comm-P8(PA)'!B22+'KY_Cost-Plant Acct-Comm-P8(PA)'!B53</f>
        <v>-85821.35</v>
      </c>
      <c r="C22" s="182"/>
      <c r="D22" s="182">
        <f>'KY_Cost-Plant Acct-Comm-P8(PA)'!D22+'KY_Cost-Plant Acct-Comm-P8(PA)'!D53</f>
        <v>0</v>
      </c>
      <c r="E22" s="182"/>
      <c r="F22" s="182">
        <f>'KY_Cost-Plant Acct-Comm-P8(PA)'!F22</f>
        <v>0</v>
      </c>
      <c r="G22" s="182"/>
      <c r="H22" s="182">
        <f>'KY_Cost-Plant Acct-Comm-P8(PA)'!H22</f>
        <v>0</v>
      </c>
      <c r="I22" s="182"/>
      <c r="J22" s="182">
        <f t="shared" ref="J22" si="3">H22+F22+D22</f>
        <v>0</v>
      </c>
      <c r="K22" s="182"/>
      <c r="L22" s="182">
        <f t="shared" ref="L22" si="4">J22+B22</f>
        <v>-85821.35</v>
      </c>
      <c r="M22" s="4"/>
      <c r="N22" s="89">
        <f>'KY_Res by Plant Acct-P29 (PA)'!R418</f>
        <v>86682.62</v>
      </c>
      <c r="P22" s="89">
        <f t="shared" ref="P22" si="5">L22+N22</f>
        <v>861.26999999998952</v>
      </c>
    </row>
    <row r="23" spans="1:16">
      <c r="A23" t="s">
        <v>92</v>
      </c>
      <c r="B23" s="182">
        <f>'KY_Cost-Plant Acct-Comm-P8(PA)'!B23+'KY_Cost-Plant Acct-Comm-P8(PA)'!B53</f>
        <v>-743414.12999999989</v>
      </c>
      <c r="C23" s="182"/>
      <c r="D23" s="182">
        <f>'KY_Cost-Plant Acct-Comm-P8(PA)'!D23+'KY_Cost-Plant Acct-Comm-P8(PA)'!D53</f>
        <v>0</v>
      </c>
      <c r="E23" s="182"/>
      <c r="F23" s="182">
        <f>'KY_Cost-Plant Acct-Comm-P8(PA)'!F23</f>
        <v>0</v>
      </c>
      <c r="G23" s="182"/>
      <c r="H23" s="182">
        <f>'KY_Cost-Plant Acct-Comm-P8(PA)'!H23</f>
        <v>0</v>
      </c>
      <c r="I23" s="182"/>
      <c r="J23" s="182">
        <f t="shared" si="0"/>
        <v>0</v>
      </c>
      <c r="K23" s="182"/>
      <c r="L23" s="182">
        <f t="shared" si="1"/>
        <v>-743414.12999999989</v>
      </c>
      <c r="M23" s="4"/>
      <c r="N23" s="89">
        <f>'KY_Res by Plant Acct-P29 (PA)'!R419</f>
        <v>743414.12999999989</v>
      </c>
      <c r="P23" s="89">
        <f t="shared" si="2"/>
        <v>0</v>
      </c>
    </row>
    <row r="24" spans="1:16">
      <c r="A24" t="s">
        <v>93</v>
      </c>
      <c r="B24" s="182">
        <f>'KY_Cost-Plant Acct-Comm-P8(PA)'!B24</f>
        <v>-99859.38</v>
      </c>
      <c r="C24" s="182"/>
      <c r="D24" s="182">
        <f>'KY_Cost-Plant Acct-Comm-P8(PA)'!D24</f>
        <v>0</v>
      </c>
      <c r="E24" s="182"/>
      <c r="F24" s="182">
        <f>'KY_Cost-Plant Acct-Comm-P8(PA)'!F24</f>
        <v>0</v>
      </c>
      <c r="G24" s="182"/>
      <c r="H24" s="182">
        <f>'KY_Cost-Plant Acct-Comm-P8(PA)'!H24</f>
        <v>0</v>
      </c>
      <c r="I24" s="182"/>
      <c r="J24" s="182">
        <f t="shared" si="0"/>
        <v>0</v>
      </c>
      <c r="K24" s="182"/>
      <c r="L24" s="182">
        <f t="shared" si="1"/>
        <v>-99859.38</v>
      </c>
      <c r="M24" s="4"/>
      <c r="N24" s="89">
        <f>'KY_Res by Plant Acct-P29 (PA)'!R420</f>
        <v>99859.38</v>
      </c>
      <c r="P24" s="89">
        <f t="shared" si="2"/>
        <v>0</v>
      </c>
    </row>
    <row r="25" spans="1:16">
      <c r="A25" t="s">
        <v>94</v>
      </c>
      <c r="B25" s="182">
        <f>'KY_Cost-Plant Acct-Comm-P8(PA)'!B25</f>
        <v>-28332.58</v>
      </c>
      <c r="C25" s="182"/>
      <c r="D25" s="182">
        <f>'KY_Cost-Plant Acct-Comm-P8(PA)'!D25+'KY_Cost-Plant Acct-Comm-P8(PA)'!D54</f>
        <v>0</v>
      </c>
      <c r="E25" s="182"/>
      <c r="F25" s="182">
        <f>'KY_Cost-Plant Acct-Comm-P8(PA)'!F25</f>
        <v>0</v>
      </c>
      <c r="G25" s="182"/>
      <c r="H25" s="182">
        <f>'KY_Cost-Plant Acct-Comm-P8(PA)'!H25</f>
        <v>0</v>
      </c>
      <c r="I25" s="182"/>
      <c r="J25" s="182">
        <f t="shared" si="0"/>
        <v>0</v>
      </c>
      <c r="K25" s="182"/>
      <c r="L25" s="182">
        <f t="shared" si="1"/>
        <v>-28332.58</v>
      </c>
      <c r="M25" s="4"/>
      <c r="N25" s="89">
        <f>'KY_Res by Plant Acct-P29 (PA)'!R421</f>
        <v>28332.58</v>
      </c>
      <c r="P25" s="89">
        <f t="shared" si="2"/>
        <v>0</v>
      </c>
    </row>
    <row r="26" spans="1:16">
      <c r="A26" t="s">
        <v>95</v>
      </c>
      <c r="B26" s="182">
        <f>'KY_Cost-Plant Acct-Comm-P8(PA)'!B26</f>
        <v>-466972.45999999996</v>
      </c>
      <c r="C26" s="182"/>
      <c r="D26" s="182">
        <f>'KY_Cost-Plant Acct-Comm-P8(PA)'!D26+'KY_Cost-Plant Acct-Comm-P8(PA)'!D55</f>
        <v>0</v>
      </c>
      <c r="E26" s="182"/>
      <c r="F26" s="182">
        <f>'KY_Cost-Plant Acct-Comm-P8(PA)'!F26</f>
        <v>0</v>
      </c>
      <c r="G26" s="182"/>
      <c r="H26" s="182">
        <f>'KY_Cost-Plant Acct-Comm-P8(PA)'!H26</f>
        <v>0</v>
      </c>
      <c r="I26" s="182"/>
      <c r="J26" s="182">
        <f t="shared" si="0"/>
        <v>0</v>
      </c>
      <c r="K26" s="182"/>
      <c r="L26" s="182">
        <f t="shared" si="1"/>
        <v>-466972.45999999996</v>
      </c>
      <c r="M26" s="4"/>
      <c r="N26" s="89">
        <f>'KY_Res by Plant Acct-P29 (PA)'!R422</f>
        <v>466972.45999999996</v>
      </c>
      <c r="P26" s="89">
        <f t="shared" si="2"/>
        <v>0</v>
      </c>
    </row>
    <row r="27" spans="1:16">
      <c r="A27" t="s">
        <v>96</v>
      </c>
      <c r="B27" s="182">
        <f>'KY_Cost-Plant Acct-Comm-P8(PA)'!B27+'KY_Cost-Plant Acct-Comm-P8(PA)'!B56</f>
        <v>-921632.03</v>
      </c>
      <c r="C27" s="182"/>
      <c r="D27" s="182">
        <f>'KY_Cost-Plant Acct-Comm-P8(PA)'!D27+'KY_Cost-Plant Acct-Comm-P8(PA)'!D56</f>
        <v>0</v>
      </c>
      <c r="E27" s="182"/>
      <c r="F27" s="182">
        <f>'KY_Cost-Plant Acct-Comm-P8(PA)'!F27</f>
        <v>0</v>
      </c>
      <c r="G27" s="182"/>
      <c r="H27" s="182">
        <f>'KY_Cost-Plant Acct-Comm-P8(PA)'!H27</f>
        <v>-174.36</v>
      </c>
      <c r="I27" s="182"/>
      <c r="J27" s="182">
        <f t="shared" si="0"/>
        <v>-174.36</v>
      </c>
      <c r="K27" s="182"/>
      <c r="L27" s="182">
        <f t="shared" si="1"/>
        <v>-921806.39</v>
      </c>
      <c r="M27" s="4"/>
      <c r="N27" s="89">
        <f>'KY_Res by Plant Acct-P29 (PA)'!R423</f>
        <v>921806.39</v>
      </c>
      <c r="P27" s="89">
        <f t="shared" si="2"/>
        <v>0</v>
      </c>
    </row>
    <row r="28" spans="1:16">
      <c r="A28" t="s">
        <v>97</v>
      </c>
      <c r="B28" s="182">
        <f>'KY_Cost-Plant Acct-Comm-P8(PA)'!B28</f>
        <v>-231.25</v>
      </c>
      <c r="C28" s="182"/>
      <c r="D28" s="182">
        <f>'KY_Cost-Plant Acct-Comm-P8(PA)'!D28</f>
        <v>0</v>
      </c>
      <c r="E28" s="182"/>
      <c r="F28" s="182">
        <f>'KY_Cost-Plant Acct-Comm-P8(PA)'!F28</f>
        <v>0</v>
      </c>
      <c r="G28" s="182"/>
      <c r="H28" s="182">
        <f>'KY_Cost-Plant Acct-Comm-P8(PA)'!H28</f>
        <v>0</v>
      </c>
      <c r="I28" s="182"/>
      <c r="J28" s="182">
        <f t="shared" si="0"/>
        <v>0</v>
      </c>
      <c r="K28" s="182"/>
      <c r="L28" s="182">
        <f t="shared" si="1"/>
        <v>-231.25</v>
      </c>
      <c r="M28" s="4"/>
      <c r="N28" s="89">
        <f>'KY_Res by Plant Acct-P29 (PA)'!R424</f>
        <v>231.25</v>
      </c>
      <c r="P28" s="89">
        <f t="shared" si="2"/>
        <v>0</v>
      </c>
    </row>
    <row r="29" spans="1:16">
      <c r="A29" t="s">
        <v>98</v>
      </c>
      <c r="B29" s="182">
        <f>'KY_Cost-Plant Acct-Comm-P8(PA)'!B29</f>
        <v>-202390.13</v>
      </c>
      <c r="C29" s="182"/>
      <c r="D29" s="182">
        <f>'KY_Cost-Plant Acct-Comm-P8(PA)'!D29</f>
        <v>0</v>
      </c>
      <c r="E29" s="182"/>
      <c r="F29" s="182">
        <f>'KY_Cost-Plant Acct-Comm-P8(PA)'!F29</f>
        <v>0</v>
      </c>
      <c r="G29" s="182"/>
      <c r="H29" s="182">
        <f>'KY_Cost-Plant Acct-Comm-P8(PA)'!H29</f>
        <v>0</v>
      </c>
      <c r="I29" s="182"/>
      <c r="J29" s="182">
        <f t="shared" si="0"/>
        <v>0</v>
      </c>
      <c r="K29" s="182"/>
      <c r="L29" s="182">
        <f t="shared" si="1"/>
        <v>-202390.13</v>
      </c>
      <c r="M29" s="4"/>
      <c r="N29" s="89">
        <f>'KY_Res by Plant Acct-P29 (PA)'!R425</f>
        <v>202390.13</v>
      </c>
      <c r="P29" s="89">
        <f t="shared" si="2"/>
        <v>0</v>
      </c>
    </row>
    <row r="30" spans="1:16">
      <c r="A30" t="s">
        <v>99</v>
      </c>
      <c r="B30" s="182">
        <f>'KY_Cost-Plant Acct-Comm-P8(PA)'!B30</f>
        <v>-9369.6299999999992</v>
      </c>
      <c r="C30" s="182"/>
      <c r="D30" s="182">
        <f>'KY_Cost-Plant Acct-Comm-P8(PA)'!D30</f>
        <v>0</v>
      </c>
      <c r="E30" s="182"/>
      <c r="F30" s="182">
        <f>'KY_Cost-Plant Acct-Comm-P8(PA)'!F30</f>
        <v>0</v>
      </c>
      <c r="G30" s="182"/>
      <c r="H30" s="182">
        <f>'KY_Cost-Plant Acct-Comm-P8(PA)'!H30</f>
        <v>0</v>
      </c>
      <c r="I30" s="182"/>
      <c r="J30" s="182">
        <f t="shared" si="0"/>
        <v>0</v>
      </c>
      <c r="K30" s="182"/>
      <c r="L30" s="182">
        <f t="shared" si="1"/>
        <v>-9369.6299999999992</v>
      </c>
      <c r="M30" s="4"/>
      <c r="N30" s="89">
        <f>'KY_Res by Plant Acct-P29 (PA)'!R426</f>
        <v>9369.6299999999992</v>
      </c>
      <c r="P30" s="89">
        <f t="shared" si="2"/>
        <v>0</v>
      </c>
    </row>
    <row r="31" spans="1:16">
      <c r="A31" t="s">
        <v>4</v>
      </c>
      <c r="B31" s="182">
        <f>'KY_Cost-Plant Acct-Comm-P8(PA)'!B31+'KY_Cost-Plant Acct-Comm-P8(PA)'!B57</f>
        <v>-18139390.369999997</v>
      </c>
      <c r="C31" s="182"/>
      <c r="D31" s="182">
        <f>'KY_Cost-Plant Acct-Comm-P8(PA)'!D31+'KY_Cost-Plant Acct-Comm-P8(PA)'!D57</f>
        <v>0</v>
      </c>
      <c r="E31" s="182"/>
      <c r="F31" s="182">
        <f>'KY_Cost-Plant Acct-Comm-P8(PA)'!F31</f>
        <v>208.14</v>
      </c>
      <c r="G31" s="182"/>
      <c r="H31" s="182">
        <f>'KY_Cost-Plant Acct-Comm-P8(PA)'!H31+'KY_Cost-Plant Acct-Comm-P8(PA)'!H57</f>
        <v>0</v>
      </c>
      <c r="I31" s="182"/>
      <c r="J31" s="182">
        <f t="shared" si="0"/>
        <v>208.14</v>
      </c>
      <c r="K31" s="182"/>
      <c r="L31" s="182">
        <f t="shared" si="1"/>
        <v>-18139182.229999997</v>
      </c>
      <c r="M31" s="4"/>
      <c r="N31" s="89">
        <f>'KY_Res by Plant Acct-P29 (PA)'!R427</f>
        <v>18140130.239999998</v>
      </c>
      <c r="P31" s="89">
        <f t="shared" si="2"/>
        <v>948.01000000163913</v>
      </c>
    </row>
    <row r="32" spans="1:16">
      <c r="A32" t="s">
        <v>100</v>
      </c>
      <c r="B32" s="182">
        <f>'KY_Cost-Plant Acct-Comm-P8(PA)'!B32+'KY_Cost-Plant Acct-Comm-P8(PA)'!B58</f>
        <v>-5741950.46</v>
      </c>
      <c r="C32" s="182"/>
      <c r="D32" s="182">
        <f>'KY_Cost-Plant Acct-Comm-P8(PA)'!D32+'KY_Cost-Plant Acct-Comm-P8(PA)'!D58</f>
        <v>0</v>
      </c>
      <c r="E32" s="182"/>
      <c r="F32" s="182">
        <f>'KY_Cost-Plant Acct-Comm-P8(PA)'!F32</f>
        <v>0</v>
      </c>
      <c r="G32" s="182"/>
      <c r="H32" s="182">
        <f>'KY_Cost-Plant Acct-Comm-P8(PA)'!H32</f>
        <v>0</v>
      </c>
      <c r="I32" s="182"/>
      <c r="J32" s="182">
        <f t="shared" si="0"/>
        <v>0</v>
      </c>
      <c r="K32" s="182"/>
      <c r="L32" s="182">
        <f t="shared" si="1"/>
        <v>-5741950.46</v>
      </c>
      <c r="M32" s="4"/>
      <c r="N32" s="89">
        <f>'KY_Res by Plant Acct-P29 (PA)'!R428</f>
        <v>5741950.46</v>
      </c>
      <c r="P32" s="89">
        <f t="shared" si="2"/>
        <v>0</v>
      </c>
    </row>
    <row r="33" spans="1:16">
      <c r="A33" t="s">
        <v>101</v>
      </c>
      <c r="B33" s="182">
        <f>'KY_Cost-Plant Acct-Comm-P8(PA)'!B33</f>
        <v>-174.36000000010245</v>
      </c>
      <c r="C33" s="182"/>
      <c r="D33" s="182">
        <f>'KY_Cost-Plant Acct-Comm-P8(PA)'!D33+'KY_Cost-Plant Acct-Comm-P8(PA)'!D59</f>
        <v>0</v>
      </c>
      <c r="E33" s="182"/>
      <c r="F33" s="182">
        <f>'KY_Cost-Plant Acct-Comm-P8(PA)'!F33</f>
        <v>0</v>
      </c>
      <c r="G33" s="182"/>
      <c r="H33" s="182">
        <f>'KY_Cost-Plant Acct-Comm-P8(PA)'!H33</f>
        <v>174.36</v>
      </c>
      <c r="I33" s="182"/>
      <c r="J33" s="182">
        <f t="shared" si="0"/>
        <v>174.36</v>
      </c>
      <c r="K33" s="182"/>
      <c r="L33" s="182">
        <f t="shared" si="1"/>
        <v>-1.0243184078717604E-10</v>
      </c>
      <c r="M33" s="4"/>
      <c r="N33" s="89">
        <f>'KY_Res by Plant Acct-P29 (PA)'!R429</f>
        <v>1.0243184078717604E-10</v>
      </c>
      <c r="P33" s="89">
        <f t="shared" si="2"/>
        <v>0</v>
      </c>
    </row>
    <row r="34" spans="1:16">
      <c r="A34" t="s">
        <v>102</v>
      </c>
      <c r="B34" s="182">
        <f>'KY_Cost-Plant Acct-Comm-P8(PA)'!B34</f>
        <v>0</v>
      </c>
      <c r="C34" s="182"/>
      <c r="D34" s="182">
        <f>'KY_Cost-Plant Acct-Comm-P8(PA)'!D34</f>
        <v>0</v>
      </c>
      <c r="E34" s="182"/>
      <c r="F34" s="182">
        <f>'KY_Cost-Plant Acct-Comm-P8(PA)'!F34</f>
        <v>0</v>
      </c>
      <c r="G34" s="182"/>
      <c r="H34" s="182">
        <f>'KY_Cost-Plant Acct-Comm-P8(PA)'!H34</f>
        <v>0</v>
      </c>
      <c r="I34" s="182"/>
      <c r="J34" s="182">
        <f t="shared" si="0"/>
        <v>0</v>
      </c>
      <c r="K34" s="182"/>
      <c r="L34" s="182">
        <f t="shared" si="1"/>
        <v>0</v>
      </c>
      <c r="M34" s="4"/>
      <c r="N34" s="89">
        <f>'KY_Res by Plant Acct-P29 (PA)'!R430</f>
        <v>0</v>
      </c>
      <c r="P34" s="89">
        <f t="shared" si="2"/>
        <v>0</v>
      </c>
    </row>
    <row r="35" spans="1:16">
      <c r="A35" t="s">
        <v>103</v>
      </c>
      <c r="B35" s="182">
        <f>'KY_Cost-Plant Acct-Comm-P8(PA)'!B35</f>
        <v>0</v>
      </c>
      <c r="C35" s="182"/>
      <c r="D35" s="182">
        <f>'KY_Cost-Plant Acct-Comm-P8(PA)'!D35</f>
        <v>0</v>
      </c>
      <c r="E35" s="182"/>
      <c r="F35" s="182">
        <f>'KY_Cost-Plant Acct-Comm-P8(PA)'!F35</f>
        <v>0</v>
      </c>
      <c r="G35" s="182"/>
      <c r="H35" s="182">
        <f>'KY_Cost-Plant Acct-Comm-P8(PA)'!H35</f>
        <v>0</v>
      </c>
      <c r="I35" s="182"/>
      <c r="J35" s="182">
        <f t="shared" si="0"/>
        <v>0</v>
      </c>
      <c r="K35" s="182"/>
      <c r="L35" s="182">
        <f t="shared" si="1"/>
        <v>0</v>
      </c>
      <c r="M35" s="4"/>
      <c r="N35" s="89">
        <f>'KY_Res by Plant Acct-P29 (PA)'!R445</f>
        <v>0</v>
      </c>
      <c r="P35" s="89">
        <f t="shared" si="2"/>
        <v>0</v>
      </c>
    </row>
    <row r="36" spans="1:16">
      <c r="A36" t="s">
        <v>267</v>
      </c>
      <c r="B36" s="182">
        <f>'KY_Cost-Plant Acct-Comm-P8(PA)'!B36</f>
        <v>0</v>
      </c>
      <c r="C36" s="182"/>
      <c r="D36" s="182">
        <f>'KY_Cost-Plant Acct-Comm-P8(PA)'!D36</f>
        <v>0</v>
      </c>
      <c r="E36" s="182"/>
      <c r="F36" s="182">
        <f>'KY_Cost-Plant Acct-Comm-P8(PA)'!F36</f>
        <v>0</v>
      </c>
      <c r="G36" s="182"/>
      <c r="H36" s="182">
        <f>'KY_Cost-Plant Acct-Comm-P8(PA)'!H36</f>
        <v>0</v>
      </c>
      <c r="I36" s="182"/>
      <c r="J36" s="182">
        <f t="shared" si="0"/>
        <v>0</v>
      </c>
      <c r="K36" s="182"/>
      <c r="L36" s="182">
        <f t="shared" si="1"/>
        <v>0</v>
      </c>
      <c r="M36" s="4"/>
      <c r="N36" s="89">
        <f>'KY_Res by Plant Acct-P29 (PA)'!R446</f>
        <v>0</v>
      </c>
      <c r="P36" s="89">
        <f t="shared" si="2"/>
        <v>0</v>
      </c>
    </row>
    <row r="37" spans="1:16">
      <c r="A37" t="s">
        <v>268</v>
      </c>
      <c r="B37" s="182">
        <f>'KY_Cost-Plant Acct-Comm-P8(PA)'!B37+'KY_Cost-Plant Acct-Comm-P8(PA)'!B60</f>
        <v>-5067676.8100000005</v>
      </c>
      <c r="C37" s="182"/>
      <c r="D37" s="182">
        <f>'KY_Cost-Plant Acct-Comm-P8(PA)'!D37+'KY_Cost-Plant Acct-Comm-P8(PA)'!D60</f>
        <v>0</v>
      </c>
      <c r="E37" s="182"/>
      <c r="F37" s="182">
        <f>'KY_Cost-Plant Acct-Comm-P8(PA)'!F37</f>
        <v>793063.15</v>
      </c>
      <c r="G37" s="182"/>
      <c r="H37" s="182">
        <f>'KY_Cost-Plant Acct-Comm-P8(PA)'!H37+'KY_Cost-Plant Acct-Comm-P8(PA)'!H60</f>
        <v>0</v>
      </c>
      <c r="I37" s="182"/>
      <c r="J37" s="182">
        <f t="shared" si="0"/>
        <v>793063.15</v>
      </c>
      <c r="K37" s="182"/>
      <c r="L37" s="182">
        <f t="shared" si="1"/>
        <v>-4274613.66</v>
      </c>
      <c r="M37" s="4"/>
      <c r="N37" s="89">
        <f>'KY_Res by Plant Acct-P29 (PA)'!R447</f>
        <v>4177222.4400000009</v>
      </c>
      <c r="P37" s="89">
        <f t="shared" si="2"/>
        <v>-97391.219999999274</v>
      </c>
    </row>
    <row r="38" spans="1:16">
      <c r="A38" t="s">
        <v>1023</v>
      </c>
      <c r="B38" s="182">
        <f>'KY_Cost-Plant Acct-Comm-P8(PA)'!B38+'KY_Cost-Plant Acct-Comm-P8(PA)'!B61</f>
        <v>-6298007.6399999997</v>
      </c>
      <c r="C38" s="182"/>
      <c r="D38" s="182">
        <f>'KY_Cost-Plant Acct-Comm-P8(PA)'!D38+'KY_Cost-Plant Acct-Comm-P8(PA)'!D61</f>
        <v>0</v>
      </c>
      <c r="E38" s="182"/>
      <c r="F38" s="182">
        <f>'KY_Cost-Plant Acct-Comm-P8(PA)'!F38</f>
        <v>0</v>
      </c>
      <c r="G38" s="182"/>
      <c r="H38" s="182">
        <f>'KY_Cost-Plant Acct-Comm-P8(PA)'!H38+'KY_Cost-Plant Acct-Comm-P8(PA)'!H61</f>
        <v>0</v>
      </c>
      <c r="I38" s="182"/>
      <c r="J38" s="182">
        <f t="shared" si="0"/>
        <v>0</v>
      </c>
      <c r="K38" s="182"/>
      <c r="L38" s="182">
        <f t="shared" si="1"/>
        <v>-6298007.6399999997</v>
      </c>
      <c r="M38" s="4"/>
      <c r="N38" s="89">
        <f>'KY_Res by Plant Acct-P29 (PA)'!R448</f>
        <v>6298007.6399999997</v>
      </c>
      <c r="P38" s="89">
        <f t="shared" si="2"/>
        <v>0</v>
      </c>
    </row>
    <row r="39" spans="1:16">
      <c r="A39" t="s">
        <v>269</v>
      </c>
      <c r="B39" s="48">
        <f>'KY_Cost-Plant Acct-Comm-P8(PA)'!B39</f>
        <v>0</v>
      </c>
      <c r="C39" s="52"/>
      <c r="D39" s="48">
        <f>'KY_Cost-Plant Acct-Comm-P8(PA)'!D39</f>
        <v>0</v>
      </c>
      <c r="E39" s="52"/>
      <c r="F39" s="48">
        <f>'KY_Cost-Plant Acct-Comm-P8(PA)'!F39</f>
        <v>0</v>
      </c>
      <c r="G39" s="52"/>
      <c r="H39" s="48">
        <f>'KY_Cost-Plant Acct-Comm-P8(PA)'!H39</f>
        <v>0</v>
      </c>
      <c r="I39" s="52"/>
      <c r="J39" s="48">
        <f t="shared" si="0"/>
        <v>0</v>
      </c>
      <c r="K39" s="52"/>
      <c r="L39" s="48">
        <f t="shared" si="1"/>
        <v>0</v>
      </c>
      <c r="M39" s="55"/>
      <c r="N39" s="90">
        <f>'KY_Res by Plant Acct-P29 (PA)'!R449</f>
        <v>0</v>
      </c>
      <c r="P39" s="90">
        <f t="shared" si="2"/>
        <v>0</v>
      </c>
    </row>
    <row r="40" spans="1:16">
      <c r="B40" s="52">
        <f>SUM(B11:B39)</f>
        <v>-73957022.5</v>
      </c>
      <c r="C40" s="52"/>
      <c r="D40" s="52">
        <f>SUM(D11:D39)</f>
        <v>0</v>
      </c>
      <c r="E40" s="52"/>
      <c r="F40" s="52">
        <f>SUM(F11:F39)</f>
        <v>940228.69000000006</v>
      </c>
      <c r="G40" s="52"/>
      <c r="H40" s="52">
        <f>SUM(H11:H39)</f>
        <v>0</v>
      </c>
      <c r="I40" s="52"/>
      <c r="J40" s="52">
        <f>SUM(J11:J39)</f>
        <v>940228.69000000006</v>
      </c>
      <c r="K40" s="52"/>
      <c r="L40" s="52">
        <f>SUM(L11:L39)</f>
        <v>-73016793.810000002</v>
      </c>
      <c r="M40" s="55"/>
      <c r="N40" s="52">
        <f>SUM(N11:N39)</f>
        <v>73017741.819999993</v>
      </c>
      <c r="P40" s="52">
        <f>SUM(P11:P39)</f>
        <v>948.01000000254135</v>
      </c>
    </row>
    <row r="41" spans="1:16">
      <c r="B41" s="52"/>
      <c r="C41" s="52"/>
      <c r="D41" s="52"/>
      <c r="E41" s="52"/>
      <c r="F41" s="52"/>
      <c r="G41" s="52"/>
      <c r="H41" s="52"/>
      <c r="I41" s="52"/>
      <c r="J41" s="52"/>
      <c r="K41" s="52"/>
      <c r="L41" s="52"/>
      <c r="M41" s="55"/>
    </row>
    <row r="42" spans="1:16">
      <c r="B42" s="52"/>
      <c r="C42" s="52"/>
      <c r="D42" s="52"/>
      <c r="E42" s="52"/>
      <c r="F42" s="52"/>
      <c r="G42" s="52"/>
      <c r="H42" s="52"/>
      <c r="I42" s="52"/>
      <c r="J42" s="52"/>
      <c r="K42" s="52"/>
      <c r="L42" s="52"/>
      <c r="M42" s="55"/>
    </row>
    <row r="43" spans="1:16" ht="13.5" thickBot="1">
      <c r="A43" s="3" t="s">
        <v>685</v>
      </c>
      <c r="B43" s="46">
        <f>B40</f>
        <v>-73957022.5</v>
      </c>
      <c r="C43" s="55"/>
      <c r="D43" s="46">
        <f>D40</f>
        <v>0</v>
      </c>
      <c r="E43" s="55"/>
      <c r="F43" s="46">
        <f>F40</f>
        <v>940228.69000000006</v>
      </c>
      <c r="G43" s="55"/>
      <c r="H43" s="46">
        <f>H40</f>
        <v>0</v>
      </c>
      <c r="I43" s="55"/>
      <c r="J43" s="46">
        <f>J40</f>
        <v>940228.69000000006</v>
      </c>
      <c r="K43" s="55"/>
      <c r="L43" s="46">
        <f>L40</f>
        <v>-73016793.810000002</v>
      </c>
      <c r="M43" s="55"/>
      <c r="N43" s="46">
        <f>N40</f>
        <v>73017741.819999993</v>
      </c>
      <c r="P43" s="46">
        <f>P40</f>
        <v>948.01000000254135</v>
      </c>
    </row>
    <row r="44" spans="1:16" ht="13.5" thickTop="1">
      <c r="B44" s="52"/>
      <c r="C44" s="52"/>
      <c r="D44" s="52"/>
      <c r="E44" s="52"/>
      <c r="F44" s="52"/>
      <c r="G44" s="52"/>
      <c r="H44" s="52"/>
      <c r="I44" s="52"/>
      <c r="J44" s="52"/>
      <c r="K44" s="52"/>
      <c r="L44" s="52"/>
      <c r="M44" s="55"/>
    </row>
    <row r="45" spans="1:16">
      <c r="B45" s="52"/>
      <c r="C45" s="52"/>
      <c r="D45" s="52"/>
      <c r="E45" s="52"/>
      <c r="F45" s="52"/>
      <c r="G45" s="52"/>
      <c r="H45" s="52"/>
      <c r="I45" s="52"/>
      <c r="J45" s="52"/>
      <c r="K45" s="52"/>
      <c r="L45" s="52"/>
      <c r="M45" s="55"/>
    </row>
    <row r="46" spans="1:16">
      <c r="B46" s="182"/>
      <c r="C46" s="182"/>
      <c r="D46" s="182"/>
      <c r="E46" s="182"/>
      <c r="F46" s="182"/>
      <c r="G46" s="182"/>
      <c r="H46" s="182"/>
      <c r="I46" s="182"/>
      <c r="J46" s="182"/>
      <c r="K46" s="182"/>
      <c r="L46" s="182"/>
      <c r="M46" s="4"/>
    </row>
    <row r="47" spans="1:16">
      <c r="B47" s="4"/>
      <c r="C47" s="4"/>
      <c r="D47" s="4"/>
      <c r="E47" s="4"/>
      <c r="F47" s="4"/>
      <c r="G47" s="4"/>
      <c r="H47" s="4"/>
      <c r="I47" s="4"/>
      <c r="J47" s="4"/>
      <c r="K47" s="4"/>
      <c r="L47" s="4"/>
      <c r="M47" s="4"/>
    </row>
    <row r="48" spans="1:16">
      <c r="B48" s="4"/>
      <c r="C48" s="4"/>
      <c r="D48" s="4"/>
      <c r="E48" s="4"/>
      <c r="F48" s="4"/>
      <c r="G48" s="4"/>
      <c r="H48" s="4"/>
      <c r="I48" s="4"/>
      <c r="J48" s="4"/>
      <c r="K48" s="4"/>
      <c r="L48" s="4"/>
      <c r="M48" s="4"/>
    </row>
    <row r="49" spans="2:13">
      <c r="B49" s="4"/>
      <c r="C49" s="4"/>
      <c r="D49" s="4"/>
      <c r="E49" s="4"/>
      <c r="F49" s="4"/>
      <c r="G49" s="4"/>
      <c r="H49" s="4"/>
      <c r="I49" s="4"/>
      <c r="J49" s="4"/>
      <c r="K49" s="4"/>
      <c r="L49" s="4"/>
      <c r="M49" s="4"/>
    </row>
    <row r="50" spans="2:13">
      <c r="B50" s="4"/>
      <c r="C50" s="4"/>
      <c r="D50" s="4"/>
      <c r="E50" s="4"/>
      <c r="F50" s="4"/>
      <c r="G50" s="4"/>
      <c r="H50" s="4"/>
      <c r="I50" s="4"/>
      <c r="J50" s="4"/>
      <c r="K50" s="4"/>
      <c r="L50" s="4"/>
      <c r="M50" s="4"/>
    </row>
    <row r="51" spans="2:13">
      <c r="B51" s="4"/>
      <c r="C51" s="4"/>
      <c r="D51" s="4"/>
      <c r="E51" s="4"/>
      <c r="F51" s="4"/>
      <c r="G51" s="4"/>
      <c r="H51" s="4"/>
      <c r="I51" s="4"/>
      <c r="J51" s="4"/>
      <c r="K51" s="4"/>
      <c r="L51" s="4"/>
      <c r="M51" s="4"/>
    </row>
    <row r="52" spans="2:13">
      <c r="B52" s="4"/>
      <c r="C52" s="4"/>
      <c r="D52" s="4"/>
      <c r="E52" s="4"/>
      <c r="F52" s="4"/>
      <c r="G52" s="4"/>
      <c r="H52" s="4"/>
      <c r="I52" s="4"/>
      <c r="J52" s="4"/>
      <c r="K52" s="4"/>
      <c r="L52" s="4"/>
      <c r="M52" s="4"/>
    </row>
    <row r="53" spans="2:13">
      <c r="B53" s="4"/>
      <c r="C53" s="4"/>
      <c r="D53" s="4"/>
      <c r="E53" s="4"/>
      <c r="F53" s="4"/>
      <c r="G53" s="4"/>
      <c r="H53" s="4"/>
      <c r="I53" s="4"/>
      <c r="J53" s="4"/>
      <c r="K53" s="4"/>
      <c r="L53" s="4"/>
      <c r="M53" s="4"/>
    </row>
    <row r="54" spans="2:13">
      <c r="B54" s="4"/>
      <c r="C54" s="4"/>
      <c r="D54" s="4"/>
      <c r="E54" s="4"/>
      <c r="F54" s="4"/>
      <c r="G54" s="4"/>
      <c r="H54" s="4"/>
      <c r="I54" s="4"/>
      <c r="J54" s="4"/>
      <c r="K54" s="4"/>
      <c r="L54" s="4"/>
      <c r="M54" s="4"/>
    </row>
    <row r="55" spans="2:13">
      <c r="B55" s="4"/>
      <c r="C55" s="4"/>
      <c r="D55" s="4"/>
      <c r="E55" s="4"/>
      <c r="F55" s="4"/>
      <c r="G55" s="4"/>
      <c r="H55" s="4"/>
      <c r="I55" s="4"/>
      <c r="J55" s="4"/>
      <c r="K55" s="4"/>
      <c r="L55" s="4"/>
      <c r="M55" s="4"/>
    </row>
    <row r="56" spans="2:13">
      <c r="B56" s="4"/>
      <c r="C56" s="4"/>
      <c r="D56" s="4"/>
      <c r="E56" s="4"/>
      <c r="F56" s="4"/>
      <c r="G56" s="4"/>
      <c r="H56" s="4"/>
      <c r="I56" s="4"/>
      <c r="J56" s="4"/>
      <c r="K56" s="4"/>
      <c r="L56" s="4"/>
      <c r="M56" s="4"/>
    </row>
    <row r="57" spans="2:13">
      <c r="B57" s="4"/>
      <c r="C57" s="4"/>
      <c r="D57" s="4"/>
      <c r="E57" s="4"/>
      <c r="F57" s="4"/>
      <c r="G57" s="4"/>
      <c r="H57" s="4"/>
      <c r="I57" s="4"/>
      <c r="J57" s="4"/>
      <c r="K57" s="4"/>
      <c r="L57" s="4"/>
      <c r="M57" s="4"/>
    </row>
    <row r="58" spans="2:13">
      <c r="B58" s="4"/>
      <c r="C58" s="4"/>
      <c r="D58" s="4"/>
      <c r="E58" s="4"/>
      <c r="F58" s="4"/>
      <c r="G58" s="4"/>
      <c r="H58" s="4"/>
      <c r="I58" s="4"/>
      <c r="J58" s="4"/>
      <c r="K58" s="4"/>
      <c r="L58" s="4"/>
      <c r="M58" s="4"/>
    </row>
    <row r="59" spans="2:13">
      <c r="B59" s="4"/>
      <c r="C59" s="4"/>
      <c r="D59" s="4"/>
      <c r="E59" s="4"/>
      <c r="F59" s="4"/>
      <c r="G59" s="4"/>
      <c r="H59" s="4"/>
      <c r="I59" s="4"/>
      <c r="J59" s="4"/>
      <c r="K59" s="4"/>
      <c r="L59" s="4"/>
      <c r="M59" s="4"/>
    </row>
    <row r="60" spans="2:13">
      <c r="B60" s="4"/>
      <c r="C60" s="4"/>
      <c r="D60" s="4"/>
      <c r="E60" s="4"/>
      <c r="F60" s="4"/>
      <c r="G60" s="4"/>
      <c r="H60" s="4"/>
      <c r="I60" s="4"/>
      <c r="J60" s="4"/>
      <c r="K60" s="4"/>
      <c r="L60" s="4"/>
      <c r="M60" s="4"/>
    </row>
    <row r="61" spans="2:13">
      <c r="B61" s="4"/>
      <c r="C61" s="4"/>
      <c r="D61" s="4"/>
      <c r="E61" s="4"/>
      <c r="F61" s="4"/>
      <c r="G61" s="4"/>
      <c r="H61" s="4"/>
      <c r="I61" s="4"/>
      <c r="J61" s="4"/>
      <c r="K61" s="4"/>
      <c r="L61" s="4"/>
      <c r="M61" s="4"/>
    </row>
    <row r="62" spans="2:13">
      <c r="B62" s="4"/>
      <c r="C62" s="4"/>
      <c r="D62" s="4"/>
      <c r="E62" s="4"/>
      <c r="F62" s="4"/>
      <c r="G62" s="4"/>
      <c r="H62" s="4"/>
      <c r="I62" s="4"/>
      <c r="J62" s="4"/>
      <c r="K62" s="4"/>
      <c r="L62" s="4"/>
      <c r="M62" s="4"/>
    </row>
    <row r="63" spans="2:13">
      <c r="B63" s="4"/>
      <c r="C63" s="4"/>
      <c r="D63" s="4"/>
      <c r="E63" s="4"/>
      <c r="F63" s="4"/>
      <c r="G63" s="4"/>
      <c r="H63" s="4"/>
      <c r="I63" s="4"/>
      <c r="J63" s="4"/>
      <c r="K63" s="4"/>
      <c r="L63" s="4"/>
      <c r="M63" s="4"/>
    </row>
    <row r="64" spans="2:13">
      <c r="B64" s="4"/>
      <c r="C64" s="4"/>
      <c r="D64" s="4"/>
      <c r="E64" s="4"/>
      <c r="F64" s="4"/>
      <c r="G64" s="4"/>
      <c r="H64" s="4"/>
      <c r="I64" s="4"/>
      <c r="J64" s="4"/>
      <c r="K64" s="4"/>
      <c r="L64" s="4"/>
      <c r="M64" s="4"/>
    </row>
    <row r="65" spans="2:13">
      <c r="B65" s="4"/>
      <c r="C65" s="4"/>
      <c r="D65" s="4"/>
      <c r="E65" s="4"/>
      <c r="F65" s="4"/>
      <c r="G65" s="4"/>
      <c r="H65" s="4"/>
      <c r="I65" s="4"/>
      <c r="J65" s="4"/>
      <c r="K65" s="4"/>
      <c r="L65" s="4"/>
      <c r="M65" s="4"/>
    </row>
    <row r="66" spans="2:13">
      <c r="B66" s="4"/>
      <c r="C66" s="4"/>
      <c r="D66" s="4"/>
      <c r="E66" s="4"/>
      <c r="F66" s="4"/>
      <c r="G66" s="4"/>
      <c r="H66" s="4"/>
      <c r="I66" s="4"/>
      <c r="J66" s="4"/>
      <c r="K66" s="4"/>
      <c r="L66" s="4"/>
      <c r="M66" s="4"/>
    </row>
    <row r="67" spans="2:13">
      <c r="B67" s="4"/>
      <c r="C67" s="4"/>
      <c r="D67" s="4"/>
      <c r="E67" s="4"/>
      <c r="F67" s="4"/>
      <c r="G67" s="4"/>
      <c r="H67" s="4"/>
      <c r="I67" s="4"/>
      <c r="J67" s="4"/>
      <c r="K67" s="4"/>
      <c r="L67" s="4"/>
      <c r="M67" s="4"/>
    </row>
    <row r="68" spans="2:13">
      <c r="B68" s="4"/>
      <c r="C68" s="4"/>
      <c r="D68" s="4"/>
      <c r="E68" s="4"/>
      <c r="F68" s="4"/>
      <c r="G68" s="4"/>
      <c r="H68" s="4"/>
      <c r="I68" s="4"/>
      <c r="J68" s="4"/>
      <c r="K68" s="4"/>
      <c r="L68" s="4"/>
      <c r="M68" s="4"/>
    </row>
    <row r="69" spans="2:13">
      <c r="B69" s="4"/>
      <c r="C69" s="4"/>
      <c r="D69" s="4"/>
      <c r="E69" s="4"/>
      <c r="F69" s="4"/>
      <c r="G69" s="4"/>
      <c r="H69" s="4"/>
      <c r="I69" s="4"/>
      <c r="J69" s="4"/>
      <c r="K69" s="4"/>
      <c r="L69" s="4"/>
      <c r="M69" s="4"/>
    </row>
    <row r="70" spans="2:13">
      <c r="B70" s="4"/>
      <c r="C70" s="4"/>
      <c r="D70" s="4"/>
      <c r="E70" s="4"/>
      <c r="F70" s="4"/>
      <c r="G70" s="4"/>
      <c r="H70" s="4"/>
      <c r="I70" s="4"/>
      <c r="J70" s="4"/>
      <c r="K70" s="4"/>
      <c r="L70" s="4"/>
      <c r="M70" s="4"/>
    </row>
    <row r="71" spans="2:13">
      <c r="B71" s="4"/>
      <c r="C71" s="4"/>
      <c r="D71" s="4"/>
      <c r="E71" s="4"/>
      <c r="F71" s="4"/>
      <c r="G71" s="4"/>
      <c r="H71" s="4"/>
      <c r="I71" s="4"/>
      <c r="J71" s="4"/>
      <c r="K71" s="4"/>
      <c r="L71" s="4"/>
      <c r="M71" s="4"/>
    </row>
    <row r="72" spans="2:13">
      <c r="B72" s="4"/>
      <c r="C72" s="4"/>
      <c r="D72" s="4"/>
      <c r="E72" s="4"/>
      <c r="F72" s="4"/>
      <c r="G72" s="4"/>
      <c r="H72" s="4"/>
      <c r="I72" s="4"/>
      <c r="J72" s="4"/>
      <c r="K72" s="4"/>
      <c r="L72" s="4"/>
      <c r="M72" s="4"/>
    </row>
    <row r="73" spans="2:13">
      <c r="B73" s="4"/>
      <c r="C73" s="4"/>
      <c r="D73" s="4"/>
      <c r="E73" s="4"/>
      <c r="F73" s="4"/>
      <c r="G73" s="4"/>
      <c r="H73" s="4"/>
      <c r="I73" s="4"/>
      <c r="J73" s="4"/>
      <c r="K73" s="4"/>
      <c r="L73" s="4"/>
      <c r="M73" s="4"/>
    </row>
    <row r="74" spans="2:13">
      <c r="B74" s="4"/>
      <c r="C74" s="4"/>
      <c r="D74" s="4"/>
      <c r="E74" s="4"/>
      <c r="F74" s="4"/>
      <c r="G74" s="4"/>
      <c r="H74" s="4"/>
      <c r="I74" s="4"/>
      <c r="J74" s="4"/>
      <c r="K74" s="4"/>
      <c r="L74" s="4"/>
      <c r="M74" s="4"/>
    </row>
    <row r="75" spans="2:13">
      <c r="B75" s="4"/>
      <c r="C75" s="4"/>
      <c r="D75" s="4"/>
      <c r="E75" s="4"/>
      <c r="F75" s="4"/>
      <c r="G75" s="4"/>
      <c r="H75" s="4"/>
      <c r="I75" s="4"/>
      <c r="J75" s="4"/>
      <c r="K75" s="4"/>
      <c r="L75" s="4"/>
      <c r="M75" s="4"/>
    </row>
    <row r="76" spans="2:13">
      <c r="B76" s="4"/>
      <c r="C76" s="4"/>
      <c r="D76" s="4"/>
      <c r="E76" s="4"/>
      <c r="F76" s="4"/>
      <c r="G76" s="4"/>
      <c r="H76" s="4"/>
      <c r="I76" s="4"/>
      <c r="J76" s="4"/>
      <c r="K76" s="4"/>
      <c r="L76" s="4"/>
      <c r="M76" s="4"/>
    </row>
    <row r="77" spans="2:13">
      <c r="B77" s="4"/>
      <c r="C77" s="4"/>
      <c r="D77" s="4"/>
      <c r="E77" s="4"/>
      <c r="F77" s="4"/>
      <c r="G77" s="4"/>
      <c r="H77" s="4"/>
      <c r="I77" s="4"/>
      <c r="J77" s="4"/>
      <c r="K77" s="4"/>
      <c r="L77" s="4"/>
      <c r="M77" s="4"/>
    </row>
    <row r="78" spans="2:13">
      <c r="B78" s="4"/>
      <c r="C78" s="4"/>
      <c r="D78" s="4"/>
      <c r="E78" s="4"/>
      <c r="F78" s="4"/>
      <c r="G78" s="4"/>
      <c r="H78" s="4"/>
      <c r="I78" s="4"/>
      <c r="J78" s="4"/>
      <c r="K78" s="4"/>
      <c r="L78" s="4"/>
      <c r="M78" s="4"/>
    </row>
    <row r="79" spans="2:13">
      <c r="B79" s="4"/>
      <c r="C79" s="4"/>
      <c r="D79" s="4"/>
      <c r="E79" s="4"/>
      <c r="F79" s="4"/>
      <c r="G79" s="4"/>
      <c r="H79" s="4"/>
      <c r="I79" s="4"/>
      <c r="J79" s="4"/>
      <c r="K79" s="4"/>
      <c r="L79" s="4"/>
      <c r="M79" s="4"/>
    </row>
    <row r="80" spans="2:13">
      <c r="B80" s="4"/>
      <c r="C80" s="4"/>
      <c r="D80" s="4"/>
      <c r="E80" s="4"/>
      <c r="F80" s="4"/>
      <c r="G80" s="4"/>
      <c r="H80" s="4"/>
      <c r="I80" s="4"/>
      <c r="J80" s="4"/>
      <c r="K80" s="4"/>
      <c r="L80" s="4"/>
      <c r="M80" s="4"/>
    </row>
    <row r="81" spans="2:13">
      <c r="B81" s="4"/>
      <c r="C81" s="4"/>
      <c r="D81" s="4"/>
      <c r="E81" s="4"/>
      <c r="F81" s="4"/>
      <c r="G81" s="4"/>
      <c r="H81" s="4"/>
      <c r="I81" s="4"/>
      <c r="J81" s="4"/>
      <c r="K81" s="4"/>
      <c r="L81" s="4"/>
      <c r="M81" s="4"/>
    </row>
    <row r="82" spans="2:13">
      <c r="B82" s="4"/>
      <c r="C82" s="4"/>
      <c r="D82" s="4"/>
      <c r="E82" s="4"/>
      <c r="F82" s="4"/>
      <c r="G82" s="4"/>
      <c r="H82" s="4"/>
      <c r="I82" s="4"/>
      <c r="J82" s="4"/>
      <c r="K82" s="4"/>
      <c r="L82" s="4"/>
      <c r="M82" s="4"/>
    </row>
    <row r="83" spans="2:13">
      <c r="B83" s="4"/>
      <c r="C83" s="4"/>
      <c r="D83" s="4"/>
      <c r="E83" s="4"/>
      <c r="F83" s="4"/>
      <c r="G83" s="4"/>
      <c r="H83" s="4"/>
      <c r="I83" s="4"/>
      <c r="J83" s="4"/>
      <c r="K83" s="4"/>
      <c r="L83" s="4"/>
      <c r="M83" s="4"/>
    </row>
    <row r="84" spans="2:13">
      <c r="B84" s="4"/>
      <c r="C84" s="4"/>
      <c r="D84" s="4"/>
      <c r="E84" s="4"/>
      <c r="F84" s="4"/>
      <c r="G84" s="4"/>
      <c r="H84" s="4"/>
      <c r="I84" s="4"/>
      <c r="J84" s="4"/>
      <c r="K84" s="4"/>
      <c r="L84" s="4"/>
      <c r="M84" s="4"/>
    </row>
    <row r="85" spans="2:13">
      <c r="B85" s="4"/>
      <c r="C85" s="4"/>
      <c r="D85" s="4"/>
      <c r="E85" s="4"/>
      <c r="F85" s="4"/>
      <c r="G85" s="4"/>
      <c r="H85" s="4"/>
      <c r="I85" s="4"/>
      <c r="J85" s="4"/>
      <c r="K85" s="4"/>
      <c r="L85" s="4"/>
      <c r="M85" s="4"/>
    </row>
    <row r="86" spans="2:13">
      <c r="B86" s="4"/>
      <c r="C86" s="4"/>
      <c r="D86" s="4"/>
      <c r="E86" s="4"/>
      <c r="F86" s="4"/>
      <c r="G86" s="4"/>
      <c r="H86" s="4"/>
      <c r="I86" s="4"/>
      <c r="J86" s="4"/>
      <c r="K86" s="4"/>
      <c r="L86" s="4"/>
      <c r="M86" s="4"/>
    </row>
    <row r="87" spans="2:13">
      <c r="B87" s="4"/>
      <c r="C87" s="4"/>
      <c r="D87" s="4"/>
      <c r="E87" s="4"/>
      <c r="F87" s="4"/>
      <c r="G87" s="4"/>
      <c r="H87" s="4"/>
      <c r="I87" s="4"/>
      <c r="J87" s="4"/>
      <c r="K87" s="4"/>
      <c r="L87" s="4"/>
      <c r="M87" s="4"/>
    </row>
    <row r="88" spans="2:13">
      <c r="B88" s="4"/>
      <c r="C88" s="4"/>
      <c r="D88" s="4"/>
      <c r="E88" s="4"/>
      <c r="F88" s="4"/>
      <c r="G88" s="4"/>
      <c r="H88" s="4"/>
      <c r="I88" s="4"/>
      <c r="J88" s="4"/>
      <c r="K88" s="4"/>
      <c r="L88" s="4"/>
      <c r="M88" s="4"/>
    </row>
    <row r="89" spans="2:13">
      <c r="B89" s="4"/>
      <c r="C89" s="4"/>
      <c r="D89" s="4"/>
      <c r="E89" s="4"/>
      <c r="F89" s="4"/>
      <c r="G89" s="4"/>
      <c r="H89" s="4"/>
      <c r="I89" s="4"/>
      <c r="J89" s="4"/>
      <c r="K89" s="4"/>
      <c r="L89" s="4"/>
      <c r="M89" s="4"/>
    </row>
    <row r="90" spans="2:13">
      <c r="B90" s="4"/>
      <c r="C90" s="4"/>
      <c r="D90" s="4"/>
      <c r="E90" s="4"/>
      <c r="F90" s="4"/>
      <c r="G90" s="4"/>
      <c r="H90" s="4"/>
      <c r="I90" s="4"/>
      <c r="J90" s="4"/>
      <c r="K90" s="4"/>
      <c r="L90" s="4"/>
      <c r="M90" s="4"/>
    </row>
    <row r="91" spans="2:13">
      <c r="B91" s="4"/>
      <c r="C91" s="4"/>
      <c r="D91" s="4"/>
      <c r="E91" s="4"/>
      <c r="F91" s="4"/>
      <c r="G91" s="4"/>
      <c r="H91" s="4"/>
      <c r="I91" s="4"/>
      <c r="J91" s="4"/>
      <c r="K91" s="4"/>
      <c r="L91" s="4"/>
      <c r="M91" s="4"/>
    </row>
    <row r="92" spans="2:13">
      <c r="B92" s="4"/>
      <c r="C92" s="4"/>
      <c r="D92" s="4"/>
      <c r="E92" s="4"/>
      <c r="F92" s="4"/>
      <c r="G92" s="4"/>
      <c r="H92" s="4"/>
      <c r="I92" s="4"/>
      <c r="J92" s="4"/>
      <c r="K92" s="4"/>
      <c r="L92" s="4"/>
      <c r="M92" s="4"/>
    </row>
    <row r="93" spans="2:13">
      <c r="B93" s="4"/>
      <c r="C93" s="4"/>
      <c r="D93" s="4"/>
      <c r="E93" s="4"/>
      <c r="F93" s="4"/>
      <c r="G93" s="4"/>
      <c r="H93" s="4"/>
      <c r="I93" s="4"/>
      <c r="J93" s="4"/>
      <c r="K93" s="4"/>
      <c r="L93" s="4"/>
      <c r="M93" s="4"/>
    </row>
    <row r="94" spans="2:13">
      <c r="B94" s="4"/>
      <c r="C94" s="4"/>
      <c r="D94" s="4"/>
      <c r="E94" s="4"/>
      <c r="F94" s="4"/>
      <c r="G94" s="4"/>
      <c r="H94" s="4"/>
      <c r="I94" s="4"/>
      <c r="J94" s="4"/>
      <c r="K94" s="4"/>
      <c r="L94" s="4"/>
      <c r="M94" s="4"/>
    </row>
    <row r="95" spans="2:13">
      <c r="B95" s="4"/>
      <c r="C95" s="4"/>
      <c r="D95" s="4"/>
      <c r="E95" s="4"/>
      <c r="F95" s="4"/>
      <c r="G95" s="4"/>
      <c r="H95" s="4"/>
      <c r="I95" s="4"/>
      <c r="J95" s="4"/>
      <c r="K95" s="4"/>
      <c r="L95" s="4"/>
      <c r="M95" s="4"/>
    </row>
    <row r="96" spans="2:13">
      <c r="B96" s="4"/>
      <c r="C96" s="4"/>
      <c r="D96" s="4"/>
      <c r="E96" s="4"/>
      <c r="F96" s="4"/>
      <c r="G96" s="4"/>
      <c r="H96" s="4"/>
      <c r="I96" s="4"/>
      <c r="J96" s="4"/>
      <c r="K96" s="4"/>
      <c r="L96" s="4"/>
      <c r="M96" s="4"/>
    </row>
    <row r="97" spans="2:13">
      <c r="B97" s="4"/>
      <c r="C97" s="4"/>
      <c r="D97" s="4"/>
      <c r="E97" s="4"/>
      <c r="F97" s="4"/>
      <c r="G97" s="4"/>
      <c r="H97" s="4"/>
      <c r="I97" s="4"/>
      <c r="J97" s="4"/>
      <c r="K97" s="4"/>
      <c r="L97" s="4"/>
      <c r="M97" s="4"/>
    </row>
    <row r="98" spans="2:13">
      <c r="B98" s="4"/>
      <c r="C98" s="4"/>
      <c r="D98" s="4"/>
      <c r="E98" s="4"/>
      <c r="F98" s="4"/>
      <c r="G98" s="4"/>
      <c r="H98" s="4"/>
      <c r="I98" s="4"/>
      <c r="J98" s="4"/>
      <c r="K98" s="4"/>
      <c r="L98" s="4"/>
      <c r="M98" s="4"/>
    </row>
    <row r="99" spans="2:13">
      <c r="B99" s="4"/>
      <c r="C99" s="4"/>
      <c r="D99" s="4"/>
      <c r="E99" s="4"/>
      <c r="F99" s="4"/>
      <c r="G99" s="4"/>
      <c r="H99" s="4"/>
      <c r="I99" s="4"/>
      <c r="J99" s="4"/>
      <c r="K99" s="4"/>
      <c r="L99" s="4"/>
      <c r="M99" s="4"/>
    </row>
    <row r="100" spans="2:13">
      <c r="B100" s="4"/>
      <c r="C100" s="4"/>
      <c r="D100" s="4"/>
      <c r="E100" s="4"/>
      <c r="F100" s="4"/>
      <c r="G100" s="4"/>
      <c r="H100" s="4"/>
      <c r="I100" s="4"/>
      <c r="J100" s="4"/>
      <c r="K100" s="4"/>
      <c r="L100" s="4"/>
      <c r="M100" s="4"/>
    </row>
    <row r="101" spans="2:13">
      <c r="B101" s="4"/>
      <c r="C101" s="4"/>
      <c r="D101" s="4"/>
      <c r="E101" s="4"/>
      <c r="F101" s="4"/>
      <c r="G101" s="4"/>
      <c r="H101" s="4"/>
      <c r="I101" s="4"/>
      <c r="J101" s="4"/>
      <c r="K101" s="4"/>
      <c r="L101" s="4"/>
      <c r="M101" s="4"/>
    </row>
    <row r="102" spans="2:13">
      <c r="B102" s="4"/>
      <c r="C102" s="4"/>
      <c r="D102" s="4"/>
      <c r="E102" s="4"/>
      <c r="F102" s="4"/>
      <c r="G102" s="4"/>
      <c r="H102" s="4"/>
      <c r="I102" s="4"/>
      <c r="J102" s="4"/>
      <c r="K102" s="4"/>
      <c r="L102" s="4"/>
      <c r="M102" s="4"/>
    </row>
    <row r="103" spans="2:13">
      <c r="B103" s="4"/>
      <c r="C103" s="4"/>
      <c r="D103" s="4"/>
      <c r="E103" s="4"/>
      <c r="F103" s="4"/>
      <c r="G103" s="4"/>
      <c r="H103" s="4"/>
      <c r="I103" s="4"/>
      <c r="J103" s="4"/>
      <c r="K103" s="4"/>
      <c r="L103" s="4"/>
      <c r="M103" s="4"/>
    </row>
    <row r="104" spans="2:13">
      <c r="B104" s="4"/>
      <c r="C104" s="4"/>
      <c r="D104" s="4"/>
      <c r="E104" s="4"/>
      <c r="F104" s="4"/>
      <c r="G104" s="4"/>
      <c r="H104" s="4"/>
      <c r="I104" s="4"/>
      <c r="J104" s="4"/>
      <c r="K104" s="4"/>
      <c r="L104" s="4"/>
      <c r="M104" s="4"/>
    </row>
    <row r="105" spans="2:13">
      <c r="B105" s="4"/>
      <c r="C105" s="4"/>
      <c r="D105" s="4"/>
      <c r="E105" s="4"/>
      <c r="F105" s="4"/>
      <c r="G105" s="4"/>
      <c r="H105" s="4"/>
      <c r="I105" s="4"/>
      <c r="J105" s="4"/>
      <c r="K105" s="4"/>
      <c r="L105" s="4"/>
      <c r="M105" s="4"/>
    </row>
    <row r="106" spans="2:13">
      <c r="B106" s="4"/>
      <c r="C106" s="4"/>
      <c r="D106" s="4"/>
      <c r="E106" s="4"/>
      <c r="F106" s="4"/>
      <c r="G106" s="4"/>
      <c r="H106" s="4"/>
      <c r="I106" s="4"/>
      <c r="J106" s="4"/>
      <c r="K106" s="4"/>
      <c r="L106" s="4"/>
      <c r="M106" s="4"/>
    </row>
    <row r="107" spans="2:13">
      <c r="B107" s="4"/>
      <c r="C107" s="4"/>
      <c r="D107" s="4"/>
      <c r="E107" s="4"/>
      <c r="F107" s="4"/>
      <c r="G107" s="4"/>
      <c r="H107" s="4"/>
      <c r="I107" s="4"/>
      <c r="J107" s="4"/>
      <c r="K107" s="4"/>
      <c r="L107" s="4"/>
      <c r="M107" s="4"/>
    </row>
    <row r="108" spans="2:13">
      <c r="B108" s="4"/>
      <c r="C108" s="4"/>
      <c r="D108" s="4"/>
      <c r="E108" s="4"/>
      <c r="F108" s="4"/>
      <c r="G108" s="4"/>
      <c r="H108" s="4"/>
      <c r="I108" s="4"/>
      <c r="J108" s="4"/>
      <c r="K108" s="4"/>
      <c r="L108" s="4"/>
      <c r="M108" s="4"/>
    </row>
    <row r="109" spans="2:13">
      <c r="B109" s="4"/>
      <c r="C109" s="4"/>
      <c r="D109" s="4"/>
      <c r="E109" s="4"/>
      <c r="F109" s="4"/>
      <c r="G109" s="4"/>
      <c r="H109" s="4"/>
      <c r="I109" s="4"/>
      <c r="J109" s="4"/>
      <c r="K109" s="4"/>
      <c r="L109" s="4"/>
      <c r="M109" s="4"/>
    </row>
    <row r="110" spans="2:13">
      <c r="B110" s="4"/>
      <c r="C110" s="4"/>
      <c r="D110" s="4"/>
      <c r="E110" s="4"/>
      <c r="F110" s="4"/>
      <c r="G110" s="4"/>
      <c r="H110" s="4"/>
      <c r="I110" s="4"/>
      <c r="J110" s="4"/>
      <c r="K110" s="4"/>
      <c r="L110" s="4"/>
      <c r="M110" s="4"/>
    </row>
    <row r="111" spans="2:13">
      <c r="B111" s="4"/>
      <c r="C111" s="4"/>
      <c r="D111" s="4"/>
      <c r="E111" s="4"/>
      <c r="F111" s="4"/>
      <c r="G111" s="4"/>
      <c r="H111" s="4"/>
      <c r="I111" s="4"/>
      <c r="J111" s="4"/>
      <c r="K111" s="4"/>
      <c r="L111" s="4"/>
      <c r="M111" s="4"/>
    </row>
    <row r="112" spans="2:13">
      <c r="B112" s="4"/>
      <c r="C112" s="4"/>
      <c r="D112" s="4"/>
      <c r="E112" s="4"/>
      <c r="F112" s="4"/>
      <c r="G112" s="4"/>
      <c r="H112" s="4"/>
      <c r="I112" s="4"/>
      <c r="J112" s="4"/>
      <c r="K112" s="4"/>
      <c r="L112" s="4"/>
      <c r="M112" s="4"/>
    </row>
    <row r="113" spans="2:13">
      <c r="B113" s="4"/>
      <c r="C113" s="4"/>
      <c r="D113" s="4"/>
      <c r="E113" s="4"/>
      <c r="F113" s="4"/>
      <c r="G113" s="4"/>
      <c r="H113" s="4"/>
      <c r="I113" s="4"/>
      <c r="J113" s="4"/>
      <c r="K113" s="4"/>
      <c r="L113" s="4"/>
      <c r="M113" s="4"/>
    </row>
    <row r="114" spans="2:13">
      <c r="B114" s="4"/>
      <c r="C114" s="4"/>
      <c r="D114" s="4"/>
      <c r="E114" s="4"/>
      <c r="F114" s="4"/>
      <c r="G114" s="4"/>
      <c r="H114" s="4"/>
      <c r="I114" s="4"/>
      <c r="J114" s="4"/>
      <c r="K114" s="4"/>
      <c r="L114" s="4"/>
      <c r="M114" s="4"/>
    </row>
    <row r="115" spans="2:13">
      <c r="B115" s="4"/>
      <c r="C115" s="4"/>
      <c r="D115" s="4"/>
      <c r="E115" s="4"/>
      <c r="F115" s="4"/>
      <c r="G115" s="4"/>
      <c r="H115" s="4"/>
      <c r="I115" s="4"/>
      <c r="J115" s="4"/>
      <c r="K115" s="4"/>
      <c r="L115" s="4"/>
      <c r="M115" s="4"/>
    </row>
    <row r="116" spans="2:13">
      <c r="B116" s="4"/>
      <c r="C116" s="4"/>
      <c r="D116" s="4"/>
      <c r="E116" s="4"/>
      <c r="F116" s="4"/>
      <c r="G116" s="4"/>
      <c r="H116" s="4"/>
      <c r="I116" s="4"/>
      <c r="J116" s="4"/>
      <c r="K116" s="4"/>
      <c r="L116" s="4"/>
      <c r="M116" s="4"/>
    </row>
    <row r="117" spans="2:13">
      <c r="B117" s="4"/>
      <c r="C117" s="4"/>
      <c r="D117" s="4"/>
      <c r="E117" s="4"/>
      <c r="F117" s="4"/>
      <c r="G117" s="4"/>
      <c r="H117" s="4"/>
      <c r="I117" s="4"/>
      <c r="J117" s="4"/>
      <c r="K117" s="4"/>
      <c r="L117" s="4"/>
      <c r="M117" s="4"/>
    </row>
    <row r="118" spans="2:13">
      <c r="B118" s="4"/>
      <c r="C118" s="4"/>
      <c r="D118" s="4"/>
      <c r="E118" s="4"/>
      <c r="F118" s="4"/>
      <c r="G118" s="4"/>
      <c r="H118" s="4"/>
      <c r="I118" s="4"/>
      <c r="J118" s="4"/>
      <c r="K118" s="4"/>
      <c r="L118" s="4"/>
      <c r="M118" s="4"/>
    </row>
    <row r="119" spans="2:13">
      <c r="B119" s="4"/>
      <c r="C119" s="4"/>
      <c r="D119" s="4"/>
      <c r="E119" s="4"/>
      <c r="F119" s="4"/>
      <c r="G119" s="4"/>
      <c r="H119" s="4"/>
      <c r="I119" s="4"/>
      <c r="J119" s="4"/>
      <c r="K119" s="4"/>
      <c r="L119" s="4"/>
      <c r="M119" s="4"/>
    </row>
    <row r="120" spans="2:13">
      <c r="B120" s="4"/>
      <c r="C120" s="4"/>
      <c r="D120" s="4"/>
      <c r="E120" s="4"/>
      <c r="F120" s="4"/>
      <c r="G120" s="4"/>
      <c r="H120" s="4"/>
      <c r="I120" s="4"/>
      <c r="J120" s="4"/>
      <c r="K120" s="4"/>
      <c r="L120" s="4"/>
      <c r="M120" s="4"/>
    </row>
    <row r="121" spans="2:13">
      <c r="B121" s="4"/>
      <c r="C121" s="4"/>
      <c r="D121" s="4"/>
      <c r="E121" s="4"/>
      <c r="F121" s="4"/>
      <c r="G121" s="4"/>
      <c r="H121" s="4"/>
      <c r="I121" s="4"/>
      <c r="J121" s="4"/>
      <c r="K121" s="4"/>
      <c r="L121" s="4"/>
      <c r="M121" s="4"/>
    </row>
    <row r="122" spans="2:13">
      <c r="B122" s="4"/>
      <c r="C122" s="4"/>
      <c r="D122" s="4"/>
      <c r="E122" s="4"/>
      <c r="F122" s="4"/>
      <c r="G122" s="4"/>
      <c r="H122" s="4"/>
      <c r="I122" s="4"/>
      <c r="J122" s="4"/>
      <c r="K122" s="4"/>
      <c r="L122" s="4"/>
      <c r="M122" s="4"/>
    </row>
    <row r="123" spans="2:13">
      <c r="B123" s="4"/>
      <c r="C123" s="4"/>
      <c r="D123" s="4"/>
      <c r="E123" s="4"/>
      <c r="F123" s="4"/>
      <c r="G123" s="4"/>
      <c r="H123" s="4"/>
      <c r="I123" s="4"/>
      <c r="J123" s="4"/>
      <c r="K123" s="4"/>
      <c r="L123" s="4"/>
      <c r="M123" s="4"/>
    </row>
    <row r="124" spans="2:13">
      <c r="B124" s="4"/>
      <c r="C124" s="4"/>
      <c r="D124" s="4"/>
      <c r="E124" s="4"/>
      <c r="F124" s="4"/>
      <c r="G124" s="4"/>
      <c r="H124" s="4"/>
      <c r="I124" s="4"/>
      <c r="J124" s="4"/>
      <c r="K124" s="4"/>
      <c r="L124" s="4"/>
      <c r="M124" s="4"/>
    </row>
    <row r="125" spans="2:13">
      <c r="B125" s="4"/>
      <c r="C125" s="4"/>
      <c r="D125" s="4"/>
      <c r="E125" s="4"/>
      <c r="F125" s="4"/>
      <c r="G125" s="4"/>
      <c r="H125" s="4"/>
      <c r="I125" s="4"/>
      <c r="J125" s="4"/>
      <c r="K125" s="4"/>
      <c r="L125" s="4"/>
      <c r="M125" s="4"/>
    </row>
    <row r="126" spans="2:13">
      <c r="B126" s="4"/>
      <c r="C126" s="4"/>
      <c r="D126" s="4"/>
      <c r="E126" s="4"/>
      <c r="F126" s="4"/>
      <c r="G126" s="4"/>
      <c r="H126" s="4"/>
      <c r="I126" s="4"/>
      <c r="J126" s="4"/>
      <c r="K126" s="4"/>
      <c r="L126" s="4"/>
      <c r="M126" s="4"/>
    </row>
    <row r="127" spans="2:13">
      <c r="B127" s="4"/>
      <c r="C127" s="4"/>
      <c r="D127" s="4"/>
      <c r="E127" s="4"/>
      <c r="F127" s="4"/>
      <c r="G127" s="4"/>
      <c r="H127" s="4"/>
      <c r="I127" s="4"/>
      <c r="J127" s="4"/>
      <c r="K127" s="4"/>
      <c r="L127" s="4"/>
      <c r="M127" s="4"/>
    </row>
    <row r="128" spans="2:13">
      <c r="B128" s="4"/>
      <c r="C128" s="4"/>
      <c r="D128" s="4"/>
      <c r="E128" s="4"/>
      <c r="F128" s="4"/>
      <c r="G128" s="4"/>
      <c r="H128" s="4"/>
      <c r="I128" s="4"/>
      <c r="J128" s="4"/>
      <c r="K128" s="4"/>
      <c r="L128" s="4"/>
      <c r="M128" s="4"/>
    </row>
    <row r="129" spans="2:13">
      <c r="B129" s="4"/>
      <c r="C129" s="4"/>
      <c r="D129" s="4"/>
      <c r="E129" s="4"/>
      <c r="F129" s="4"/>
      <c r="G129" s="4"/>
      <c r="H129" s="4"/>
      <c r="I129" s="4"/>
      <c r="J129" s="4"/>
      <c r="K129" s="4"/>
      <c r="L129" s="4"/>
      <c r="M129" s="4"/>
    </row>
    <row r="130" spans="2:13">
      <c r="B130" s="4"/>
      <c r="C130" s="4"/>
      <c r="D130" s="4"/>
      <c r="E130" s="4"/>
      <c r="F130" s="4"/>
      <c r="G130" s="4"/>
      <c r="H130" s="4"/>
      <c r="I130" s="4"/>
      <c r="J130" s="4"/>
      <c r="K130" s="4"/>
      <c r="L130" s="4"/>
      <c r="M130" s="4"/>
    </row>
    <row r="131" spans="2:13">
      <c r="B131" s="4"/>
      <c r="C131" s="4"/>
      <c r="D131" s="4"/>
      <c r="E131" s="4"/>
      <c r="F131" s="4"/>
      <c r="G131" s="4"/>
      <c r="H131" s="4"/>
      <c r="I131" s="4"/>
      <c r="J131" s="4"/>
      <c r="K131" s="4"/>
      <c r="L131" s="4"/>
      <c r="M131" s="4"/>
    </row>
    <row r="132" spans="2:13">
      <c r="B132" s="4"/>
      <c r="C132" s="4"/>
      <c r="D132" s="4"/>
      <c r="E132" s="4"/>
      <c r="F132" s="4"/>
      <c r="G132" s="4"/>
      <c r="H132" s="4"/>
      <c r="I132" s="4"/>
      <c r="J132" s="4"/>
      <c r="K132" s="4"/>
      <c r="L132" s="4"/>
      <c r="M132" s="4"/>
    </row>
    <row r="133" spans="2:13">
      <c r="B133" s="4"/>
      <c r="C133" s="4"/>
      <c r="D133" s="4"/>
      <c r="E133" s="4"/>
      <c r="F133" s="4"/>
      <c r="G133" s="4"/>
      <c r="H133" s="4"/>
      <c r="I133" s="4"/>
      <c r="J133" s="4"/>
      <c r="K133" s="4"/>
      <c r="L133" s="4"/>
      <c r="M133" s="4"/>
    </row>
    <row r="134" spans="2:13">
      <c r="B134" s="4"/>
      <c r="C134" s="4"/>
      <c r="D134" s="4"/>
      <c r="E134" s="4"/>
      <c r="F134" s="4"/>
      <c r="G134" s="4"/>
      <c r="H134" s="4"/>
      <c r="I134" s="4"/>
      <c r="J134" s="4"/>
      <c r="K134" s="4"/>
      <c r="L134" s="4"/>
      <c r="M134" s="4"/>
    </row>
    <row r="135" spans="2:13">
      <c r="B135" s="4"/>
      <c r="C135" s="4"/>
      <c r="D135" s="4"/>
      <c r="E135" s="4"/>
      <c r="F135" s="4"/>
      <c r="G135" s="4"/>
      <c r="H135" s="4"/>
      <c r="I135" s="4"/>
      <c r="J135" s="4"/>
      <c r="K135" s="4"/>
      <c r="L135" s="4"/>
      <c r="M135" s="4"/>
    </row>
    <row r="136" spans="2:13">
      <c r="B136" s="4"/>
      <c r="C136" s="4"/>
      <c r="D136" s="4"/>
      <c r="E136" s="4"/>
      <c r="F136" s="4"/>
      <c r="G136" s="4"/>
      <c r="H136" s="4"/>
      <c r="I136" s="4"/>
      <c r="J136" s="4"/>
      <c r="K136" s="4"/>
      <c r="L136" s="4"/>
      <c r="M136" s="4"/>
    </row>
    <row r="137" spans="2:13">
      <c r="B137" s="4"/>
      <c r="C137" s="4"/>
      <c r="D137" s="4"/>
      <c r="E137" s="4"/>
      <c r="F137" s="4"/>
      <c r="G137" s="4"/>
      <c r="H137" s="4"/>
      <c r="I137" s="4"/>
      <c r="J137" s="4"/>
      <c r="K137" s="4"/>
      <c r="L137" s="4"/>
      <c r="M137" s="4"/>
    </row>
    <row r="138" spans="2:13">
      <c r="B138" s="4"/>
      <c r="C138" s="4"/>
      <c r="D138" s="4"/>
      <c r="E138" s="4"/>
      <c r="F138" s="4"/>
      <c r="G138" s="4"/>
      <c r="H138" s="4"/>
      <c r="I138" s="4"/>
      <c r="J138" s="4"/>
      <c r="K138" s="4"/>
      <c r="L138" s="4"/>
      <c r="M138" s="4"/>
    </row>
    <row r="139" spans="2:13">
      <c r="B139" s="4"/>
      <c r="C139" s="4"/>
      <c r="D139" s="4"/>
      <c r="E139" s="4"/>
      <c r="F139" s="4"/>
      <c r="G139" s="4"/>
      <c r="H139" s="4"/>
      <c r="I139" s="4"/>
      <c r="J139" s="4"/>
      <c r="K139" s="4"/>
      <c r="L139" s="4"/>
      <c r="M139" s="4"/>
    </row>
    <row r="140" spans="2:13">
      <c r="B140" s="4"/>
      <c r="C140" s="4"/>
      <c r="D140" s="4"/>
      <c r="E140" s="4"/>
      <c r="F140" s="4"/>
      <c r="G140" s="4"/>
      <c r="H140" s="4"/>
      <c r="I140" s="4"/>
      <c r="J140" s="4"/>
      <c r="K140" s="4"/>
      <c r="L140" s="4"/>
      <c r="M140" s="4"/>
    </row>
    <row r="141" spans="2:13">
      <c r="B141" s="4"/>
      <c r="C141" s="4"/>
      <c r="D141" s="4"/>
      <c r="E141" s="4"/>
      <c r="F141" s="4"/>
      <c r="G141" s="4"/>
      <c r="H141" s="4"/>
      <c r="I141" s="4"/>
      <c r="J141" s="4"/>
      <c r="K141" s="4"/>
      <c r="L141" s="4"/>
      <c r="M141" s="4"/>
    </row>
    <row r="142" spans="2:13">
      <c r="B142" s="4"/>
      <c r="C142" s="4"/>
      <c r="D142" s="4"/>
      <c r="E142" s="4"/>
      <c r="F142" s="4"/>
      <c r="G142" s="4"/>
      <c r="H142" s="4"/>
      <c r="I142" s="4"/>
      <c r="J142" s="4"/>
      <c r="K142" s="4"/>
      <c r="L142" s="4"/>
      <c r="M142" s="4"/>
    </row>
    <row r="143" spans="2:13">
      <c r="B143" s="4"/>
      <c r="C143" s="4"/>
      <c r="D143" s="4"/>
      <c r="E143" s="4"/>
      <c r="F143" s="4"/>
      <c r="G143" s="4"/>
      <c r="H143" s="4"/>
      <c r="I143" s="4"/>
      <c r="J143" s="4"/>
      <c r="K143" s="4"/>
      <c r="L143" s="4"/>
      <c r="M143" s="4"/>
    </row>
    <row r="144" spans="2:13">
      <c r="B144" s="4"/>
      <c r="C144" s="4"/>
      <c r="D144" s="4"/>
      <c r="E144" s="4"/>
      <c r="F144" s="4"/>
      <c r="G144" s="4"/>
      <c r="H144" s="4"/>
      <c r="I144" s="4"/>
      <c r="J144" s="4"/>
      <c r="K144" s="4"/>
      <c r="L144" s="4"/>
      <c r="M144" s="4"/>
    </row>
    <row r="145" spans="2:13">
      <c r="B145" s="4"/>
      <c r="C145" s="4"/>
      <c r="D145" s="4"/>
      <c r="E145" s="4"/>
      <c r="F145" s="4"/>
      <c r="G145" s="4"/>
      <c r="H145" s="4"/>
      <c r="I145" s="4"/>
      <c r="J145" s="4"/>
      <c r="K145" s="4"/>
      <c r="L145" s="4"/>
      <c r="M145" s="4"/>
    </row>
    <row r="146" spans="2:13">
      <c r="B146" s="4"/>
      <c r="C146" s="4"/>
      <c r="D146" s="4"/>
      <c r="E146" s="4"/>
      <c r="F146" s="4"/>
      <c r="G146" s="4"/>
      <c r="H146" s="4"/>
      <c r="I146" s="4"/>
      <c r="J146" s="4"/>
      <c r="K146" s="4"/>
      <c r="L146" s="4"/>
      <c r="M146" s="4"/>
    </row>
    <row r="147" spans="2:13">
      <c r="B147" s="4"/>
      <c r="C147" s="4"/>
      <c r="D147" s="4"/>
      <c r="E147" s="4"/>
      <c r="F147" s="4"/>
      <c r="G147" s="4"/>
      <c r="H147" s="4"/>
      <c r="I147" s="4"/>
      <c r="J147" s="4"/>
      <c r="K147" s="4"/>
      <c r="L147" s="4"/>
      <c r="M147" s="4"/>
    </row>
    <row r="148" spans="2:13">
      <c r="B148" s="4"/>
      <c r="C148" s="4"/>
      <c r="D148" s="4"/>
      <c r="E148" s="4"/>
      <c r="F148" s="4"/>
      <c r="G148" s="4"/>
      <c r="H148" s="4"/>
      <c r="I148" s="4"/>
      <c r="J148" s="4"/>
      <c r="K148" s="4"/>
      <c r="L148" s="4"/>
      <c r="M148" s="4"/>
    </row>
    <row r="149" spans="2:13">
      <c r="B149" s="4"/>
      <c r="C149" s="4"/>
      <c r="D149" s="4"/>
      <c r="E149" s="4"/>
      <c r="F149" s="4"/>
      <c r="G149" s="4"/>
      <c r="H149" s="4"/>
      <c r="I149" s="4"/>
      <c r="J149" s="4"/>
      <c r="K149" s="4"/>
      <c r="L149" s="4"/>
      <c r="M149" s="4"/>
    </row>
    <row r="150" spans="2:13">
      <c r="B150" s="4"/>
      <c r="C150" s="4"/>
      <c r="D150" s="4"/>
      <c r="E150" s="4"/>
      <c r="F150" s="4"/>
      <c r="G150" s="4"/>
      <c r="H150" s="4"/>
      <c r="I150" s="4"/>
      <c r="J150" s="4"/>
      <c r="K150" s="4"/>
      <c r="L150" s="4"/>
      <c r="M150" s="4"/>
    </row>
    <row r="151" spans="2:13">
      <c r="B151" s="4"/>
      <c r="C151" s="4"/>
      <c r="D151" s="4"/>
      <c r="E151" s="4"/>
      <c r="F151" s="4"/>
      <c r="G151" s="4"/>
      <c r="H151" s="4"/>
      <c r="I151" s="4"/>
      <c r="J151" s="4"/>
      <c r="K151" s="4"/>
      <c r="L151" s="4"/>
      <c r="M151" s="4"/>
    </row>
    <row r="152" spans="2:13">
      <c r="B152" s="4"/>
      <c r="C152" s="4"/>
      <c r="D152" s="4"/>
      <c r="E152" s="4"/>
      <c r="F152" s="4"/>
      <c r="G152" s="4"/>
      <c r="H152" s="4"/>
      <c r="I152" s="4"/>
      <c r="J152" s="4"/>
      <c r="K152" s="4"/>
      <c r="L152" s="4"/>
      <c r="M152" s="4"/>
    </row>
    <row r="153" spans="2:13">
      <c r="B153" s="4"/>
      <c r="C153" s="4"/>
      <c r="D153" s="4"/>
      <c r="E153" s="4"/>
      <c r="F153" s="4"/>
      <c r="G153" s="4"/>
      <c r="H153" s="4"/>
      <c r="I153" s="4"/>
      <c r="J153" s="4"/>
      <c r="K153" s="4"/>
      <c r="L153" s="4"/>
      <c r="M153" s="4"/>
    </row>
    <row r="154" spans="2:13">
      <c r="B154" s="4"/>
      <c r="C154" s="4"/>
      <c r="D154" s="4"/>
      <c r="E154" s="4"/>
      <c r="F154" s="4"/>
      <c r="G154" s="4"/>
      <c r="H154" s="4"/>
      <c r="I154" s="4"/>
      <c r="J154" s="4"/>
      <c r="K154" s="4"/>
      <c r="L154" s="4"/>
      <c r="M154" s="4"/>
    </row>
    <row r="155" spans="2:13">
      <c r="B155" s="4"/>
      <c r="C155" s="4"/>
      <c r="D155" s="4"/>
      <c r="E155" s="4"/>
      <c r="F155" s="4"/>
      <c r="G155" s="4"/>
      <c r="H155" s="4"/>
      <c r="I155" s="4"/>
      <c r="J155" s="4"/>
      <c r="K155" s="4"/>
      <c r="L155" s="4"/>
      <c r="M155" s="4"/>
    </row>
    <row r="156" spans="2:13">
      <c r="B156" s="4"/>
      <c r="C156" s="4"/>
      <c r="D156" s="4"/>
      <c r="E156" s="4"/>
      <c r="F156" s="4"/>
      <c r="G156" s="4"/>
      <c r="H156" s="4"/>
      <c r="I156" s="4"/>
      <c r="J156" s="4"/>
      <c r="K156" s="4"/>
      <c r="L156" s="4"/>
      <c r="M156" s="4"/>
    </row>
    <row r="157" spans="2:13">
      <c r="B157" s="4"/>
      <c r="C157" s="4"/>
      <c r="D157" s="4"/>
      <c r="E157" s="4"/>
      <c r="F157" s="4"/>
      <c r="G157" s="4"/>
      <c r="H157" s="4"/>
      <c r="I157" s="4"/>
      <c r="J157" s="4"/>
      <c r="K157" s="4"/>
      <c r="L157" s="4"/>
      <c r="M157" s="4"/>
    </row>
    <row r="158" spans="2:13">
      <c r="B158" s="4"/>
      <c r="C158" s="4"/>
      <c r="D158" s="4"/>
      <c r="E158" s="4"/>
      <c r="F158" s="4"/>
      <c r="G158" s="4"/>
      <c r="H158" s="4"/>
      <c r="I158" s="4"/>
      <c r="J158" s="4"/>
      <c r="K158" s="4"/>
      <c r="L158" s="4"/>
      <c r="M158" s="4"/>
    </row>
    <row r="159" spans="2:13">
      <c r="B159" s="4"/>
      <c r="C159" s="4"/>
      <c r="D159" s="4"/>
      <c r="E159" s="4"/>
      <c r="F159" s="4"/>
      <c r="G159" s="4"/>
      <c r="H159" s="4"/>
      <c r="I159" s="4"/>
      <c r="J159" s="4"/>
      <c r="K159" s="4"/>
      <c r="L159" s="4"/>
      <c r="M159" s="4"/>
    </row>
    <row r="160" spans="2:13">
      <c r="B160" s="4"/>
      <c r="C160" s="4"/>
      <c r="D160" s="4"/>
      <c r="E160" s="4"/>
      <c r="F160" s="4"/>
      <c r="G160" s="4"/>
      <c r="H160" s="4"/>
      <c r="I160" s="4"/>
      <c r="J160" s="4"/>
      <c r="K160" s="4"/>
      <c r="L160" s="4"/>
      <c r="M160" s="4"/>
    </row>
  </sheetData>
  <mergeCells count="3">
    <mergeCell ref="A1:P1"/>
    <mergeCell ref="A2:P2"/>
    <mergeCell ref="A3:P3"/>
  </mergeCells>
  <pageMargins left="0.75" right="0.75" top="1" bottom="1" header="0.5" footer="0.5"/>
  <pageSetup scale="61" orientation="landscape" r:id="rId1"/>
  <headerFooter alignWithMargins="0">
    <oddFooter>&amp;L&amp;Z
&amp;F&amp;C&amp;A&amp;R7.&amp;P</oddFooter>
  </headerFooter>
  <rowBreaks count="1" manualBreakCount="1">
    <brk id="44" max="15" man="1"/>
  </rowBreaks>
</worksheet>
</file>

<file path=xl/worksheets/sheet127.xml><?xml version="1.0" encoding="utf-8"?>
<worksheet xmlns="http://schemas.openxmlformats.org/spreadsheetml/2006/main" xmlns:r="http://schemas.openxmlformats.org/officeDocument/2006/relationships">
  <sheetPr codeName="Sheet130">
    <tabColor indexed="32"/>
  </sheetPr>
  <dimension ref="A1:M186"/>
  <sheetViews>
    <sheetView zoomScaleNormal="100" workbookViewId="0">
      <pane xSplit="1" ySplit="10" topLeftCell="B11" activePane="bottomRight" state="frozen"/>
      <selection pane="topRight" activeCell="B1" sqref="B1"/>
      <selection pane="bottomLeft" activeCell="A11" sqref="A11"/>
      <selection pane="bottomRight" activeCell="B11" sqref="B11"/>
    </sheetView>
  </sheetViews>
  <sheetFormatPr defaultRowHeight="12.75"/>
  <cols>
    <col min="1" max="1" width="40.5703125" bestFit="1" customWidth="1"/>
    <col min="2" max="2" width="17.7109375" customWidth="1"/>
    <col min="3" max="3" width="1.7109375" customWidth="1"/>
    <col min="4" max="4" width="17.7109375" customWidth="1"/>
    <col min="5" max="5" width="1.7109375" customWidth="1"/>
    <col min="6" max="6" width="17.7109375" customWidth="1"/>
    <col min="7" max="7" width="1.7109375" customWidth="1"/>
    <col min="8" max="8" width="17.7109375" customWidth="1"/>
    <col min="9" max="9" width="1.7109375" customWidth="1"/>
    <col min="10" max="10" width="17.7109375" customWidth="1"/>
    <col min="11" max="11" width="1.7109375" customWidth="1"/>
    <col min="12" max="12" width="17.7109375" customWidth="1"/>
    <col min="13" max="13" width="2.140625" customWidth="1"/>
  </cols>
  <sheetData>
    <row r="1" spans="1:13" s="38" customFormat="1" ht="15.75">
      <c r="A1" s="366" t="s">
        <v>134</v>
      </c>
      <c r="B1" s="366"/>
      <c r="C1" s="366"/>
      <c r="D1" s="366"/>
      <c r="E1" s="366"/>
      <c r="F1" s="366"/>
      <c r="G1" s="366"/>
      <c r="H1" s="366"/>
      <c r="I1" s="366"/>
      <c r="J1" s="366"/>
      <c r="K1" s="366"/>
      <c r="L1" s="366"/>
    </row>
    <row r="2" spans="1:13" s="38" customFormat="1" ht="15.75">
      <c r="A2" s="366" t="s">
        <v>1155</v>
      </c>
      <c r="B2" s="366"/>
      <c r="C2" s="366"/>
      <c r="D2" s="366"/>
      <c r="E2" s="366"/>
      <c r="F2" s="366"/>
      <c r="G2" s="366"/>
      <c r="H2" s="366"/>
      <c r="I2" s="366"/>
      <c r="J2" s="366"/>
      <c r="K2" s="366"/>
      <c r="L2" s="366"/>
    </row>
    <row r="3" spans="1:13">
      <c r="A3" s="357" t="str">
        <f>'Summary - Cost - PG 1 (PA)'!A3:N3</f>
        <v>MARCH 2012</v>
      </c>
      <c r="B3" s="357"/>
      <c r="C3" s="357"/>
      <c r="D3" s="357"/>
      <c r="E3" s="357"/>
      <c r="F3" s="357"/>
      <c r="G3" s="357"/>
      <c r="H3" s="357"/>
      <c r="I3" s="357"/>
      <c r="J3" s="357"/>
      <c r="K3" s="357"/>
      <c r="L3" s="357"/>
    </row>
    <row r="4" spans="1:13">
      <c r="A4" s="190"/>
      <c r="B4" s="190"/>
      <c r="C4" s="190"/>
      <c r="D4" s="190"/>
      <c r="E4" s="190"/>
      <c r="F4" s="190"/>
      <c r="G4" s="190"/>
      <c r="H4" s="190"/>
      <c r="I4" s="190"/>
      <c r="J4" s="190"/>
      <c r="K4" s="190"/>
      <c r="L4" s="190"/>
    </row>
    <row r="6" spans="1:13">
      <c r="B6" s="41" t="s">
        <v>25</v>
      </c>
      <c r="D6" s="33"/>
      <c r="F6" s="33"/>
      <c r="H6" s="41" t="s">
        <v>612</v>
      </c>
      <c r="J6" s="33"/>
      <c r="L6" s="41" t="s">
        <v>26</v>
      </c>
    </row>
    <row r="7" spans="1:13" s="10" customFormat="1">
      <c r="B7" s="42" t="s">
        <v>27</v>
      </c>
      <c r="C7"/>
      <c r="D7" s="42" t="s">
        <v>107</v>
      </c>
      <c r="E7"/>
      <c r="F7" s="42" t="s">
        <v>108</v>
      </c>
      <c r="G7"/>
      <c r="H7" s="42" t="s">
        <v>613</v>
      </c>
      <c r="I7"/>
      <c r="J7" s="42" t="s">
        <v>109</v>
      </c>
      <c r="K7"/>
      <c r="L7" s="42" t="s">
        <v>27</v>
      </c>
    </row>
    <row r="8" spans="1:13" s="10" customFormat="1">
      <c r="B8" s="54"/>
      <c r="C8"/>
      <c r="D8" s="54"/>
      <c r="E8"/>
      <c r="F8" s="54"/>
      <c r="G8"/>
      <c r="H8" s="54"/>
      <c r="I8"/>
      <c r="J8" s="54"/>
      <c r="K8"/>
      <c r="L8" s="54"/>
    </row>
    <row r="9" spans="1:13" s="10" customFormat="1">
      <c r="A9" s="12" t="s">
        <v>572</v>
      </c>
      <c r="B9"/>
      <c r="C9"/>
      <c r="D9"/>
      <c r="E9"/>
      <c r="F9"/>
      <c r="G9"/>
      <c r="H9"/>
      <c r="I9"/>
      <c r="J9"/>
      <c r="K9"/>
      <c r="L9"/>
    </row>
    <row r="10" spans="1:13" s="10" customFormat="1">
      <c r="A10" s="12" t="s">
        <v>807</v>
      </c>
      <c r="B10"/>
      <c r="C10"/>
      <c r="D10"/>
      <c r="E10"/>
      <c r="F10"/>
      <c r="G10"/>
      <c r="H10"/>
      <c r="I10"/>
      <c r="J10"/>
      <c r="K10"/>
      <c r="L10"/>
    </row>
    <row r="11" spans="1:13">
      <c r="A11" t="s">
        <v>19</v>
      </c>
      <c r="B11" s="33">
        <v>0</v>
      </c>
      <c r="C11" s="33"/>
      <c r="D11" s="33">
        <v>0</v>
      </c>
      <c r="E11" s="33"/>
      <c r="F11" s="300">
        <v>0</v>
      </c>
      <c r="G11" s="33"/>
      <c r="H11" s="300">
        <v>0</v>
      </c>
      <c r="I11" s="33"/>
      <c r="J11" s="33">
        <f>H11+F11+D11</f>
        <v>0</v>
      </c>
      <c r="K11" s="33"/>
      <c r="L11" s="33">
        <f>J11+B11</f>
        <v>0</v>
      </c>
      <c r="M11" s="1"/>
    </row>
    <row r="12" spans="1:13">
      <c r="A12" t="s">
        <v>20</v>
      </c>
      <c r="B12" s="33">
        <v>-127911.26</v>
      </c>
      <c r="C12" s="33"/>
      <c r="D12" s="33">
        <v>0</v>
      </c>
      <c r="E12" s="33"/>
      <c r="F12" s="300">
        <v>0</v>
      </c>
      <c r="G12" s="33"/>
      <c r="H12" s="300">
        <v>0</v>
      </c>
      <c r="I12" s="33"/>
      <c r="J12" s="33">
        <f t="shared" ref="J12:J39" si="0">H12+F12+D12</f>
        <v>0</v>
      </c>
      <c r="K12" s="33"/>
      <c r="L12" s="33">
        <f t="shared" ref="L12:L39" si="1">J12+B12</f>
        <v>-127911.26</v>
      </c>
      <c r="M12" s="1"/>
    </row>
    <row r="13" spans="1:13">
      <c r="A13" t="s">
        <v>266</v>
      </c>
      <c r="B13" s="33">
        <v>-17029091.589999996</v>
      </c>
      <c r="C13" s="33"/>
      <c r="D13" s="33">
        <v>0</v>
      </c>
      <c r="E13" s="33"/>
      <c r="F13" s="300">
        <f>88997.77-18613.36</f>
        <v>70384.41</v>
      </c>
      <c r="G13" s="33"/>
      <c r="H13" s="300">
        <v>0</v>
      </c>
      <c r="I13" s="33"/>
      <c r="J13" s="33">
        <f t="shared" si="0"/>
        <v>70384.41</v>
      </c>
      <c r="K13" s="33"/>
      <c r="L13" s="33">
        <f t="shared" si="1"/>
        <v>-16958707.179999996</v>
      </c>
      <c r="M13" s="1"/>
    </row>
    <row r="14" spans="1:13">
      <c r="A14" t="s">
        <v>84</v>
      </c>
      <c r="B14" s="33">
        <v>600967.29</v>
      </c>
      <c r="C14" s="33"/>
      <c r="D14" s="33">
        <v>0</v>
      </c>
      <c r="E14" s="33"/>
      <c r="F14" s="300">
        <v>0</v>
      </c>
      <c r="G14" s="33"/>
      <c r="H14" s="300">
        <v>0</v>
      </c>
      <c r="I14" s="33"/>
      <c r="J14" s="33">
        <f t="shared" si="0"/>
        <v>0</v>
      </c>
      <c r="K14" s="33"/>
      <c r="L14" s="33">
        <f t="shared" si="1"/>
        <v>600967.29</v>
      </c>
      <c r="M14" s="1"/>
    </row>
    <row r="15" spans="1:13">
      <c r="A15" t="s">
        <v>85</v>
      </c>
      <c r="B15" s="33">
        <v>-6942482.5999999996</v>
      </c>
      <c r="C15" s="33"/>
      <c r="D15" s="33">
        <v>0</v>
      </c>
      <c r="E15" s="33"/>
      <c r="F15" s="300">
        <v>76572.990000000005</v>
      </c>
      <c r="G15" s="33"/>
      <c r="H15" s="300">
        <v>0</v>
      </c>
      <c r="I15" s="33"/>
      <c r="J15" s="33">
        <f t="shared" si="0"/>
        <v>76572.990000000005</v>
      </c>
      <c r="K15" s="33"/>
      <c r="L15" s="33">
        <f t="shared" si="1"/>
        <v>-6865909.6099999994</v>
      </c>
      <c r="M15" s="1"/>
    </row>
    <row r="16" spans="1:13">
      <c r="A16" t="s">
        <v>86</v>
      </c>
      <c r="B16" s="33">
        <v>-146026.66999999998</v>
      </c>
      <c r="C16" s="33"/>
      <c r="D16" s="33">
        <v>0</v>
      </c>
      <c r="E16" s="33"/>
      <c r="F16" s="300">
        <v>0</v>
      </c>
      <c r="G16" s="33"/>
      <c r="H16" s="300">
        <v>0</v>
      </c>
      <c r="I16" s="33"/>
      <c r="J16" s="33">
        <f t="shared" si="0"/>
        <v>0</v>
      </c>
      <c r="K16" s="33"/>
      <c r="L16" s="33">
        <f t="shared" si="1"/>
        <v>-146026.66999999998</v>
      </c>
      <c r="M16" s="1"/>
    </row>
    <row r="17" spans="1:13">
      <c r="A17" t="s">
        <v>87</v>
      </c>
      <c r="B17" s="33">
        <v>-199308.37</v>
      </c>
      <c r="C17" s="33"/>
      <c r="D17" s="33">
        <v>0</v>
      </c>
      <c r="E17" s="33"/>
      <c r="F17" s="300">
        <v>0</v>
      </c>
      <c r="G17" s="33"/>
      <c r="H17" s="300">
        <v>0</v>
      </c>
      <c r="I17" s="33"/>
      <c r="J17" s="33">
        <f t="shared" si="0"/>
        <v>0</v>
      </c>
      <c r="K17" s="33"/>
      <c r="L17" s="33">
        <f t="shared" si="1"/>
        <v>-199308.37</v>
      </c>
      <c r="M17" s="1"/>
    </row>
    <row r="18" spans="1:13">
      <c r="A18" t="s">
        <v>88</v>
      </c>
      <c r="B18" s="33">
        <v>-1916398.4500000002</v>
      </c>
      <c r="C18" s="33"/>
      <c r="D18" s="33">
        <v>0</v>
      </c>
      <c r="E18" s="33"/>
      <c r="F18" s="300">
        <v>0</v>
      </c>
      <c r="G18" s="33"/>
      <c r="H18" s="300">
        <v>0</v>
      </c>
      <c r="I18" s="33"/>
      <c r="J18" s="33">
        <f t="shared" si="0"/>
        <v>0</v>
      </c>
      <c r="K18" s="33"/>
      <c r="L18" s="33">
        <f t="shared" si="1"/>
        <v>-1916398.4500000002</v>
      </c>
      <c r="M18" s="1"/>
    </row>
    <row r="19" spans="1:13">
      <c r="A19" t="s">
        <v>89</v>
      </c>
      <c r="B19" s="33">
        <v>-863581.7100000002</v>
      </c>
      <c r="C19" s="33"/>
      <c r="D19" s="168">
        <v>0</v>
      </c>
      <c r="E19" s="33"/>
      <c r="F19" s="168">
        <v>0</v>
      </c>
      <c r="G19" s="33"/>
      <c r="H19" s="168">
        <v>0</v>
      </c>
      <c r="I19" s="33"/>
      <c r="J19" s="33">
        <f t="shared" si="0"/>
        <v>0</v>
      </c>
      <c r="K19" s="33"/>
      <c r="L19" s="33">
        <f t="shared" si="1"/>
        <v>-863581.7100000002</v>
      </c>
      <c r="M19" s="1"/>
    </row>
    <row r="20" spans="1:13">
      <c r="A20" t="s">
        <v>90</v>
      </c>
      <c r="B20" s="33">
        <v>-8175460.9799999986</v>
      </c>
      <c r="C20" s="33"/>
      <c r="D20" s="33">
        <v>0</v>
      </c>
      <c r="E20" s="33"/>
      <c r="F20" s="300">
        <v>0</v>
      </c>
      <c r="G20" s="33"/>
      <c r="H20" s="300">
        <v>0</v>
      </c>
      <c r="I20" s="33"/>
      <c r="J20" s="33">
        <f t="shared" si="0"/>
        <v>0</v>
      </c>
      <c r="K20" s="33"/>
      <c r="L20" s="33">
        <f t="shared" si="1"/>
        <v>-8175460.9799999986</v>
      </c>
      <c r="M20" s="1"/>
    </row>
    <row r="21" spans="1:13">
      <c r="A21" t="s">
        <v>91</v>
      </c>
      <c r="B21" s="33">
        <v>-1352505.5799999998</v>
      </c>
      <c r="C21" s="33"/>
      <c r="D21" s="33">
        <v>0</v>
      </c>
      <c r="E21" s="33"/>
      <c r="F21" s="300">
        <v>0</v>
      </c>
      <c r="G21" s="33"/>
      <c r="H21" s="300">
        <v>0</v>
      </c>
      <c r="I21" s="33"/>
      <c r="J21" s="33">
        <f t="shared" si="0"/>
        <v>0</v>
      </c>
      <c r="K21" s="33"/>
      <c r="L21" s="33">
        <f t="shared" si="1"/>
        <v>-1352505.5799999998</v>
      </c>
      <c r="M21" s="1"/>
    </row>
    <row r="22" spans="1:13">
      <c r="A22" s="179" t="s">
        <v>1430</v>
      </c>
      <c r="B22" s="300">
        <v>-85821.35</v>
      </c>
      <c r="C22" s="300"/>
      <c r="D22" s="300">
        <v>0</v>
      </c>
      <c r="E22" s="300"/>
      <c r="F22" s="300">
        <v>0</v>
      </c>
      <c r="G22" s="300"/>
      <c r="H22" s="300">
        <v>0</v>
      </c>
      <c r="I22" s="300"/>
      <c r="J22" s="300">
        <f t="shared" si="0"/>
        <v>0</v>
      </c>
      <c r="K22" s="300"/>
      <c r="L22" s="300">
        <f t="shared" si="1"/>
        <v>-85821.35</v>
      </c>
      <c r="M22" s="1"/>
    </row>
    <row r="23" spans="1:13">
      <c r="A23" t="s">
        <v>92</v>
      </c>
      <c r="B23" s="33">
        <v>-743414.12999999989</v>
      </c>
      <c r="C23" s="33"/>
      <c r="D23" s="180">
        <v>0</v>
      </c>
      <c r="E23" s="33"/>
      <c r="F23" s="180">
        <v>0</v>
      </c>
      <c r="G23" s="33"/>
      <c r="H23" s="180">
        <v>0</v>
      </c>
      <c r="I23" s="33"/>
      <c r="J23" s="33">
        <f t="shared" si="0"/>
        <v>0</v>
      </c>
      <c r="K23" s="33"/>
      <c r="L23" s="33">
        <f t="shared" si="1"/>
        <v>-743414.12999999989</v>
      </c>
      <c r="M23" s="1"/>
    </row>
    <row r="24" spans="1:13">
      <c r="A24" t="s">
        <v>93</v>
      </c>
      <c r="B24" s="33">
        <v>-99859.38</v>
      </c>
      <c r="C24" s="33"/>
      <c r="D24" s="33">
        <v>0</v>
      </c>
      <c r="E24" s="33"/>
      <c r="F24" s="300">
        <v>0</v>
      </c>
      <c r="G24" s="33"/>
      <c r="H24" s="300">
        <v>0</v>
      </c>
      <c r="I24" s="33"/>
      <c r="J24" s="33">
        <f t="shared" si="0"/>
        <v>0</v>
      </c>
      <c r="K24" s="33"/>
      <c r="L24" s="33">
        <f t="shared" si="1"/>
        <v>-99859.38</v>
      </c>
      <c r="M24" s="1"/>
    </row>
    <row r="25" spans="1:13">
      <c r="A25" t="s">
        <v>94</v>
      </c>
      <c r="B25" s="33">
        <v>-28332.58</v>
      </c>
      <c r="C25" s="33"/>
      <c r="D25" s="33">
        <v>0</v>
      </c>
      <c r="E25" s="33"/>
      <c r="F25" s="300">
        <v>0</v>
      </c>
      <c r="G25" s="33"/>
      <c r="H25" s="300">
        <v>0</v>
      </c>
      <c r="I25" s="33"/>
      <c r="J25" s="33">
        <f t="shared" si="0"/>
        <v>0</v>
      </c>
      <c r="K25" s="33"/>
      <c r="L25" s="33">
        <f t="shared" si="1"/>
        <v>-28332.58</v>
      </c>
      <c r="M25" s="1"/>
    </row>
    <row r="26" spans="1:13">
      <c r="A26" t="s">
        <v>95</v>
      </c>
      <c r="B26" s="33">
        <v>-466972.45999999996</v>
      </c>
      <c r="C26" s="33"/>
      <c r="D26" s="33">
        <v>0</v>
      </c>
      <c r="E26" s="33"/>
      <c r="F26" s="300">
        <v>0</v>
      </c>
      <c r="G26" s="33"/>
      <c r="H26" s="300">
        <v>0</v>
      </c>
      <c r="I26" s="33"/>
      <c r="J26" s="33">
        <f t="shared" si="0"/>
        <v>0</v>
      </c>
      <c r="K26" s="33"/>
      <c r="L26" s="33">
        <f t="shared" si="1"/>
        <v>-466972.45999999996</v>
      </c>
      <c r="M26" s="1"/>
    </row>
    <row r="27" spans="1:13">
      <c r="A27" t="s">
        <v>96</v>
      </c>
      <c r="B27" s="33">
        <v>-921632.03</v>
      </c>
      <c r="C27" s="33"/>
      <c r="D27" s="33">
        <v>0</v>
      </c>
      <c r="E27" s="33"/>
      <c r="F27" s="300">
        <v>0</v>
      </c>
      <c r="G27" s="33"/>
      <c r="H27" s="300">
        <v>-174.36</v>
      </c>
      <c r="I27" s="33"/>
      <c r="J27" s="33">
        <f t="shared" si="0"/>
        <v>-174.36</v>
      </c>
      <c r="K27" s="33"/>
      <c r="L27" s="33">
        <f t="shared" si="1"/>
        <v>-921806.39</v>
      </c>
      <c r="M27" s="1"/>
    </row>
    <row r="28" spans="1:13">
      <c r="A28" t="s">
        <v>97</v>
      </c>
      <c r="B28" s="33">
        <v>-231.25</v>
      </c>
      <c r="C28" s="33"/>
      <c r="D28" s="33">
        <v>0</v>
      </c>
      <c r="E28" s="33"/>
      <c r="F28" s="300">
        <v>0</v>
      </c>
      <c r="G28" s="33"/>
      <c r="H28" s="300">
        <v>0</v>
      </c>
      <c r="I28" s="33"/>
      <c r="J28" s="33">
        <f t="shared" si="0"/>
        <v>0</v>
      </c>
      <c r="K28" s="33"/>
      <c r="L28" s="33">
        <f t="shared" si="1"/>
        <v>-231.25</v>
      </c>
      <c r="M28" s="1"/>
    </row>
    <row r="29" spans="1:13">
      <c r="A29" t="s">
        <v>98</v>
      </c>
      <c r="B29" s="33">
        <v>-202390.13</v>
      </c>
      <c r="C29" s="33"/>
      <c r="D29" s="33">
        <v>0</v>
      </c>
      <c r="E29" s="33"/>
      <c r="F29" s="300">
        <v>0</v>
      </c>
      <c r="G29" s="33"/>
      <c r="H29" s="300">
        <v>0</v>
      </c>
      <c r="I29" s="33"/>
      <c r="J29" s="33">
        <f t="shared" si="0"/>
        <v>0</v>
      </c>
      <c r="K29" s="33"/>
      <c r="L29" s="33">
        <f t="shared" si="1"/>
        <v>-202390.13</v>
      </c>
      <c r="M29" s="1"/>
    </row>
    <row r="30" spans="1:13">
      <c r="A30" t="s">
        <v>99</v>
      </c>
      <c r="B30" s="33">
        <v>-9369.6299999999992</v>
      </c>
      <c r="C30" s="33"/>
      <c r="D30" s="33">
        <v>0</v>
      </c>
      <c r="E30" s="33"/>
      <c r="F30" s="300">
        <v>0</v>
      </c>
      <c r="G30" s="33"/>
      <c r="H30" s="300">
        <v>0</v>
      </c>
      <c r="I30" s="33"/>
      <c r="J30" s="33">
        <f t="shared" si="0"/>
        <v>0</v>
      </c>
      <c r="K30" s="33"/>
      <c r="L30" s="33">
        <f t="shared" si="1"/>
        <v>-9369.6299999999992</v>
      </c>
      <c r="M30" s="1"/>
    </row>
    <row r="31" spans="1:13">
      <c r="A31" t="s">
        <v>4</v>
      </c>
      <c r="B31" s="33">
        <v>-18139390.369999997</v>
      </c>
      <c r="C31" s="33"/>
      <c r="D31" s="33">
        <v>0</v>
      </c>
      <c r="E31" s="33"/>
      <c r="F31" s="300">
        <v>208.14</v>
      </c>
      <c r="G31" s="33"/>
      <c r="H31" s="300">
        <v>0</v>
      </c>
      <c r="I31" s="33"/>
      <c r="J31" s="33">
        <f t="shared" si="0"/>
        <v>208.14</v>
      </c>
      <c r="K31" s="33"/>
      <c r="L31" s="33">
        <f t="shared" si="1"/>
        <v>-18139182.229999997</v>
      </c>
      <c r="M31" s="1"/>
    </row>
    <row r="32" spans="1:13">
      <c r="A32" t="s">
        <v>100</v>
      </c>
      <c r="B32" s="33">
        <v>-5741950.46</v>
      </c>
      <c r="C32" s="33"/>
      <c r="D32" s="33">
        <v>0</v>
      </c>
      <c r="E32" s="33"/>
      <c r="F32" s="300">
        <v>0</v>
      </c>
      <c r="G32" s="33"/>
      <c r="H32" s="300">
        <v>0</v>
      </c>
      <c r="I32" s="33"/>
      <c r="J32" s="33">
        <f t="shared" si="0"/>
        <v>0</v>
      </c>
      <c r="K32" s="33"/>
      <c r="L32" s="33">
        <f t="shared" si="1"/>
        <v>-5741950.46</v>
      </c>
      <c r="M32" s="1"/>
    </row>
    <row r="33" spans="1:13">
      <c r="A33" t="s">
        <v>101</v>
      </c>
      <c r="B33" s="33">
        <v>-174.36000000010245</v>
      </c>
      <c r="C33" s="33"/>
      <c r="D33" s="33">
        <v>0</v>
      </c>
      <c r="E33" s="33"/>
      <c r="F33" s="300">
        <v>0</v>
      </c>
      <c r="G33" s="33"/>
      <c r="H33" s="300">
        <v>174.36</v>
      </c>
      <c r="I33" s="33"/>
      <c r="J33" s="33">
        <f t="shared" si="0"/>
        <v>174.36</v>
      </c>
      <c r="K33" s="33"/>
      <c r="L33" s="33">
        <f t="shared" si="1"/>
        <v>-1.0243184078717604E-10</v>
      </c>
      <c r="M33" s="1"/>
    </row>
    <row r="34" spans="1:13">
      <c r="A34" t="s">
        <v>102</v>
      </c>
      <c r="B34" s="33">
        <v>0</v>
      </c>
      <c r="C34" s="33"/>
      <c r="D34" s="33">
        <v>0</v>
      </c>
      <c r="E34" s="33"/>
      <c r="F34" s="300">
        <v>0</v>
      </c>
      <c r="G34" s="33"/>
      <c r="H34" s="300">
        <v>0</v>
      </c>
      <c r="I34" s="33"/>
      <c r="J34" s="33">
        <f t="shared" si="0"/>
        <v>0</v>
      </c>
      <c r="K34" s="33"/>
      <c r="L34" s="33">
        <f t="shared" si="1"/>
        <v>0</v>
      </c>
      <c r="M34" s="1"/>
    </row>
    <row r="35" spans="1:13">
      <c r="A35" t="s">
        <v>103</v>
      </c>
      <c r="B35" s="33">
        <v>0</v>
      </c>
      <c r="C35" s="33"/>
      <c r="D35" s="33">
        <v>0</v>
      </c>
      <c r="E35" s="33"/>
      <c r="F35" s="300">
        <v>0</v>
      </c>
      <c r="G35" s="33"/>
      <c r="H35" s="300">
        <v>0</v>
      </c>
      <c r="I35" s="33"/>
      <c r="J35" s="33">
        <f t="shared" si="0"/>
        <v>0</v>
      </c>
      <c r="K35" s="33"/>
      <c r="L35" s="33">
        <f t="shared" si="1"/>
        <v>0</v>
      </c>
      <c r="M35" s="1"/>
    </row>
    <row r="36" spans="1:13">
      <c r="A36" t="s">
        <v>267</v>
      </c>
      <c r="B36" s="33">
        <v>0</v>
      </c>
      <c r="C36" s="33"/>
      <c r="D36" s="33">
        <v>0</v>
      </c>
      <c r="E36" s="33"/>
      <c r="F36" s="300">
        <v>0</v>
      </c>
      <c r="G36" s="33"/>
      <c r="H36" s="300">
        <v>0</v>
      </c>
      <c r="I36" s="33"/>
      <c r="J36" s="33">
        <f t="shared" si="0"/>
        <v>0</v>
      </c>
      <c r="K36" s="33"/>
      <c r="L36" s="33">
        <f t="shared" si="1"/>
        <v>0</v>
      </c>
      <c r="M36" s="1"/>
    </row>
    <row r="37" spans="1:13">
      <c r="A37" t="s">
        <v>268</v>
      </c>
      <c r="B37" s="33">
        <v>-5067676.8100000005</v>
      </c>
      <c r="C37" s="33"/>
      <c r="D37" s="33">
        <v>0</v>
      </c>
      <c r="E37" s="33"/>
      <c r="F37" s="300">
        <v>793063.15</v>
      </c>
      <c r="G37" s="33"/>
      <c r="H37" s="300">
        <v>0</v>
      </c>
      <c r="I37" s="33"/>
      <c r="J37" s="33">
        <f t="shared" si="0"/>
        <v>793063.15</v>
      </c>
      <c r="K37" s="33"/>
      <c r="L37" s="33">
        <f t="shared" si="1"/>
        <v>-4274613.66</v>
      </c>
      <c r="M37" s="1"/>
    </row>
    <row r="38" spans="1:13">
      <c r="A38" t="s">
        <v>1023</v>
      </c>
      <c r="B38" s="33">
        <v>-6298007.6399999997</v>
      </c>
      <c r="C38" s="33"/>
      <c r="D38" s="33">
        <v>0</v>
      </c>
      <c r="E38" s="33"/>
      <c r="F38" s="300">
        <v>0</v>
      </c>
      <c r="G38" s="33"/>
      <c r="H38" s="300">
        <v>0</v>
      </c>
      <c r="I38" s="33"/>
      <c r="J38" s="33">
        <f t="shared" si="0"/>
        <v>0</v>
      </c>
      <c r="K38" s="33"/>
      <c r="L38" s="33">
        <f t="shared" si="1"/>
        <v>-6298007.6399999997</v>
      </c>
      <c r="M38" s="1"/>
    </row>
    <row r="39" spans="1:13">
      <c r="A39" t="s">
        <v>269</v>
      </c>
      <c r="B39" s="35">
        <v>0</v>
      </c>
      <c r="C39" s="37"/>
      <c r="D39" s="35">
        <v>0</v>
      </c>
      <c r="E39" s="37"/>
      <c r="F39" s="35">
        <v>0</v>
      </c>
      <c r="G39" s="37"/>
      <c r="H39" s="35">
        <v>0</v>
      </c>
      <c r="I39" s="37"/>
      <c r="J39" s="35">
        <f t="shared" si="0"/>
        <v>0</v>
      </c>
      <c r="K39" s="37"/>
      <c r="L39" s="35">
        <f t="shared" si="1"/>
        <v>0</v>
      </c>
      <c r="M39" s="6"/>
    </row>
    <row r="40" spans="1:13">
      <c r="B40" s="37">
        <f>SUM(B11:B39)</f>
        <v>-73957022.5</v>
      </c>
      <c r="C40" s="37"/>
      <c r="D40" s="37">
        <f>SUM(D11:D39)</f>
        <v>0</v>
      </c>
      <c r="E40" s="37"/>
      <c r="F40" s="37">
        <f>SUM(F11:F39)</f>
        <v>940228.69000000006</v>
      </c>
      <c r="G40" s="37"/>
      <c r="H40" s="37">
        <f>SUM(H11:H39)</f>
        <v>0</v>
      </c>
      <c r="I40" s="37"/>
      <c r="J40" s="37">
        <f>SUM(J11:J39)</f>
        <v>940228.69000000006</v>
      </c>
      <c r="K40" s="37"/>
      <c r="L40" s="37">
        <f>SUM(L11:L39)</f>
        <v>-73016793.810000002</v>
      </c>
      <c r="M40" s="6"/>
    </row>
    <row r="41" spans="1:13">
      <c r="B41" s="37"/>
      <c r="C41" s="37"/>
      <c r="D41" s="37"/>
      <c r="E41" s="37"/>
      <c r="F41" s="37"/>
      <c r="G41" s="37"/>
      <c r="H41" s="37"/>
      <c r="I41" s="37"/>
      <c r="J41" s="37"/>
      <c r="K41" s="37"/>
      <c r="L41" s="37"/>
      <c r="M41" s="6"/>
    </row>
    <row r="42" spans="1:13">
      <c r="B42" s="37"/>
      <c r="C42" s="37"/>
      <c r="D42" s="37"/>
      <c r="E42" s="37"/>
      <c r="F42" s="37"/>
      <c r="G42" s="37"/>
      <c r="H42" s="37"/>
      <c r="I42" s="37"/>
      <c r="J42" s="37"/>
      <c r="K42" s="37"/>
      <c r="L42" s="37"/>
      <c r="M42" s="6"/>
    </row>
    <row r="43" spans="1:13">
      <c r="A43" s="3" t="s">
        <v>601</v>
      </c>
      <c r="B43" s="34">
        <f>B40</f>
        <v>-73957022.5</v>
      </c>
      <c r="C43" s="6"/>
      <c r="D43" s="34">
        <f>D40</f>
        <v>0</v>
      </c>
      <c r="E43" s="6"/>
      <c r="F43" s="34">
        <f>F40</f>
        <v>940228.69000000006</v>
      </c>
      <c r="G43" s="6"/>
      <c r="H43" s="34">
        <f>H40</f>
        <v>0</v>
      </c>
      <c r="I43" s="6"/>
      <c r="J43" s="34">
        <f>J40</f>
        <v>940228.69000000006</v>
      </c>
      <c r="K43" s="6"/>
      <c r="L43" s="34">
        <f>L40</f>
        <v>-73016793.810000002</v>
      </c>
      <c r="M43" s="6"/>
    </row>
    <row r="44" spans="1:13" s="10" customFormat="1">
      <c r="B44" s="27"/>
      <c r="C44" s="27"/>
      <c r="D44" s="27"/>
      <c r="E44" s="27"/>
      <c r="F44" s="27"/>
      <c r="G44" s="27"/>
      <c r="H44" s="27"/>
      <c r="I44" s="27"/>
      <c r="J44" s="27"/>
      <c r="K44" s="27"/>
      <c r="L44" s="27"/>
      <c r="M44" s="262"/>
    </row>
    <row r="45" spans="1:13" s="10" customFormat="1">
      <c r="B45" s="27"/>
      <c r="C45" s="27"/>
      <c r="D45" s="27"/>
      <c r="E45" s="27"/>
      <c r="F45" s="27"/>
      <c r="G45" s="27"/>
      <c r="H45" s="27"/>
      <c r="I45" s="27"/>
      <c r="J45" s="27"/>
      <c r="K45" s="27"/>
      <c r="L45" s="27"/>
      <c r="M45" s="262"/>
    </row>
    <row r="46" spans="1:13" s="10" customFormat="1">
      <c r="A46" s="12" t="s">
        <v>573</v>
      </c>
      <c r="B46" s="27"/>
      <c r="C46" s="27"/>
      <c r="D46" s="27"/>
      <c r="E46" s="27"/>
      <c r="F46" s="27"/>
      <c r="G46" s="27"/>
      <c r="H46" s="27"/>
      <c r="I46" s="27"/>
      <c r="J46" s="27"/>
      <c r="K46" s="27"/>
      <c r="L46" s="27"/>
      <c r="M46" s="262"/>
    </row>
    <row r="47" spans="1:13" s="10" customFormat="1">
      <c r="A47" s="12" t="s">
        <v>807</v>
      </c>
      <c r="B47" s="27"/>
      <c r="C47" s="27"/>
      <c r="D47" s="27"/>
      <c r="E47" s="27"/>
      <c r="F47" s="27"/>
      <c r="G47" s="27"/>
      <c r="H47" s="27"/>
      <c r="I47" s="27"/>
      <c r="J47" s="27"/>
      <c r="K47" s="27"/>
      <c r="L47" s="27"/>
      <c r="M47" s="262"/>
    </row>
    <row r="48" spans="1:13" s="10" customFormat="1">
      <c r="A48" s="10" t="s">
        <v>266</v>
      </c>
      <c r="B48" s="27">
        <v>0</v>
      </c>
      <c r="C48" s="27"/>
      <c r="D48" s="27">
        <v>0</v>
      </c>
      <c r="E48" s="27"/>
      <c r="F48" s="27">
        <v>0</v>
      </c>
      <c r="G48" s="27"/>
      <c r="H48" s="27">
        <v>0</v>
      </c>
      <c r="I48" s="27"/>
      <c r="J48" s="27">
        <f t="shared" ref="J48:J61" si="2">H48+F48+D48</f>
        <v>0</v>
      </c>
      <c r="K48" s="27"/>
      <c r="L48" s="27">
        <f t="shared" ref="L48:L61" si="3">J48+B48</f>
        <v>0</v>
      </c>
      <c r="M48" s="262"/>
    </row>
    <row r="49" spans="1:13" s="10" customFormat="1">
      <c r="A49" s="10" t="s">
        <v>88</v>
      </c>
      <c r="B49" s="27">
        <v>0</v>
      </c>
      <c r="C49" s="27"/>
      <c r="D49" s="27">
        <v>0</v>
      </c>
      <c r="E49" s="27"/>
      <c r="F49" s="27">
        <v>0</v>
      </c>
      <c r="G49" s="27"/>
      <c r="H49" s="27">
        <v>0</v>
      </c>
      <c r="I49" s="27"/>
      <c r="J49" s="27">
        <f t="shared" si="2"/>
        <v>0</v>
      </c>
      <c r="K49" s="27"/>
      <c r="L49" s="27">
        <f t="shared" si="3"/>
        <v>0</v>
      </c>
      <c r="M49" s="262"/>
    </row>
    <row r="50" spans="1:13" s="10" customFormat="1">
      <c r="A50" s="10" t="s">
        <v>89</v>
      </c>
      <c r="B50" s="27">
        <v>0</v>
      </c>
      <c r="C50" s="27"/>
      <c r="D50" s="27">
        <v>0</v>
      </c>
      <c r="E50" s="27"/>
      <c r="F50" s="27">
        <v>0</v>
      </c>
      <c r="G50" s="27"/>
      <c r="H50" s="27">
        <v>0</v>
      </c>
      <c r="I50" s="27"/>
      <c r="J50" s="27">
        <f t="shared" si="2"/>
        <v>0</v>
      </c>
      <c r="K50" s="27"/>
      <c r="L50" s="27">
        <f t="shared" si="3"/>
        <v>0</v>
      </c>
      <c r="M50" s="262"/>
    </row>
    <row r="51" spans="1:13" s="10" customFormat="1">
      <c r="A51" s="10" t="s">
        <v>90</v>
      </c>
      <c r="B51" s="27">
        <v>0</v>
      </c>
      <c r="C51" s="27"/>
      <c r="D51" s="27">
        <v>0</v>
      </c>
      <c r="E51" s="27"/>
      <c r="F51" s="27">
        <v>0</v>
      </c>
      <c r="G51" s="27"/>
      <c r="H51" s="27">
        <v>0</v>
      </c>
      <c r="I51" s="27"/>
      <c r="J51" s="27">
        <f t="shared" si="2"/>
        <v>0</v>
      </c>
      <c r="K51" s="27"/>
      <c r="L51" s="27">
        <f t="shared" si="3"/>
        <v>0</v>
      </c>
      <c r="M51" s="262"/>
    </row>
    <row r="52" spans="1:13" s="10" customFormat="1">
      <c r="A52" s="10" t="s">
        <v>91</v>
      </c>
      <c r="B52" s="27">
        <v>0</v>
      </c>
      <c r="C52" s="27"/>
      <c r="D52" s="27">
        <v>0</v>
      </c>
      <c r="E52" s="27"/>
      <c r="F52" s="27">
        <v>0</v>
      </c>
      <c r="G52" s="27"/>
      <c r="H52" s="27">
        <v>0</v>
      </c>
      <c r="I52" s="27"/>
      <c r="J52" s="27">
        <f t="shared" si="2"/>
        <v>0</v>
      </c>
      <c r="K52" s="27"/>
      <c r="L52" s="27">
        <f t="shared" si="3"/>
        <v>0</v>
      </c>
      <c r="M52" s="262"/>
    </row>
    <row r="53" spans="1:13" s="10" customFormat="1">
      <c r="A53" s="10" t="s">
        <v>92</v>
      </c>
      <c r="B53" s="27">
        <v>0</v>
      </c>
      <c r="C53" s="27"/>
      <c r="D53" s="27">
        <v>0</v>
      </c>
      <c r="E53" s="27"/>
      <c r="F53" s="27">
        <v>0</v>
      </c>
      <c r="G53" s="27"/>
      <c r="H53" s="27">
        <v>0</v>
      </c>
      <c r="I53" s="27"/>
      <c r="J53" s="27">
        <f t="shared" si="2"/>
        <v>0</v>
      </c>
      <c r="K53" s="27"/>
      <c r="L53" s="27">
        <f t="shared" si="3"/>
        <v>0</v>
      </c>
      <c r="M53" s="262"/>
    </row>
    <row r="54" spans="1:13" s="10" customFormat="1">
      <c r="A54" s="10" t="s">
        <v>94</v>
      </c>
      <c r="B54" s="27">
        <v>0</v>
      </c>
      <c r="C54" s="27"/>
      <c r="D54" s="27">
        <v>0</v>
      </c>
      <c r="E54" s="27"/>
      <c r="F54" s="27">
        <v>0</v>
      </c>
      <c r="G54" s="27"/>
      <c r="H54" s="27">
        <v>0</v>
      </c>
      <c r="I54" s="27"/>
      <c r="J54" s="27">
        <f t="shared" si="2"/>
        <v>0</v>
      </c>
      <c r="K54" s="27"/>
      <c r="L54" s="27">
        <f t="shared" si="3"/>
        <v>0</v>
      </c>
      <c r="M54" s="262"/>
    </row>
    <row r="55" spans="1:13" s="10" customFormat="1">
      <c r="A55" s="10" t="s">
        <v>95</v>
      </c>
      <c r="B55" s="27">
        <v>0</v>
      </c>
      <c r="C55" s="27"/>
      <c r="D55" s="27">
        <v>0</v>
      </c>
      <c r="E55" s="27"/>
      <c r="F55" s="27">
        <v>0</v>
      </c>
      <c r="G55" s="27"/>
      <c r="H55" s="27">
        <v>0</v>
      </c>
      <c r="I55" s="27"/>
      <c r="J55" s="27">
        <f t="shared" si="2"/>
        <v>0</v>
      </c>
      <c r="K55" s="27"/>
      <c r="L55" s="27">
        <f t="shared" si="3"/>
        <v>0</v>
      </c>
      <c r="M55" s="262"/>
    </row>
    <row r="56" spans="1:13" s="10" customFormat="1">
      <c r="A56" s="10" t="s">
        <v>96</v>
      </c>
      <c r="B56" s="27">
        <v>0</v>
      </c>
      <c r="C56" s="27"/>
      <c r="D56" s="27">
        <v>0</v>
      </c>
      <c r="E56" s="27"/>
      <c r="F56" s="27">
        <v>0</v>
      </c>
      <c r="G56" s="27"/>
      <c r="H56" s="27">
        <v>0</v>
      </c>
      <c r="I56" s="27"/>
      <c r="J56" s="27">
        <f t="shared" si="2"/>
        <v>0</v>
      </c>
      <c r="K56" s="27"/>
      <c r="L56" s="27">
        <f t="shared" si="3"/>
        <v>0</v>
      </c>
      <c r="M56" s="262"/>
    </row>
    <row r="57" spans="1:13" s="10" customFormat="1">
      <c r="A57" s="10" t="s">
        <v>4</v>
      </c>
      <c r="B57" s="27">
        <v>0</v>
      </c>
      <c r="C57" s="27"/>
      <c r="D57" s="27">
        <v>0</v>
      </c>
      <c r="E57" s="27"/>
      <c r="F57" s="27">
        <v>0</v>
      </c>
      <c r="G57" s="27"/>
      <c r="H57" s="27">
        <v>0</v>
      </c>
      <c r="I57" s="27"/>
      <c r="J57" s="27">
        <f t="shared" si="2"/>
        <v>0</v>
      </c>
      <c r="K57" s="27"/>
      <c r="L57" s="27">
        <f t="shared" si="3"/>
        <v>0</v>
      </c>
      <c r="M57" s="262"/>
    </row>
    <row r="58" spans="1:13" s="10" customFormat="1">
      <c r="A58" s="10" t="s">
        <v>100</v>
      </c>
      <c r="B58" s="27">
        <v>0</v>
      </c>
      <c r="C58" s="27"/>
      <c r="D58" s="27">
        <v>0</v>
      </c>
      <c r="E58" s="27"/>
      <c r="F58" s="27">
        <v>0</v>
      </c>
      <c r="G58" s="27"/>
      <c r="H58" s="27">
        <v>0</v>
      </c>
      <c r="I58" s="27"/>
      <c r="J58" s="27">
        <f t="shared" si="2"/>
        <v>0</v>
      </c>
      <c r="K58" s="27"/>
      <c r="L58" s="27">
        <f t="shared" si="3"/>
        <v>0</v>
      </c>
      <c r="M58" s="262"/>
    </row>
    <row r="59" spans="1:13" s="10" customFormat="1">
      <c r="A59" s="10" t="s">
        <v>498</v>
      </c>
      <c r="B59" s="27">
        <v>0</v>
      </c>
      <c r="C59" s="27"/>
      <c r="D59" s="27">
        <v>0</v>
      </c>
      <c r="E59" s="27"/>
      <c r="F59" s="27">
        <v>0</v>
      </c>
      <c r="G59" s="27"/>
      <c r="H59" s="27">
        <v>0</v>
      </c>
      <c r="I59" s="27"/>
      <c r="J59" s="27">
        <f>H59+F59+D59</f>
        <v>0</v>
      </c>
      <c r="K59" s="27"/>
      <c r="L59" s="27">
        <f>J59+B59</f>
        <v>0</v>
      </c>
      <c r="M59" s="262"/>
    </row>
    <row r="60" spans="1:13" s="10" customFormat="1">
      <c r="A60" s="10" t="s">
        <v>268</v>
      </c>
      <c r="B60" s="27">
        <v>0</v>
      </c>
      <c r="C60" s="27"/>
      <c r="D60" s="27">
        <v>0</v>
      </c>
      <c r="E60" s="27"/>
      <c r="F60" s="27">
        <v>0</v>
      </c>
      <c r="G60" s="27"/>
      <c r="H60" s="27">
        <v>0</v>
      </c>
      <c r="I60" s="27"/>
      <c r="J60" s="27">
        <f t="shared" ref="J60" si="4">H60+F60+D60</f>
        <v>0</v>
      </c>
      <c r="K60" s="27"/>
      <c r="L60" s="27">
        <f t="shared" ref="L60" si="5">J60+B60</f>
        <v>0</v>
      </c>
      <c r="M60" s="262"/>
    </row>
    <row r="61" spans="1:13" s="10" customFormat="1">
      <c r="A61" s="10" t="s">
        <v>1023</v>
      </c>
      <c r="B61" s="28">
        <v>0</v>
      </c>
      <c r="C61" s="27"/>
      <c r="D61" s="28">
        <v>0</v>
      </c>
      <c r="E61" s="27"/>
      <c r="F61" s="28">
        <v>0</v>
      </c>
      <c r="G61" s="27"/>
      <c r="H61" s="28">
        <v>0</v>
      </c>
      <c r="I61" s="27"/>
      <c r="J61" s="28">
        <f t="shared" si="2"/>
        <v>0</v>
      </c>
      <c r="K61" s="27"/>
      <c r="L61" s="28">
        <f t="shared" si="3"/>
        <v>0</v>
      </c>
      <c r="M61" s="262"/>
    </row>
    <row r="62" spans="1:13" s="10" customFormat="1">
      <c r="B62" s="27">
        <f>SUM(B48:B61)</f>
        <v>0</v>
      </c>
      <c r="C62" s="27"/>
      <c r="D62" s="27">
        <f>SUM(D48:D61)</f>
        <v>0</v>
      </c>
      <c r="E62" s="27"/>
      <c r="F62" s="27">
        <f>SUM(F48:F61)</f>
        <v>0</v>
      </c>
      <c r="G62" s="27"/>
      <c r="H62" s="27">
        <f>SUM(H48:H61)</f>
        <v>0</v>
      </c>
      <c r="I62" s="27"/>
      <c r="J62" s="27">
        <f>SUM(J48:J61)</f>
        <v>0</v>
      </c>
      <c r="K62" s="27"/>
      <c r="L62" s="27">
        <f>SUM(L48:L61)</f>
        <v>0</v>
      </c>
      <c r="M62" s="262"/>
    </row>
    <row r="63" spans="1:13" s="10" customFormat="1">
      <c r="B63" s="27"/>
      <c r="C63" s="27"/>
      <c r="D63" s="27"/>
      <c r="E63" s="27"/>
      <c r="F63" s="27"/>
      <c r="G63" s="27"/>
      <c r="H63" s="27"/>
      <c r="I63" s="27"/>
      <c r="J63" s="27"/>
      <c r="K63" s="27"/>
      <c r="L63" s="27"/>
      <c r="M63" s="262"/>
    </row>
    <row r="64" spans="1:13" s="10" customFormat="1">
      <c r="B64" s="27"/>
      <c r="C64" s="27"/>
      <c r="D64" s="27"/>
      <c r="E64" s="27"/>
      <c r="F64" s="27"/>
      <c r="G64" s="27"/>
      <c r="H64" s="27"/>
      <c r="I64" s="27"/>
      <c r="J64" s="27"/>
      <c r="K64" s="27"/>
      <c r="L64" s="27"/>
      <c r="M64" s="262"/>
    </row>
    <row r="65" spans="1:13" s="10" customFormat="1">
      <c r="A65" s="12" t="s">
        <v>602</v>
      </c>
      <c r="B65" s="25">
        <f>B62</f>
        <v>0</v>
      </c>
      <c r="C65" s="262"/>
      <c r="D65" s="25">
        <f>D62</f>
        <v>0</v>
      </c>
      <c r="E65" s="262"/>
      <c r="F65" s="25">
        <f>F62</f>
        <v>0</v>
      </c>
      <c r="G65" s="262"/>
      <c r="H65" s="25">
        <f>H62</f>
        <v>0</v>
      </c>
      <c r="I65" s="262"/>
      <c r="J65" s="25">
        <f>J62</f>
        <v>0</v>
      </c>
      <c r="K65" s="262"/>
      <c r="L65" s="25">
        <f>L62</f>
        <v>0</v>
      </c>
      <c r="M65" s="262"/>
    </row>
    <row r="66" spans="1:13" s="10" customFormat="1">
      <c r="B66" s="27"/>
      <c r="C66" s="27"/>
      <c r="D66" s="27"/>
      <c r="E66" s="27"/>
      <c r="F66" s="27"/>
      <c r="G66" s="27"/>
      <c r="H66" s="27"/>
      <c r="I66" s="27"/>
      <c r="J66" s="27"/>
      <c r="K66" s="27"/>
      <c r="L66" s="27"/>
      <c r="M66" s="262"/>
    </row>
    <row r="67" spans="1:13" s="10" customFormat="1">
      <c r="B67" s="24"/>
      <c r="C67" s="24"/>
      <c r="D67" s="24"/>
      <c r="E67" s="24"/>
      <c r="F67" s="24"/>
      <c r="G67" s="24"/>
      <c r="H67" s="24"/>
      <c r="I67" s="24"/>
      <c r="J67" s="24"/>
      <c r="K67" s="24"/>
      <c r="L67" s="24"/>
      <c r="M67" s="8"/>
    </row>
    <row r="68" spans="1:13" ht="13.5" thickBot="1">
      <c r="A68" s="3" t="s">
        <v>685</v>
      </c>
      <c r="B68" s="44">
        <f>B43+B65</f>
        <v>-73957022.5</v>
      </c>
      <c r="C68" s="33"/>
      <c r="D68" s="44">
        <f>D43+D65</f>
        <v>0</v>
      </c>
      <c r="E68" s="33"/>
      <c r="F68" s="44">
        <f>F43+F65</f>
        <v>940228.69000000006</v>
      </c>
      <c r="G68" s="33"/>
      <c r="H68" s="44">
        <f>H43+H65</f>
        <v>0</v>
      </c>
      <c r="I68" s="33"/>
      <c r="J68" s="44">
        <f>J43+J65</f>
        <v>940228.69000000006</v>
      </c>
      <c r="K68" s="33"/>
      <c r="L68" s="44">
        <f>L43+L65</f>
        <v>-73016793.810000002</v>
      </c>
      <c r="M68" s="1"/>
    </row>
    <row r="69" spans="1:13" ht="13.5" thickTop="1">
      <c r="B69" s="33"/>
      <c r="C69" s="33"/>
      <c r="D69" s="33"/>
      <c r="E69" s="33"/>
      <c r="F69" s="33"/>
      <c r="G69" s="33"/>
      <c r="H69" s="33"/>
      <c r="I69" s="33"/>
      <c r="J69" s="33"/>
      <c r="K69" s="33"/>
      <c r="L69" s="33"/>
      <c r="M69" s="1"/>
    </row>
    <row r="70" spans="1:13">
      <c r="B70" s="1"/>
      <c r="C70" s="1"/>
      <c r="D70" s="1"/>
      <c r="E70" s="1"/>
      <c r="F70" s="1"/>
      <c r="G70" s="1"/>
      <c r="H70" s="1"/>
      <c r="I70" s="1"/>
      <c r="J70" s="1"/>
      <c r="K70" s="1"/>
      <c r="L70" s="1"/>
      <c r="M70" s="1"/>
    </row>
    <row r="71" spans="1:13">
      <c r="B71" s="1"/>
      <c r="C71" s="1"/>
      <c r="D71" s="1"/>
      <c r="E71" s="1"/>
      <c r="F71" s="1"/>
      <c r="G71" s="1"/>
      <c r="H71" s="1"/>
      <c r="I71" s="1"/>
      <c r="J71" s="1"/>
      <c r="K71" s="1"/>
      <c r="L71" s="1"/>
      <c r="M71" s="1"/>
    </row>
    <row r="72" spans="1:13">
      <c r="B72" s="1"/>
      <c r="C72" s="1"/>
      <c r="D72" s="1"/>
      <c r="E72" s="1"/>
      <c r="F72" s="1"/>
      <c r="G72" s="1"/>
      <c r="H72" s="1"/>
      <c r="I72" s="1"/>
      <c r="J72" s="1"/>
      <c r="K72" s="1"/>
      <c r="L72" s="1"/>
      <c r="M72" s="1"/>
    </row>
    <row r="73" spans="1:13">
      <c r="B73" s="1"/>
      <c r="C73" s="1"/>
      <c r="D73" s="1"/>
      <c r="E73" s="1"/>
      <c r="F73" s="1"/>
      <c r="G73" s="1"/>
      <c r="H73" s="1"/>
      <c r="I73" s="1"/>
      <c r="J73" s="1"/>
      <c r="K73" s="1"/>
      <c r="L73" s="1"/>
      <c r="M73" s="1"/>
    </row>
    <row r="74" spans="1:13">
      <c r="B74" s="1"/>
      <c r="C74" s="1"/>
      <c r="D74" s="1"/>
      <c r="E74" s="1"/>
      <c r="F74" s="1"/>
      <c r="G74" s="1"/>
      <c r="H74" s="1"/>
      <c r="I74" s="1"/>
      <c r="J74" s="1"/>
      <c r="K74" s="1"/>
      <c r="L74" s="1"/>
      <c r="M74" s="1"/>
    </row>
    <row r="75" spans="1:13">
      <c r="B75" s="1"/>
      <c r="C75" s="1"/>
      <c r="D75" s="1"/>
      <c r="E75" s="1"/>
      <c r="F75" s="1"/>
      <c r="G75" s="1"/>
      <c r="H75" s="1"/>
      <c r="I75" s="1"/>
      <c r="J75" s="1"/>
      <c r="K75" s="1"/>
      <c r="L75" s="1"/>
      <c r="M75" s="1"/>
    </row>
    <row r="76" spans="1:13">
      <c r="B76" s="1"/>
      <c r="C76" s="1"/>
      <c r="D76" s="1"/>
      <c r="E76" s="1"/>
      <c r="F76" s="1"/>
      <c r="G76" s="1"/>
      <c r="H76" s="1"/>
      <c r="I76" s="1"/>
      <c r="J76" s="1"/>
      <c r="K76" s="1"/>
      <c r="L76" s="1"/>
      <c r="M76" s="1"/>
    </row>
    <row r="77" spans="1:13">
      <c r="B77" s="1"/>
      <c r="C77" s="1"/>
      <c r="D77" s="1"/>
      <c r="E77" s="1"/>
      <c r="F77" s="1"/>
      <c r="G77" s="1"/>
      <c r="H77" s="1"/>
      <c r="I77" s="1"/>
      <c r="J77" s="1"/>
      <c r="K77" s="1"/>
      <c r="L77" s="1"/>
      <c r="M77" s="1"/>
    </row>
    <row r="78" spans="1:13">
      <c r="B78" s="1"/>
      <c r="C78" s="1"/>
      <c r="D78" s="1"/>
      <c r="E78" s="1"/>
      <c r="F78" s="1"/>
      <c r="G78" s="1"/>
      <c r="H78" s="1"/>
      <c r="I78" s="1"/>
      <c r="J78" s="1"/>
      <c r="K78" s="1"/>
      <c r="L78" s="1"/>
      <c r="M78" s="1"/>
    </row>
    <row r="79" spans="1:13">
      <c r="B79" s="1"/>
      <c r="C79" s="1"/>
      <c r="D79" s="1"/>
      <c r="E79" s="1"/>
      <c r="F79" s="1"/>
      <c r="G79" s="1"/>
      <c r="H79" s="1"/>
      <c r="I79" s="1"/>
      <c r="J79" s="1"/>
      <c r="K79" s="1"/>
      <c r="L79" s="1"/>
      <c r="M79" s="1"/>
    </row>
    <row r="80" spans="1:13">
      <c r="B80" s="1"/>
      <c r="C80" s="1"/>
      <c r="D80" s="1"/>
      <c r="E80" s="1"/>
      <c r="F80" s="1"/>
      <c r="G80" s="1"/>
      <c r="H80" s="1"/>
      <c r="I80" s="1"/>
      <c r="J80" s="1"/>
      <c r="K80" s="1"/>
      <c r="L80" s="1"/>
      <c r="M80" s="1"/>
    </row>
    <row r="81" spans="2:13">
      <c r="B81" s="1"/>
      <c r="C81" s="1"/>
      <c r="D81" s="1"/>
      <c r="E81" s="1"/>
      <c r="F81" s="1"/>
      <c r="G81" s="1"/>
      <c r="H81" s="1"/>
      <c r="I81" s="1"/>
      <c r="J81" s="1"/>
      <c r="K81" s="1"/>
      <c r="L81" s="1"/>
      <c r="M81" s="1"/>
    </row>
    <row r="82" spans="2:13">
      <c r="B82" s="1"/>
      <c r="C82" s="1"/>
      <c r="D82" s="1"/>
      <c r="E82" s="1"/>
      <c r="F82" s="1"/>
      <c r="G82" s="1"/>
      <c r="H82" s="1"/>
      <c r="I82" s="1"/>
      <c r="J82" s="1"/>
      <c r="K82" s="1"/>
      <c r="L82" s="1"/>
      <c r="M82" s="1"/>
    </row>
    <row r="83" spans="2:13">
      <c r="B83" s="1"/>
      <c r="C83" s="1"/>
      <c r="D83" s="1"/>
      <c r="E83" s="1"/>
      <c r="F83" s="1"/>
      <c r="G83" s="1"/>
      <c r="H83" s="1"/>
      <c r="I83" s="1"/>
      <c r="J83" s="1"/>
      <c r="K83" s="1"/>
      <c r="L83" s="1"/>
      <c r="M83" s="1"/>
    </row>
    <row r="84" spans="2:13">
      <c r="B84" s="1"/>
      <c r="C84" s="1"/>
      <c r="D84" s="1"/>
      <c r="E84" s="1"/>
      <c r="F84" s="1"/>
      <c r="G84" s="1"/>
      <c r="H84" s="1"/>
      <c r="I84" s="1"/>
      <c r="J84" s="1"/>
      <c r="K84" s="1"/>
      <c r="L84" s="1"/>
      <c r="M84" s="1"/>
    </row>
    <row r="85" spans="2:13">
      <c r="B85" s="1"/>
      <c r="C85" s="1"/>
      <c r="D85" s="1"/>
      <c r="E85" s="1"/>
      <c r="F85" s="1"/>
      <c r="G85" s="1"/>
      <c r="H85" s="1"/>
      <c r="I85" s="1"/>
      <c r="J85" s="1"/>
      <c r="K85" s="1"/>
      <c r="L85" s="1"/>
      <c r="M85" s="1"/>
    </row>
    <row r="86" spans="2:13">
      <c r="B86" s="1"/>
      <c r="C86" s="1"/>
      <c r="D86" s="1"/>
      <c r="E86" s="1"/>
      <c r="F86" s="1"/>
      <c r="G86" s="1"/>
      <c r="H86" s="1"/>
      <c r="I86" s="1"/>
      <c r="J86" s="1"/>
      <c r="K86" s="1"/>
      <c r="L86" s="1"/>
      <c r="M86" s="1"/>
    </row>
    <row r="87" spans="2:13">
      <c r="B87" s="1"/>
      <c r="C87" s="1"/>
      <c r="D87" s="1"/>
      <c r="E87" s="1"/>
      <c r="F87" s="1"/>
      <c r="G87" s="1"/>
      <c r="H87" s="1"/>
      <c r="I87" s="1"/>
      <c r="J87" s="1"/>
      <c r="K87" s="1"/>
      <c r="L87" s="1"/>
      <c r="M87" s="1"/>
    </row>
    <row r="88" spans="2:13">
      <c r="B88" s="1"/>
      <c r="C88" s="1"/>
      <c r="D88" s="1"/>
      <c r="E88" s="1"/>
      <c r="F88" s="1"/>
      <c r="G88" s="1"/>
      <c r="H88" s="1"/>
      <c r="I88" s="1"/>
      <c r="J88" s="1"/>
      <c r="K88" s="1"/>
      <c r="L88" s="1"/>
      <c r="M88" s="1"/>
    </row>
    <row r="89" spans="2:13">
      <c r="B89" s="1"/>
      <c r="C89" s="1"/>
      <c r="D89" s="1"/>
      <c r="E89" s="1"/>
      <c r="F89" s="1"/>
      <c r="G89" s="1"/>
      <c r="H89" s="1"/>
      <c r="I89" s="1"/>
      <c r="J89" s="1"/>
      <c r="K89" s="1"/>
      <c r="L89" s="1"/>
      <c r="M89" s="1"/>
    </row>
    <row r="90" spans="2:13">
      <c r="B90" s="1"/>
      <c r="C90" s="1"/>
      <c r="D90" s="1"/>
      <c r="E90" s="1"/>
      <c r="F90" s="1"/>
      <c r="G90" s="1"/>
      <c r="H90" s="1"/>
      <c r="I90" s="1"/>
      <c r="J90" s="1"/>
      <c r="K90" s="1"/>
      <c r="L90" s="1"/>
      <c r="M90" s="1"/>
    </row>
    <row r="91" spans="2:13">
      <c r="B91" s="1"/>
      <c r="C91" s="1"/>
      <c r="D91" s="1"/>
      <c r="E91" s="1"/>
      <c r="F91" s="1"/>
      <c r="G91" s="1"/>
      <c r="H91" s="1"/>
      <c r="I91" s="1"/>
      <c r="J91" s="1"/>
      <c r="K91" s="1"/>
      <c r="L91" s="1"/>
      <c r="M91" s="1"/>
    </row>
    <row r="92" spans="2:13">
      <c r="B92" s="1"/>
      <c r="C92" s="1"/>
      <c r="D92" s="1"/>
      <c r="E92" s="1"/>
      <c r="F92" s="1"/>
      <c r="G92" s="1"/>
      <c r="H92" s="1"/>
      <c r="I92" s="1"/>
      <c r="J92" s="1"/>
      <c r="K92" s="1"/>
      <c r="L92" s="1"/>
      <c r="M92" s="1"/>
    </row>
    <row r="93" spans="2:13">
      <c r="B93" s="1"/>
      <c r="C93" s="1"/>
      <c r="D93" s="1"/>
      <c r="E93" s="1"/>
      <c r="F93" s="1"/>
      <c r="G93" s="1"/>
      <c r="H93" s="1"/>
      <c r="I93" s="1"/>
      <c r="J93" s="1"/>
      <c r="K93" s="1"/>
      <c r="L93" s="1"/>
      <c r="M93" s="1"/>
    </row>
    <row r="94" spans="2:13">
      <c r="B94" s="1"/>
      <c r="C94" s="1"/>
      <c r="D94" s="1"/>
      <c r="E94" s="1"/>
      <c r="F94" s="1"/>
      <c r="G94" s="1"/>
      <c r="H94" s="1"/>
      <c r="I94" s="1"/>
      <c r="J94" s="1"/>
      <c r="K94" s="1"/>
      <c r="L94" s="1"/>
      <c r="M94" s="1"/>
    </row>
    <row r="95" spans="2:13">
      <c r="B95" s="1"/>
      <c r="C95" s="1"/>
      <c r="D95" s="1"/>
      <c r="E95" s="1"/>
      <c r="F95" s="1"/>
      <c r="G95" s="1"/>
      <c r="H95" s="1"/>
      <c r="I95" s="1"/>
      <c r="J95" s="1"/>
      <c r="K95" s="1"/>
      <c r="L95" s="1"/>
      <c r="M95" s="1"/>
    </row>
    <row r="96" spans="2:13">
      <c r="B96" s="1"/>
      <c r="C96" s="1"/>
      <c r="D96" s="1"/>
      <c r="E96" s="1"/>
      <c r="F96" s="1"/>
      <c r="G96" s="1"/>
      <c r="H96" s="1"/>
      <c r="I96" s="1"/>
      <c r="J96" s="1"/>
      <c r="K96" s="1"/>
      <c r="L96" s="1"/>
      <c r="M96" s="1"/>
    </row>
    <row r="97" spans="2:13">
      <c r="B97" s="1"/>
      <c r="C97" s="1"/>
      <c r="D97" s="1"/>
      <c r="E97" s="1"/>
      <c r="F97" s="1"/>
      <c r="G97" s="1"/>
      <c r="H97" s="1"/>
      <c r="I97" s="1"/>
      <c r="J97" s="1"/>
      <c r="K97" s="1"/>
      <c r="L97" s="1"/>
      <c r="M97" s="1"/>
    </row>
    <row r="98" spans="2:13">
      <c r="B98" s="1"/>
      <c r="C98" s="1"/>
      <c r="D98" s="1"/>
      <c r="E98" s="1"/>
      <c r="F98" s="1"/>
      <c r="G98" s="1"/>
      <c r="H98" s="1"/>
      <c r="I98" s="1"/>
      <c r="J98" s="1"/>
      <c r="K98" s="1"/>
      <c r="L98" s="1"/>
      <c r="M98" s="1"/>
    </row>
    <row r="99" spans="2:13">
      <c r="B99" s="1"/>
      <c r="C99" s="1"/>
      <c r="D99" s="1"/>
      <c r="E99" s="1"/>
      <c r="F99" s="1"/>
      <c r="G99" s="1"/>
      <c r="H99" s="1"/>
      <c r="I99" s="1"/>
      <c r="J99" s="1"/>
      <c r="K99" s="1"/>
      <c r="L99" s="1"/>
      <c r="M99" s="1"/>
    </row>
    <row r="100" spans="2:13">
      <c r="B100" s="1"/>
      <c r="C100" s="1"/>
      <c r="D100" s="1"/>
      <c r="E100" s="1"/>
      <c r="F100" s="1"/>
      <c r="G100" s="1"/>
      <c r="H100" s="1"/>
      <c r="I100" s="1"/>
      <c r="J100" s="1"/>
      <c r="K100" s="1"/>
      <c r="L100" s="1"/>
      <c r="M100" s="1"/>
    </row>
    <row r="101" spans="2:13">
      <c r="B101" s="1"/>
      <c r="C101" s="1"/>
      <c r="D101" s="1"/>
      <c r="E101" s="1"/>
      <c r="F101" s="1"/>
      <c r="G101" s="1"/>
      <c r="H101" s="1"/>
      <c r="I101" s="1"/>
      <c r="J101" s="1"/>
      <c r="K101" s="1"/>
      <c r="L101" s="1"/>
      <c r="M101" s="1"/>
    </row>
    <row r="102" spans="2:13">
      <c r="B102" s="1"/>
      <c r="C102" s="1"/>
      <c r="D102" s="1"/>
      <c r="E102" s="1"/>
      <c r="F102" s="1"/>
      <c r="G102" s="1"/>
      <c r="H102" s="1"/>
      <c r="I102" s="1"/>
      <c r="J102" s="1"/>
      <c r="K102" s="1"/>
      <c r="L102" s="1"/>
      <c r="M102" s="1"/>
    </row>
    <row r="103" spans="2:13">
      <c r="B103" s="1"/>
      <c r="C103" s="1"/>
      <c r="D103" s="1"/>
      <c r="E103" s="1"/>
      <c r="F103" s="1"/>
      <c r="G103" s="1"/>
      <c r="H103" s="1"/>
      <c r="I103" s="1"/>
      <c r="J103" s="1"/>
      <c r="K103" s="1"/>
      <c r="L103" s="1"/>
      <c r="M103" s="1"/>
    </row>
    <row r="104" spans="2:13">
      <c r="B104" s="1"/>
      <c r="C104" s="1"/>
      <c r="D104" s="1"/>
      <c r="E104" s="1"/>
      <c r="F104" s="1"/>
      <c r="G104" s="1"/>
      <c r="H104" s="1"/>
      <c r="I104" s="1"/>
      <c r="J104" s="1"/>
      <c r="K104" s="1"/>
      <c r="L104" s="1"/>
      <c r="M104" s="1"/>
    </row>
    <row r="105" spans="2:13">
      <c r="B105" s="1"/>
      <c r="C105" s="1"/>
      <c r="D105" s="1"/>
      <c r="E105" s="1"/>
      <c r="F105" s="1"/>
      <c r="G105" s="1"/>
      <c r="H105" s="1"/>
      <c r="I105" s="1"/>
      <c r="J105" s="1"/>
      <c r="K105" s="1"/>
      <c r="L105" s="1"/>
      <c r="M105" s="1"/>
    </row>
    <row r="106" spans="2:13">
      <c r="B106" s="1"/>
      <c r="C106" s="1"/>
      <c r="D106" s="1"/>
      <c r="E106" s="1"/>
      <c r="F106" s="1"/>
      <c r="G106" s="1"/>
      <c r="H106" s="1"/>
      <c r="I106" s="1"/>
      <c r="J106" s="1"/>
      <c r="K106" s="1"/>
      <c r="L106" s="1"/>
      <c r="M106" s="1"/>
    </row>
    <row r="107" spans="2:13">
      <c r="B107" s="1"/>
      <c r="C107" s="1"/>
      <c r="D107" s="1"/>
      <c r="E107" s="1"/>
      <c r="F107" s="1"/>
      <c r="G107" s="1"/>
      <c r="H107" s="1"/>
      <c r="I107" s="1"/>
      <c r="J107" s="1"/>
      <c r="K107" s="1"/>
      <c r="L107" s="1"/>
      <c r="M107" s="1"/>
    </row>
    <row r="108" spans="2:13">
      <c r="B108" s="1"/>
      <c r="C108" s="1"/>
      <c r="D108" s="1"/>
      <c r="E108" s="1"/>
      <c r="F108" s="1"/>
      <c r="G108" s="1"/>
      <c r="H108" s="1"/>
      <c r="I108" s="1"/>
      <c r="J108" s="1"/>
      <c r="K108" s="1"/>
      <c r="L108" s="1"/>
      <c r="M108" s="1"/>
    </row>
    <row r="109" spans="2:13">
      <c r="B109" s="1"/>
      <c r="C109" s="1"/>
      <c r="D109" s="1"/>
      <c r="E109" s="1"/>
      <c r="F109" s="1"/>
      <c r="G109" s="1"/>
      <c r="H109" s="1"/>
      <c r="I109" s="1"/>
      <c r="J109" s="1"/>
      <c r="K109" s="1"/>
      <c r="L109" s="1"/>
      <c r="M109" s="1"/>
    </row>
    <row r="110" spans="2:13">
      <c r="B110" s="1"/>
      <c r="C110" s="1"/>
      <c r="D110" s="1"/>
      <c r="E110" s="1"/>
      <c r="F110" s="1"/>
      <c r="G110" s="1"/>
      <c r="H110" s="1"/>
      <c r="I110" s="1"/>
      <c r="J110" s="1"/>
      <c r="K110" s="1"/>
      <c r="L110" s="1"/>
      <c r="M110" s="1"/>
    </row>
    <row r="111" spans="2:13">
      <c r="B111" s="1"/>
      <c r="C111" s="1"/>
      <c r="D111" s="1"/>
      <c r="E111" s="1"/>
      <c r="F111" s="1"/>
      <c r="G111" s="1"/>
      <c r="H111" s="1"/>
      <c r="I111" s="1"/>
      <c r="J111" s="1"/>
      <c r="K111" s="1"/>
      <c r="L111" s="1"/>
      <c r="M111" s="1"/>
    </row>
    <row r="112" spans="2:13">
      <c r="B112" s="1"/>
      <c r="C112" s="1"/>
      <c r="D112" s="1"/>
      <c r="E112" s="1"/>
      <c r="F112" s="1"/>
      <c r="G112" s="1"/>
      <c r="H112" s="1"/>
      <c r="I112" s="1"/>
      <c r="J112" s="1"/>
      <c r="K112" s="1"/>
      <c r="L112" s="1"/>
      <c r="M112" s="1"/>
    </row>
    <row r="113" spans="2:13">
      <c r="B113" s="1"/>
      <c r="C113" s="1"/>
      <c r="D113" s="1"/>
      <c r="E113" s="1"/>
      <c r="F113" s="1"/>
      <c r="G113" s="1"/>
      <c r="H113" s="1"/>
      <c r="I113" s="1"/>
      <c r="J113" s="1"/>
      <c r="K113" s="1"/>
      <c r="L113" s="1"/>
      <c r="M113" s="1"/>
    </row>
    <row r="114" spans="2:13">
      <c r="B114" s="1"/>
      <c r="C114" s="1"/>
      <c r="D114" s="1"/>
      <c r="E114" s="1"/>
      <c r="F114" s="1"/>
      <c r="G114" s="1"/>
      <c r="H114" s="1"/>
      <c r="I114" s="1"/>
      <c r="J114" s="1"/>
      <c r="K114" s="1"/>
      <c r="L114" s="1"/>
      <c r="M114" s="1"/>
    </row>
    <row r="115" spans="2:13">
      <c r="B115" s="1"/>
      <c r="C115" s="1"/>
      <c r="D115" s="1"/>
      <c r="E115" s="1"/>
      <c r="F115" s="1"/>
      <c r="G115" s="1"/>
      <c r="H115" s="1"/>
      <c r="I115" s="1"/>
      <c r="J115" s="1"/>
      <c r="K115" s="1"/>
      <c r="L115" s="1"/>
      <c r="M115" s="1"/>
    </row>
    <row r="116" spans="2:13">
      <c r="B116" s="1"/>
      <c r="C116" s="1"/>
      <c r="D116" s="1"/>
      <c r="E116" s="1"/>
      <c r="F116" s="1"/>
      <c r="G116" s="1"/>
      <c r="H116" s="1"/>
      <c r="I116" s="1"/>
      <c r="J116" s="1"/>
      <c r="K116" s="1"/>
      <c r="L116" s="1"/>
      <c r="M116" s="1"/>
    </row>
    <row r="117" spans="2:13">
      <c r="B117" s="1"/>
      <c r="C117" s="1"/>
      <c r="D117" s="1"/>
      <c r="E117" s="1"/>
      <c r="F117" s="1"/>
      <c r="G117" s="1"/>
      <c r="H117" s="1"/>
      <c r="I117" s="1"/>
      <c r="J117" s="1"/>
      <c r="K117" s="1"/>
      <c r="L117" s="1"/>
      <c r="M117" s="1"/>
    </row>
    <row r="118" spans="2:13">
      <c r="B118" s="1"/>
      <c r="C118" s="1"/>
      <c r="D118" s="1"/>
      <c r="E118" s="1"/>
      <c r="F118" s="1"/>
      <c r="G118" s="1"/>
      <c r="H118" s="1"/>
      <c r="I118" s="1"/>
      <c r="J118" s="1"/>
      <c r="K118" s="1"/>
      <c r="L118" s="1"/>
      <c r="M118" s="1"/>
    </row>
    <row r="119" spans="2:13">
      <c r="B119" s="1"/>
      <c r="C119" s="1"/>
      <c r="D119" s="1"/>
      <c r="E119" s="1"/>
      <c r="F119" s="1"/>
      <c r="G119" s="1"/>
      <c r="H119" s="1"/>
      <c r="I119" s="1"/>
      <c r="J119" s="1"/>
      <c r="K119" s="1"/>
      <c r="L119" s="1"/>
      <c r="M119" s="1"/>
    </row>
    <row r="120" spans="2:13">
      <c r="B120" s="1"/>
      <c r="C120" s="1"/>
      <c r="D120" s="1"/>
      <c r="E120" s="1"/>
      <c r="F120" s="1"/>
      <c r="G120" s="1"/>
      <c r="H120" s="1"/>
      <c r="I120" s="1"/>
      <c r="J120" s="1"/>
      <c r="K120" s="1"/>
      <c r="L120" s="1"/>
      <c r="M120" s="1"/>
    </row>
    <row r="121" spans="2:13">
      <c r="B121" s="1"/>
      <c r="C121" s="1"/>
      <c r="D121" s="1"/>
      <c r="E121" s="1"/>
      <c r="F121" s="1"/>
      <c r="G121" s="1"/>
      <c r="H121" s="1"/>
      <c r="I121" s="1"/>
      <c r="J121" s="1"/>
      <c r="K121" s="1"/>
      <c r="L121" s="1"/>
      <c r="M121" s="1"/>
    </row>
    <row r="122" spans="2:13">
      <c r="B122" s="1"/>
      <c r="C122" s="1"/>
      <c r="D122" s="1"/>
      <c r="E122" s="1"/>
      <c r="F122" s="1"/>
      <c r="G122" s="1"/>
      <c r="H122" s="1"/>
      <c r="I122" s="1"/>
      <c r="J122" s="1"/>
      <c r="K122" s="1"/>
      <c r="L122" s="1"/>
      <c r="M122" s="1"/>
    </row>
    <row r="123" spans="2:13">
      <c r="B123" s="1"/>
      <c r="C123" s="1"/>
      <c r="D123" s="1"/>
      <c r="E123" s="1"/>
      <c r="F123" s="1"/>
      <c r="G123" s="1"/>
      <c r="H123" s="1"/>
      <c r="I123" s="1"/>
      <c r="J123" s="1"/>
      <c r="K123" s="1"/>
      <c r="L123" s="1"/>
      <c r="M123" s="1"/>
    </row>
    <row r="124" spans="2:13">
      <c r="B124" s="1"/>
      <c r="C124" s="1"/>
      <c r="D124" s="1"/>
      <c r="E124" s="1"/>
      <c r="F124" s="1"/>
      <c r="G124" s="1"/>
      <c r="H124" s="1"/>
      <c r="I124" s="1"/>
      <c r="J124" s="1"/>
      <c r="K124" s="1"/>
      <c r="L124" s="1"/>
      <c r="M124" s="1"/>
    </row>
    <row r="125" spans="2:13">
      <c r="B125" s="1"/>
      <c r="C125" s="1"/>
      <c r="D125" s="1"/>
      <c r="E125" s="1"/>
      <c r="F125" s="1"/>
      <c r="G125" s="1"/>
      <c r="H125" s="1"/>
      <c r="I125" s="1"/>
      <c r="J125" s="1"/>
      <c r="K125" s="1"/>
      <c r="L125" s="1"/>
      <c r="M125" s="1"/>
    </row>
    <row r="126" spans="2:13">
      <c r="B126" s="1"/>
      <c r="C126" s="1"/>
      <c r="D126" s="1"/>
      <c r="E126" s="1"/>
      <c r="F126" s="1"/>
      <c r="G126" s="1"/>
      <c r="H126" s="1"/>
      <c r="I126" s="1"/>
      <c r="J126" s="1"/>
      <c r="K126" s="1"/>
      <c r="L126" s="1"/>
      <c r="M126" s="1"/>
    </row>
    <row r="127" spans="2:13">
      <c r="B127" s="1"/>
      <c r="C127" s="1"/>
      <c r="D127" s="1"/>
      <c r="E127" s="1"/>
      <c r="F127" s="1"/>
      <c r="G127" s="1"/>
      <c r="H127" s="1"/>
      <c r="I127" s="1"/>
      <c r="J127" s="1"/>
      <c r="K127" s="1"/>
      <c r="L127" s="1"/>
      <c r="M127" s="1"/>
    </row>
    <row r="128" spans="2:13">
      <c r="B128" s="1"/>
      <c r="C128" s="1"/>
      <c r="D128" s="1"/>
      <c r="E128" s="1"/>
      <c r="F128" s="1"/>
      <c r="G128" s="1"/>
      <c r="H128" s="1"/>
      <c r="I128" s="1"/>
      <c r="J128" s="1"/>
      <c r="K128" s="1"/>
      <c r="L128" s="1"/>
      <c r="M128" s="1"/>
    </row>
    <row r="129" spans="2:13">
      <c r="B129" s="1"/>
      <c r="C129" s="1"/>
      <c r="D129" s="1"/>
      <c r="E129" s="1"/>
      <c r="F129" s="1"/>
      <c r="G129" s="1"/>
      <c r="H129" s="1"/>
      <c r="I129" s="1"/>
      <c r="J129" s="1"/>
      <c r="K129" s="1"/>
      <c r="L129" s="1"/>
      <c r="M129" s="1"/>
    </row>
    <row r="130" spans="2:13">
      <c r="B130" s="1"/>
      <c r="C130" s="1"/>
      <c r="D130" s="1"/>
      <c r="E130" s="1"/>
      <c r="F130" s="1"/>
      <c r="G130" s="1"/>
      <c r="H130" s="1"/>
      <c r="I130" s="1"/>
      <c r="J130" s="1"/>
      <c r="K130" s="1"/>
      <c r="L130" s="1"/>
      <c r="M130" s="1"/>
    </row>
    <row r="131" spans="2:13">
      <c r="B131" s="1"/>
      <c r="C131" s="1"/>
      <c r="D131" s="1"/>
      <c r="E131" s="1"/>
      <c r="F131" s="1"/>
      <c r="G131" s="1"/>
      <c r="H131" s="1"/>
      <c r="I131" s="1"/>
      <c r="J131" s="1"/>
      <c r="K131" s="1"/>
      <c r="L131" s="1"/>
      <c r="M131" s="1"/>
    </row>
    <row r="132" spans="2:13">
      <c r="B132" s="1"/>
      <c r="C132" s="1"/>
      <c r="D132" s="1"/>
      <c r="E132" s="1"/>
      <c r="F132" s="1"/>
      <c r="G132" s="1"/>
      <c r="H132" s="1"/>
      <c r="I132" s="1"/>
      <c r="J132" s="1"/>
      <c r="K132" s="1"/>
      <c r="L132" s="1"/>
      <c r="M132" s="1"/>
    </row>
    <row r="133" spans="2:13">
      <c r="B133" s="1"/>
      <c r="C133" s="1"/>
      <c r="D133" s="1"/>
      <c r="E133" s="1"/>
      <c r="F133" s="1"/>
      <c r="G133" s="1"/>
      <c r="H133" s="1"/>
      <c r="I133" s="1"/>
      <c r="J133" s="1"/>
      <c r="K133" s="1"/>
      <c r="L133" s="1"/>
      <c r="M133" s="1"/>
    </row>
    <row r="134" spans="2:13">
      <c r="B134" s="1"/>
      <c r="C134" s="1"/>
      <c r="D134" s="1"/>
      <c r="E134" s="1"/>
      <c r="F134" s="1"/>
      <c r="G134" s="1"/>
      <c r="H134" s="1"/>
      <c r="I134" s="1"/>
      <c r="J134" s="1"/>
      <c r="K134" s="1"/>
      <c r="L134" s="1"/>
      <c r="M134" s="1"/>
    </row>
    <row r="135" spans="2:13">
      <c r="B135" s="1"/>
      <c r="C135" s="1"/>
      <c r="D135" s="1"/>
      <c r="E135" s="1"/>
      <c r="F135" s="1"/>
      <c r="G135" s="1"/>
      <c r="H135" s="1"/>
      <c r="I135" s="1"/>
      <c r="J135" s="1"/>
      <c r="K135" s="1"/>
      <c r="L135" s="1"/>
      <c r="M135" s="1"/>
    </row>
    <row r="136" spans="2:13">
      <c r="B136" s="1"/>
      <c r="C136" s="1"/>
      <c r="D136" s="1"/>
      <c r="E136" s="1"/>
      <c r="F136" s="1"/>
      <c r="G136" s="1"/>
      <c r="H136" s="1"/>
      <c r="I136" s="1"/>
      <c r="J136" s="1"/>
      <c r="K136" s="1"/>
      <c r="L136" s="1"/>
      <c r="M136" s="1"/>
    </row>
    <row r="137" spans="2:13">
      <c r="B137" s="1"/>
      <c r="C137" s="1"/>
      <c r="D137" s="1"/>
      <c r="E137" s="1"/>
      <c r="F137" s="1"/>
      <c r="G137" s="1"/>
      <c r="H137" s="1"/>
      <c r="I137" s="1"/>
      <c r="J137" s="1"/>
      <c r="K137" s="1"/>
      <c r="L137" s="1"/>
      <c r="M137" s="1"/>
    </row>
    <row r="138" spans="2:13">
      <c r="B138" s="1"/>
      <c r="C138" s="1"/>
      <c r="D138" s="1"/>
      <c r="E138" s="1"/>
      <c r="F138" s="1"/>
      <c r="G138" s="1"/>
      <c r="H138" s="1"/>
      <c r="I138" s="1"/>
      <c r="J138" s="1"/>
      <c r="K138" s="1"/>
      <c r="L138" s="1"/>
      <c r="M138" s="1"/>
    </row>
    <row r="139" spans="2:13">
      <c r="B139" s="1"/>
      <c r="C139" s="1"/>
      <c r="D139" s="1"/>
      <c r="E139" s="1"/>
      <c r="F139" s="1"/>
      <c r="G139" s="1"/>
      <c r="H139" s="1"/>
      <c r="I139" s="1"/>
      <c r="J139" s="1"/>
      <c r="K139" s="1"/>
      <c r="L139" s="1"/>
      <c r="M139" s="1"/>
    </row>
    <row r="140" spans="2:13">
      <c r="B140" s="1"/>
      <c r="C140" s="1"/>
      <c r="D140" s="1"/>
      <c r="E140" s="1"/>
      <c r="F140" s="1"/>
      <c r="G140" s="1"/>
      <c r="H140" s="1"/>
      <c r="I140" s="1"/>
      <c r="J140" s="1"/>
      <c r="K140" s="1"/>
      <c r="L140" s="1"/>
      <c r="M140" s="1"/>
    </row>
    <row r="141" spans="2:13">
      <c r="B141" s="1"/>
      <c r="C141" s="1"/>
      <c r="D141" s="1"/>
      <c r="E141" s="1"/>
      <c r="F141" s="1"/>
      <c r="G141" s="1"/>
      <c r="H141" s="1"/>
      <c r="I141" s="1"/>
      <c r="J141" s="1"/>
      <c r="K141" s="1"/>
      <c r="L141" s="1"/>
      <c r="M141" s="1"/>
    </row>
    <row r="142" spans="2:13">
      <c r="B142" s="1"/>
      <c r="C142" s="1"/>
      <c r="D142" s="1"/>
      <c r="E142" s="1"/>
      <c r="F142" s="1"/>
      <c r="G142" s="1"/>
      <c r="H142" s="1"/>
      <c r="I142" s="1"/>
      <c r="J142" s="1"/>
      <c r="K142" s="1"/>
      <c r="L142" s="1"/>
      <c r="M142" s="1"/>
    </row>
    <row r="143" spans="2:13">
      <c r="B143" s="1"/>
      <c r="C143" s="1"/>
      <c r="D143" s="1"/>
      <c r="E143" s="1"/>
      <c r="F143" s="1"/>
      <c r="G143" s="1"/>
      <c r="H143" s="1"/>
      <c r="I143" s="1"/>
      <c r="J143" s="1"/>
      <c r="K143" s="1"/>
      <c r="L143" s="1"/>
      <c r="M143" s="1"/>
    </row>
    <row r="144" spans="2:13">
      <c r="B144" s="1"/>
      <c r="C144" s="1"/>
      <c r="D144" s="1"/>
      <c r="E144" s="1"/>
      <c r="F144" s="1"/>
      <c r="G144" s="1"/>
      <c r="H144" s="1"/>
      <c r="I144" s="1"/>
      <c r="J144" s="1"/>
      <c r="K144" s="1"/>
      <c r="L144" s="1"/>
      <c r="M144" s="1"/>
    </row>
    <row r="145" spans="2:13">
      <c r="B145" s="1"/>
      <c r="C145" s="1"/>
      <c r="D145" s="1"/>
      <c r="E145" s="1"/>
      <c r="F145" s="1"/>
      <c r="G145" s="1"/>
      <c r="H145" s="1"/>
      <c r="I145" s="1"/>
      <c r="J145" s="1"/>
      <c r="K145" s="1"/>
      <c r="L145" s="1"/>
      <c r="M145" s="1"/>
    </row>
    <row r="146" spans="2:13">
      <c r="B146" s="1"/>
      <c r="C146" s="1"/>
      <c r="D146" s="1"/>
      <c r="E146" s="1"/>
      <c r="F146" s="1"/>
      <c r="G146" s="1"/>
      <c r="H146" s="1"/>
      <c r="I146" s="1"/>
      <c r="J146" s="1"/>
      <c r="K146" s="1"/>
      <c r="L146" s="1"/>
      <c r="M146" s="1"/>
    </row>
    <row r="147" spans="2:13">
      <c r="B147" s="1"/>
      <c r="C147" s="1"/>
      <c r="D147" s="1"/>
      <c r="E147" s="1"/>
      <c r="F147" s="1"/>
      <c r="G147" s="1"/>
      <c r="H147" s="1"/>
      <c r="I147" s="1"/>
      <c r="J147" s="1"/>
      <c r="K147" s="1"/>
      <c r="L147" s="1"/>
      <c r="M147" s="1"/>
    </row>
    <row r="148" spans="2:13">
      <c r="B148" s="1"/>
      <c r="C148" s="1"/>
      <c r="D148" s="1"/>
      <c r="E148" s="1"/>
      <c r="F148" s="1"/>
      <c r="G148" s="1"/>
      <c r="H148" s="1"/>
      <c r="I148" s="1"/>
      <c r="J148" s="1"/>
      <c r="K148" s="1"/>
      <c r="L148" s="1"/>
      <c r="M148" s="1"/>
    </row>
    <row r="149" spans="2:13">
      <c r="B149" s="1"/>
      <c r="C149" s="1"/>
      <c r="D149" s="1"/>
      <c r="E149" s="1"/>
      <c r="F149" s="1"/>
      <c r="G149" s="1"/>
      <c r="H149" s="1"/>
      <c r="I149" s="1"/>
      <c r="J149" s="1"/>
      <c r="K149" s="1"/>
      <c r="L149" s="1"/>
      <c r="M149" s="1"/>
    </row>
    <row r="150" spans="2:13">
      <c r="B150" s="1"/>
      <c r="C150" s="1"/>
      <c r="D150" s="1"/>
      <c r="E150" s="1"/>
      <c r="F150" s="1"/>
      <c r="G150" s="1"/>
      <c r="H150" s="1"/>
      <c r="I150" s="1"/>
      <c r="J150" s="1"/>
      <c r="K150" s="1"/>
      <c r="L150" s="1"/>
      <c r="M150" s="1"/>
    </row>
    <row r="151" spans="2:13">
      <c r="B151" s="1"/>
      <c r="C151" s="1"/>
      <c r="D151" s="1"/>
      <c r="E151" s="1"/>
      <c r="F151" s="1"/>
      <c r="G151" s="1"/>
      <c r="H151" s="1"/>
      <c r="I151" s="1"/>
      <c r="J151" s="1"/>
      <c r="K151" s="1"/>
      <c r="L151" s="1"/>
      <c r="M151" s="1"/>
    </row>
    <row r="152" spans="2:13">
      <c r="B152" s="1"/>
      <c r="C152" s="1"/>
      <c r="D152" s="1"/>
      <c r="E152" s="1"/>
      <c r="F152" s="1"/>
      <c r="G152" s="1"/>
      <c r="H152" s="1"/>
      <c r="I152" s="1"/>
      <c r="J152" s="1"/>
      <c r="K152" s="1"/>
      <c r="L152" s="1"/>
      <c r="M152" s="1"/>
    </row>
    <row r="153" spans="2:13">
      <c r="B153" s="1"/>
      <c r="C153" s="1"/>
      <c r="D153" s="1"/>
      <c r="E153" s="1"/>
      <c r="F153" s="1"/>
      <c r="G153" s="1"/>
      <c r="H153" s="1"/>
      <c r="I153" s="1"/>
      <c r="J153" s="1"/>
      <c r="K153" s="1"/>
      <c r="L153" s="1"/>
      <c r="M153" s="1"/>
    </row>
    <row r="154" spans="2:13">
      <c r="B154" s="1"/>
      <c r="C154" s="1"/>
      <c r="D154" s="1"/>
      <c r="E154" s="1"/>
      <c r="F154" s="1"/>
      <c r="G154" s="1"/>
      <c r="H154" s="1"/>
      <c r="I154" s="1"/>
      <c r="J154" s="1"/>
      <c r="K154" s="1"/>
      <c r="L154" s="1"/>
      <c r="M154" s="1"/>
    </row>
    <row r="155" spans="2:13">
      <c r="B155" s="1"/>
      <c r="C155" s="1"/>
      <c r="D155" s="1"/>
      <c r="E155" s="1"/>
      <c r="F155" s="1"/>
      <c r="G155" s="1"/>
      <c r="H155" s="1"/>
      <c r="I155" s="1"/>
      <c r="J155" s="1"/>
      <c r="K155" s="1"/>
      <c r="L155" s="1"/>
      <c r="M155" s="1"/>
    </row>
    <row r="156" spans="2:13">
      <c r="B156" s="1"/>
      <c r="C156" s="1"/>
      <c r="D156" s="1"/>
      <c r="E156" s="1"/>
      <c r="F156" s="1"/>
      <c r="G156" s="1"/>
      <c r="H156" s="1"/>
      <c r="I156" s="1"/>
      <c r="J156" s="1"/>
      <c r="K156" s="1"/>
      <c r="L156" s="1"/>
      <c r="M156" s="1"/>
    </row>
    <row r="157" spans="2:13">
      <c r="B157" s="1"/>
      <c r="C157" s="1"/>
      <c r="D157" s="1"/>
      <c r="E157" s="1"/>
      <c r="F157" s="1"/>
      <c r="G157" s="1"/>
      <c r="H157" s="1"/>
      <c r="I157" s="1"/>
      <c r="J157" s="1"/>
      <c r="K157" s="1"/>
      <c r="L157" s="1"/>
      <c r="M157" s="1"/>
    </row>
    <row r="158" spans="2:13">
      <c r="B158" s="1"/>
      <c r="C158" s="1"/>
      <c r="D158" s="1"/>
      <c r="E158" s="1"/>
      <c r="F158" s="1"/>
      <c r="G158" s="1"/>
      <c r="H158" s="1"/>
      <c r="I158" s="1"/>
      <c r="J158" s="1"/>
      <c r="K158" s="1"/>
      <c r="L158" s="1"/>
      <c r="M158" s="1"/>
    </row>
    <row r="159" spans="2:13">
      <c r="B159" s="1"/>
      <c r="C159" s="1"/>
      <c r="D159" s="1"/>
      <c r="E159" s="1"/>
      <c r="F159" s="1"/>
      <c r="G159" s="1"/>
      <c r="H159" s="1"/>
      <c r="I159" s="1"/>
      <c r="J159" s="1"/>
      <c r="K159" s="1"/>
      <c r="L159" s="1"/>
      <c r="M159" s="1"/>
    </row>
    <row r="160" spans="2:13">
      <c r="B160" s="1"/>
      <c r="C160" s="1"/>
      <c r="D160" s="1"/>
      <c r="E160" s="1"/>
      <c r="F160" s="1"/>
      <c r="G160" s="1"/>
      <c r="H160" s="1"/>
      <c r="I160" s="1"/>
      <c r="J160" s="1"/>
      <c r="K160" s="1"/>
      <c r="L160" s="1"/>
      <c r="M160" s="1"/>
    </row>
    <row r="161" spans="2:13">
      <c r="B161" s="1"/>
      <c r="C161" s="1"/>
      <c r="D161" s="1"/>
      <c r="E161" s="1"/>
      <c r="F161" s="1"/>
      <c r="G161" s="1"/>
      <c r="H161" s="1"/>
      <c r="I161" s="1"/>
      <c r="J161" s="1"/>
      <c r="K161" s="1"/>
      <c r="L161" s="1"/>
      <c r="M161" s="1"/>
    </row>
    <row r="162" spans="2:13">
      <c r="B162" s="1"/>
      <c r="C162" s="1"/>
      <c r="D162" s="1"/>
      <c r="E162" s="1"/>
      <c r="F162" s="1"/>
      <c r="G162" s="1"/>
      <c r="H162" s="1"/>
      <c r="I162" s="1"/>
      <c r="J162" s="1"/>
      <c r="K162" s="1"/>
      <c r="L162" s="1"/>
      <c r="M162" s="1"/>
    </row>
    <row r="163" spans="2:13">
      <c r="B163" s="1"/>
      <c r="C163" s="1"/>
      <c r="D163" s="1"/>
      <c r="E163" s="1"/>
      <c r="F163" s="1"/>
      <c r="G163" s="1"/>
      <c r="H163" s="1"/>
      <c r="I163" s="1"/>
      <c r="J163" s="1"/>
      <c r="K163" s="1"/>
      <c r="L163" s="1"/>
      <c r="M163" s="1"/>
    </row>
    <row r="164" spans="2:13">
      <c r="B164" s="1"/>
      <c r="C164" s="1"/>
      <c r="D164" s="1"/>
      <c r="E164" s="1"/>
      <c r="F164" s="1"/>
      <c r="G164" s="1"/>
      <c r="H164" s="1"/>
      <c r="I164" s="1"/>
      <c r="J164" s="1"/>
      <c r="K164" s="1"/>
      <c r="L164" s="1"/>
      <c r="M164" s="1"/>
    </row>
    <row r="165" spans="2:13">
      <c r="B165" s="1"/>
      <c r="C165" s="1"/>
      <c r="D165" s="1"/>
      <c r="E165" s="1"/>
      <c r="F165" s="1"/>
      <c r="G165" s="1"/>
      <c r="H165" s="1"/>
      <c r="I165" s="1"/>
      <c r="J165" s="1"/>
      <c r="K165" s="1"/>
      <c r="L165" s="1"/>
      <c r="M165" s="1"/>
    </row>
    <row r="166" spans="2:13">
      <c r="B166" s="1"/>
      <c r="C166" s="1"/>
      <c r="D166" s="1"/>
      <c r="E166" s="1"/>
      <c r="F166" s="1"/>
      <c r="G166" s="1"/>
      <c r="H166" s="1"/>
      <c r="I166" s="1"/>
      <c r="J166" s="1"/>
      <c r="K166" s="1"/>
      <c r="L166" s="1"/>
      <c r="M166" s="1"/>
    </row>
    <row r="167" spans="2:13">
      <c r="B167" s="1"/>
      <c r="C167" s="1"/>
      <c r="D167" s="1"/>
      <c r="E167" s="1"/>
      <c r="F167" s="1"/>
      <c r="G167" s="1"/>
      <c r="H167" s="1"/>
      <c r="I167" s="1"/>
      <c r="J167" s="1"/>
      <c r="K167" s="1"/>
      <c r="L167" s="1"/>
      <c r="M167" s="1"/>
    </row>
    <row r="168" spans="2:13">
      <c r="B168" s="1"/>
      <c r="C168" s="1"/>
      <c r="D168" s="1"/>
      <c r="E168" s="1"/>
      <c r="F168" s="1"/>
      <c r="G168" s="1"/>
      <c r="H168" s="1"/>
      <c r="I168" s="1"/>
      <c r="J168" s="1"/>
      <c r="K168" s="1"/>
      <c r="L168" s="1"/>
      <c r="M168" s="1"/>
    </row>
    <row r="169" spans="2:13">
      <c r="B169" s="1"/>
      <c r="C169" s="1"/>
      <c r="D169" s="1"/>
      <c r="E169" s="1"/>
      <c r="F169" s="1"/>
      <c r="G169" s="1"/>
      <c r="H169" s="1"/>
      <c r="I169" s="1"/>
      <c r="J169" s="1"/>
      <c r="K169" s="1"/>
      <c r="L169" s="1"/>
      <c r="M169" s="1"/>
    </row>
    <row r="170" spans="2:13">
      <c r="B170" s="1"/>
      <c r="C170" s="1"/>
      <c r="D170" s="1"/>
      <c r="E170" s="1"/>
      <c r="F170" s="1"/>
      <c r="G170" s="1"/>
      <c r="H170" s="1"/>
      <c r="I170" s="1"/>
      <c r="J170" s="1"/>
      <c r="K170" s="1"/>
      <c r="L170" s="1"/>
      <c r="M170" s="1"/>
    </row>
    <row r="171" spans="2:13">
      <c r="B171" s="1"/>
      <c r="C171" s="1"/>
      <c r="D171" s="1"/>
      <c r="E171" s="1"/>
      <c r="F171" s="1"/>
      <c r="G171" s="1"/>
      <c r="H171" s="1"/>
      <c r="I171" s="1"/>
      <c r="J171" s="1"/>
      <c r="K171" s="1"/>
      <c r="L171" s="1"/>
      <c r="M171" s="1"/>
    </row>
    <row r="172" spans="2:13">
      <c r="B172" s="1"/>
      <c r="C172" s="1"/>
      <c r="D172" s="1"/>
      <c r="E172" s="1"/>
      <c r="F172" s="1"/>
      <c r="G172" s="1"/>
      <c r="H172" s="1"/>
      <c r="I172" s="1"/>
      <c r="J172" s="1"/>
      <c r="K172" s="1"/>
      <c r="L172" s="1"/>
      <c r="M172" s="1"/>
    </row>
    <row r="173" spans="2:13">
      <c r="B173" s="1"/>
      <c r="C173" s="1"/>
      <c r="D173" s="1"/>
      <c r="E173" s="1"/>
      <c r="F173" s="1"/>
      <c r="G173" s="1"/>
      <c r="H173" s="1"/>
      <c r="I173" s="1"/>
      <c r="J173" s="1"/>
      <c r="K173" s="1"/>
      <c r="L173" s="1"/>
      <c r="M173" s="1"/>
    </row>
    <row r="174" spans="2:13">
      <c r="B174" s="1"/>
      <c r="C174" s="1"/>
      <c r="D174" s="1"/>
      <c r="E174" s="1"/>
      <c r="F174" s="1"/>
      <c r="G174" s="1"/>
      <c r="H174" s="1"/>
      <c r="I174" s="1"/>
      <c r="J174" s="1"/>
      <c r="K174" s="1"/>
      <c r="L174" s="1"/>
      <c r="M174" s="1"/>
    </row>
    <row r="175" spans="2:13">
      <c r="B175" s="1"/>
      <c r="C175" s="1"/>
      <c r="D175" s="1"/>
      <c r="E175" s="1"/>
      <c r="F175" s="1"/>
      <c r="G175" s="1"/>
      <c r="H175" s="1"/>
      <c r="I175" s="1"/>
      <c r="J175" s="1"/>
      <c r="K175" s="1"/>
      <c r="L175" s="1"/>
      <c r="M175" s="1"/>
    </row>
    <row r="176" spans="2:13">
      <c r="B176" s="1"/>
      <c r="C176" s="1"/>
      <c r="D176" s="1"/>
      <c r="E176" s="1"/>
      <c r="F176" s="1"/>
      <c r="G176" s="1"/>
      <c r="H176" s="1"/>
      <c r="I176" s="1"/>
      <c r="J176" s="1"/>
      <c r="K176" s="1"/>
      <c r="L176" s="1"/>
      <c r="M176" s="1"/>
    </row>
    <row r="177" spans="2:13">
      <c r="B177" s="1"/>
      <c r="C177" s="1"/>
      <c r="D177" s="1"/>
      <c r="E177" s="1"/>
      <c r="F177" s="1"/>
      <c r="G177" s="1"/>
      <c r="H177" s="1"/>
      <c r="I177" s="1"/>
      <c r="J177" s="1"/>
      <c r="K177" s="1"/>
      <c r="L177" s="1"/>
      <c r="M177" s="1"/>
    </row>
    <row r="178" spans="2:13">
      <c r="B178" s="1"/>
      <c r="C178" s="1"/>
      <c r="D178" s="1"/>
      <c r="E178" s="1"/>
      <c r="F178" s="1"/>
      <c r="G178" s="1"/>
      <c r="H178" s="1"/>
      <c r="I178" s="1"/>
      <c r="J178" s="1"/>
      <c r="K178" s="1"/>
      <c r="L178" s="1"/>
      <c r="M178" s="1"/>
    </row>
    <row r="179" spans="2:13">
      <c r="B179" s="1"/>
      <c r="C179" s="1"/>
      <c r="D179" s="1"/>
      <c r="E179" s="1"/>
      <c r="F179" s="1"/>
      <c r="G179" s="1"/>
      <c r="H179" s="1"/>
      <c r="I179" s="1"/>
      <c r="J179" s="1"/>
      <c r="K179" s="1"/>
      <c r="L179" s="1"/>
      <c r="M179" s="1"/>
    </row>
    <row r="180" spans="2:13">
      <c r="B180" s="1"/>
      <c r="C180" s="1"/>
      <c r="D180" s="1"/>
      <c r="E180" s="1"/>
      <c r="F180" s="1"/>
      <c r="G180" s="1"/>
      <c r="H180" s="1"/>
      <c r="I180" s="1"/>
      <c r="J180" s="1"/>
      <c r="K180" s="1"/>
      <c r="L180" s="1"/>
      <c r="M180" s="1"/>
    </row>
    <row r="181" spans="2:13">
      <c r="B181" s="1"/>
      <c r="C181" s="1"/>
      <c r="D181" s="1"/>
      <c r="E181" s="1"/>
      <c r="F181" s="1"/>
      <c r="G181" s="1"/>
      <c r="H181" s="1"/>
      <c r="I181" s="1"/>
      <c r="J181" s="1"/>
      <c r="K181" s="1"/>
      <c r="L181" s="1"/>
      <c r="M181" s="1"/>
    </row>
    <row r="182" spans="2:13">
      <c r="B182" s="1"/>
      <c r="C182" s="1"/>
      <c r="D182" s="1"/>
      <c r="E182" s="1"/>
      <c r="F182" s="1"/>
      <c r="G182" s="1"/>
      <c r="H182" s="1"/>
      <c r="I182" s="1"/>
      <c r="J182" s="1"/>
      <c r="K182" s="1"/>
      <c r="L182" s="1"/>
      <c r="M182" s="1"/>
    </row>
    <row r="183" spans="2:13">
      <c r="B183" s="1"/>
      <c r="C183" s="1"/>
      <c r="D183" s="1"/>
      <c r="E183" s="1"/>
      <c r="F183" s="1"/>
      <c r="G183" s="1"/>
      <c r="H183" s="1"/>
      <c r="I183" s="1"/>
      <c r="J183" s="1"/>
      <c r="K183" s="1"/>
      <c r="L183" s="1"/>
      <c r="M183" s="1"/>
    </row>
    <row r="184" spans="2:13">
      <c r="B184" s="1"/>
      <c r="C184" s="1"/>
      <c r="D184" s="1"/>
      <c r="E184" s="1"/>
      <c r="F184" s="1"/>
      <c r="G184" s="1"/>
      <c r="H184" s="1"/>
      <c r="I184" s="1"/>
      <c r="J184" s="1"/>
      <c r="K184" s="1"/>
      <c r="L184" s="1"/>
      <c r="M184" s="1"/>
    </row>
    <row r="185" spans="2:13">
      <c r="B185" s="1"/>
      <c r="C185" s="1"/>
      <c r="D185" s="1"/>
      <c r="E185" s="1"/>
      <c r="F185" s="1"/>
      <c r="G185" s="1"/>
      <c r="H185" s="1"/>
      <c r="I185" s="1"/>
      <c r="J185" s="1"/>
      <c r="K185" s="1"/>
      <c r="L185" s="1"/>
      <c r="M185" s="1"/>
    </row>
    <row r="186" spans="2:13">
      <c r="B186" s="1"/>
      <c r="C186" s="1"/>
      <c r="D186" s="1"/>
      <c r="E186" s="1"/>
      <c r="F186" s="1"/>
      <c r="G186" s="1"/>
      <c r="H186" s="1"/>
      <c r="I186" s="1"/>
      <c r="J186" s="1"/>
      <c r="K186" s="1"/>
      <c r="L186" s="1"/>
      <c r="M186" s="1"/>
    </row>
  </sheetData>
  <mergeCells count="3">
    <mergeCell ref="A1:L1"/>
    <mergeCell ref="A2:L2"/>
    <mergeCell ref="A3:L3"/>
  </mergeCells>
  <pageMargins left="0.75" right="0.75" top="1" bottom="1" header="0.5" footer="0.5"/>
  <pageSetup scale="79" fitToHeight="2" orientation="landscape" r:id="rId1"/>
  <headerFooter alignWithMargins="0">
    <oddFooter>&amp;L&amp;Z
&amp;F&amp;C&amp;A&amp;R8.&amp;P</oddFooter>
  </headerFooter>
  <rowBreaks count="1" manualBreakCount="1">
    <brk id="44" max="11" man="1"/>
  </rowBreaks>
</worksheet>
</file>

<file path=xl/worksheets/sheet128.xml><?xml version="1.0" encoding="utf-8"?>
<worksheet xmlns="http://schemas.openxmlformats.org/spreadsheetml/2006/main" xmlns:r="http://schemas.openxmlformats.org/officeDocument/2006/relationships">
  <sheetPr codeName="Sheet131">
    <pageSetUpPr fitToPage="1"/>
  </sheetPr>
  <dimension ref="A1:P15"/>
  <sheetViews>
    <sheetView zoomScaleNormal="100" workbookViewId="0">
      <selection sqref="A1:P1"/>
    </sheetView>
  </sheetViews>
  <sheetFormatPr defaultRowHeight="12.75"/>
  <cols>
    <col min="1" max="1" width="40.5703125" bestFit="1" customWidth="1"/>
    <col min="2" max="2" width="17.7109375" customWidth="1"/>
    <col min="3" max="3" width="1.7109375" customWidth="1"/>
    <col min="4" max="4" width="17.7109375" customWidth="1"/>
    <col min="5" max="5" width="1.7109375" customWidth="1"/>
    <col min="6" max="6" width="17.7109375" customWidth="1"/>
    <col min="7" max="7" width="1.7109375" customWidth="1"/>
    <col min="8" max="8" width="17.7109375" customWidth="1"/>
    <col min="9" max="9" width="1.7109375" customWidth="1"/>
    <col min="10" max="10" width="17.7109375" customWidth="1"/>
    <col min="11" max="11" width="1.7109375" customWidth="1"/>
    <col min="12" max="12" width="17.7109375" customWidth="1"/>
    <col min="13" max="13" width="2.140625" customWidth="1"/>
    <col min="14" max="14" width="11.85546875" bestFit="1" customWidth="1"/>
    <col min="15" max="15" width="1.85546875" customWidth="1"/>
    <col min="16" max="16" width="23.140625" bestFit="1" customWidth="1"/>
  </cols>
  <sheetData>
    <row r="1" spans="1:16" s="38" customFormat="1" ht="15.75">
      <c r="A1" s="366" t="s">
        <v>134</v>
      </c>
      <c r="B1" s="366"/>
      <c r="C1" s="366"/>
      <c r="D1" s="366"/>
      <c r="E1" s="366"/>
      <c r="F1" s="366"/>
      <c r="G1" s="366"/>
      <c r="H1" s="366"/>
      <c r="I1" s="366"/>
      <c r="J1" s="366"/>
      <c r="K1" s="366"/>
      <c r="L1" s="366"/>
      <c r="M1" s="366"/>
      <c r="N1" s="366"/>
      <c r="O1" s="366"/>
      <c r="P1" s="366"/>
    </row>
    <row r="2" spans="1:16" s="38" customFormat="1" ht="15.75">
      <c r="A2" s="366" t="s">
        <v>1156</v>
      </c>
      <c r="B2" s="366"/>
      <c r="C2" s="366"/>
      <c r="D2" s="366"/>
      <c r="E2" s="366"/>
      <c r="F2" s="366"/>
      <c r="G2" s="366"/>
      <c r="H2" s="366"/>
      <c r="I2" s="366"/>
      <c r="J2" s="366"/>
      <c r="K2" s="366"/>
      <c r="L2" s="366"/>
      <c r="M2" s="366"/>
      <c r="N2" s="366"/>
      <c r="O2" s="366"/>
      <c r="P2" s="366"/>
    </row>
    <row r="3" spans="1:16">
      <c r="A3" s="357" t="str">
        <f>'Summary - Cost - PG 1 (PA)'!A3:N3</f>
        <v>MARCH 2012</v>
      </c>
      <c r="B3" s="357"/>
      <c r="C3" s="357"/>
      <c r="D3" s="357"/>
      <c r="E3" s="357"/>
      <c r="F3" s="357"/>
      <c r="G3" s="357"/>
      <c r="H3" s="357"/>
      <c r="I3" s="357"/>
      <c r="J3" s="357"/>
      <c r="K3" s="357"/>
      <c r="L3" s="357"/>
      <c r="M3" s="357"/>
      <c r="N3" s="357"/>
      <c r="O3" s="357"/>
      <c r="P3" s="357"/>
    </row>
    <row r="4" spans="1:16">
      <c r="A4" s="190"/>
      <c r="B4" s="190"/>
      <c r="C4" s="190"/>
      <c r="D4" s="190"/>
      <c r="E4" s="190"/>
      <c r="F4" s="190"/>
      <c r="G4" s="190"/>
      <c r="H4" s="190"/>
      <c r="I4" s="190"/>
      <c r="J4" s="190"/>
      <c r="K4" s="190"/>
      <c r="L4" s="190"/>
      <c r="M4" s="40"/>
    </row>
    <row r="6" spans="1:16">
      <c r="B6" s="41" t="s">
        <v>25</v>
      </c>
      <c r="D6" s="182"/>
      <c r="F6" s="182"/>
      <c r="H6" s="41" t="s">
        <v>612</v>
      </c>
      <c r="J6" s="182"/>
      <c r="L6" s="41" t="s">
        <v>26</v>
      </c>
      <c r="P6" s="3" t="s">
        <v>422</v>
      </c>
    </row>
    <row r="7" spans="1:16" s="10" customFormat="1">
      <c r="B7" s="42" t="s">
        <v>27</v>
      </c>
      <c r="C7"/>
      <c r="D7" s="42" t="s">
        <v>107</v>
      </c>
      <c r="E7"/>
      <c r="F7" s="42" t="s">
        <v>108</v>
      </c>
      <c r="G7"/>
      <c r="H7" s="42" t="s">
        <v>613</v>
      </c>
      <c r="I7"/>
      <c r="J7" s="42" t="s">
        <v>109</v>
      </c>
      <c r="K7"/>
      <c r="L7" s="42" t="s">
        <v>27</v>
      </c>
      <c r="N7" s="42" t="s">
        <v>46</v>
      </c>
      <c r="P7" s="42" t="s">
        <v>419</v>
      </c>
    </row>
    <row r="8" spans="1:16" s="10" customFormat="1">
      <c r="A8" s="12" t="s">
        <v>1244</v>
      </c>
      <c r="B8" s="54"/>
      <c r="C8"/>
      <c r="D8" s="54"/>
      <c r="E8"/>
      <c r="F8" s="54"/>
      <c r="G8"/>
      <c r="H8" s="54"/>
      <c r="I8"/>
      <c r="J8" s="54"/>
      <c r="K8"/>
      <c r="L8" s="54"/>
    </row>
    <row r="9" spans="1:16" s="10" customFormat="1">
      <c r="A9" s="12" t="s">
        <v>420</v>
      </c>
      <c r="B9" s="182"/>
      <c r="C9" s="182"/>
      <c r="D9" s="182"/>
      <c r="E9" s="182"/>
      <c r="F9" s="182"/>
      <c r="G9" s="182"/>
      <c r="H9" s="182"/>
      <c r="I9" s="182"/>
      <c r="J9" s="182"/>
      <c r="K9" s="182"/>
      <c r="L9" s="182"/>
    </row>
    <row r="10" spans="1:16">
      <c r="A10" t="s">
        <v>4</v>
      </c>
      <c r="B10" s="48">
        <f>'IN_Cost-Plant Acct-Com-P10 (PA)'!B10</f>
        <v>-488750.9</v>
      </c>
      <c r="C10" s="182"/>
      <c r="D10" s="48">
        <f>'IN_Cost-Plant Acct-Com-P10 (PA)'!D10</f>
        <v>0</v>
      </c>
      <c r="E10" s="182"/>
      <c r="F10" s="48">
        <f>'IN_Cost-Plant Acct-Com-P10 (PA)'!F10</f>
        <v>0</v>
      </c>
      <c r="G10" s="182"/>
      <c r="H10" s="48">
        <f>'IN_Cost-Plant Acct-Com-P10 (PA)'!H10</f>
        <v>0</v>
      </c>
      <c r="I10" s="182"/>
      <c r="J10" s="48">
        <f>'IN_Cost-Plant Acct-Com-P10 (PA)'!J10</f>
        <v>0</v>
      </c>
      <c r="K10" s="182"/>
      <c r="L10" s="48">
        <f>J10+B10</f>
        <v>-488750.9</v>
      </c>
      <c r="N10" s="90">
        <f>'IN_Res by Plant Acct-P30 (PA)'!R43</f>
        <v>488750.9</v>
      </c>
      <c r="P10" s="90">
        <f>L10+N10</f>
        <v>0</v>
      </c>
    </row>
    <row r="11" spans="1:16">
      <c r="B11" s="52">
        <f>SUM(B10)</f>
        <v>-488750.9</v>
      </c>
      <c r="C11" s="52"/>
      <c r="D11" s="52">
        <f>SUM(D10)</f>
        <v>0</v>
      </c>
      <c r="E11" s="52"/>
      <c r="F11" s="52">
        <f>SUM(F10)</f>
        <v>0</v>
      </c>
      <c r="G11" s="52"/>
      <c r="H11" s="52">
        <f>SUM(H10)</f>
        <v>0</v>
      </c>
      <c r="I11" s="52"/>
      <c r="J11" s="52">
        <f>SUM(J10)</f>
        <v>0</v>
      </c>
      <c r="K11" s="52"/>
      <c r="L11" s="52">
        <f>SUM(L10)</f>
        <v>-488750.9</v>
      </c>
      <c r="M11" s="7"/>
      <c r="N11" s="52">
        <f>SUM(N10)</f>
        <v>488750.9</v>
      </c>
      <c r="P11" s="52">
        <f>SUM(P10)</f>
        <v>0</v>
      </c>
    </row>
    <row r="12" spans="1:16">
      <c r="B12" s="52"/>
      <c r="C12" s="52"/>
      <c r="D12" s="52"/>
      <c r="E12" s="52"/>
      <c r="F12" s="52"/>
      <c r="G12" s="52"/>
      <c r="H12" s="52"/>
      <c r="I12" s="52"/>
      <c r="J12" s="52"/>
      <c r="K12" s="52"/>
      <c r="L12" s="52"/>
      <c r="M12" s="7"/>
    </row>
    <row r="13" spans="1:16">
      <c r="B13" s="182"/>
      <c r="C13" s="182"/>
      <c r="D13" s="182"/>
      <c r="E13" s="182"/>
      <c r="F13" s="182"/>
      <c r="G13" s="182"/>
      <c r="H13" s="182"/>
      <c r="I13" s="182"/>
      <c r="J13" s="182"/>
      <c r="K13" s="182"/>
      <c r="L13" s="182"/>
    </row>
    <row r="14" spans="1:16" ht="13.5" thickBot="1">
      <c r="A14" s="3" t="s">
        <v>683</v>
      </c>
      <c r="B14" s="46">
        <f>B11</f>
        <v>-488750.9</v>
      </c>
      <c r="C14" s="182"/>
      <c r="D14" s="46">
        <f>D11</f>
        <v>0</v>
      </c>
      <c r="E14" s="182"/>
      <c r="F14" s="46">
        <f>F11</f>
        <v>0</v>
      </c>
      <c r="G14" s="182"/>
      <c r="H14" s="46">
        <f>H11</f>
        <v>0</v>
      </c>
      <c r="I14" s="182"/>
      <c r="J14" s="46">
        <f>J11</f>
        <v>0</v>
      </c>
      <c r="K14" s="182"/>
      <c r="L14" s="46">
        <f>L11</f>
        <v>-488750.9</v>
      </c>
      <c r="N14" s="46">
        <f>N11</f>
        <v>488750.9</v>
      </c>
      <c r="P14" s="46">
        <f>P11</f>
        <v>0</v>
      </c>
    </row>
    <row r="15" spans="1:16" ht="13.5" thickTop="1">
      <c r="B15" s="182"/>
      <c r="C15" s="182"/>
      <c r="D15" s="182"/>
      <c r="E15" s="182"/>
      <c r="F15" s="182"/>
      <c r="G15" s="182"/>
      <c r="H15" s="182"/>
      <c r="I15" s="182"/>
      <c r="J15" s="182"/>
      <c r="K15" s="182"/>
      <c r="L15" s="182"/>
    </row>
  </sheetData>
  <mergeCells count="3">
    <mergeCell ref="A1:P1"/>
    <mergeCell ref="A2:P2"/>
    <mergeCell ref="A3:P3"/>
  </mergeCells>
  <pageMargins left="0.75" right="0.75" top="1" bottom="1" header="0.5" footer="0.5"/>
  <pageSetup scale="63" orientation="landscape" r:id="rId1"/>
  <headerFooter alignWithMargins="0">
    <oddFooter>&amp;L&amp;Z
&amp;F&amp;C&amp;A&amp;R9.&amp;P</oddFooter>
  </headerFooter>
</worksheet>
</file>

<file path=xl/worksheets/sheet129.xml><?xml version="1.0" encoding="utf-8"?>
<worksheet xmlns="http://schemas.openxmlformats.org/spreadsheetml/2006/main" xmlns:r="http://schemas.openxmlformats.org/officeDocument/2006/relationships">
  <sheetPr codeName="Sheet132">
    <tabColor indexed="33"/>
    <pageSetUpPr fitToPage="1"/>
  </sheetPr>
  <dimension ref="A1:N15"/>
  <sheetViews>
    <sheetView zoomScaleNormal="100" workbookViewId="0">
      <selection sqref="A1:L1"/>
    </sheetView>
  </sheetViews>
  <sheetFormatPr defaultRowHeight="12.75"/>
  <cols>
    <col min="1" max="1" width="40.5703125" bestFit="1" customWidth="1"/>
    <col min="2" max="2" width="17.7109375" customWidth="1"/>
    <col min="3" max="3" width="1.7109375" customWidth="1"/>
    <col min="4" max="4" width="17.7109375" customWidth="1"/>
    <col min="5" max="5" width="1.7109375" customWidth="1"/>
    <col min="6" max="6" width="17.7109375" customWidth="1"/>
    <col min="7" max="7" width="1.7109375" customWidth="1"/>
    <col min="8" max="8" width="17.7109375" customWidth="1"/>
    <col min="9" max="9" width="1.7109375" customWidth="1"/>
    <col min="10" max="10" width="17.7109375" customWidth="1"/>
    <col min="11" max="11" width="1.7109375" customWidth="1"/>
    <col min="12" max="12" width="17.7109375" customWidth="1"/>
  </cols>
  <sheetData>
    <row r="1" spans="1:14" s="38" customFormat="1" ht="15.75">
      <c r="A1" s="366" t="s">
        <v>134</v>
      </c>
      <c r="B1" s="366"/>
      <c r="C1" s="366"/>
      <c r="D1" s="366"/>
      <c r="E1" s="366"/>
      <c r="F1" s="366"/>
      <c r="G1" s="366"/>
      <c r="H1" s="366"/>
      <c r="I1" s="366"/>
      <c r="J1" s="366"/>
      <c r="K1" s="366"/>
      <c r="L1" s="366"/>
    </row>
    <row r="2" spans="1:14" s="38" customFormat="1" ht="15.75">
      <c r="A2" s="366" t="s">
        <v>1157</v>
      </c>
      <c r="B2" s="366"/>
      <c r="C2" s="366"/>
      <c r="D2" s="366"/>
      <c r="E2" s="366"/>
      <c r="F2" s="366"/>
      <c r="G2" s="366"/>
      <c r="H2" s="366"/>
      <c r="I2" s="366"/>
      <c r="J2" s="366"/>
      <c r="K2" s="366"/>
      <c r="L2" s="366"/>
    </row>
    <row r="3" spans="1:14">
      <c r="A3" s="357" t="str">
        <f>'Summary - Cost - PG 1 (PA)'!A3:N3</f>
        <v>MARCH 2012</v>
      </c>
      <c r="B3" s="357"/>
      <c r="C3" s="357"/>
      <c r="D3" s="357"/>
      <c r="E3" s="357"/>
      <c r="F3" s="357"/>
      <c r="G3" s="357"/>
      <c r="H3" s="357"/>
      <c r="I3" s="357"/>
      <c r="J3" s="357"/>
      <c r="K3" s="357"/>
      <c r="L3" s="357"/>
      <c r="M3" s="40"/>
      <c r="N3" s="40"/>
    </row>
    <row r="4" spans="1:14">
      <c r="A4" s="190"/>
      <c r="B4" s="190"/>
      <c r="C4" s="190"/>
      <c r="D4" s="190"/>
      <c r="E4" s="190"/>
      <c r="F4" s="190"/>
      <c r="G4" s="190"/>
      <c r="H4" s="190"/>
      <c r="I4" s="190"/>
      <c r="J4" s="190"/>
      <c r="K4" s="190"/>
      <c r="L4" s="190"/>
      <c r="M4" s="40"/>
      <c r="N4" s="40"/>
    </row>
    <row r="6" spans="1:14">
      <c r="B6" s="41" t="s">
        <v>25</v>
      </c>
      <c r="D6" s="33"/>
      <c r="F6" s="33"/>
      <c r="H6" s="41" t="s">
        <v>612</v>
      </c>
      <c r="J6" s="33"/>
      <c r="L6" s="41" t="s">
        <v>26</v>
      </c>
    </row>
    <row r="7" spans="1:14" s="10" customFormat="1">
      <c r="B7" s="42" t="s">
        <v>27</v>
      </c>
      <c r="C7"/>
      <c r="D7" s="42" t="s">
        <v>107</v>
      </c>
      <c r="E7"/>
      <c r="F7" s="42" t="s">
        <v>108</v>
      </c>
      <c r="G7"/>
      <c r="H7" s="42" t="s">
        <v>613</v>
      </c>
      <c r="I7"/>
      <c r="J7" s="42" t="s">
        <v>109</v>
      </c>
      <c r="K7"/>
      <c r="L7" s="42" t="s">
        <v>27</v>
      </c>
    </row>
    <row r="8" spans="1:14" s="10" customFormat="1">
      <c r="B8" s="54"/>
      <c r="C8"/>
      <c r="D8" s="54"/>
      <c r="E8"/>
      <c r="F8" s="54"/>
      <c r="G8"/>
      <c r="H8" s="54"/>
      <c r="I8"/>
      <c r="J8" s="54"/>
      <c r="K8"/>
      <c r="L8" s="54"/>
    </row>
    <row r="9" spans="1:14" s="10" customFormat="1">
      <c r="A9" s="12" t="s">
        <v>806</v>
      </c>
      <c r="B9" s="33"/>
      <c r="C9" s="33"/>
      <c r="D9" s="33"/>
      <c r="E9" s="33"/>
      <c r="F9" s="33"/>
      <c r="G9" s="33"/>
      <c r="H9" s="33"/>
      <c r="I9" s="33"/>
      <c r="J9" s="33"/>
      <c r="K9" s="33"/>
      <c r="L9" s="33"/>
    </row>
    <row r="10" spans="1:14">
      <c r="A10" t="s">
        <v>4</v>
      </c>
      <c r="B10" s="35">
        <v>-488750.9</v>
      </c>
      <c r="C10" s="33"/>
      <c r="D10" s="35">
        <v>0</v>
      </c>
      <c r="E10" s="33"/>
      <c r="F10" s="35">
        <v>0</v>
      </c>
      <c r="G10" s="33"/>
      <c r="H10" s="35">
        <v>0</v>
      </c>
      <c r="I10" s="33"/>
      <c r="J10" s="35">
        <f>D10+F10+H10</f>
        <v>0</v>
      </c>
      <c r="K10" s="33"/>
      <c r="L10" s="35">
        <f>J10+B10</f>
        <v>-488750.9</v>
      </c>
    </row>
    <row r="11" spans="1:14">
      <c r="B11" s="37">
        <f>SUM(B10)</f>
        <v>-488750.9</v>
      </c>
      <c r="C11" s="37"/>
      <c r="D11" s="37">
        <f>SUM(D10)</f>
        <v>0</v>
      </c>
      <c r="E11" s="37"/>
      <c r="F11" s="37">
        <f>SUM(F10)</f>
        <v>0</v>
      </c>
      <c r="G11" s="37"/>
      <c r="H11" s="37">
        <f>SUM(H10)</f>
        <v>0</v>
      </c>
      <c r="I11" s="37"/>
      <c r="J11" s="37">
        <f>SUM(J10)</f>
        <v>0</v>
      </c>
      <c r="K11" s="37"/>
      <c r="L11" s="37">
        <f>SUM(L10)</f>
        <v>-488750.9</v>
      </c>
      <c r="M11" s="7"/>
    </row>
    <row r="12" spans="1:14">
      <c r="B12" s="37"/>
      <c r="C12" s="37"/>
      <c r="D12" s="37"/>
      <c r="E12" s="37"/>
      <c r="F12" s="37"/>
      <c r="G12" s="37"/>
      <c r="H12" s="37"/>
      <c r="I12" s="37"/>
      <c r="J12" s="37"/>
      <c r="K12" s="37"/>
      <c r="L12" s="37"/>
      <c r="M12" s="7"/>
    </row>
    <row r="13" spans="1:14">
      <c r="B13" s="33"/>
      <c r="C13" s="33"/>
      <c r="D13" s="33"/>
      <c r="E13" s="33"/>
      <c r="F13" s="33"/>
      <c r="G13" s="33"/>
      <c r="H13" s="33"/>
      <c r="I13" s="33"/>
      <c r="J13" s="33"/>
      <c r="K13" s="33"/>
      <c r="L13" s="33"/>
    </row>
    <row r="14" spans="1:14" ht="13.5" thickBot="1">
      <c r="A14" s="3" t="s">
        <v>683</v>
      </c>
      <c r="B14" s="44">
        <f>B11</f>
        <v>-488750.9</v>
      </c>
      <c r="C14" s="33"/>
      <c r="D14" s="44">
        <f>D11</f>
        <v>0</v>
      </c>
      <c r="E14" s="33"/>
      <c r="F14" s="44">
        <f>F11</f>
        <v>0</v>
      </c>
      <c r="G14" s="33"/>
      <c r="H14" s="44">
        <f>H11</f>
        <v>0</v>
      </c>
      <c r="I14" s="33"/>
      <c r="J14" s="44">
        <f>J11</f>
        <v>0</v>
      </c>
      <c r="K14" s="33"/>
      <c r="L14" s="44">
        <f>L11</f>
        <v>-488750.9</v>
      </c>
    </row>
    <row r="15" spans="1:14" ht="13.5" thickTop="1">
      <c r="B15" s="33"/>
      <c r="C15" s="33"/>
      <c r="D15" s="33"/>
      <c r="E15" s="33"/>
      <c r="F15" s="33"/>
      <c r="G15" s="33"/>
      <c r="H15" s="33"/>
      <c r="I15" s="33"/>
      <c r="J15" s="33"/>
      <c r="K15" s="33"/>
      <c r="L15" s="33"/>
    </row>
  </sheetData>
  <mergeCells count="3">
    <mergeCell ref="A1:L1"/>
    <mergeCell ref="A2:L2"/>
    <mergeCell ref="A3:L3"/>
  </mergeCells>
  <pageMargins left="0.75" right="0.75" top="1" bottom="1" header="0.5" footer="0.5"/>
  <pageSetup scale="79" orientation="landscape" r:id="rId1"/>
  <headerFooter alignWithMargins="0">
    <oddFooter>&amp;L&amp;Z
&amp;F&amp;C&amp;A&amp;R10.&amp;P</oddFooter>
  </headerFooter>
</worksheet>
</file>

<file path=xl/worksheets/sheet13.xml><?xml version="1.0" encoding="utf-8"?>
<worksheet xmlns="http://schemas.openxmlformats.org/spreadsheetml/2006/main" xmlns:r="http://schemas.openxmlformats.org/officeDocument/2006/relationships">
  <sheetPr codeName="Sheet13"/>
  <dimension ref="A1"/>
  <sheetViews>
    <sheetView workbookViewId="0"/>
  </sheetViews>
  <sheetFormatPr defaultColWidth="25.7109375" defaultRowHeight="13.5"/>
  <cols>
    <col min="1" max="16384" width="25.7109375" style="14"/>
  </cols>
  <sheetData/>
  <customSheetViews>
    <customSheetView guid="{6B74E52F-9552-408A-8775-25AFF24E6639}" state="hidden" showRuler="0">
      <pageMargins left="0.75" right="0.75" top="1" bottom="1" header="0.5" footer="0.5"/>
      <headerFooter alignWithMargins="0"/>
    </customSheetView>
  </customSheetViews>
  <phoneticPr fontId="4" type="noConversion"/>
  <pageMargins left="0.75" right="0.75" top="1" bottom="1" header="0.5" footer="0.5"/>
  <headerFooter alignWithMargins="0"/>
</worksheet>
</file>

<file path=xl/worksheets/sheet130.xml><?xml version="1.0" encoding="utf-8"?>
<worksheet xmlns="http://schemas.openxmlformats.org/spreadsheetml/2006/main" xmlns:r="http://schemas.openxmlformats.org/officeDocument/2006/relationships">
  <sheetPr codeName="Sheet133">
    <pageSetUpPr fitToPage="1"/>
  </sheetPr>
  <dimension ref="A1:P128"/>
  <sheetViews>
    <sheetView zoomScale="90" zoomScaleNormal="90" workbookViewId="0">
      <selection sqref="A1:P1"/>
    </sheetView>
  </sheetViews>
  <sheetFormatPr defaultRowHeight="12.75"/>
  <cols>
    <col min="1" max="1" width="50.85546875" style="10" bestFit="1" customWidth="1"/>
    <col min="2" max="2" width="18.42578125" style="10" bestFit="1" customWidth="1"/>
    <col min="3" max="3" width="1.7109375" style="10" customWidth="1"/>
    <col min="4" max="4" width="17.7109375" style="10" customWidth="1"/>
    <col min="5" max="5" width="1.7109375" style="10" customWidth="1"/>
    <col min="6" max="6" width="17.7109375" style="10" customWidth="1"/>
    <col min="7" max="7" width="1.7109375" style="10" customWidth="1"/>
    <col min="8" max="8" width="18.42578125" style="10" bestFit="1" customWidth="1"/>
    <col min="9" max="9" width="1.7109375" style="10" customWidth="1"/>
    <col min="10" max="10" width="18.42578125" style="10" bestFit="1" customWidth="1"/>
    <col min="11" max="11" width="1.5703125" style="10" customWidth="1"/>
    <col min="12" max="12" width="18.42578125" style="10" bestFit="1" customWidth="1"/>
    <col min="13" max="13" width="1.7109375" style="10" customWidth="1"/>
    <col min="14" max="14" width="21.85546875" style="10" customWidth="1"/>
    <col min="15" max="15" width="2.7109375" style="10" customWidth="1"/>
    <col min="16" max="16" width="23.140625" style="10" bestFit="1" customWidth="1"/>
    <col min="17" max="16384" width="9.140625" style="10"/>
  </cols>
  <sheetData>
    <row r="1" spans="1:16" s="38" customFormat="1" ht="15.75">
      <c r="A1" s="366" t="s">
        <v>134</v>
      </c>
      <c r="B1" s="366"/>
      <c r="C1" s="366"/>
      <c r="D1" s="366"/>
      <c r="E1" s="366"/>
      <c r="F1" s="366"/>
      <c r="G1" s="366"/>
      <c r="H1" s="366"/>
      <c r="I1" s="366"/>
      <c r="J1" s="366"/>
      <c r="K1" s="366"/>
      <c r="L1" s="366"/>
      <c r="M1" s="366"/>
      <c r="N1" s="366"/>
      <c r="O1" s="366"/>
      <c r="P1" s="366"/>
    </row>
    <row r="2" spans="1:16" s="38" customFormat="1" ht="15.75">
      <c r="A2" s="367" t="s">
        <v>1158</v>
      </c>
      <c r="B2" s="366"/>
      <c r="C2" s="366"/>
      <c r="D2" s="366"/>
      <c r="E2" s="366"/>
      <c r="F2" s="366"/>
      <c r="G2" s="366"/>
      <c r="H2" s="366"/>
      <c r="I2" s="366"/>
      <c r="J2" s="366"/>
      <c r="K2" s="366"/>
      <c r="L2" s="366"/>
      <c r="M2" s="366"/>
      <c r="N2" s="366"/>
      <c r="O2" s="366"/>
      <c r="P2" s="366"/>
    </row>
    <row r="3" spans="1:16">
      <c r="A3" s="361" t="str">
        <f>'Summary - Cost - PG 1 (PA)'!A3:N3</f>
        <v>MARCH 2012</v>
      </c>
      <c r="B3" s="361"/>
      <c r="C3" s="361"/>
      <c r="D3" s="361"/>
      <c r="E3" s="361"/>
      <c r="F3" s="361"/>
      <c r="G3" s="361"/>
      <c r="H3" s="361"/>
      <c r="I3" s="361"/>
      <c r="J3" s="361"/>
      <c r="K3" s="361"/>
      <c r="L3" s="361"/>
      <c r="M3" s="361"/>
      <c r="N3" s="361"/>
      <c r="O3" s="361"/>
      <c r="P3" s="361"/>
    </row>
    <row r="4" spans="1:16">
      <c r="A4" s="265"/>
      <c r="B4" s="265"/>
      <c r="C4" s="265"/>
      <c r="D4" s="265"/>
      <c r="E4" s="265"/>
      <c r="F4" s="265"/>
      <c r="G4" s="265"/>
      <c r="H4" s="265"/>
      <c r="I4" s="265"/>
      <c r="J4" s="265"/>
      <c r="K4" s="265"/>
      <c r="L4" s="265"/>
    </row>
    <row r="6" spans="1:16">
      <c r="B6" s="84" t="s">
        <v>25</v>
      </c>
      <c r="D6" s="64"/>
      <c r="F6" s="64"/>
      <c r="H6" s="84" t="s">
        <v>612</v>
      </c>
      <c r="J6" s="84" t="s">
        <v>147</v>
      </c>
      <c r="K6" s="64"/>
      <c r="L6" s="84" t="s">
        <v>26</v>
      </c>
      <c r="P6" s="163" t="s">
        <v>422</v>
      </c>
    </row>
    <row r="7" spans="1:16">
      <c r="A7" s="12" t="s">
        <v>371</v>
      </c>
      <c r="B7" s="43" t="s">
        <v>27</v>
      </c>
      <c r="D7" s="43" t="s">
        <v>107</v>
      </c>
      <c r="F7" s="43" t="s">
        <v>108</v>
      </c>
      <c r="H7" s="43" t="s">
        <v>613</v>
      </c>
      <c r="J7" s="43" t="s">
        <v>109</v>
      </c>
      <c r="K7" s="85"/>
      <c r="L7" s="43" t="s">
        <v>27</v>
      </c>
      <c r="N7" s="43" t="s">
        <v>46</v>
      </c>
      <c r="P7" s="43" t="s">
        <v>419</v>
      </c>
    </row>
    <row r="8" spans="1:16">
      <c r="A8" s="12" t="s">
        <v>1244</v>
      </c>
      <c r="B8" s="85"/>
      <c r="D8" s="85"/>
      <c r="F8" s="85"/>
      <c r="H8" s="85"/>
      <c r="J8" s="85"/>
      <c r="K8" s="85"/>
      <c r="L8" s="85"/>
    </row>
    <row r="9" spans="1:16">
      <c r="A9" s="12" t="s">
        <v>420</v>
      </c>
    </row>
    <row r="10" spans="1:16">
      <c r="A10" s="12" t="s">
        <v>691</v>
      </c>
    </row>
    <row r="11" spans="1:16">
      <c r="A11" s="10" t="s">
        <v>274</v>
      </c>
      <c r="B11" s="64">
        <f>'KY_Cost-Plant Acct-Elec-P14(PA)'!B11</f>
        <v>0</v>
      </c>
      <c r="C11" s="64"/>
      <c r="D11" s="64">
        <f>'KY_Cost-Plant Acct-Elec-P14(PA)'!D11</f>
        <v>0</v>
      </c>
      <c r="E11" s="64"/>
      <c r="F11" s="64">
        <f>'KY_Cost-Plant Acct-Elec-P14(PA)'!F11</f>
        <v>0</v>
      </c>
      <c r="G11" s="64"/>
      <c r="H11" s="64">
        <f>'KY_Cost-Plant Acct-Elec-P14(PA)'!H11</f>
        <v>0</v>
      </c>
      <c r="I11" s="64"/>
      <c r="J11" s="64">
        <f t="shared" ref="J11:J25" si="0">H11+F11+D11</f>
        <v>0</v>
      </c>
      <c r="K11" s="64"/>
      <c r="L11" s="64">
        <f t="shared" ref="L11:L25" si="1">B11+J11</f>
        <v>0</v>
      </c>
      <c r="N11" s="72">
        <v>0</v>
      </c>
      <c r="P11" s="72">
        <f t="shared" ref="P11:P25" si="2">L11+N11</f>
        <v>0</v>
      </c>
    </row>
    <row r="12" spans="1:16">
      <c r="A12" s="10" t="s">
        <v>275</v>
      </c>
      <c r="B12" s="64">
        <f>'KY_Cost-Plant Acct-Elec-P14(PA)'!B12+'KY_Cost-Plant Acct-Elec-P14(PA)'!B99</f>
        <v>-1444458.3800000001</v>
      </c>
      <c r="C12" s="64"/>
      <c r="D12" s="64">
        <f>'KY_Cost-Plant Acct-Elec-P14(PA)'!D12+'KY_Cost-Plant Acct-Elec-P14(PA)'!D99</f>
        <v>0</v>
      </c>
      <c r="E12" s="64"/>
      <c r="F12" s="64">
        <f>'KY_Cost-Plant Acct-Elec-P14(PA)'!F12</f>
        <v>288.01</v>
      </c>
      <c r="G12" s="64"/>
      <c r="H12" s="64">
        <f>'KY_Cost-Plant Acct-Elec-P14(PA)'!H12</f>
        <v>0</v>
      </c>
      <c r="I12" s="64"/>
      <c r="J12" s="64">
        <f t="shared" si="0"/>
        <v>288.01</v>
      </c>
      <c r="K12" s="64"/>
      <c r="L12" s="64">
        <f t="shared" si="1"/>
        <v>-1444170.37</v>
      </c>
      <c r="N12" s="72">
        <f>'KY_Res by Plant Acct-P29 (PA)'!R12</f>
        <v>1440951.4500000002</v>
      </c>
      <c r="P12" s="72">
        <f t="shared" si="2"/>
        <v>-3218.9199999999255</v>
      </c>
    </row>
    <row r="13" spans="1:16">
      <c r="A13" s="10" t="s">
        <v>12</v>
      </c>
      <c r="B13" s="64">
        <f>'KY_Cost-Plant Acct-Elec-P14(PA)'!B13+'KY_Cost-Plant Acct-Elec-P14(PA)'!B100+'IN_Total PIS_Elec_NBV-P15 (PA)'!B11</f>
        <v>-33466826.059999999</v>
      </c>
      <c r="C13" s="64"/>
      <c r="D13" s="64">
        <f>'KY_Cost-Plant Acct-Elec-P14(PA)'!D13+'KY_Cost-Plant Acct-Elec-P14(PA)'!D100+'IN_Total PIS_Elec_NBV-P15 (PA)'!D11</f>
        <v>0</v>
      </c>
      <c r="E13" s="64"/>
      <c r="F13" s="64">
        <f>'KY_Cost-Plant Acct-Elec-P14(PA)'!F13+'IN_Total PIS_Elec_NBV-P15 (PA)'!F11</f>
        <v>67673.37</v>
      </c>
      <c r="G13" s="64"/>
      <c r="H13" s="64">
        <f>'KY_Cost-Plant Acct-Elec-P14(PA)'!H13+'IN_Total PIS_Elec_NBV-P15 (PA)'!H11+'KY_Cost-Plant Acct-Elec-P14(PA)'!H100</f>
        <v>0</v>
      </c>
      <c r="I13" s="64"/>
      <c r="J13" s="64">
        <f t="shared" si="0"/>
        <v>67673.37</v>
      </c>
      <c r="K13" s="64"/>
      <c r="L13" s="64">
        <f t="shared" si="1"/>
        <v>-33399152.689999998</v>
      </c>
      <c r="N13" s="72">
        <f>'KY_Res by Plant Acct-P29 (PA)'!R13+'IN_Total PIS_Elec_NBV-P15 (PA)'!N11</f>
        <v>33401126.129999999</v>
      </c>
      <c r="P13" s="72">
        <f t="shared" si="2"/>
        <v>1973.4400000013411</v>
      </c>
    </row>
    <row r="14" spans="1:16">
      <c r="A14" s="10" t="s">
        <v>276</v>
      </c>
      <c r="B14" s="64">
        <f>'KY_Cost-Plant Acct-Elec-P14(PA)'!B14+'KY_Cost-Plant Acct-Elec-P14(PA)'!B101</f>
        <v>-11373772.6</v>
      </c>
      <c r="C14" s="64"/>
      <c r="D14" s="64">
        <f>'KY_Cost-Plant Acct-Elec-P14(PA)'!D14+'KY_Cost-Plant Acct-Elec-P14(PA)'!D101</f>
        <v>0</v>
      </c>
      <c r="E14" s="64"/>
      <c r="F14" s="64">
        <f>'KY_Cost-Plant Acct-Elec-P14(PA)'!F14</f>
        <v>40030.740000000005</v>
      </c>
      <c r="G14" s="64"/>
      <c r="H14" s="64">
        <f>'KY_Cost-Plant Acct-Elec-P14(PA)'!H14+'KY_Cost-Plant Acct-Elec-P14(PA)'!H101</f>
        <v>0</v>
      </c>
      <c r="I14" s="64"/>
      <c r="J14" s="64">
        <f t="shared" si="0"/>
        <v>40030.740000000005</v>
      </c>
      <c r="K14" s="64"/>
      <c r="L14" s="64">
        <f t="shared" si="1"/>
        <v>-11333741.859999999</v>
      </c>
      <c r="N14" s="72">
        <f>'KY_Res by Plant Acct-P29 (PA)'!R15</f>
        <v>11334921.560000001</v>
      </c>
      <c r="P14" s="72">
        <f t="shared" si="2"/>
        <v>1179.7000000011176</v>
      </c>
    </row>
    <row r="15" spans="1:16">
      <c r="A15" s="10" t="s">
        <v>277</v>
      </c>
      <c r="B15" s="64">
        <f>'KY_Cost-Plant Acct-Elec-P14(PA)'!B15+'KY_Cost-Plant Acct-Elec-P14(PA)'!B102</f>
        <v>-53741587.819999993</v>
      </c>
      <c r="C15" s="64"/>
      <c r="D15" s="64">
        <f>'KY_Cost-Plant Acct-Elec-P14(PA)'!D15+'KY_Cost-Plant Acct-Elec-P14(PA)'!D102</f>
        <v>22.369999999999997</v>
      </c>
      <c r="E15" s="64"/>
      <c r="F15" s="64">
        <f>'KY_Cost-Plant Acct-Elec-P14(PA)'!F15</f>
        <v>123166.1</v>
      </c>
      <c r="G15" s="64"/>
      <c r="H15" s="64">
        <f>'KY_Cost-Plant Acct-Elec-P14(PA)'!H15+'KY_Cost-Plant Acct-Elec-P14(PA)'!H102</f>
        <v>0</v>
      </c>
      <c r="I15" s="64"/>
      <c r="J15" s="64">
        <f t="shared" si="0"/>
        <v>123188.47</v>
      </c>
      <c r="K15" s="64"/>
      <c r="L15" s="64">
        <f t="shared" si="1"/>
        <v>-53618399.349999994</v>
      </c>
      <c r="N15" s="72">
        <f>'KY_Res by Plant Acct-P29 (PA)'!R16</f>
        <v>53611288.389999993</v>
      </c>
      <c r="P15" s="72">
        <f t="shared" si="2"/>
        <v>-7110.9600000008941</v>
      </c>
    </row>
    <row r="16" spans="1:16">
      <c r="A16" s="10" t="s">
        <v>278</v>
      </c>
      <c r="B16" s="64">
        <f>'KY_Cost-Plant Acct-Elec-P14(PA)'!B16+'KY_Cost-Plant Acct-Elec-P14(PA)'!B103</f>
        <v>-23986138.050000001</v>
      </c>
      <c r="C16" s="64"/>
      <c r="D16" s="64">
        <f>'KY_Cost-Plant Acct-Elec-P14(PA)'!D16+'KY_Cost-Plant Acct-Elec-P14(PA)'!D103</f>
        <v>-997.9</v>
      </c>
      <c r="E16" s="64"/>
      <c r="F16" s="64">
        <f>'KY_Cost-Plant Acct-Elec-P14(PA)'!F16</f>
        <v>11991.38</v>
      </c>
      <c r="G16" s="64"/>
      <c r="H16" s="64">
        <f>'KY_Cost-Plant Acct-Elec-P14(PA)'!H16+'KY_Cost-Plant Acct-Elec-P14(PA)'!H103</f>
        <v>0</v>
      </c>
      <c r="I16" s="64"/>
      <c r="J16" s="64">
        <f t="shared" si="0"/>
        <v>10993.48</v>
      </c>
      <c r="K16" s="64"/>
      <c r="L16" s="64">
        <f t="shared" si="1"/>
        <v>-23975144.57</v>
      </c>
      <c r="N16" s="72">
        <f>'KY_Res by Plant Acct-P29 (PA)'!R17</f>
        <v>23979907.09</v>
      </c>
      <c r="P16" s="72">
        <f t="shared" si="2"/>
        <v>4762.519999999553</v>
      </c>
    </row>
    <row r="17" spans="1:16">
      <c r="A17" s="10" t="s">
        <v>279</v>
      </c>
      <c r="B17" s="64">
        <f>'KY_Cost-Plant Acct-Elec-P14(PA)'!B17+'KY_Cost-Plant Acct-Elec-P14(PA)'!B104</f>
        <v>-36179882.490000002</v>
      </c>
      <c r="C17" s="64"/>
      <c r="D17" s="64">
        <f>'KY_Cost-Plant Acct-Elec-P14(PA)'!D17+'KY_Cost-Plant Acct-Elec-P14(PA)'!D104</f>
        <v>1035.3099999999995</v>
      </c>
      <c r="E17" s="64"/>
      <c r="F17" s="64">
        <f>'KY_Cost-Plant Acct-Elec-P14(PA)'!F17</f>
        <v>89893.450000000012</v>
      </c>
      <c r="G17" s="64"/>
      <c r="H17" s="64">
        <f>'KY_Cost-Plant Acct-Elec-P14(PA)'!H17+'KY_Cost-Plant Acct-Elec-P14(PA)'!H104</f>
        <v>0</v>
      </c>
      <c r="I17" s="64"/>
      <c r="J17" s="64">
        <f t="shared" si="0"/>
        <v>90928.760000000009</v>
      </c>
      <c r="K17" s="64"/>
      <c r="L17" s="64">
        <f t="shared" si="1"/>
        <v>-36088953.730000004</v>
      </c>
      <c r="N17" s="72">
        <f>'KY_Res by Plant Acct-P29 (PA)'!R18</f>
        <v>36074061.270000003</v>
      </c>
      <c r="P17" s="72">
        <f t="shared" si="2"/>
        <v>-14892.460000000894</v>
      </c>
    </row>
    <row r="18" spans="1:16">
      <c r="A18" s="10" t="s">
        <v>280</v>
      </c>
      <c r="B18" s="64">
        <f>'KY_Cost-Plant Acct-Elec-P14(PA)'!B18+'KY_Cost-Plant Acct-Elec-P14(PA)'!B105</f>
        <v>-55448438.970000006</v>
      </c>
      <c r="C18" s="64"/>
      <c r="D18" s="64">
        <f>'KY_Cost-Plant Acct-Elec-P14(PA)'!D18+'KY_Cost-Plant Acct-Elec-P14(PA)'!D105</f>
        <v>14.21</v>
      </c>
      <c r="E18" s="64"/>
      <c r="F18" s="64">
        <f>'KY_Cost-Plant Acct-Elec-P14(PA)'!F18</f>
        <v>30664.91</v>
      </c>
      <c r="G18" s="64"/>
      <c r="H18" s="64">
        <f>'KY_Cost-Plant Acct-Elec-P14(PA)'!H18+'KY_Cost-Plant Acct-Elec-P14(PA)'!H105</f>
        <v>0</v>
      </c>
      <c r="I18" s="64"/>
      <c r="J18" s="64">
        <f t="shared" si="0"/>
        <v>30679.119999999999</v>
      </c>
      <c r="K18" s="64"/>
      <c r="L18" s="64">
        <f t="shared" si="1"/>
        <v>-55417759.850000009</v>
      </c>
      <c r="N18" s="72">
        <f>'KY_Res by Plant Acct-P29 (PA)'!R19</f>
        <v>55422446.430000007</v>
      </c>
      <c r="P18" s="72">
        <f t="shared" si="2"/>
        <v>4686.5799999982119</v>
      </c>
    </row>
    <row r="19" spans="1:16">
      <c r="A19" s="10" t="s">
        <v>308</v>
      </c>
      <c r="B19" s="64">
        <f>'KY_Cost-Plant Acct-Elec-P14(PA)'!B19+'KY_Cost-Plant Acct-Elec-P14(PA)'!B106</f>
        <v>-1949957.39</v>
      </c>
      <c r="C19" s="64"/>
      <c r="D19" s="64">
        <f>'KY_Cost-Plant Acct-Elec-P14(PA)'!D19+'KY_Cost-Plant Acct-Elec-P14(PA)'!D106</f>
        <v>69.08</v>
      </c>
      <c r="E19" s="64"/>
      <c r="F19" s="64">
        <f>'KY_Cost-Plant Acct-Elec-P14(PA)'!F19</f>
        <v>22246.82</v>
      </c>
      <c r="G19" s="64"/>
      <c r="H19" s="64">
        <f>'KY_Cost-Plant Acct-Elec-P14(PA)'!H19+'KY_Cost-Plant Acct-Elec-P14(PA)'!H106</f>
        <v>0</v>
      </c>
      <c r="I19" s="64"/>
      <c r="J19" s="64">
        <f t="shared" si="0"/>
        <v>22315.9</v>
      </c>
      <c r="K19" s="64"/>
      <c r="L19" s="64">
        <f t="shared" si="1"/>
        <v>-1927641.49</v>
      </c>
      <c r="N19" s="72">
        <f>'KY_Res by Plant Acct-P29 (PA)'!R20</f>
        <v>1939838.67</v>
      </c>
      <c r="P19" s="72">
        <f t="shared" si="2"/>
        <v>12197.179999999935</v>
      </c>
    </row>
    <row r="20" spans="1:16">
      <c r="A20" s="10" t="s">
        <v>309</v>
      </c>
      <c r="B20" s="64">
        <f>'KY_Cost-Plant Acct-Elec-P14(PA)'!B20</f>
        <v>-6888518.79</v>
      </c>
      <c r="C20" s="64"/>
      <c r="D20" s="64">
        <f>'KY_Cost-Plant Acct-Elec-P14(PA)'!D20</f>
        <v>0</v>
      </c>
      <c r="E20" s="64"/>
      <c r="F20" s="64">
        <f>'KY_Cost-Plant Acct-Elec-P14(PA)'!F20</f>
        <v>7744.98</v>
      </c>
      <c r="G20" s="64"/>
      <c r="H20" s="64">
        <f>'KY_Cost-Plant Acct-Elec-P14(PA)'!H20</f>
        <v>0</v>
      </c>
      <c r="I20" s="64"/>
      <c r="J20" s="64">
        <f t="shared" si="0"/>
        <v>7744.98</v>
      </c>
      <c r="K20" s="64"/>
      <c r="L20" s="64">
        <f t="shared" si="1"/>
        <v>-6880773.8099999996</v>
      </c>
      <c r="N20" s="72">
        <f>'KY_Res by Plant Acct-P29 (PA)'!R21</f>
        <v>6880773.8099999996</v>
      </c>
      <c r="P20" s="72">
        <f t="shared" si="2"/>
        <v>0</v>
      </c>
    </row>
    <row r="21" spans="1:16">
      <c r="A21" s="10" t="s">
        <v>310</v>
      </c>
      <c r="B21" s="64">
        <f>'KY_Cost-Plant Acct-Elec-P14(PA)'!B21</f>
        <v>-15937025.810000001</v>
      </c>
      <c r="C21" s="64"/>
      <c r="D21" s="64">
        <f>'KY_Cost-Plant Acct-Elec-P14(PA)'!D21+'KY_Cost-Plant Acct-Elec-P14(PA)'!D107</f>
        <v>0</v>
      </c>
      <c r="E21" s="64"/>
      <c r="F21" s="64">
        <f>'KY_Cost-Plant Acct-Elec-P14(PA)'!F21</f>
        <v>0</v>
      </c>
      <c r="G21" s="64"/>
      <c r="H21" s="64">
        <f>'KY_Cost-Plant Acct-Elec-P14(PA)'!H21</f>
        <v>0</v>
      </c>
      <c r="I21" s="64"/>
      <c r="J21" s="64">
        <f t="shared" si="0"/>
        <v>0</v>
      </c>
      <c r="K21" s="64"/>
      <c r="L21" s="64">
        <f t="shared" si="1"/>
        <v>-15937025.810000001</v>
      </c>
      <c r="N21" s="72">
        <f>'KY_Res by Plant Acct-P29 (PA)'!R22</f>
        <v>15937025.810000001</v>
      </c>
      <c r="P21" s="72">
        <f t="shared" si="2"/>
        <v>0</v>
      </c>
    </row>
    <row r="22" spans="1:16">
      <c r="A22" s="10" t="s">
        <v>311</v>
      </c>
      <c r="B22" s="64">
        <f>'KY_Cost-Plant Acct-Elec-P14(PA)'!B22+'KY_Cost-Plant Acct-Elec-P14(PA)'!B108</f>
        <v>-12797755.470000001</v>
      </c>
      <c r="C22" s="64"/>
      <c r="D22" s="64">
        <f>'KY_Cost-Plant Acct-Elec-P14(PA)'!D108+'KY_Cost-Plant Acct-Elec-P14(PA)'!D22</f>
        <v>-829.97</v>
      </c>
      <c r="E22" s="64"/>
      <c r="F22" s="64">
        <f>'KY_Cost-Plant Acct-Elec-P14(PA)'!F22</f>
        <v>153346.18</v>
      </c>
      <c r="G22" s="64"/>
      <c r="H22" s="64">
        <f>'KY_Cost-Plant Acct-Elec-P14(PA)'!H22+'KY_Cost-Plant Acct-Elec-P14(PA)'!H108</f>
        <v>0</v>
      </c>
      <c r="I22" s="64"/>
      <c r="J22" s="64">
        <f t="shared" si="0"/>
        <v>152516.21</v>
      </c>
      <c r="K22" s="64"/>
      <c r="L22" s="64">
        <f t="shared" si="1"/>
        <v>-12645239.26</v>
      </c>
      <c r="N22" s="72">
        <f>'KY_Res by Plant Acct-P29 (PA)'!R23</f>
        <v>12647666.75</v>
      </c>
      <c r="P22" s="72">
        <f t="shared" si="2"/>
        <v>2427.4900000002235</v>
      </c>
    </row>
    <row r="23" spans="1:16">
      <c r="A23" s="10" t="s">
        <v>312</v>
      </c>
      <c r="B23" s="64">
        <f>'KY_Cost-Plant Acct-Elec-P14(PA)'!B23+'KY_Cost-Plant Acct-Elec-P14(PA)'!B109</f>
        <v>-18283869.850000001</v>
      </c>
      <c r="C23" s="64"/>
      <c r="D23" s="64">
        <f>'KY_Cost-Plant Acct-Elec-P14(PA)'!D23+'KY_Cost-Plant Acct-Elec-P14(PA)'!D109</f>
        <v>686.9</v>
      </c>
      <c r="E23" s="64"/>
      <c r="F23" s="64">
        <f>'KY_Cost-Plant Acct-Elec-P14(PA)'!F23</f>
        <v>39092.99</v>
      </c>
      <c r="G23" s="64"/>
      <c r="H23" s="64">
        <f>'KY_Cost-Plant Acct-Elec-P14(PA)'!H23+'KY_Cost-Plant Acct-Elec-P14(PA)'!H109</f>
        <v>0</v>
      </c>
      <c r="I23" s="64"/>
      <c r="J23" s="64">
        <f t="shared" si="0"/>
        <v>39779.89</v>
      </c>
      <c r="K23" s="64"/>
      <c r="L23" s="64">
        <f t="shared" si="1"/>
        <v>-18244089.960000001</v>
      </c>
      <c r="N23" s="72">
        <f>'KY_Res by Plant Acct-P29 (PA)'!R24</f>
        <v>18242131.630000003</v>
      </c>
      <c r="P23" s="72">
        <f t="shared" si="2"/>
        <v>-1958.3299999982119</v>
      </c>
    </row>
    <row r="24" spans="1:16">
      <c r="A24" s="10" t="s">
        <v>313</v>
      </c>
      <c r="B24" s="64">
        <f>'KY_Cost-Plant Acct-Elec-P14(PA)'!B24</f>
        <v>0</v>
      </c>
      <c r="C24" s="64"/>
      <c r="D24" s="64">
        <f>'KY_Cost-Plant Acct-Elec-P14(PA)'!D24</f>
        <v>0</v>
      </c>
      <c r="E24" s="64"/>
      <c r="F24" s="64">
        <f>'KY_Cost-Plant Acct-Elec-P14(PA)'!F24</f>
        <v>0</v>
      </c>
      <c r="G24" s="64"/>
      <c r="H24" s="64">
        <f>'KY_Cost-Plant Acct-Elec-P14(PA)'!H24</f>
        <v>0</v>
      </c>
      <c r="I24" s="64"/>
      <c r="J24" s="64">
        <f t="shared" si="0"/>
        <v>0</v>
      </c>
      <c r="K24" s="64"/>
      <c r="L24" s="64">
        <f t="shared" si="1"/>
        <v>0</v>
      </c>
      <c r="N24" s="72">
        <f>'KY_Res by Plant Acct-P29 (PA)'!R25</f>
        <v>0</v>
      </c>
      <c r="P24" s="72">
        <f t="shared" si="2"/>
        <v>0</v>
      </c>
    </row>
    <row r="25" spans="1:16">
      <c r="A25" s="10" t="s">
        <v>314</v>
      </c>
      <c r="B25" s="159">
        <f>'KY_Cost-Plant Acct-Elec-P14(PA)'!B25</f>
        <v>0</v>
      </c>
      <c r="C25" s="65"/>
      <c r="D25" s="159">
        <f>'KY_Cost-Plant Acct-Elec-P14(PA)'!D25</f>
        <v>0</v>
      </c>
      <c r="E25" s="65"/>
      <c r="F25" s="159">
        <f>'KY_Cost-Plant Acct-Elec-P14(PA)'!F25</f>
        <v>0</v>
      </c>
      <c r="G25" s="64"/>
      <c r="H25" s="159">
        <f>'KY_Cost-Plant Acct-Elec-P14(PA)'!H25</f>
        <v>0</v>
      </c>
      <c r="I25" s="64"/>
      <c r="J25" s="159">
        <f t="shared" si="0"/>
        <v>0</v>
      </c>
      <c r="K25" s="65"/>
      <c r="L25" s="159">
        <f t="shared" si="1"/>
        <v>0</v>
      </c>
      <c r="N25" s="93">
        <f>'KY_Res by Plant Acct-P29 (PA)'!R26</f>
        <v>0</v>
      </c>
      <c r="P25" s="93">
        <f t="shared" si="2"/>
        <v>0</v>
      </c>
    </row>
    <row r="26" spans="1:16">
      <c r="B26" s="65">
        <f>SUM(B11:B25)</f>
        <v>-271498231.67999995</v>
      </c>
      <c r="C26" s="65"/>
      <c r="D26" s="65">
        <f>SUM(D11:D25)</f>
        <v>-5.6843418860808015E-13</v>
      </c>
      <c r="E26" s="65"/>
      <c r="F26" s="65">
        <f>SUM(F11:F25)</f>
        <v>586138.92999999993</v>
      </c>
      <c r="G26" s="65"/>
      <c r="H26" s="65">
        <f>SUM(H11:H25)</f>
        <v>0</v>
      </c>
      <c r="I26" s="65"/>
      <c r="J26" s="65">
        <f>SUM(J11:J25)</f>
        <v>586138.93000000005</v>
      </c>
      <c r="K26" s="65"/>
      <c r="L26" s="65">
        <f>SUM(L11:L25)</f>
        <v>-270912092.75</v>
      </c>
      <c r="N26" s="65">
        <f>SUM(N11:N25)</f>
        <v>270912138.99000001</v>
      </c>
      <c r="P26" s="65">
        <f>SUM(P11:P25)</f>
        <v>46.240000000456348</v>
      </c>
    </row>
    <row r="27" spans="1:16">
      <c r="B27" s="65"/>
      <c r="C27" s="65"/>
      <c r="D27" s="65"/>
      <c r="E27" s="65"/>
      <c r="F27" s="65"/>
      <c r="G27" s="65"/>
      <c r="H27" s="65"/>
      <c r="I27" s="65"/>
      <c r="J27" s="65"/>
      <c r="K27" s="65"/>
      <c r="L27" s="65"/>
    </row>
    <row r="28" spans="1:16">
      <c r="A28" s="12" t="s">
        <v>808</v>
      </c>
      <c r="B28" s="65"/>
      <c r="C28" s="65"/>
      <c r="D28" s="65"/>
      <c r="E28" s="65"/>
      <c r="F28" s="65"/>
      <c r="G28" s="65"/>
      <c r="H28" s="65"/>
      <c r="I28" s="65"/>
      <c r="J28" s="65"/>
      <c r="K28" s="65"/>
      <c r="L28" s="65"/>
    </row>
    <row r="29" spans="1:16">
      <c r="A29" s="10" t="s">
        <v>315</v>
      </c>
      <c r="B29" s="65">
        <f>'KY_Cost-Plant Acct-Elec-P14(PA)'!B29</f>
        <v>-6981474.3900000006</v>
      </c>
      <c r="C29" s="65"/>
      <c r="D29" s="65">
        <f>'KY_Cost-Plant Acct-Elec-P14(PA)'!D29</f>
        <v>0</v>
      </c>
      <c r="E29" s="65"/>
      <c r="F29" s="65">
        <f>'KY_Cost-Plant Acct-Elec-P14(PA)'!F29</f>
        <v>39209.64</v>
      </c>
      <c r="G29" s="65"/>
      <c r="H29" s="65">
        <f>'KY_Cost-Plant Acct-Elec-P14(PA)'!H29</f>
        <v>0</v>
      </c>
      <c r="I29" s="65"/>
      <c r="J29" s="65">
        <f t="shared" ref="J29" si="3">H29+F29+D29</f>
        <v>39209.64</v>
      </c>
      <c r="K29" s="65"/>
      <c r="L29" s="64">
        <f t="shared" ref="L29" si="4">B29+J29</f>
        <v>-6942264.7500000009</v>
      </c>
      <c r="N29" s="72">
        <f>'KY_Res by Plant Acct-P29 (PA)'!R30</f>
        <v>6942264.75</v>
      </c>
      <c r="P29" s="72">
        <f t="shared" ref="P29:P34" si="5">L29+N29</f>
        <v>0</v>
      </c>
    </row>
    <row r="30" spans="1:16">
      <c r="A30" s="10" t="s">
        <v>316</v>
      </c>
      <c r="B30" s="65">
        <f>'KY_Cost-Plant Acct-Elec-P14(PA)'!B30+'KY_Cost-Plant Acct-Elec-P14(PA)'!B113</f>
        <v>-253776.4</v>
      </c>
      <c r="C30" s="65"/>
      <c r="D30" s="65">
        <f>'KY_Cost-Plant Acct-Elec-P14(PA)'!D30+'KY_Cost-Plant Acct-Elec-P14(PA)'!D113</f>
        <v>0</v>
      </c>
      <c r="E30" s="65"/>
      <c r="F30" s="65">
        <f>'KY_Cost-Plant Acct-Elec-P14(PA)'!F30</f>
        <v>0</v>
      </c>
      <c r="G30" s="65"/>
      <c r="H30" s="65">
        <f>'KY_Cost-Plant Acct-Elec-P14(PA)'!H30</f>
        <v>0</v>
      </c>
      <c r="I30" s="65"/>
      <c r="J30" s="65">
        <f t="shared" ref="J30" si="6">H30+F30+D30</f>
        <v>0</v>
      </c>
      <c r="K30" s="65"/>
      <c r="L30" s="64">
        <f t="shared" ref="L30" si="7">B30+J30</f>
        <v>-253776.4</v>
      </c>
      <c r="N30" s="72">
        <f>'KY_Res by Plant Acct-P29 (PA)'!R31</f>
        <v>253776.4</v>
      </c>
      <c r="P30" s="72">
        <f t="shared" si="5"/>
        <v>0</v>
      </c>
    </row>
    <row r="31" spans="1:16">
      <c r="A31" s="10" t="s">
        <v>317</v>
      </c>
      <c r="B31" s="65">
        <f>'KY_Cost-Plant Acct-Elec-P14(PA)'!B31+'KY_Cost-Plant Acct-Elec-P14(PA)'!B114</f>
        <v>-1385213.31</v>
      </c>
      <c r="C31" s="65"/>
      <c r="D31" s="65">
        <f>'KY_Cost-Plant Acct-Elec-P14(PA)'!D31+'KY_Cost-Plant Acct-Elec-P14(PA)'!D114</f>
        <v>0</v>
      </c>
      <c r="E31" s="65"/>
      <c r="F31" s="65">
        <f>'KY_Cost-Plant Acct-Elec-P14(PA)'!F31</f>
        <v>0</v>
      </c>
      <c r="G31" s="65"/>
      <c r="H31" s="65">
        <f>'KY_Cost-Plant Acct-Elec-P14(PA)'!H31</f>
        <v>0</v>
      </c>
      <c r="I31" s="65"/>
      <c r="J31" s="65">
        <f t="shared" ref="J31:J34" si="8">H31+F31+D31</f>
        <v>0</v>
      </c>
      <c r="K31" s="65"/>
      <c r="L31" s="64">
        <f t="shared" ref="L31:L34" si="9">B31+J31</f>
        <v>-1385213.31</v>
      </c>
      <c r="N31" s="72">
        <f>'KY_Res by Plant Acct-P29 (PA)'!R32</f>
        <v>1385213.31</v>
      </c>
      <c r="P31" s="72">
        <f t="shared" si="5"/>
        <v>0</v>
      </c>
    </row>
    <row r="32" spans="1:16">
      <c r="A32" s="10" t="s">
        <v>318</v>
      </c>
      <c r="B32" s="65">
        <f>'KY_Cost-Plant Acct-Elec-P14(PA)'!B32</f>
        <v>-21504.75</v>
      </c>
      <c r="C32" s="65"/>
      <c r="D32" s="65">
        <f>'KY_Cost-Plant Acct-Elec-P14(PA)'!D32</f>
        <v>0</v>
      </c>
      <c r="E32" s="65"/>
      <c r="F32" s="65">
        <f>'KY_Cost-Plant Acct-Elec-P14(PA)'!F32</f>
        <v>0</v>
      </c>
      <c r="G32" s="65"/>
      <c r="H32" s="65">
        <f>'KY_Cost-Plant Acct-Elec-P14(PA)'!H32</f>
        <v>0</v>
      </c>
      <c r="I32" s="65"/>
      <c r="J32" s="65">
        <f t="shared" si="8"/>
        <v>0</v>
      </c>
      <c r="K32" s="65"/>
      <c r="L32" s="64">
        <f t="shared" si="9"/>
        <v>-21504.75</v>
      </c>
      <c r="N32" s="72">
        <f>'KY_Res by Plant Acct-P29 (PA)'!R33</f>
        <v>21504.75</v>
      </c>
      <c r="P32" s="72">
        <f t="shared" si="5"/>
        <v>0</v>
      </c>
    </row>
    <row r="33" spans="1:16">
      <c r="A33" s="10" t="s">
        <v>319</v>
      </c>
      <c r="B33" s="65">
        <f>'KY_Cost-Plant Acct-Elec-P14(PA)'!B33</f>
        <v>-2156793.02</v>
      </c>
      <c r="C33" s="65"/>
      <c r="D33" s="65">
        <f>'KY_Cost-Plant Acct-Elec-P14(PA)'!D33</f>
        <v>0</v>
      </c>
      <c r="E33" s="65"/>
      <c r="F33" s="65">
        <f>'KY_Cost-Plant Acct-Elec-P14(PA)'!F33</f>
        <v>0</v>
      </c>
      <c r="G33" s="65"/>
      <c r="H33" s="65">
        <f>'KY_Cost-Plant Acct-Elec-P14(PA)'!H33</f>
        <v>0</v>
      </c>
      <c r="I33" s="65"/>
      <c r="J33" s="65">
        <f t="shared" si="8"/>
        <v>0</v>
      </c>
      <c r="K33" s="65"/>
      <c r="L33" s="64">
        <f t="shared" si="9"/>
        <v>-2156793.02</v>
      </c>
      <c r="N33" s="72">
        <f>'KY_Res by Plant Acct-P29 (PA)'!R34</f>
        <v>2156793.0200000005</v>
      </c>
      <c r="P33" s="72">
        <f t="shared" si="5"/>
        <v>0</v>
      </c>
    </row>
    <row r="34" spans="1:16">
      <c r="A34" s="10" t="s">
        <v>320</v>
      </c>
      <c r="B34" s="159">
        <f>'KY_Cost-Plant Acct-Elec-P14(PA)'!B34</f>
        <v>-26510.82</v>
      </c>
      <c r="C34" s="65"/>
      <c r="D34" s="159">
        <f>'KY_Cost-Plant Acct-Elec-P14(PA)'!D34</f>
        <v>0</v>
      </c>
      <c r="E34" s="65"/>
      <c r="F34" s="159">
        <f>'KY_Cost-Plant Acct-Elec-P14(PA)'!F34</f>
        <v>0</v>
      </c>
      <c r="G34" s="65"/>
      <c r="H34" s="159">
        <f>'KY_Cost-Plant Acct-Elec-P14(PA)'!H34</f>
        <v>0</v>
      </c>
      <c r="I34" s="65"/>
      <c r="J34" s="159">
        <f t="shared" si="8"/>
        <v>0</v>
      </c>
      <c r="K34" s="65"/>
      <c r="L34" s="159">
        <f t="shared" si="9"/>
        <v>-26510.82</v>
      </c>
      <c r="N34" s="93">
        <f>'KY_Res by Plant Acct-P29 (PA)'!R35</f>
        <v>26510.82</v>
      </c>
      <c r="P34" s="93">
        <f t="shared" si="5"/>
        <v>0</v>
      </c>
    </row>
    <row r="35" spans="1:16">
      <c r="B35" s="65">
        <f>SUM(B29:B34)</f>
        <v>-10825272.690000001</v>
      </c>
      <c r="C35" s="65"/>
      <c r="D35" s="65">
        <f>SUM(D29:D34)</f>
        <v>0</v>
      </c>
      <c r="E35" s="65"/>
      <c r="F35" s="65">
        <f>SUM(F29:F34)</f>
        <v>39209.64</v>
      </c>
      <c r="G35" s="65"/>
      <c r="H35" s="65">
        <f>SUM(H29:H34)</f>
        <v>0</v>
      </c>
      <c r="I35" s="65"/>
      <c r="J35" s="65">
        <f>SUM(J29:J34)</f>
        <v>39209.64</v>
      </c>
      <c r="K35" s="65"/>
      <c r="L35" s="65">
        <f>SUM(L29:L34)</f>
        <v>-10786063.050000001</v>
      </c>
      <c r="N35" s="65">
        <f>SUM(N29:N34)</f>
        <v>10786063.050000001</v>
      </c>
      <c r="P35" s="65">
        <f>SUM(P29:P34)</f>
        <v>0</v>
      </c>
    </row>
    <row r="36" spans="1:16">
      <c r="B36" s="65"/>
      <c r="C36" s="65"/>
      <c r="D36" s="65"/>
      <c r="E36" s="65"/>
      <c r="F36" s="65"/>
      <c r="G36" s="65"/>
      <c r="H36" s="65"/>
      <c r="I36" s="65"/>
      <c r="J36" s="65"/>
      <c r="K36" s="65"/>
      <c r="L36" s="65"/>
    </row>
    <row r="37" spans="1:16">
      <c r="A37" s="12" t="s">
        <v>809</v>
      </c>
      <c r="B37" s="65"/>
      <c r="C37" s="65"/>
      <c r="D37" s="65"/>
      <c r="E37" s="65"/>
      <c r="F37" s="65"/>
      <c r="G37" s="65"/>
      <c r="H37" s="65"/>
      <c r="I37" s="65"/>
      <c r="J37" s="65"/>
      <c r="K37" s="65"/>
      <c r="L37" s="65"/>
    </row>
    <row r="38" spans="1:16">
      <c r="A38" s="10" t="s">
        <v>321</v>
      </c>
      <c r="B38" s="65">
        <f>'KY_Cost-Plant Acct-Elec-P14(PA)'!B38</f>
        <v>0</v>
      </c>
      <c r="C38" s="65"/>
      <c r="D38" s="65">
        <f>'KY_Cost-Plant Acct-Elec-P14(PA)'!D38</f>
        <v>0</v>
      </c>
      <c r="E38" s="65"/>
      <c r="F38" s="65">
        <f>'KY_Cost-Plant Acct-Elec-P14(PA)'!F38</f>
        <v>0</v>
      </c>
      <c r="G38" s="65"/>
      <c r="H38" s="65">
        <f>'KY_Cost-Plant Acct-Elec-P14(PA)'!H38</f>
        <v>0</v>
      </c>
      <c r="I38" s="65"/>
      <c r="J38" s="65">
        <f t="shared" ref="J38:J45" si="10">H38+F38+D38</f>
        <v>0</v>
      </c>
      <c r="K38" s="65"/>
      <c r="L38" s="64">
        <f t="shared" ref="L38:L45" si="11">B38+J38</f>
        <v>0</v>
      </c>
      <c r="N38" s="72">
        <v>0</v>
      </c>
      <c r="P38" s="72">
        <f t="shared" ref="P38:P45" si="12">L38+N38</f>
        <v>0</v>
      </c>
    </row>
    <row r="39" spans="1:16">
      <c r="A39" s="10" t="s">
        <v>574</v>
      </c>
      <c r="B39" s="65">
        <f>'KY_Cost-Plant Acct-Elec-P14(PA)'!B39+'KY_Cost-Plant Acct-Elec-P14(PA)'!B118</f>
        <v>-4452079.3600000003</v>
      </c>
      <c r="C39" s="65"/>
      <c r="D39" s="65">
        <f>'KY_Cost-Plant Acct-Elec-P14(PA)'!D39+'KY_Cost-Plant Acct-Elec-P14(PA)'!D118</f>
        <v>0</v>
      </c>
      <c r="E39" s="65"/>
      <c r="F39" s="65">
        <f>'KY_Cost-Plant Acct-Elec-P14(PA)'!F39</f>
        <v>526.02</v>
      </c>
      <c r="G39" s="65"/>
      <c r="H39" s="65">
        <f>'KY_Cost-Plant Acct-Elec-P14(PA)'!H39+'KY_Cost-Plant Acct-Elec-P14(PA)'!H118</f>
        <v>0</v>
      </c>
      <c r="I39" s="65"/>
      <c r="J39" s="65">
        <f t="shared" si="10"/>
        <v>526.02</v>
      </c>
      <c r="K39" s="65"/>
      <c r="L39" s="64">
        <f t="shared" si="11"/>
        <v>-4451553.3400000008</v>
      </c>
      <c r="N39" s="72">
        <f>'KY_Res by Plant Acct-P29 (PA)'!R41+'KY_Res by Plant Acct-P29 (PA)'!R42</f>
        <v>4451717.0500000007</v>
      </c>
      <c r="P39" s="72">
        <f t="shared" si="12"/>
        <v>163.70999999996275</v>
      </c>
    </row>
    <row r="40" spans="1:16">
      <c r="A40" s="10" t="s">
        <v>575</v>
      </c>
      <c r="B40" s="65">
        <f>'KY_Cost-Plant Acct-Elec-P14(PA)'!B40+'KY_Cost-Plant Acct-Elec-P14(PA)'!B119</f>
        <v>-1281266.8800000001</v>
      </c>
      <c r="C40" s="65"/>
      <c r="D40" s="65">
        <f>'KY_Cost-Plant Acct-Elec-P14(PA)'!D40+'KY_Cost-Plant Acct-Elec-P14(PA)'!D119</f>
        <v>0</v>
      </c>
      <c r="E40" s="65"/>
      <c r="F40" s="65">
        <f>'KY_Cost-Plant Acct-Elec-P14(PA)'!F40</f>
        <v>0</v>
      </c>
      <c r="G40" s="65"/>
      <c r="H40" s="65">
        <f>'KY_Cost-Plant Acct-Elec-P14(PA)'!H40+'KY_Cost-Plant Acct-Elec-P14(PA)'!H119</f>
        <v>0</v>
      </c>
      <c r="I40" s="65"/>
      <c r="J40" s="65">
        <f t="shared" si="10"/>
        <v>0</v>
      </c>
      <c r="K40" s="65"/>
      <c r="L40" s="64">
        <f t="shared" si="11"/>
        <v>-1281266.8800000001</v>
      </c>
      <c r="N40" s="72">
        <f>'KY_Res by Plant Acct-P29 (PA)'!R43</f>
        <v>1281388.3500000001</v>
      </c>
      <c r="P40" s="72">
        <f t="shared" si="12"/>
        <v>121.46999999997206</v>
      </c>
    </row>
    <row r="41" spans="1:16">
      <c r="A41" s="10" t="s">
        <v>576</v>
      </c>
      <c r="B41" s="65">
        <f>'KY_Cost-Plant Acct-Elec-P14(PA)'!B41+'KY_Cost-Plant Acct-Elec-P14(PA)'!B120</f>
        <v>-2014866.1400000001</v>
      </c>
      <c r="C41" s="65"/>
      <c r="D41" s="65">
        <f>'KY_Cost-Plant Acct-Elec-P14(PA)'!D41+'KY_Cost-Plant Acct-Elec-P14(PA)'!D120</f>
        <v>0</v>
      </c>
      <c r="E41" s="65"/>
      <c r="F41" s="65">
        <f>'KY_Cost-Plant Acct-Elec-P14(PA)'!F41</f>
        <v>0</v>
      </c>
      <c r="G41" s="65"/>
      <c r="H41" s="65">
        <f>'KY_Cost-Plant Acct-Elec-P14(PA)'!H41+'KY_Cost-Plant Acct-Elec-P14(PA)'!H120</f>
        <v>0</v>
      </c>
      <c r="I41" s="65"/>
      <c r="J41" s="65">
        <f t="shared" si="10"/>
        <v>0</v>
      </c>
      <c r="K41" s="65"/>
      <c r="L41" s="64">
        <f t="shared" si="11"/>
        <v>-2014866.1400000001</v>
      </c>
      <c r="N41" s="72">
        <f>'KY_Res by Plant Acct-P29 (PA)'!R44</f>
        <v>2014448.6399999999</v>
      </c>
      <c r="P41" s="72">
        <f t="shared" si="12"/>
        <v>-417.50000000023283</v>
      </c>
    </row>
    <row r="42" spans="1:16">
      <c r="A42" s="10" t="s">
        <v>577</v>
      </c>
      <c r="B42" s="65">
        <f>'KY_Cost-Plant Acct-Elec-P14(PA)'!B42+'KY_Cost-Plant Acct-Elec-P14(PA)'!B121</f>
        <v>-1656640.16</v>
      </c>
      <c r="C42" s="65"/>
      <c r="D42" s="65">
        <f>'KY_Cost-Plant Acct-Elec-P14(PA)'!D42+'KY_Cost-Plant Acct-Elec-P14(PA)'!D121</f>
        <v>0</v>
      </c>
      <c r="E42" s="65"/>
      <c r="F42" s="65">
        <f>'KY_Cost-Plant Acct-Elec-P14(PA)'!F42</f>
        <v>0</v>
      </c>
      <c r="G42" s="65"/>
      <c r="H42" s="65">
        <f>'KY_Cost-Plant Acct-Elec-P14(PA)'!H42+'KY_Cost-Plant Acct-Elec-P14(PA)'!H121</f>
        <v>0</v>
      </c>
      <c r="I42" s="65"/>
      <c r="J42" s="65">
        <f t="shared" si="10"/>
        <v>0</v>
      </c>
      <c r="K42" s="65"/>
      <c r="L42" s="64">
        <f t="shared" si="11"/>
        <v>-1656640.16</v>
      </c>
      <c r="N42" s="72">
        <f>'KY_Res by Plant Acct-P29 (PA)'!R45</f>
        <v>1656772.48</v>
      </c>
      <c r="P42" s="72">
        <f t="shared" si="12"/>
        <v>132.32000000006519</v>
      </c>
    </row>
    <row r="43" spans="1:16">
      <c r="A43" s="10" t="s">
        <v>281</v>
      </c>
      <c r="B43" s="65">
        <f>'KY_Cost-Plant Acct-Elec-P14(PA)'!B43</f>
        <v>-41793.170000000006</v>
      </c>
      <c r="C43" s="65"/>
      <c r="D43" s="65">
        <f>'KY_Cost-Plant Acct-Elec-P14(PA)'!D43+'KY_Cost-Plant Acct-Elec-P14(PA)'!D122</f>
        <v>0</v>
      </c>
      <c r="E43" s="65"/>
      <c r="F43" s="65">
        <f>'KY_Cost-Plant Acct-Elec-P14(PA)'!F43</f>
        <v>0</v>
      </c>
      <c r="G43" s="65"/>
      <c r="H43" s="65">
        <f>'KY_Cost-Plant Acct-Elec-P14(PA)'!H43</f>
        <v>0</v>
      </c>
      <c r="I43" s="65"/>
      <c r="J43" s="65">
        <f t="shared" si="10"/>
        <v>0</v>
      </c>
      <c r="K43" s="65"/>
      <c r="L43" s="64">
        <f t="shared" si="11"/>
        <v>-41793.170000000006</v>
      </c>
      <c r="N43" s="72">
        <f>'KY_Res by Plant Acct-P29 (PA)'!R47+'KY_Res by Plant Acct-P29 (PA)'!R46</f>
        <v>41793.170000000006</v>
      </c>
      <c r="P43" s="72">
        <f t="shared" si="12"/>
        <v>0</v>
      </c>
    </row>
    <row r="44" spans="1:16">
      <c r="A44" s="10" t="s">
        <v>282</v>
      </c>
      <c r="B44" s="65">
        <f>'KY_Cost-Plant Acct-Elec-P14(PA)'!B44</f>
        <v>-74686.740000000005</v>
      </c>
      <c r="C44" s="65"/>
      <c r="D44" s="65">
        <f>'KY_Cost-Plant Acct-Elec-P14(PA)'!D44</f>
        <v>0</v>
      </c>
      <c r="E44" s="65"/>
      <c r="F44" s="65">
        <f>'KY_Cost-Plant Acct-Elec-P14(PA)'!F44</f>
        <v>0</v>
      </c>
      <c r="G44" s="65"/>
      <c r="H44" s="65">
        <f>'KY_Cost-Plant Acct-Elec-P14(PA)'!H44</f>
        <v>0</v>
      </c>
      <c r="I44" s="65"/>
      <c r="J44" s="65">
        <f t="shared" si="10"/>
        <v>0</v>
      </c>
      <c r="K44" s="65"/>
      <c r="L44" s="64">
        <f t="shared" si="11"/>
        <v>-74686.740000000005</v>
      </c>
      <c r="N44" s="72">
        <f>'KY_Res by Plant Acct-P29 (PA)'!R48+'KY_Res by Plant Acct-P29 (PA)'!R49</f>
        <v>74686.740000000005</v>
      </c>
      <c r="P44" s="72">
        <f t="shared" si="12"/>
        <v>0</v>
      </c>
    </row>
    <row r="45" spans="1:16">
      <c r="A45" s="10" t="s">
        <v>283</v>
      </c>
      <c r="B45" s="159">
        <f>'KY_Cost-Plant Acct-Elec-P14(PA)'!B45</f>
        <v>0</v>
      </c>
      <c r="C45" s="65"/>
      <c r="D45" s="159">
        <f>'KY_Cost-Plant Acct-Elec-P14(PA)'!D45</f>
        <v>0</v>
      </c>
      <c r="E45" s="65"/>
      <c r="F45" s="159">
        <f>'KY_Cost-Plant Acct-Elec-P14(PA)'!F45</f>
        <v>0</v>
      </c>
      <c r="G45" s="65"/>
      <c r="H45" s="159">
        <f>'KY_Cost-Plant Acct-Elec-P14(PA)'!H45</f>
        <v>0</v>
      </c>
      <c r="I45" s="65"/>
      <c r="J45" s="159">
        <f t="shared" si="10"/>
        <v>0</v>
      </c>
      <c r="K45" s="65"/>
      <c r="L45" s="159">
        <f t="shared" si="11"/>
        <v>0</v>
      </c>
      <c r="N45" s="93">
        <f>'KY_Res by Plant Acct-P29 (PA)'!R50</f>
        <v>0</v>
      </c>
      <c r="P45" s="93">
        <f t="shared" si="12"/>
        <v>0</v>
      </c>
    </row>
    <row r="46" spans="1:16">
      <c r="B46" s="65">
        <f>SUM(B38:B45)</f>
        <v>-9521332.4500000011</v>
      </c>
      <c r="C46" s="65"/>
      <c r="D46" s="65">
        <f>SUM(D38:D45)</f>
        <v>0</v>
      </c>
      <c r="E46" s="65"/>
      <c r="F46" s="65">
        <f>SUM(F38:F45)</f>
        <v>526.02</v>
      </c>
      <c r="G46" s="65"/>
      <c r="H46" s="65">
        <f>SUM(H38:H45)</f>
        <v>0</v>
      </c>
      <c r="I46" s="65"/>
      <c r="J46" s="65">
        <f>SUM(J38:J45)</f>
        <v>526.02</v>
      </c>
      <c r="K46" s="65"/>
      <c r="L46" s="65">
        <f>SUM(L38:L45)</f>
        <v>-9520806.4300000016</v>
      </c>
      <c r="N46" s="72">
        <f>SUM(N38:N45)</f>
        <v>9520806.4299999997</v>
      </c>
      <c r="P46" s="72">
        <f>SUM(P38:P45)</f>
        <v>-2.3283064365386963E-10</v>
      </c>
    </row>
    <row r="47" spans="1:16">
      <c r="B47" s="65"/>
      <c r="C47" s="65"/>
      <c r="D47" s="65"/>
      <c r="E47" s="65"/>
      <c r="F47" s="65"/>
      <c r="G47" s="65"/>
      <c r="H47" s="65"/>
      <c r="I47" s="65"/>
      <c r="J47" s="65"/>
      <c r="K47" s="65"/>
      <c r="L47" s="65"/>
    </row>
    <row r="48" spans="1:16">
      <c r="A48" s="12" t="s">
        <v>810</v>
      </c>
      <c r="B48" s="65"/>
      <c r="C48" s="65"/>
      <c r="D48" s="65"/>
      <c r="E48" s="65"/>
      <c r="F48" s="65"/>
      <c r="G48" s="65"/>
      <c r="H48" s="65"/>
      <c r="I48" s="65"/>
      <c r="J48" s="65"/>
      <c r="K48" s="65"/>
      <c r="L48" s="65"/>
    </row>
    <row r="49" spans="1:16">
      <c r="A49" s="10" t="s">
        <v>284</v>
      </c>
      <c r="B49" s="65">
        <f>'KY_Cost-Plant Acct-Elec-P14(PA)'!B49</f>
        <v>0</v>
      </c>
      <c r="C49" s="65"/>
      <c r="D49" s="65">
        <f>'KY_Cost-Plant Acct-Elec-P14(PA)'!D49</f>
        <v>0</v>
      </c>
      <c r="E49" s="65"/>
      <c r="F49" s="65">
        <f>'KY_Cost-Plant Acct-Elec-P14(PA)'!F49</f>
        <v>0</v>
      </c>
      <c r="G49" s="65"/>
      <c r="H49" s="65">
        <f>'KY_Cost-Plant Acct-Elec-P14(PA)'!H49</f>
        <v>0</v>
      </c>
      <c r="I49" s="65"/>
      <c r="J49" s="65">
        <f>H49+F49+D49</f>
        <v>0</v>
      </c>
      <c r="K49" s="65"/>
      <c r="L49" s="64">
        <f>B49+J49</f>
        <v>0</v>
      </c>
      <c r="N49" s="72">
        <f>'KY_Res by Plant Acct-P29 (PA)'!R327</f>
        <v>0</v>
      </c>
      <c r="P49" s="72">
        <f>L49+N49</f>
        <v>0</v>
      </c>
    </row>
    <row r="50" spans="1:16">
      <c r="A50" s="10" t="s">
        <v>285</v>
      </c>
      <c r="B50" s="159">
        <f>'KY_Cost-Plant Acct-Elec-P14(PA)'!B50</f>
        <v>0</v>
      </c>
      <c r="C50" s="65"/>
      <c r="D50" s="159">
        <f>'KY_Cost-Plant Acct-Elec-P14(PA)'!D50</f>
        <v>0</v>
      </c>
      <c r="E50" s="65"/>
      <c r="F50" s="159">
        <f>'KY_Cost-Plant Acct-Elec-P14(PA)'!F50</f>
        <v>0</v>
      </c>
      <c r="G50" s="65"/>
      <c r="H50" s="159">
        <f>'KY_Cost-Plant Acct-Elec-P14(PA)'!H50</f>
        <v>0</v>
      </c>
      <c r="I50" s="65"/>
      <c r="J50" s="159">
        <f>H50+F50+D50</f>
        <v>0</v>
      </c>
      <c r="K50" s="65"/>
      <c r="L50" s="159">
        <f>B50+J50</f>
        <v>0</v>
      </c>
      <c r="N50" s="93">
        <f>'KY_Res by Plant Acct-P29 (PA)'!R328</f>
        <v>0</v>
      </c>
      <c r="P50" s="93">
        <f>L50+N50</f>
        <v>0</v>
      </c>
    </row>
    <row r="51" spans="1:16">
      <c r="B51" s="65">
        <f>SUM(B49:B50)</f>
        <v>0</v>
      </c>
      <c r="C51" s="65"/>
      <c r="D51" s="65">
        <f>SUM(D49:D50)</f>
        <v>0</v>
      </c>
      <c r="E51" s="65"/>
      <c r="F51" s="65">
        <f>SUM(F49:F50)</f>
        <v>0</v>
      </c>
      <c r="G51" s="65"/>
      <c r="H51" s="65">
        <f>SUM(H49:H50)</f>
        <v>0</v>
      </c>
      <c r="I51" s="65"/>
      <c r="J51" s="65">
        <f>SUM(J49:J50)</f>
        <v>0</v>
      </c>
      <c r="K51" s="65"/>
      <c r="L51" s="65">
        <f>SUM(L49:L50)</f>
        <v>0</v>
      </c>
      <c r="N51" s="72">
        <f>SUM(N49:N50)</f>
        <v>0</v>
      </c>
      <c r="P51" s="72">
        <f>SUM(P49:P50)</f>
        <v>0</v>
      </c>
    </row>
    <row r="52" spans="1:16">
      <c r="B52" s="65"/>
      <c r="C52" s="65"/>
      <c r="D52" s="65"/>
      <c r="E52" s="65"/>
      <c r="F52" s="65"/>
      <c r="G52" s="65"/>
      <c r="H52" s="65"/>
      <c r="I52" s="65"/>
      <c r="J52" s="65"/>
      <c r="K52" s="65"/>
      <c r="L52" s="65"/>
    </row>
    <row r="53" spans="1:16">
      <c r="A53" s="12" t="s">
        <v>811</v>
      </c>
      <c r="B53" s="64"/>
      <c r="C53" s="64"/>
      <c r="D53" s="64"/>
      <c r="E53" s="64"/>
      <c r="F53" s="64"/>
      <c r="G53" s="64"/>
      <c r="H53" s="64"/>
      <c r="I53" s="64"/>
      <c r="J53" s="64"/>
      <c r="K53" s="64"/>
      <c r="L53" s="64"/>
    </row>
    <row r="54" spans="1:16">
      <c r="A54" s="10" t="s">
        <v>286</v>
      </c>
      <c r="B54" s="64">
        <f>'KY_Cost-Plant Acct-Elec-P14(PA)'!B54</f>
        <v>0</v>
      </c>
      <c r="C54" s="64"/>
      <c r="D54" s="64">
        <f>'KY_Cost-Plant Acct-Elec-P14(PA)'!D54</f>
        <v>0</v>
      </c>
      <c r="E54" s="64"/>
      <c r="F54" s="64">
        <f>'KY_Cost-Plant Acct-Elec-P14(PA)'!F54</f>
        <v>0</v>
      </c>
      <c r="G54" s="64"/>
      <c r="H54" s="64">
        <f>'KY_Cost-Plant Acct-Elec-P14(PA)'!H54</f>
        <v>0</v>
      </c>
      <c r="I54" s="64"/>
      <c r="J54" s="64">
        <f t="shared" ref="J54:J62" si="13">H54+F54+D54</f>
        <v>0</v>
      </c>
      <c r="K54" s="64"/>
      <c r="L54" s="64">
        <f t="shared" ref="L54:L62" si="14">B54+J54</f>
        <v>0</v>
      </c>
      <c r="N54" s="72">
        <f>'KY_Res by Plant Acct-P29 (PA)'!R54+'KY_Res by Plant Acct-P29 (PA)'!R55</f>
        <v>0</v>
      </c>
      <c r="P54" s="72">
        <f t="shared" ref="P54:P62" si="15">L54+N54</f>
        <v>0</v>
      </c>
    </row>
    <row r="55" spans="1:16">
      <c r="A55" s="10" t="s">
        <v>287</v>
      </c>
      <c r="B55" s="64">
        <f>'KY_Cost-Plant Acct-Elec-P14(PA)'!B55</f>
        <v>-3719097.5700000003</v>
      </c>
      <c r="C55" s="64"/>
      <c r="D55" s="64">
        <f>'KY_Cost-Plant Acct-Elec-P14(PA)'!D55</f>
        <v>0</v>
      </c>
      <c r="E55" s="64"/>
      <c r="F55" s="64">
        <f>'KY_Cost-Plant Acct-Elec-P14(PA)'!F55</f>
        <v>0</v>
      </c>
      <c r="G55" s="64"/>
      <c r="H55" s="64">
        <f>'KY_Cost-Plant Acct-Elec-P14(PA)'!H55</f>
        <v>0</v>
      </c>
      <c r="I55" s="64"/>
      <c r="J55" s="64">
        <f t="shared" si="13"/>
        <v>0</v>
      </c>
      <c r="K55" s="64"/>
      <c r="L55" s="64">
        <f t="shared" si="14"/>
        <v>-3719097.5700000003</v>
      </c>
      <c r="N55" s="72">
        <f>'KY_Res by Plant Acct-P29 (PA)'!R70</f>
        <v>3717682.7900000005</v>
      </c>
      <c r="P55" s="72">
        <f t="shared" si="15"/>
        <v>-1414.7799999997951</v>
      </c>
    </row>
    <row r="56" spans="1:16">
      <c r="A56" s="10" t="s">
        <v>288</v>
      </c>
      <c r="B56" s="64">
        <f>'KY_Cost-Plant Acct-Elec-P14(PA)'!B56</f>
        <v>-1908827.0100000002</v>
      </c>
      <c r="C56" s="64"/>
      <c r="D56" s="64">
        <f>'KY_Cost-Plant Acct-Elec-P14(PA)'!D56+'KY_Cost-Plant Acct-Elec-P14(PA)'!D126</f>
        <v>0</v>
      </c>
      <c r="E56" s="64"/>
      <c r="F56" s="64">
        <f>'KY_Cost-Plant Acct-Elec-P14(PA)'!F56</f>
        <v>0</v>
      </c>
      <c r="G56" s="64"/>
      <c r="H56" s="64">
        <f>'KY_Cost-Plant Acct-Elec-P14(PA)'!H56</f>
        <v>0</v>
      </c>
      <c r="I56" s="64"/>
      <c r="J56" s="64">
        <f t="shared" si="13"/>
        <v>0</v>
      </c>
      <c r="K56" s="64"/>
      <c r="L56" s="64">
        <f t="shared" si="14"/>
        <v>-1908827.0100000002</v>
      </c>
      <c r="N56" s="72">
        <f>'KY_Res by Plant Acct-P29 (PA)'!R87</f>
        <v>1908827.01</v>
      </c>
      <c r="P56" s="72">
        <f t="shared" si="15"/>
        <v>0</v>
      </c>
    </row>
    <row r="57" spans="1:16">
      <c r="A57" s="10" t="s">
        <v>289</v>
      </c>
      <c r="B57" s="64">
        <f>'KY_Cost-Plant Acct-Elec-P14(PA)'!B57+'KY_Cost-Plant Acct-Elec-P14(PA)'!B127</f>
        <v>-31887984.409999996</v>
      </c>
      <c r="C57" s="64"/>
      <c r="D57" s="64">
        <f>'KY_Cost-Plant Acct-Elec-P14(PA)'!D57+'KY_Cost-Plant Acct-Elec-P14(PA)'!D127</f>
        <v>0</v>
      </c>
      <c r="E57" s="64"/>
      <c r="F57" s="64">
        <f>'KY_Cost-Plant Acct-Elec-P14(PA)'!F57</f>
        <v>194624.59</v>
      </c>
      <c r="G57" s="64"/>
      <c r="H57" s="64">
        <f>'KY_Cost-Plant Acct-Elec-P14(PA)'!H57</f>
        <v>0</v>
      </c>
      <c r="I57" s="64"/>
      <c r="J57" s="64">
        <f t="shared" si="13"/>
        <v>194624.59</v>
      </c>
      <c r="K57" s="64"/>
      <c r="L57" s="64">
        <f t="shared" si="14"/>
        <v>-31693359.819999997</v>
      </c>
      <c r="N57" s="72">
        <f>'KY_Res by Plant Acct-P29 (PA)'!R99</f>
        <v>31693359.819999997</v>
      </c>
      <c r="P57" s="72">
        <f t="shared" si="15"/>
        <v>0</v>
      </c>
    </row>
    <row r="58" spans="1:16">
      <c r="A58" s="10" t="s">
        <v>290</v>
      </c>
      <c r="B58" s="64">
        <f>'KY_Cost-Plant Acct-Elec-P14(PA)'!B58+'KY_Cost-Plant Acct-Elec-P14(PA)'!B128</f>
        <v>-14712192.33</v>
      </c>
      <c r="C58" s="64"/>
      <c r="D58" s="64">
        <f>'KY_Cost-Plant Acct-Elec-P14(PA)'!D58+'KY_Cost-Plant Acct-Elec-P14(PA)'!D128</f>
        <v>0</v>
      </c>
      <c r="E58" s="64"/>
      <c r="F58" s="64">
        <f>'KY_Cost-Plant Acct-Elec-P14(PA)'!F58</f>
        <v>0</v>
      </c>
      <c r="G58" s="64"/>
      <c r="H58" s="64">
        <f>'KY_Cost-Plant Acct-Elec-P14(PA)'!H58</f>
        <v>0</v>
      </c>
      <c r="I58" s="64"/>
      <c r="J58" s="64">
        <f t="shared" si="13"/>
        <v>0</v>
      </c>
      <c r="K58" s="64"/>
      <c r="L58" s="64">
        <f t="shared" si="14"/>
        <v>-14712192.33</v>
      </c>
      <c r="N58" s="72">
        <f>'KY_Res by Plant Acct-P29 (PA)'!R115</f>
        <v>14712192.330000002</v>
      </c>
      <c r="P58" s="72">
        <f t="shared" si="15"/>
        <v>0</v>
      </c>
    </row>
    <row r="59" spans="1:16">
      <c r="A59" s="10" t="s">
        <v>291</v>
      </c>
      <c r="B59" s="64">
        <f>'KY_Cost-Plant Acct-Elec-P14(PA)'!B59+'KY_Cost-Plant Acct-Elec-P14(PA)'!B129</f>
        <v>-5269689.1400000006</v>
      </c>
      <c r="C59" s="64"/>
      <c r="D59" s="64">
        <f>'KY_Cost-Plant Acct-Elec-P14(PA)'!D59+'KY_Cost-Plant Acct-Elec-P14(PA)'!D129</f>
        <v>0</v>
      </c>
      <c r="E59" s="64"/>
      <c r="F59" s="64">
        <f>'KY_Cost-Plant Acct-Elec-P14(PA)'!F59</f>
        <v>0</v>
      </c>
      <c r="G59" s="64"/>
      <c r="H59" s="64">
        <f>'KY_Cost-Plant Acct-Elec-P14(PA)'!H59</f>
        <v>0</v>
      </c>
      <c r="I59" s="64"/>
      <c r="J59" s="64">
        <f t="shared" si="13"/>
        <v>0</v>
      </c>
      <c r="K59" s="64"/>
      <c r="L59" s="64">
        <f t="shared" si="14"/>
        <v>-5269689.1400000006</v>
      </c>
      <c r="N59" s="72">
        <f>'KY_Res by Plant Acct-P29 (PA)'!R131</f>
        <v>5269689.1400000006</v>
      </c>
      <c r="P59" s="72">
        <f t="shared" si="15"/>
        <v>0</v>
      </c>
    </row>
    <row r="60" spans="1:16">
      <c r="A60" s="10" t="s">
        <v>292</v>
      </c>
      <c r="B60" s="64">
        <f>'KY_Cost-Plant Acct-Elec-P14(PA)'!B60</f>
        <v>-1146655.4399999997</v>
      </c>
      <c r="C60" s="64"/>
      <c r="D60" s="64">
        <f>'KY_Cost-Plant Acct-Elec-P14(PA)'!D60+'KY_Cost-Plant Acct-Elec-P14(PA)'!D130</f>
        <v>0</v>
      </c>
      <c r="E60" s="64"/>
      <c r="F60" s="64">
        <f>'KY_Cost-Plant Acct-Elec-P14(PA)'!F60</f>
        <v>0</v>
      </c>
      <c r="G60" s="64"/>
      <c r="H60" s="64">
        <f>'KY_Cost-Plant Acct-Elec-P14(PA)'!H60</f>
        <v>0</v>
      </c>
      <c r="I60" s="64"/>
      <c r="J60" s="64">
        <f t="shared" si="13"/>
        <v>0</v>
      </c>
      <c r="K60" s="64"/>
      <c r="L60" s="64">
        <f t="shared" si="14"/>
        <v>-1146655.4399999997</v>
      </c>
      <c r="N60" s="72">
        <f>'KY_Res by Plant Acct-P29 (PA)'!R145</f>
        <v>1146655.4399999997</v>
      </c>
      <c r="P60" s="72">
        <f t="shared" si="15"/>
        <v>0</v>
      </c>
    </row>
    <row r="61" spans="1:16">
      <c r="A61" s="10" t="s">
        <v>293</v>
      </c>
      <c r="B61" s="64">
        <f>'KY_Cost-Plant Acct-Elec-P14(PA)'!B61</f>
        <v>0</v>
      </c>
      <c r="C61" s="64"/>
      <c r="D61" s="64">
        <f>'KY_Cost-Plant Acct-Elec-P14(PA)'!D61</f>
        <v>0</v>
      </c>
      <c r="E61" s="64"/>
      <c r="F61" s="64">
        <f>'KY_Cost-Plant Acct-Elec-P14(PA)'!F61</f>
        <v>0</v>
      </c>
      <c r="G61" s="64"/>
      <c r="H61" s="64">
        <f>'KY_Cost-Plant Acct-Elec-P14(PA)'!H61</f>
        <v>0</v>
      </c>
      <c r="I61" s="64"/>
      <c r="J61" s="64">
        <f t="shared" si="13"/>
        <v>0</v>
      </c>
      <c r="K61" s="64"/>
      <c r="L61" s="64">
        <f t="shared" si="14"/>
        <v>0</v>
      </c>
      <c r="N61" s="72">
        <f>'KY_Res by Plant Acct-P29 (PA)'!R146</f>
        <v>0</v>
      </c>
      <c r="P61" s="72">
        <f t="shared" si="15"/>
        <v>0</v>
      </c>
    </row>
    <row r="62" spans="1:16">
      <c r="A62" s="10" t="s">
        <v>294</v>
      </c>
      <c r="B62" s="159">
        <f>'KY_Cost-Plant Acct-Elec-P14(PA)'!B62</f>
        <v>0</v>
      </c>
      <c r="C62" s="64"/>
      <c r="D62" s="159">
        <f>'KY_Cost-Plant Acct-Elec-P14(PA)'!D62</f>
        <v>0</v>
      </c>
      <c r="E62" s="64"/>
      <c r="F62" s="159">
        <f>'KY_Cost-Plant Acct-Elec-P14(PA)'!F62</f>
        <v>0</v>
      </c>
      <c r="G62" s="64"/>
      <c r="H62" s="159">
        <f>'KY_Cost-Plant Acct-Elec-P14(PA)'!H62</f>
        <v>0</v>
      </c>
      <c r="I62" s="64"/>
      <c r="J62" s="159">
        <f t="shared" si="13"/>
        <v>0</v>
      </c>
      <c r="K62" s="65"/>
      <c r="L62" s="159">
        <f t="shared" si="14"/>
        <v>0</v>
      </c>
      <c r="N62" s="93">
        <f>'KY_Res by Plant Acct-P29 (PA)'!R147</f>
        <v>0</v>
      </c>
      <c r="P62" s="93">
        <f t="shared" si="15"/>
        <v>0</v>
      </c>
    </row>
    <row r="63" spans="1:16">
      <c r="B63" s="65">
        <f>SUM(B54:B62)</f>
        <v>-58644445.899999991</v>
      </c>
      <c r="C63" s="65"/>
      <c r="D63" s="65">
        <f>SUM(D54:D62)</f>
        <v>0</v>
      </c>
      <c r="E63" s="65"/>
      <c r="F63" s="65">
        <f>SUM(F54:F62)</f>
        <v>194624.59</v>
      </c>
      <c r="G63" s="65"/>
      <c r="H63" s="65">
        <f>SUM(H54:H62)</f>
        <v>0</v>
      </c>
      <c r="I63" s="65"/>
      <c r="J63" s="65">
        <f>SUM(J54:J62)</f>
        <v>194624.59</v>
      </c>
      <c r="K63" s="65"/>
      <c r="L63" s="65">
        <f>SUM(L54:L62)</f>
        <v>-58449821.309999995</v>
      </c>
      <c r="N63" s="72">
        <f>SUM(N54:N62)</f>
        <v>58448406.530000001</v>
      </c>
      <c r="P63" s="72">
        <f>SUM(P54:P62)</f>
        <v>-1414.7799999997951</v>
      </c>
    </row>
    <row r="64" spans="1:16">
      <c r="B64" s="65"/>
      <c r="C64" s="65"/>
      <c r="D64" s="65"/>
      <c r="E64" s="65"/>
      <c r="F64" s="65"/>
      <c r="G64" s="65"/>
      <c r="H64" s="65"/>
      <c r="I64" s="65"/>
      <c r="J64" s="65"/>
      <c r="K64" s="65"/>
      <c r="L64" s="65"/>
    </row>
    <row r="65" spans="1:16">
      <c r="A65" s="12" t="s">
        <v>812</v>
      </c>
      <c r="B65" s="65"/>
      <c r="C65" s="65"/>
      <c r="D65" s="65"/>
      <c r="E65" s="65"/>
      <c r="F65" s="65"/>
      <c r="G65" s="65"/>
      <c r="H65" s="65"/>
      <c r="I65" s="65"/>
      <c r="J65" s="65"/>
      <c r="K65" s="65"/>
      <c r="L65" s="65"/>
    </row>
    <row r="66" spans="1:16">
      <c r="A66" s="10" t="s">
        <v>295</v>
      </c>
      <c r="B66" s="65">
        <f>'KY_Cost-Plant Acct-Elec-P14(PA)'!B66</f>
        <v>0</v>
      </c>
      <c r="C66" s="65"/>
      <c r="D66" s="65">
        <f>'KY_Cost-Plant Acct-Elec-P14(PA)'!D66</f>
        <v>0</v>
      </c>
      <c r="E66" s="65"/>
      <c r="F66" s="65">
        <f>'KY_Cost-Plant Acct-Elec-P14(PA)'!F66</f>
        <v>0</v>
      </c>
      <c r="G66" s="65"/>
      <c r="H66" s="65">
        <f>'KY_Cost-Plant Acct-Elec-P14(PA)'!H66</f>
        <v>0</v>
      </c>
      <c r="I66" s="65"/>
      <c r="J66" s="65">
        <f t="shared" ref="J66:J75" si="16">H66+F66+D66</f>
        <v>0</v>
      </c>
      <c r="K66" s="65"/>
      <c r="L66" s="64">
        <f t="shared" ref="L66:L75" si="17">B66+J66</f>
        <v>0</v>
      </c>
      <c r="N66" s="72">
        <f>'KY_Res by Plant Acct-P29 (PA)'!R153</f>
        <v>0</v>
      </c>
      <c r="P66" s="72">
        <f t="shared" ref="P66:P75" si="18">L66+N66</f>
        <v>0</v>
      </c>
    </row>
    <row r="67" spans="1:16">
      <c r="A67" s="10" t="s">
        <v>832</v>
      </c>
      <c r="B67" s="65">
        <f>'KY_Cost-Plant Acct-Elec-P14(PA)'!B68+'KY_Cost-Plant Acct-Elec-P14(PA)'!B133+'Capital Leased Prop P25 (PA)'!B10</f>
        <v>-181726095.94000003</v>
      </c>
      <c r="C67" s="65"/>
      <c r="D67" s="65">
        <f>'KY_Cost-Plant Acct-Elec-P14(PA)'!D68+'KY_Cost-Plant Acct-Elec-P14(PA)'!D133</f>
        <v>0</v>
      </c>
      <c r="E67" s="65"/>
      <c r="F67" s="65">
        <f>'KY_Cost-Plant Acct-Elec-P14(PA)'!F68</f>
        <v>49120.57</v>
      </c>
      <c r="G67" s="65"/>
      <c r="H67" s="65">
        <f>'KY_Cost-Plant Acct-Elec-P14(PA)'!H68+'KY_Cost-Plant Acct-Elec-P14(PA)'!H133</f>
        <v>0</v>
      </c>
      <c r="I67" s="65"/>
      <c r="J67" s="65">
        <f t="shared" si="16"/>
        <v>49120.57</v>
      </c>
      <c r="K67" s="65"/>
      <c r="L67" s="64">
        <f t="shared" si="17"/>
        <v>-181676975.37000003</v>
      </c>
      <c r="N67" s="72">
        <f>'KY_Res by Plant Acct-P29 (PA)'!R180+'KY_Res by Plant Acct-P29 (PA)'!R191</f>
        <v>181679151.56000003</v>
      </c>
      <c r="P67" s="72">
        <f t="shared" si="18"/>
        <v>2176.1899999976158</v>
      </c>
    </row>
    <row r="68" spans="1:16">
      <c r="A68" s="10" t="s">
        <v>833</v>
      </c>
      <c r="B68" s="65">
        <f>'KY_Cost-Plant Acct-Elec-P14(PA)'!B69</f>
        <v>-8229798.5499999998</v>
      </c>
      <c r="C68" s="65"/>
      <c r="D68" s="65">
        <f>'KY_Cost-Plant Acct-Elec-P14(PA)'!D69</f>
        <v>0</v>
      </c>
      <c r="E68" s="65"/>
      <c r="F68" s="65">
        <f>'KY_Cost-Plant Acct-Elec-P14(PA)'!F69</f>
        <v>0</v>
      </c>
      <c r="G68" s="65"/>
      <c r="H68" s="65">
        <f>'KY_Cost-Plant Acct-Elec-P14(PA)'!H69</f>
        <v>0</v>
      </c>
      <c r="I68" s="65"/>
      <c r="J68" s="65">
        <f t="shared" si="16"/>
        <v>0</v>
      </c>
      <c r="K68" s="65"/>
      <c r="L68" s="64">
        <f t="shared" si="17"/>
        <v>-8229798.5499999998</v>
      </c>
      <c r="N68" s="72">
        <f>'KY_Res by Plant Acct-P29 (PA)'!R188</f>
        <v>8229798.5499999998</v>
      </c>
      <c r="P68" s="72">
        <f t="shared" si="18"/>
        <v>0</v>
      </c>
    </row>
    <row r="69" spans="1:16">
      <c r="A69" s="10" t="s">
        <v>834</v>
      </c>
      <c r="B69" s="65">
        <f>'KY_Cost-Plant Acct-Elec-P14(PA)'!B70+'KY_Cost-Plant Acct-Elec-P14(PA)'!B134</f>
        <v>-586212576.13000011</v>
      </c>
      <c r="C69" s="65"/>
      <c r="D69" s="65">
        <f>'KY_Cost-Plant Acct-Elec-P14(PA)'!D70+'KY_Cost-Plant Acct-Elec-P14(PA)'!D134</f>
        <v>0</v>
      </c>
      <c r="E69" s="65"/>
      <c r="F69" s="65">
        <f>'KY_Cost-Plant Acct-Elec-P14(PA)'!F70</f>
        <v>-230155.0300000002</v>
      </c>
      <c r="G69" s="65"/>
      <c r="H69" s="65">
        <f>'KY_Cost-Plant Acct-Elec-P14(PA)'!H70+'KY_Cost-Plant Acct-Elec-P14(PA)'!H134</f>
        <v>0</v>
      </c>
      <c r="I69" s="65"/>
      <c r="J69" s="65">
        <f t="shared" si="16"/>
        <v>-230155.0300000002</v>
      </c>
      <c r="K69" s="65"/>
      <c r="L69" s="64">
        <f t="shared" si="17"/>
        <v>-586442731.16000009</v>
      </c>
      <c r="N69" s="72">
        <f>'KY_Res by Plant Acct-P29 (PA)'!R234</f>
        <v>586441969.74000013</v>
      </c>
      <c r="P69" s="72">
        <f t="shared" si="18"/>
        <v>-761.41999995708466</v>
      </c>
    </row>
    <row r="70" spans="1:16">
      <c r="A70" s="10" t="s">
        <v>835</v>
      </c>
      <c r="B70" s="65">
        <f>'KY_Cost-Plant Acct-Elec-P14(PA)'!B71</f>
        <v>-568669.44999999995</v>
      </c>
      <c r="C70" s="65"/>
      <c r="D70" s="65">
        <f>'KY_Cost-Plant Acct-Elec-P14(PA)'!D71</f>
        <v>0</v>
      </c>
      <c r="E70" s="65"/>
      <c r="F70" s="65">
        <f>'KY_Cost-Plant Acct-Elec-P14(PA)'!F71</f>
        <v>0</v>
      </c>
      <c r="G70" s="65"/>
      <c r="H70" s="65">
        <f>'KY_Cost-Plant Acct-Elec-P14(PA)'!H71</f>
        <v>0</v>
      </c>
      <c r="I70" s="65"/>
      <c r="J70" s="65">
        <f t="shared" si="16"/>
        <v>0</v>
      </c>
      <c r="K70" s="65"/>
      <c r="L70" s="64">
        <f t="shared" si="17"/>
        <v>-568669.44999999995</v>
      </c>
      <c r="N70" s="72">
        <f>'KY_Res by Plant Acct-P29 (PA)'!R237</f>
        <v>568669.44999999995</v>
      </c>
      <c r="P70" s="72">
        <f t="shared" si="18"/>
        <v>0</v>
      </c>
    </row>
    <row r="71" spans="1:16">
      <c r="A71" s="10" t="s">
        <v>836</v>
      </c>
      <c r="B71" s="65">
        <f>'KY_Cost-Plant Acct-Elec-P14(PA)'!B72+'KY_Cost-Plant Acct-Elec-P14(PA)'!B135</f>
        <v>-116550878.17999999</v>
      </c>
      <c r="C71" s="65"/>
      <c r="D71" s="65">
        <f>'KY_Cost-Plant Acct-Elec-P14(PA)'!D72+'KY_Cost-Plant Acct-Elec-P14(PA)'!D135</f>
        <v>0</v>
      </c>
      <c r="E71" s="65"/>
      <c r="F71" s="65">
        <f>'KY_Cost-Plant Acct-Elec-P14(PA)'!F72</f>
        <v>133263.56000000006</v>
      </c>
      <c r="G71" s="65"/>
      <c r="H71" s="65">
        <f>'KY_Cost-Plant Acct-Elec-P14(PA)'!H72+'KY_Cost-Plant Acct-Elec-P14(PA)'!H135</f>
        <v>0</v>
      </c>
      <c r="I71" s="65"/>
      <c r="J71" s="65">
        <f t="shared" si="16"/>
        <v>133263.56000000006</v>
      </c>
      <c r="K71" s="65"/>
      <c r="L71" s="64">
        <f t="shared" si="17"/>
        <v>-116417614.61999999</v>
      </c>
      <c r="N71" s="72">
        <f>'KY_Res by Plant Acct-P29 (PA)'!R251</f>
        <v>116417614.62000002</v>
      </c>
      <c r="P71" s="72">
        <f t="shared" si="18"/>
        <v>0</v>
      </c>
    </row>
    <row r="72" spans="1:16">
      <c r="A72" s="10" t="s">
        <v>837</v>
      </c>
      <c r="B72" s="65">
        <f>'KY_Cost-Plant Acct-Elec-P14(PA)'!B73+'KY_Cost-Plant Acct-Elec-P14(PA)'!B136</f>
        <v>-109764807.69000001</v>
      </c>
      <c r="C72" s="65"/>
      <c r="D72" s="65">
        <f>'KY_Cost-Plant Acct-Elec-P14(PA)'!D73+'KY_Cost-Plant Acct-Elec-P14(PA)'!D136</f>
        <v>0</v>
      </c>
      <c r="E72" s="65"/>
      <c r="F72" s="65">
        <f>'KY_Cost-Plant Acct-Elec-P14(PA)'!F73</f>
        <v>12536.799999999988</v>
      </c>
      <c r="G72" s="65"/>
      <c r="H72" s="65">
        <f>'KY_Cost-Plant Acct-Elec-P14(PA)'!H73+'KY_Cost-Plant Acct-Elec-P14(PA)'!H136</f>
        <v>0</v>
      </c>
      <c r="I72" s="65"/>
      <c r="J72" s="65">
        <f t="shared" si="16"/>
        <v>12536.799999999988</v>
      </c>
      <c r="K72" s="65"/>
      <c r="L72" s="64">
        <f t="shared" si="17"/>
        <v>-109752270.89000002</v>
      </c>
      <c r="N72" s="72">
        <f>'KY_Res by Plant Acct-P29 (PA)'!R274</f>
        <v>109752270.89</v>
      </c>
      <c r="P72" s="72">
        <f t="shared" si="18"/>
        <v>0</v>
      </c>
    </row>
    <row r="73" spans="1:16">
      <c r="A73" s="10" t="s">
        <v>1024</v>
      </c>
      <c r="B73" s="65">
        <f>'KY_Cost-Plant Acct-Elec-P14(PA)'!B74</f>
        <v>0</v>
      </c>
      <c r="C73" s="65"/>
      <c r="D73" s="65">
        <f>'KY_Cost-Plant Acct-Elec-P14(PA)'!D74</f>
        <v>0</v>
      </c>
      <c r="E73" s="65"/>
      <c r="F73" s="65">
        <f>'KY_Cost-Plant Acct-Elec-P14(PA)'!F74</f>
        <v>0</v>
      </c>
      <c r="G73" s="65"/>
      <c r="H73" s="65">
        <f>'KY_Cost-Plant Acct-Elec-P14(PA)'!H74</f>
        <v>0</v>
      </c>
      <c r="I73" s="65"/>
      <c r="J73" s="65">
        <f t="shared" si="16"/>
        <v>0</v>
      </c>
      <c r="K73" s="65"/>
      <c r="L73" s="64">
        <f t="shared" si="17"/>
        <v>0</v>
      </c>
      <c r="N73" s="72">
        <f>'KY_Res by Plant Acct-P29 (PA)'!R283</f>
        <v>0</v>
      </c>
      <c r="P73" s="72">
        <f t="shared" si="18"/>
        <v>0</v>
      </c>
    </row>
    <row r="74" spans="1:16">
      <c r="A74" s="10" t="s">
        <v>838</v>
      </c>
      <c r="B74" s="65">
        <f>'KY_Cost-Plant Acct-Elec-P14(PA)'!B75+'KY_Cost-Plant Acct-Elec-P14(PA)'!B137</f>
        <v>-5302444.4000000004</v>
      </c>
      <c r="C74" s="65"/>
      <c r="D74" s="65">
        <f>'KY_Cost-Plant Acct-Elec-P14(PA)'!D75+'KY_Cost-Plant Acct-Elec-P14(PA)'!D137</f>
        <v>0</v>
      </c>
      <c r="E74" s="65"/>
      <c r="F74" s="65">
        <f>'KY_Cost-Plant Acct-Elec-P14(PA)'!F75</f>
        <v>0</v>
      </c>
      <c r="G74" s="65"/>
      <c r="H74" s="65">
        <f>'KY_Cost-Plant Acct-Elec-P14(PA)'!H75+'KY_Cost-Plant Acct-Elec-P14(PA)'!H137</f>
        <v>0</v>
      </c>
      <c r="I74" s="65"/>
      <c r="J74" s="65">
        <f t="shared" si="16"/>
        <v>0</v>
      </c>
      <c r="K74" s="65"/>
      <c r="L74" s="64">
        <f t="shared" si="17"/>
        <v>-5302444.4000000004</v>
      </c>
      <c r="N74" s="72">
        <f>'KY_Res by Plant Acct-P29 (PA)'!R298</f>
        <v>5302444.4000000004</v>
      </c>
      <c r="P74" s="72">
        <f t="shared" si="18"/>
        <v>0</v>
      </c>
    </row>
    <row r="75" spans="1:16">
      <c r="A75" s="10" t="s">
        <v>839</v>
      </c>
      <c r="B75" s="159">
        <f>'KY_Cost-Plant Acct-Elec-P14(PA)'!B76</f>
        <v>0</v>
      </c>
      <c r="C75" s="65"/>
      <c r="D75" s="159">
        <f>'KY_Cost-Plant Acct-Elec-P14(PA)'!D76</f>
        <v>0</v>
      </c>
      <c r="E75" s="65"/>
      <c r="F75" s="159">
        <f>'KY_Cost-Plant Acct-Elec-P14(PA)'!F76</f>
        <v>0</v>
      </c>
      <c r="G75" s="65"/>
      <c r="H75" s="159">
        <f>'KY_Cost-Plant Acct-Elec-P14(PA)'!H76</f>
        <v>0</v>
      </c>
      <c r="I75" s="65"/>
      <c r="J75" s="159">
        <f t="shared" si="16"/>
        <v>0</v>
      </c>
      <c r="K75" s="65"/>
      <c r="L75" s="159">
        <f t="shared" si="17"/>
        <v>0</v>
      </c>
      <c r="N75" s="93">
        <f>'KY_Res by Plant Acct-P29 (PA)'!R299</f>
        <v>0</v>
      </c>
      <c r="P75" s="93">
        <f t="shared" si="18"/>
        <v>0</v>
      </c>
    </row>
    <row r="76" spans="1:16">
      <c r="B76" s="65">
        <f>SUM(B66:B75)</f>
        <v>-1008355270.3400002</v>
      </c>
      <c r="C76" s="65"/>
      <c r="D76" s="65">
        <f>SUM(D66:D75)</f>
        <v>0</v>
      </c>
      <c r="E76" s="65"/>
      <c r="F76" s="65">
        <f>SUM(F66:F75)</f>
        <v>-35234.100000000151</v>
      </c>
      <c r="G76" s="65"/>
      <c r="H76" s="65">
        <f>SUM(H66:H75)</f>
        <v>0</v>
      </c>
      <c r="I76" s="65"/>
      <c r="J76" s="65">
        <f>SUM(J66:J75)</f>
        <v>-35234.100000000151</v>
      </c>
      <c r="K76" s="65"/>
      <c r="L76" s="65">
        <f>SUM(L66:L75)</f>
        <v>-1008390504.4400002</v>
      </c>
      <c r="N76" s="72">
        <f>SUM(N66:N75)</f>
        <v>1008391919.2100002</v>
      </c>
      <c r="P76" s="72">
        <f>SUM(P66:P75)</f>
        <v>1414.7700000405312</v>
      </c>
    </row>
    <row r="77" spans="1:16">
      <c r="B77" s="65"/>
      <c r="C77" s="65"/>
      <c r="D77" s="65"/>
      <c r="E77" s="65"/>
      <c r="F77" s="65"/>
      <c r="G77" s="65"/>
      <c r="H77" s="65"/>
      <c r="I77" s="65"/>
      <c r="J77" s="65"/>
      <c r="K77" s="65"/>
      <c r="L77" s="65"/>
    </row>
    <row r="78" spans="1:16">
      <c r="A78" s="12" t="s">
        <v>119</v>
      </c>
      <c r="B78" s="65"/>
      <c r="C78" s="65"/>
      <c r="D78" s="65"/>
      <c r="E78" s="65"/>
      <c r="F78" s="65"/>
      <c r="G78" s="65"/>
      <c r="H78" s="65"/>
      <c r="I78" s="65"/>
      <c r="J78" s="65"/>
      <c r="K78" s="65"/>
      <c r="L78" s="65"/>
    </row>
    <row r="79" spans="1:16">
      <c r="A79" s="10" t="s">
        <v>5</v>
      </c>
      <c r="B79" s="65">
        <f>'KY_Cost-Plant Acct-Elec-P14(PA)'!B80+'IN_Total PIS_Elec_NBV-P15 (PA)'!B15</f>
        <v>-1916046</v>
      </c>
      <c r="C79" s="65"/>
      <c r="D79" s="65">
        <f>'KY_Cost-Plant Acct-Elec-P14(PA)'!D80+'IN_Total PIS_Elec_NBV-P15 (PA)'!D15</f>
        <v>0</v>
      </c>
      <c r="E79" s="65"/>
      <c r="F79" s="65">
        <f>'KY_Cost-Plant Acct-Elec-P14(PA)'!F80+'IN_Total PIS_Elec_NBV-P15 (PA)'!F15</f>
        <v>0</v>
      </c>
      <c r="G79" s="65"/>
      <c r="H79" s="65">
        <f>'KY_Cost-Plant Acct-Elec-P14(PA)'!H80+'IN_Total PIS_Elec_NBV-P15 (PA)'!H15</f>
        <v>0</v>
      </c>
      <c r="I79" s="65"/>
      <c r="J79" s="65">
        <f t="shared" ref="J79:J90" si="19">H79+F79+D79</f>
        <v>0</v>
      </c>
      <c r="K79" s="65"/>
      <c r="L79" s="64">
        <f t="shared" ref="L79:L90" si="20">B79+J79</f>
        <v>-1916046</v>
      </c>
      <c r="N79" s="72">
        <f>'KY_Res by Plant Acct-P29 (PA)'!R303+'IN_Total PIS_Elec_NBV-P15 (PA)'!N15</f>
        <v>1916046</v>
      </c>
      <c r="P79" s="72">
        <f t="shared" ref="P79:P90" si="21">L79+N79</f>
        <v>0</v>
      </c>
    </row>
    <row r="80" spans="1:16">
      <c r="A80" s="10" t="s">
        <v>6</v>
      </c>
      <c r="B80" s="65">
        <f>'KY_Cost-Plant Acct-Elec-P14(PA)'!B81+'IN_Total PIS_Elec_NBV-P15 (PA)'!B16</f>
        <v>0</v>
      </c>
      <c r="C80" s="65"/>
      <c r="D80" s="65">
        <f>'KY_Cost-Plant Acct-Elec-P14(PA)'!D81+'IN_Cost-Plant Acct-Elec-P16(PA)'!D12</f>
        <v>0</v>
      </c>
      <c r="E80" s="65"/>
      <c r="F80" s="65">
        <f>'KY_Cost-Plant Acct-Elec-P14(PA)'!F81+'IN_Cost-Plant Acct-Elec-P16(PA)'!F12</f>
        <v>0</v>
      </c>
      <c r="G80" s="65"/>
      <c r="H80" s="65">
        <f>'KY_Cost-Plant Acct-Elec-P14(PA)'!H81+'IN_Cost-Plant Acct-Elec-P16(PA)'!H12</f>
        <v>0</v>
      </c>
      <c r="I80" s="65"/>
      <c r="J80" s="65">
        <f t="shared" si="19"/>
        <v>0</v>
      </c>
      <c r="K80" s="65"/>
      <c r="L80" s="64">
        <f t="shared" si="20"/>
        <v>0</v>
      </c>
      <c r="N80" s="72">
        <f>'IN_Total PIS_Elec_NBV-P15 (PA)'!N16+'KY_Res by Plant Acct-P29 (PA)'!R304</f>
        <v>0</v>
      </c>
      <c r="P80" s="72">
        <f t="shared" si="21"/>
        <v>0</v>
      </c>
    </row>
    <row r="81" spans="1:16">
      <c r="A81" s="10" t="s">
        <v>7</v>
      </c>
      <c r="B81" s="65">
        <f>'KY_Cost-Plant Acct-Elec-P14(PA)'!B82+'KY_Cost-Plant Acct-Elec-P14(PA)'!B142+'IN_Total PIS_Elec_NBV-P15 (PA)'!B17</f>
        <v>-1241346.8399999999</v>
      </c>
      <c r="C81" s="65"/>
      <c r="D81" s="65">
        <f>'KY_Cost-Plant Acct-Elec-P14(PA)'!D82+'KY_Cost-Plant Acct-Elec-P14(PA)'!D142+'IN_Total PIS_Elec_NBV-P15 (PA)'!D17</f>
        <v>0</v>
      </c>
      <c r="E81" s="65"/>
      <c r="F81" s="65">
        <f>'KY_Cost-Plant Acct-Elec-P14(PA)'!F82+'IN_Total PIS_Elec_NBV-P15 (PA)'!F17</f>
        <v>0</v>
      </c>
      <c r="G81" s="65"/>
      <c r="H81" s="65">
        <f>'KY_Cost-Plant Acct-Elec-P14(PA)'!H82+'IN_Total PIS_Elec_NBV-P15 (PA)'!H17</f>
        <v>0</v>
      </c>
      <c r="I81" s="65"/>
      <c r="J81" s="65">
        <f t="shared" si="19"/>
        <v>0</v>
      </c>
      <c r="K81" s="65"/>
      <c r="L81" s="64">
        <f t="shared" si="20"/>
        <v>-1241346.8399999999</v>
      </c>
      <c r="N81" s="72">
        <f>'KY_Res by Plant Acct-P29 (PA)'!R305+'KY_Res by Plant Acct-P29 (PA)'!R306+'IN_Total PIS_Elec_NBV-P15 (PA)'!N17+'KY_Res by Plant Acct-P29 (PA)'!R307</f>
        <v>1241352.3499999999</v>
      </c>
      <c r="P81" s="72">
        <f t="shared" si="21"/>
        <v>5.5100000000093132</v>
      </c>
    </row>
    <row r="82" spans="1:16">
      <c r="A82" s="10" t="s">
        <v>8</v>
      </c>
      <c r="B82" s="65">
        <f>'KY_Cost-Plant Acct-Elec-P14(PA)'!B83+'KY_Cost-Plant Acct-Elec-P14(PA)'!B143+'IN_Total PIS_Elec_NBV-P15 (PA)'!B18</f>
        <v>-69089773.75</v>
      </c>
      <c r="C82" s="65"/>
      <c r="D82" s="65">
        <f>'KY_Cost-Plant Acct-Elec-P14(PA)'!D83+'KY_Cost-Plant Acct-Elec-P14(PA)'!D143+'IN_Total PIS_Elec_NBV-P15 (PA)'!D18</f>
        <v>0</v>
      </c>
      <c r="E82" s="65"/>
      <c r="F82" s="65">
        <f>'KY_Cost-Plant Acct-Elec-P14(PA)'!F83+'IN_Total PIS_Elec_NBV-P15 (PA)'!F18</f>
        <v>716300.49</v>
      </c>
      <c r="G82" s="65"/>
      <c r="H82" s="65">
        <f>'KY_Cost-Plant Acct-Elec-P14(PA)'!H83+'IN_Total PIS_Elec_NBV-P15 (PA)'!H18+'KY_Cost-Plant Acct-Elec-P14(PA)'!H143</f>
        <v>0</v>
      </c>
      <c r="I82" s="65"/>
      <c r="J82" s="65">
        <f t="shared" si="19"/>
        <v>716300.49</v>
      </c>
      <c r="K82" s="65"/>
      <c r="L82" s="64">
        <f t="shared" si="20"/>
        <v>-68373473.260000005</v>
      </c>
      <c r="N82" s="72">
        <f>'KY_Res by Plant Acct-P29 (PA)'!R308+'KY_Res by Plant Acct-P29 (PA)'!R309+'KY_Res by Plant Acct-P29 (PA)'!R310+'IN_Total PIS_Elec_NBV-P15 (PA)'!N18</f>
        <v>68373473.25999999</v>
      </c>
      <c r="P82" s="72">
        <f t="shared" si="21"/>
        <v>0</v>
      </c>
    </row>
    <row r="83" spans="1:16">
      <c r="A83" s="10" t="s">
        <v>840</v>
      </c>
      <c r="B83" s="65">
        <f>'KY_Cost-Plant Acct-Elec-P14(PA)'!B84</f>
        <v>-5748.1100000000006</v>
      </c>
      <c r="C83" s="65"/>
      <c r="D83" s="65">
        <f>'KY_Cost-Plant Acct-Elec-P14(PA)'!D84</f>
        <v>0</v>
      </c>
      <c r="E83" s="65"/>
      <c r="F83" s="65">
        <f>'KY_Cost-Plant Acct-Elec-P14(PA)'!F84</f>
        <v>0</v>
      </c>
      <c r="G83" s="65"/>
      <c r="H83" s="65">
        <f>'KY_Cost-Plant Acct-Elec-P14(PA)'!H84</f>
        <v>0</v>
      </c>
      <c r="I83" s="65"/>
      <c r="J83" s="65">
        <f t="shared" si="19"/>
        <v>0</v>
      </c>
      <c r="K83" s="65"/>
      <c r="L83" s="64">
        <f t="shared" si="20"/>
        <v>-5748.1100000000006</v>
      </c>
      <c r="N83" s="72">
        <f>'KY_Res by Plant Acct-P29 (PA)'!R311+'KY_Res by Plant Acct-P29 (PA)'!R312</f>
        <v>5748.1100000000006</v>
      </c>
      <c r="P83" s="72">
        <f t="shared" si="21"/>
        <v>0</v>
      </c>
    </row>
    <row r="84" spans="1:16">
      <c r="A84" s="10" t="s">
        <v>9</v>
      </c>
      <c r="B84" s="65">
        <f>'KY_Cost-Plant Acct-Elec-P14(PA)'!B85+'IN_Total PIS_Elec_NBV-P15 (PA)'!B19+'KY_Cost-Plant Acct-Elec-P14(PA)'!B144</f>
        <v>-14362749.540000001</v>
      </c>
      <c r="C84" s="65"/>
      <c r="D84" s="65">
        <f>'KY_Cost-Plant Acct-Elec-P14(PA)'!D85+'IN_Total PIS_Elec_NBV-P15 (PA)'!D19+'KY_Cost-Plant Acct-Elec-P14(PA)'!D144</f>
        <v>0</v>
      </c>
      <c r="E84" s="65"/>
      <c r="F84" s="65">
        <f>'KY_Cost-Plant Acct-Elec-P14(PA)'!F85+'IN_Total PIS_Elec_NBV-P15 (PA)'!F19</f>
        <v>91852.77</v>
      </c>
      <c r="G84" s="65"/>
      <c r="H84" s="65">
        <f>'KY_Cost-Plant Acct-Elec-P14(PA)'!H85+'IN_Total PIS_Elec_NBV-P15 (PA)'!H19+'KY_Cost-Plant Acct-Elec-P14(PA)'!H144</f>
        <v>0</v>
      </c>
      <c r="I84" s="65"/>
      <c r="J84" s="65">
        <f t="shared" si="19"/>
        <v>91852.77</v>
      </c>
      <c r="K84" s="65"/>
      <c r="L84" s="64">
        <f t="shared" si="20"/>
        <v>-14270896.770000001</v>
      </c>
      <c r="N84" s="72">
        <f>'KY_Res by Plant Acct-P29 (PA)'!R313+'IN_Total PIS_Elec_NBV-P15 (PA)'!N19</f>
        <v>14270896.77</v>
      </c>
      <c r="P84" s="72">
        <f t="shared" si="21"/>
        <v>0</v>
      </c>
    </row>
    <row r="85" spans="1:16">
      <c r="A85" s="10" t="s">
        <v>10</v>
      </c>
      <c r="B85" s="65">
        <f>'KY_Cost-Plant Acct-Elec-P14(PA)'!B86+'KY_Cost-Plant Acct-Elec-P14(PA)'!B145+'IN_Total PIS_Elec_NBV-P15 (PA)'!B20</f>
        <v>-12957386.23</v>
      </c>
      <c r="C85" s="65"/>
      <c r="D85" s="65">
        <f>'KY_Cost-Plant Acct-Elec-P14(PA)'!D86+'KY_Cost-Plant Acct-Elec-P14(PA)'!D145+'IN_Total PIS_Elec_NBV-P15 (PA)'!D20</f>
        <v>0</v>
      </c>
      <c r="E85" s="65"/>
      <c r="F85" s="65">
        <f>'KY_Cost-Plant Acct-Elec-P14(PA)'!F86+'IN_Total PIS_Elec_NBV-P15 (PA)'!F20</f>
        <v>9477.98</v>
      </c>
      <c r="G85" s="65"/>
      <c r="H85" s="65">
        <f>'KY_Cost-Plant Acct-Elec-P14(PA)'!H86+'IN_Total PIS_Elec_NBV-P15 (PA)'!H20+'KY_Cost-Plant Acct-Elec-P14(PA)'!H145</f>
        <v>0</v>
      </c>
      <c r="I85" s="65"/>
      <c r="J85" s="65">
        <f t="shared" si="19"/>
        <v>9477.98</v>
      </c>
      <c r="K85" s="65"/>
      <c r="L85" s="64">
        <f t="shared" si="20"/>
        <v>-12947908.25</v>
      </c>
      <c r="N85" s="72">
        <f>'KY_Res by Plant Acct-P29 (PA)'!R314+'IN_Total PIS_Elec_NBV-P15 (PA)'!N20</f>
        <v>12947908.25</v>
      </c>
      <c r="P85" s="72">
        <f t="shared" si="21"/>
        <v>0</v>
      </c>
    </row>
    <row r="86" spans="1:16">
      <c r="A86" s="10" t="s">
        <v>11</v>
      </c>
      <c r="B86" s="65">
        <f>'KY_Cost-Plant Acct-Elec-P14(PA)'!B87+'KY_Cost-Plant Acct-Elec-P14(PA)'!B146+'IN_Total PIS_Elec_NBV-P15 (PA)'!B21</f>
        <v>-15468348.930000002</v>
      </c>
      <c r="C86" s="65"/>
      <c r="D86" s="65">
        <f>'KY_Cost-Plant Acct-Elec-P14(PA)'!D87+'KY_Cost-Plant Acct-Elec-P14(PA)'!D146+'IN_Total PIS_Elec_NBV-P15 (PA)'!D21</f>
        <v>0</v>
      </c>
      <c r="E86" s="65"/>
      <c r="F86" s="65">
        <f>'KY_Cost-Plant Acct-Elec-P14(PA)'!F87+'IN_Total PIS_Elec_NBV-P15 (PA)'!F21</f>
        <v>22038.629999999997</v>
      </c>
      <c r="G86" s="65"/>
      <c r="H86" s="65">
        <f>'KY_Cost-Plant Acct-Elec-P14(PA)'!H87+'IN_Total PIS_Elec_NBV-P15 (PA)'!H21+'KY_Cost-Plant Acct-Elec-P14(PA)'!H146</f>
        <v>0</v>
      </c>
      <c r="I86" s="65"/>
      <c r="J86" s="65">
        <f t="shared" si="19"/>
        <v>22038.629999999997</v>
      </c>
      <c r="K86" s="65"/>
      <c r="L86" s="64">
        <f t="shared" si="20"/>
        <v>-15446310.300000001</v>
      </c>
      <c r="N86" s="72">
        <f>'KY_Res by Plant Acct-P29 (PA)'!R315+'IN_Total PIS_Elec_NBV-P15 (PA)'!N21</f>
        <v>15446310.300000001</v>
      </c>
      <c r="P86" s="72">
        <f t="shared" si="21"/>
        <v>0</v>
      </c>
    </row>
    <row r="87" spans="1:16">
      <c r="A87" s="10" t="s">
        <v>841</v>
      </c>
      <c r="B87" s="65">
        <f>'KY_Cost-Plant Acct-Elec-P14(PA)'!B88</f>
        <v>-566038.14</v>
      </c>
      <c r="C87" s="65"/>
      <c r="D87" s="65">
        <f>'KY_Cost-Plant Acct-Elec-P14(PA)'!D88</f>
        <v>0</v>
      </c>
      <c r="E87" s="65"/>
      <c r="F87" s="65">
        <f>'KY_Cost-Plant Acct-Elec-P14(PA)'!F88</f>
        <v>138218.09</v>
      </c>
      <c r="G87" s="65"/>
      <c r="H87" s="65">
        <f>'KY_Cost-Plant Acct-Elec-P14(PA)'!H88</f>
        <v>0</v>
      </c>
      <c r="I87" s="65"/>
      <c r="J87" s="65">
        <f t="shared" si="19"/>
        <v>138218.09</v>
      </c>
      <c r="K87" s="65"/>
      <c r="L87" s="64">
        <f t="shared" si="20"/>
        <v>-427820.05000000005</v>
      </c>
      <c r="N87" s="72">
        <f>'KY_Res by Plant Acct-P29 (PA)'!R316</f>
        <v>427820.05000000005</v>
      </c>
      <c r="P87" s="72">
        <f t="shared" si="21"/>
        <v>0</v>
      </c>
    </row>
    <row r="88" spans="1:16">
      <c r="A88" s="10" t="s">
        <v>842</v>
      </c>
      <c r="B88" s="65">
        <f>'KY_Cost-Plant Acct-Elec-P14(PA)'!B89</f>
        <v>-1971326.56</v>
      </c>
      <c r="C88" s="65"/>
      <c r="D88" s="65">
        <f>'KY_Cost-Plant Acct-Elec-P14(PA)'!D89</f>
        <v>0</v>
      </c>
      <c r="E88" s="65"/>
      <c r="F88" s="65">
        <f>'KY_Cost-Plant Acct-Elec-P14(PA)'!F89</f>
        <v>189371.47999999998</v>
      </c>
      <c r="G88" s="65"/>
      <c r="H88" s="65">
        <f>'KY_Cost-Plant Acct-Elec-P14(PA)'!H89</f>
        <v>0</v>
      </c>
      <c r="I88" s="65"/>
      <c r="J88" s="65">
        <f t="shared" si="19"/>
        <v>189371.47999999998</v>
      </c>
      <c r="K88" s="65"/>
      <c r="L88" s="64">
        <f t="shared" si="20"/>
        <v>-1781955.08</v>
      </c>
      <c r="N88" s="72">
        <f>'KY_Res by Plant Acct-P29 (PA)'!R317</f>
        <v>1781500.1300000001</v>
      </c>
      <c r="P88" s="72">
        <f t="shared" si="21"/>
        <v>-454.94999999995343</v>
      </c>
    </row>
    <row r="89" spans="1:16">
      <c r="A89" s="10" t="s">
        <v>843</v>
      </c>
      <c r="B89" s="65">
        <f>'KY_Cost-Plant Acct-Elec-P14(PA)'!B90</f>
        <v>0</v>
      </c>
      <c r="C89" s="65"/>
      <c r="D89" s="65">
        <f>'KY_Cost-Plant Acct-Elec-P14(PA)'!D90</f>
        <v>0</v>
      </c>
      <c r="E89" s="65"/>
      <c r="F89" s="65">
        <f>'KY_Cost-Plant Acct-Elec-P14(PA)'!F90</f>
        <v>0</v>
      </c>
      <c r="G89" s="65"/>
      <c r="H89" s="65">
        <f>'KY_Cost-Plant Acct-Elec-P14(PA)'!H90</f>
        <v>0</v>
      </c>
      <c r="I89" s="65"/>
      <c r="J89" s="65">
        <f t="shared" si="19"/>
        <v>0</v>
      </c>
      <c r="K89" s="65"/>
      <c r="L89" s="64">
        <f t="shared" si="20"/>
        <v>0</v>
      </c>
      <c r="N89" s="72">
        <f>'KY_Res by Plant Acct-P29 (PA)'!R318</f>
        <v>0</v>
      </c>
      <c r="P89" s="72">
        <f t="shared" si="21"/>
        <v>0</v>
      </c>
    </row>
    <row r="90" spans="1:16">
      <c r="A90" s="10" t="s">
        <v>844</v>
      </c>
      <c r="B90" s="159">
        <f>'KY_Cost-Plant Acct-Elec-P14(PA)'!B91</f>
        <v>0</v>
      </c>
      <c r="C90" s="65"/>
      <c r="D90" s="159">
        <f>'KY_Cost-Plant Acct-Elec-P14(PA)'!D91</f>
        <v>0</v>
      </c>
      <c r="E90" s="65"/>
      <c r="F90" s="159">
        <f>'KY_Cost-Plant Acct-Elec-P14(PA)'!F91</f>
        <v>0</v>
      </c>
      <c r="G90" s="65"/>
      <c r="H90" s="159">
        <f>'KY_Cost-Plant Acct-Elec-P14(PA)'!H91</f>
        <v>0</v>
      </c>
      <c r="I90" s="65"/>
      <c r="J90" s="159">
        <f t="shared" si="19"/>
        <v>0</v>
      </c>
      <c r="K90" s="65"/>
      <c r="L90" s="159">
        <f t="shared" si="20"/>
        <v>0</v>
      </c>
      <c r="N90" s="93">
        <f>'KY_Res by Plant Acct-P29 (PA)'!R319</f>
        <v>0</v>
      </c>
      <c r="P90" s="93">
        <f t="shared" si="21"/>
        <v>0</v>
      </c>
    </row>
    <row r="91" spans="1:16">
      <c r="B91" s="65">
        <f>SUM(B79:B90)</f>
        <v>-117578764.10000002</v>
      </c>
      <c r="C91" s="65"/>
      <c r="D91" s="65">
        <f>SUM(D79:D90)</f>
        <v>0</v>
      </c>
      <c r="E91" s="65"/>
      <c r="F91" s="65">
        <f>SUM(F79:F90)</f>
        <v>1167259.44</v>
      </c>
      <c r="G91" s="65"/>
      <c r="H91" s="65">
        <f>SUM(H79:H90)</f>
        <v>0</v>
      </c>
      <c r="I91" s="65"/>
      <c r="J91" s="65">
        <f>SUM(J79:J90)</f>
        <v>1167259.44</v>
      </c>
      <c r="K91" s="65"/>
      <c r="L91" s="65">
        <f>SUM(L79:L90)</f>
        <v>-116411504.66</v>
      </c>
      <c r="N91" s="65">
        <f>SUM(N79:N90)</f>
        <v>116411055.21999997</v>
      </c>
      <c r="P91" s="72">
        <f>SUM(P79:P90)</f>
        <v>-449.43999999994412</v>
      </c>
    </row>
    <row r="92" spans="1:16">
      <c r="B92" s="65"/>
      <c r="C92" s="65"/>
      <c r="D92" s="65"/>
      <c r="E92" s="65"/>
      <c r="F92" s="65"/>
      <c r="G92" s="65"/>
      <c r="H92" s="65"/>
      <c r="I92" s="65"/>
      <c r="J92" s="65"/>
      <c r="K92" s="65"/>
      <c r="L92" s="65"/>
    </row>
    <row r="93" spans="1:16">
      <c r="B93" s="64"/>
      <c r="C93" s="64"/>
      <c r="D93" s="64"/>
      <c r="E93" s="64"/>
      <c r="F93" s="64"/>
      <c r="G93" s="64"/>
      <c r="H93" s="64"/>
      <c r="I93" s="64"/>
      <c r="J93" s="64"/>
      <c r="K93" s="64"/>
      <c r="L93" s="64"/>
    </row>
    <row r="94" spans="1:16">
      <c r="A94" s="12" t="s">
        <v>202</v>
      </c>
      <c r="B94" s="160">
        <f>B91+B76+B63+B51+B46+B35+B26</f>
        <v>-1476423317.1600003</v>
      </c>
      <c r="C94" s="65"/>
      <c r="D94" s="160">
        <f>D91+D76+D63+D51+D46+D35+D26</f>
        <v>-5.6843418860808015E-13</v>
      </c>
      <c r="E94" s="65"/>
      <c r="F94" s="160">
        <f>F91+F76+F63+F51+F46+F35+F26</f>
        <v>1952524.5199999998</v>
      </c>
      <c r="G94" s="65"/>
      <c r="H94" s="160">
        <f>H91+H76+H63+H51+H46+H35+H26</f>
        <v>0</v>
      </c>
      <c r="I94" s="65"/>
      <c r="J94" s="160">
        <f>J91+J76+J63+J51+J46+J35+J26</f>
        <v>1952524.52</v>
      </c>
      <c r="K94" s="65"/>
      <c r="L94" s="160">
        <f>L91+L76+L63+L51+L46+L35+L26</f>
        <v>-1474470792.6400001</v>
      </c>
      <c r="N94" s="160">
        <f>N91+N76+N63+N51+N46+N35+N26</f>
        <v>1474470389.4300001</v>
      </c>
      <c r="P94" s="160">
        <f>P91+P76+P63+P51+P46+P35+P26</f>
        <v>-403.20999995898455</v>
      </c>
    </row>
    <row r="95" spans="1:16">
      <c r="B95" s="64"/>
      <c r="C95" s="64"/>
      <c r="D95" s="64"/>
      <c r="E95" s="64"/>
      <c r="F95" s="64"/>
      <c r="G95" s="64"/>
      <c r="H95" s="64"/>
      <c r="I95" s="64"/>
      <c r="J95" s="64"/>
      <c r="K95" s="64"/>
      <c r="L95" s="64"/>
    </row>
    <row r="96" spans="1:16">
      <c r="B96" s="65"/>
      <c r="C96" s="64"/>
      <c r="D96" s="65"/>
      <c r="E96" s="64"/>
      <c r="F96" s="65"/>
      <c r="G96" s="64"/>
      <c r="H96" s="65"/>
      <c r="I96" s="64"/>
      <c r="J96" s="65"/>
      <c r="K96" s="65"/>
      <c r="L96" s="65"/>
    </row>
    <row r="97" spans="2:12">
      <c r="B97" s="64"/>
      <c r="C97" s="64"/>
      <c r="D97" s="64"/>
      <c r="E97" s="64"/>
      <c r="F97" s="64"/>
      <c r="G97" s="64"/>
      <c r="H97" s="64"/>
      <c r="I97" s="64"/>
      <c r="J97" s="64"/>
      <c r="K97" s="64"/>
      <c r="L97" s="64"/>
    </row>
    <row r="98" spans="2:12">
      <c r="B98" s="64"/>
      <c r="C98" s="64"/>
      <c r="D98" s="64"/>
      <c r="E98" s="64"/>
      <c r="F98" s="64"/>
      <c r="G98" s="64"/>
      <c r="H98" s="64"/>
      <c r="I98" s="64"/>
      <c r="J98" s="64"/>
      <c r="K98" s="64"/>
      <c r="L98" s="64"/>
    </row>
    <row r="99" spans="2:12">
      <c r="B99" s="64"/>
      <c r="C99" s="64"/>
      <c r="D99" s="64"/>
      <c r="E99" s="64"/>
      <c r="F99" s="64"/>
      <c r="G99" s="64"/>
      <c r="H99" s="64"/>
      <c r="I99" s="64"/>
      <c r="J99" s="64"/>
      <c r="K99" s="64"/>
      <c r="L99" s="64"/>
    </row>
    <row r="100" spans="2:12">
      <c r="B100" s="161"/>
      <c r="C100" s="161"/>
      <c r="D100" s="161"/>
      <c r="E100" s="161"/>
      <c r="F100" s="161"/>
      <c r="G100" s="161"/>
      <c r="H100" s="161"/>
      <c r="I100" s="161"/>
      <c r="J100" s="161"/>
      <c r="K100" s="161"/>
      <c r="L100" s="161"/>
    </row>
    <row r="101" spans="2:12">
      <c r="B101" s="161"/>
      <c r="C101" s="161"/>
      <c r="D101" s="161"/>
      <c r="E101" s="161"/>
      <c r="F101" s="161"/>
      <c r="G101" s="161"/>
      <c r="H101" s="161"/>
      <c r="I101" s="161"/>
      <c r="J101" s="161"/>
      <c r="K101" s="161"/>
      <c r="L101" s="161"/>
    </row>
    <row r="102" spans="2:12">
      <c r="B102" s="161"/>
      <c r="C102" s="161"/>
      <c r="D102" s="161"/>
      <c r="E102" s="161"/>
      <c r="F102" s="161"/>
      <c r="G102" s="161"/>
      <c r="H102" s="161"/>
      <c r="I102" s="161"/>
      <c r="J102" s="161"/>
      <c r="K102" s="161"/>
      <c r="L102" s="161"/>
    </row>
    <row r="103" spans="2:12">
      <c r="B103" s="161"/>
      <c r="C103" s="161"/>
      <c r="D103" s="161"/>
      <c r="E103" s="161"/>
      <c r="F103" s="161"/>
      <c r="G103" s="161"/>
      <c r="H103" s="161"/>
      <c r="I103" s="161"/>
      <c r="J103" s="161"/>
      <c r="K103" s="161"/>
      <c r="L103" s="161"/>
    </row>
    <row r="104" spans="2:12">
      <c r="B104" s="161"/>
      <c r="C104" s="161"/>
      <c r="D104" s="161"/>
      <c r="E104" s="161"/>
      <c r="F104" s="161"/>
      <c r="G104" s="161"/>
      <c r="H104" s="161"/>
      <c r="I104" s="161"/>
      <c r="J104" s="161"/>
      <c r="K104" s="161"/>
      <c r="L104" s="161"/>
    </row>
    <row r="105" spans="2:12">
      <c r="B105" s="161"/>
      <c r="C105" s="161"/>
      <c r="D105" s="161"/>
      <c r="E105" s="161"/>
      <c r="F105" s="161"/>
      <c r="G105" s="161"/>
      <c r="H105" s="161"/>
      <c r="I105" s="161"/>
      <c r="J105" s="161"/>
      <c r="K105" s="161"/>
      <c r="L105" s="161"/>
    </row>
    <row r="106" spans="2:12">
      <c r="B106" s="161"/>
      <c r="C106" s="161"/>
      <c r="D106" s="161"/>
      <c r="E106" s="161"/>
      <c r="F106" s="161"/>
      <c r="G106" s="161"/>
      <c r="H106" s="161"/>
      <c r="I106" s="161"/>
      <c r="J106" s="161"/>
      <c r="K106" s="161"/>
      <c r="L106" s="161"/>
    </row>
    <row r="107" spans="2:12">
      <c r="B107" s="161"/>
      <c r="C107" s="161"/>
      <c r="D107" s="161"/>
      <c r="E107" s="161"/>
      <c r="F107" s="161"/>
      <c r="G107" s="161"/>
      <c r="H107" s="161"/>
      <c r="I107" s="161"/>
      <c r="J107" s="161"/>
      <c r="K107" s="161"/>
      <c r="L107" s="161"/>
    </row>
    <row r="108" spans="2:12">
      <c r="B108" s="161"/>
      <c r="C108" s="161"/>
      <c r="D108" s="161"/>
      <c r="E108" s="161"/>
      <c r="F108" s="161"/>
      <c r="G108" s="161"/>
      <c r="H108" s="161"/>
      <c r="I108" s="161"/>
      <c r="J108" s="161"/>
      <c r="K108" s="161"/>
      <c r="L108" s="161"/>
    </row>
    <row r="109" spans="2:12">
      <c r="B109" s="161"/>
      <c r="C109" s="161"/>
      <c r="D109" s="161"/>
      <c r="E109" s="161"/>
      <c r="F109" s="161"/>
      <c r="G109" s="161"/>
      <c r="H109" s="161"/>
      <c r="I109" s="161"/>
      <c r="J109" s="161"/>
      <c r="K109" s="161"/>
      <c r="L109" s="161"/>
    </row>
    <row r="110" spans="2:12">
      <c r="B110" s="161"/>
      <c r="C110" s="161"/>
      <c r="D110" s="161"/>
      <c r="E110" s="161"/>
      <c r="F110" s="161"/>
      <c r="G110" s="161"/>
      <c r="H110" s="161"/>
      <c r="I110" s="161"/>
      <c r="J110" s="161"/>
      <c r="K110" s="161"/>
      <c r="L110" s="161"/>
    </row>
    <row r="111" spans="2:12">
      <c r="B111" s="161"/>
      <c r="C111" s="161"/>
      <c r="D111" s="161"/>
      <c r="E111" s="161"/>
      <c r="F111" s="161"/>
      <c r="G111" s="161"/>
      <c r="H111" s="161"/>
      <c r="I111" s="161"/>
      <c r="J111" s="161"/>
      <c r="K111" s="161"/>
      <c r="L111" s="161"/>
    </row>
    <row r="112" spans="2:12">
      <c r="B112" s="161"/>
      <c r="C112" s="161"/>
      <c r="D112" s="161"/>
      <c r="E112" s="161"/>
      <c r="F112" s="161"/>
      <c r="G112" s="161"/>
      <c r="H112" s="161"/>
      <c r="I112" s="161"/>
      <c r="J112" s="161"/>
      <c r="K112" s="161"/>
      <c r="L112" s="161"/>
    </row>
    <row r="113" spans="2:12">
      <c r="B113" s="161"/>
      <c r="C113" s="161"/>
      <c r="D113" s="161"/>
      <c r="E113" s="161"/>
      <c r="F113" s="161"/>
      <c r="G113" s="161"/>
      <c r="H113" s="161"/>
      <c r="I113" s="161"/>
      <c r="J113" s="161"/>
      <c r="K113" s="161"/>
      <c r="L113" s="161"/>
    </row>
    <row r="114" spans="2:12">
      <c r="B114" s="161"/>
      <c r="C114" s="161"/>
      <c r="D114" s="161"/>
      <c r="E114" s="161"/>
      <c r="F114" s="161"/>
      <c r="G114" s="161"/>
      <c r="H114" s="161"/>
      <c r="I114" s="161"/>
      <c r="J114" s="161"/>
      <c r="K114" s="161"/>
      <c r="L114" s="161"/>
    </row>
    <row r="115" spans="2:12">
      <c r="B115" s="161"/>
      <c r="C115" s="161"/>
      <c r="D115" s="161"/>
      <c r="E115" s="161"/>
      <c r="F115" s="161"/>
      <c r="G115" s="161"/>
      <c r="H115" s="161"/>
      <c r="I115" s="161"/>
      <c r="J115" s="161"/>
      <c r="K115" s="161"/>
      <c r="L115" s="161"/>
    </row>
    <row r="116" spans="2:12">
      <c r="B116" s="161"/>
      <c r="C116" s="161"/>
      <c r="D116" s="161"/>
      <c r="E116" s="161"/>
      <c r="F116" s="161"/>
      <c r="G116" s="161"/>
      <c r="H116" s="161"/>
      <c r="I116" s="161"/>
      <c r="J116" s="161"/>
      <c r="K116" s="161"/>
      <c r="L116" s="161"/>
    </row>
    <row r="117" spans="2:12">
      <c r="B117" s="161"/>
      <c r="C117" s="161"/>
      <c r="D117" s="161"/>
      <c r="E117" s="161"/>
      <c r="F117" s="161"/>
      <c r="G117" s="161"/>
      <c r="H117" s="161"/>
      <c r="I117" s="161"/>
      <c r="J117" s="161"/>
      <c r="K117" s="161"/>
      <c r="L117" s="161"/>
    </row>
    <row r="118" spans="2:12">
      <c r="B118" s="161"/>
      <c r="C118" s="161"/>
      <c r="D118" s="161"/>
      <c r="E118" s="161"/>
      <c r="F118" s="161"/>
      <c r="G118" s="161"/>
      <c r="H118" s="161"/>
      <c r="I118" s="161"/>
      <c r="J118" s="161"/>
      <c r="K118" s="161"/>
      <c r="L118" s="161"/>
    </row>
    <row r="119" spans="2:12">
      <c r="B119" s="161"/>
      <c r="C119" s="161"/>
      <c r="D119" s="161"/>
      <c r="E119" s="161"/>
      <c r="F119" s="161"/>
      <c r="G119" s="161"/>
      <c r="H119" s="161"/>
      <c r="I119" s="161"/>
      <c r="J119" s="161"/>
      <c r="K119" s="161"/>
      <c r="L119" s="161"/>
    </row>
    <row r="120" spans="2:12">
      <c r="B120" s="161"/>
      <c r="C120" s="161"/>
      <c r="D120" s="161"/>
      <c r="E120" s="161"/>
      <c r="F120" s="161"/>
      <c r="G120" s="161"/>
      <c r="H120" s="161"/>
      <c r="I120" s="161"/>
      <c r="J120" s="161"/>
      <c r="K120" s="161"/>
      <c r="L120" s="161"/>
    </row>
    <row r="121" spans="2:12">
      <c r="B121" s="161"/>
      <c r="C121" s="161"/>
      <c r="D121" s="161"/>
      <c r="E121" s="161"/>
      <c r="F121" s="161"/>
      <c r="G121" s="161"/>
      <c r="H121" s="161"/>
      <c r="I121" s="161"/>
      <c r="J121" s="161"/>
      <c r="K121" s="161"/>
      <c r="L121" s="161"/>
    </row>
    <row r="122" spans="2:12">
      <c r="B122" s="161"/>
      <c r="C122" s="161"/>
      <c r="D122" s="161"/>
      <c r="E122" s="161"/>
      <c r="F122" s="161"/>
      <c r="G122" s="161"/>
      <c r="H122" s="161"/>
      <c r="I122" s="161"/>
      <c r="J122" s="161"/>
      <c r="K122" s="161"/>
      <c r="L122" s="161"/>
    </row>
    <row r="123" spans="2:12">
      <c r="B123" s="161"/>
      <c r="C123" s="161"/>
      <c r="D123" s="161"/>
      <c r="E123" s="161"/>
      <c r="F123" s="161"/>
      <c r="G123" s="161"/>
      <c r="H123" s="161"/>
      <c r="I123" s="161"/>
      <c r="J123" s="161"/>
      <c r="K123" s="161"/>
      <c r="L123" s="161"/>
    </row>
    <row r="124" spans="2:12">
      <c r="B124" s="161"/>
      <c r="C124" s="161"/>
      <c r="D124" s="161"/>
      <c r="E124" s="161"/>
      <c r="F124" s="161"/>
      <c r="G124" s="161"/>
      <c r="H124" s="161"/>
      <c r="I124" s="161"/>
      <c r="J124" s="161"/>
      <c r="K124" s="161"/>
      <c r="L124" s="161"/>
    </row>
    <row r="125" spans="2:12">
      <c r="B125" s="161"/>
      <c r="C125" s="161"/>
      <c r="D125" s="161"/>
      <c r="E125" s="161"/>
      <c r="F125" s="161"/>
      <c r="G125" s="161"/>
      <c r="H125" s="161"/>
      <c r="I125" s="161"/>
      <c r="J125" s="161"/>
      <c r="K125" s="161"/>
      <c r="L125" s="161"/>
    </row>
    <row r="126" spans="2:12">
      <c r="B126" s="161"/>
      <c r="C126" s="161"/>
      <c r="D126" s="161"/>
      <c r="E126" s="161"/>
      <c r="F126" s="161"/>
      <c r="G126" s="161"/>
      <c r="H126" s="161"/>
      <c r="I126" s="161"/>
      <c r="J126" s="161"/>
      <c r="K126" s="161"/>
      <c r="L126" s="161"/>
    </row>
    <row r="127" spans="2:12">
      <c r="B127" s="161"/>
      <c r="C127" s="161"/>
      <c r="D127" s="161"/>
      <c r="E127" s="161"/>
      <c r="F127" s="161"/>
      <c r="G127" s="161"/>
      <c r="H127" s="161"/>
      <c r="I127" s="161"/>
      <c r="J127" s="161"/>
      <c r="K127" s="161"/>
      <c r="L127" s="161"/>
    </row>
    <row r="128" spans="2:12">
      <c r="B128" s="161"/>
      <c r="C128" s="161"/>
      <c r="D128" s="161"/>
      <c r="E128" s="161"/>
      <c r="F128" s="161"/>
      <c r="G128" s="161"/>
      <c r="H128" s="161"/>
      <c r="I128" s="161"/>
      <c r="J128" s="161"/>
      <c r="K128" s="161"/>
      <c r="L128" s="161"/>
    </row>
  </sheetData>
  <mergeCells count="3">
    <mergeCell ref="A1:P1"/>
    <mergeCell ref="A2:P2"/>
    <mergeCell ref="A3:P3"/>
  </mergeCells>
  <pageMargins left="0.75" right="0.75" top="1" bottom="1" header="0.5" footer="0.5"/>
  <pageSetup scale="56" fitToHeight="0" orientation="landscape" r:id="rId1"/>
  <headerFooter alignWithMargins="0">
    <oddFooter>&amp;L&amp;Z
&amp;F&amp;C&amp;A&amp;R11.&amp;P</oddFooter>
  </headerFooter>
  <rowBreaks count="1" manualBreakCount="1">
    <brk id="64" max="16383" man="1"/>
  </rowBreaks>
</worksheet>
</file>

<file path=xl/worksheets/sheet131.xml><?xml version="1.0" encoding="utf-8"?>
<worksheet xmlns="http://schemas.openxmlformats.org/spreadsheetml/2006/main" xmlns:r="http://schemas.openxmlformats.org/officeDocument/2006/relationships">
  <sheetPr codeName="Sheet134">
    <pageSetUpPr fitToPage="1"/>
  </sheetPr>
  <dimension ref="A1:M153"/>
  <sheetViews>
    <sheetView zoomScaleNormal="100" workbookViewId="0">
      <selection sqref="A1:M1"/>
    </sheetView>
  </sheetViews>
  <sheetFormatPr defaultRowHeight="12.75"/>
  <cols>
    <col min="1" max="1" width="50.85546875" bestFit="1" customWidth="1"/>
    <col min="2" max="2" width="17.7109375" customWidth="1"/>
    <col min="3" max="3" width="1.7109375" customWidth="1"/>
    <col min="4" max="4" width="17.7109375" customWidth="1"/>
    <col min="5" max="5" width="1.7109375" customWidth="1"/>
    <col min="6" max="6" width="17.7109375" customWidth="1"/>
    <col min="7" max="7" width="1.7109375" customWidth="1"/>
    <col min="8" max="8" width="17.7109375" customWidth="1"/>
    <col min="9" max="9" width="1.7109375" customWidth="1"/>
    <col min="10" max="10" width="17.7109375" customWidth="1"/>
    <col min="11" max="11" width="1.5703125" customWidth="1"/>
    <col min="12" max="12" width="17.7109375" customWidth="1"/>
    <col min="13" max="13" width="1.7109375" customWidth="1"/>
  </cols>
  <sheetData>
    <row r="1" spans="1:13" s="38" customFormat="1" ht="15.75">
      <c r="A1" s="366" t="s">
        <v>134</v>
      </c>
      <c r="B1" s="366"/>
      <c r="C1" s="366"/>
      <c r="D1" s="366"/>
      <c r="E1" s="366"/>
      <c r="F1" s="366"/>
      <c r="G1" s="366"/>
      <c r="H1" s="366"/>
      <c r="I1" s="366"/>
      <c r="J1" s="366"/>
      <c r="K1" s="366"/>
      <c r="L1" s="366"/>
      <c r="M1" s="366"/>
    </row>
    <row r="2" spans="1:13" s="38" customFormat="1" ht="15.75">
      <c r="A2" s="367" t="s">
        <v>1159</v>
      </c>
      <c r="B2" s="366"/>
      <c r="C2" s="366"/>
      <c r="D2" s="366"/>
      <c r="E2" s="366"/>
      <c r="F2" s="366"/>
      <c r="G2" s="366"/>
      <c r="H2" s="366"/>
      <c r="I2" s="366"/>
      <c r="J2" s="366"/>
      <c r="K2" s="366"/>
      <c r="L2" s="366"/>
      <c r="M2" s="366"/>
    </row>
    <row r="3" spans="1:13">
      <c r="A3" s="357" t="str">
        <f>'Summary - Cost - PG 1 (PA)'!A3:N3</f>
        <v>MARCH 2012</v>
      </c>
      <c r="B3" s="357"/>
      <c r="C3" s="357"/>
      <c r="D3" s="357"/>
      <c r="E3" s="357"/>
      <c r="F3" s="357"/>
      <c r="G3" s="357"/>
      <c r="H3" s="357"/>
      <c r="I3" s="357"/>
      <c r="J3" s="357"/>
      <c r="K3" s="357"/>
      <c r="L3" s="357"/>
      <c r="M3" s="357"/>
    </row>
    <row r="4" spans="1:13">
      <c r="A4" s="190"/>
      <c r="B4" s="190"/>
      <c r="C4" s="190"/>
      <c r="D4" s="190"/>
      <c r="E4" s="190"/>
      <c r="F4" s="190"/>
      <c r="G4" s="190"/>
      <c r="H4" s="190"/>
      <c r="I4" s="190"/>
      <c r="J4" s="190"/>
      <c r="K4" s="190"/>
      <c r="L4" s="190"/>
    </row>
    <row r="6" spans="1:13">
      <c r="B6" s="41" t="s">
        <v>25</v>
      </c>
      <c r="D6" s="182"/>
      <c r="F6" s="182"/>
      <c r="H6" s="41" t="s">
        <v>612</v>
      </c>
      <c r="J6" s="41" t="s">
        <v>147</v>
      </c>
      <c r="K6" s="182"/>
      <c r="L6" s="41" t="s">
        <v>26</v>
      </c>
    </row>
    <row r="7" spans="1:13" s="10" customFormat="1">
      <c r="A7" s="12" t="s">
        <v>371</v>
      </c>
      <c r="B7" s="42" t="s">
        <v>27</v>
      </c>
      <c r="C7"/>
      <c r="D7" s="42" t="s">
        <v>107</v>
      </c>
      <c r="E7"/>
      <c r="F7" s="42" t="s">
        <v>108</v>
      </c>
      <c r="G7"/>
      <c r="H7" s="42" t="s">
        <v>613</v>
      </c>
      <c r="I7"/>
      <c r="J7" s="42" t="s">
        <v>109</v>
      </c>
      <c r="K7" s="54"/>
      <c r="L7" s="42" t="s">
        <v>27</v>
      </c>
    </row>
    <row r="8" spans="1:13" s="10" customFormat="1">
      <c r="A8" s="12" t="s">
        <v>205</v>
      </c>
      <c r="B8" s="54"/>
      <c r="C8"/>
      <c r="D8" s="54"/>
      <c r="E8"/>
      <c r="F8" s="54"/>
      <c r="G8"/>
      <c r="H8" s="54"/>
      <c r="I8"/>
      <c r="J8" s="54"/>
      <c r="K8" s="54"/>
      <c r="L8" s="54"/>
    </row>
    <row r="9" spans="1:13" s="10" customFormat="1">
      <c r="A9" s="12" t="s">
        <v>420</v>
      </c>
      <c r="B9"/>
      <c r="C9"/>
      <c r="D9"/>
      <c r="E9"/>
      <c r="F9"/>
      <c r="G9"/>
      <c r="H9"/>
      <c r="I9"/>
      <c r="J9"/>
      <c r="K9"/>
      <c r="L9"/>
    </row>
    <row r="10" spans="1:13" s="10" customFormat="1">
      <c r="A10" s="12" t="s">
        <v>691</v>
      </c>
      <c r="B10"/>
      <c r="C10"/>
      <c r="D10"/>
      <c r="E10"/>
      <c r="F10"/>
      <c r="G10"/>
      <c r="H10"/>
      <c r="I10"/>
      <c r="J10"/>
      <c r="K10"/>
      <c r="L10"/>
    </row>
    <row r="11" spans="1:13">
      <c r="A11" t="s">
        <v>274</v>
      </c>
      <c r="B11" s="182">
        <f>'KY_Cost-Plant Acct-Elec-P14(PA)'!B11</f>
        <v>0</v>
      </c>
      <c r="C11" s="182"/>
      <c r="D11" s="182">
        <f>'KY_Cost-Plant Acct-Elec-P14(PA)'!D11</f>
        <v>0</v>
      </c>
      <c r="E11" s="182"/>
      <c r="F11" s="182">
        <f>'KY_Cost-Plant Acct-Elec-P14(PA)'!F11</f>
        <v>0</v>
      </c>
      <c r="G11" s="182"/>
      <c r="H11" s="182">
        <f>'KY_Cost-Plant Acct-Elec-P14(PA)'!H11</f>
        <v>0</v>
      </c>
      <c r="I11" s="182"/>
      <c r="J11" s="182">
        <f t="shared" ref="J11:J25" si="0">H11+F11+D11</f>
        <v>0</v>
      </c>
      <c r="K11" s="182"/>
      <c r="L11" s="182">
        <f t="shared" ref="L11:L25" si="1">B11+J11</f>
        <v>0</v>
      </c>
    </row>
    <row r="12" spans="1:13">
      <c r="A12" t="s">
        <v>275</v>
      </c>
      <c r="B12" s="182">
        <f>'KY_Cost-Plant Acct-Elec-P14(PA)'!B12</f>
        <v>-1444458.3800000001</v>
      </c>
      <c r="C12" s="182"/>
      <c r="D12" s="182">
        <f>'KY_Cost-Plant Acct-Elec-P14(PA)'!D12</f>
        <v>0</v>
      </c>
      <c r="E12" s="182"/>
      <c r="F12" s="182">
        <f>'KY_Cost-Plant Acct-Elec-P14(PA)'!F12</f>
        <v>288.01</v>
      </c>
      <c r="G12" s="182"/>
      <c r="H12" s="182">
        <f>'KY_Cost-Plant Acct-Elec-P14(PA)'!H12</f>
        <v>0</v>
      </c>
      <c r="I12" s="182"/>
      <c r="J12" s="182">
        <f t="shared" si="0"/>
        <v>288.01</v>
      </c>
      <c r="K12" s="182"/>
      <c r="L12" s="182">
        <f t="shared" si="1"/>
        <v>-1444170.37</v>
      </c>
    </row>
    <row r="13" spans="1:13">
      <c r="A13" t="s">
        <v>12</v>
      </c>
      <c r="B13" s="182">
        <f>'KY_Cost-Plant Acct-Elec-P14(PA)'!B13</f>
        <v>-33466253.899999999</v>
      </c>
      <c r="C13" s="182"/>
      <c r="D13" s="182">
        <f>'KY_Cost-Plant Acct-Elec-P14(PA)'!D13</f>
        <v>0</v>
      </c>
      <c r="E13" s="182"/>
      <c r="F13" s="182">
        <f>'KY_Cost-Plant Acct-Elec-P14(PA)'!F13</f>
        <v>67673.37</v>
      </c>
      <c r="G13" s="182"/>
      <c r="H13" s="182">
        <f>'KY_Cost-Plant Acct-Elec-P14(PA)'!H13</f>
        <v>0</v>
      </c>
      <c r="I13" s="182"/>
      <c r="J13" s="182">
        <f t="shared" si="0"/>
        <v>67673.37</v>
      </c>
      <c r="K13" s="182"/>
      <c r="L13" s="182">
        <f t="shared" si="1"/>
        <v>-33398580.529999997</v>
      </c>
    </row>
    <row r="14" spans="1:13">
      <c r="A14" t="s">
        <v>276</v>
      </c>
      <c r="B14" s="182">
        <f>'KY_Cost-Plant Acct-Elec-P14(PA)'!B14</f>
        <v>-11372591.98</v>
      </c>
      <c r="C14" s="182"/>
      <c r="D14" s="182">
        <f>'KY_Cost-Plant Acct-Elec-P14(PA)'!D14</f>
        <v>0</v>
      </c>
      <c r="E14" s="182"/>
      <c r="F14" s="182">
        <f>'KY_Cost-Plant Acct-Elec-P14(PA)'!F14</f>
        <v>40030.740000000005</v>
      </c>
      <c r="G14" s="182"/>
      <c r="H14" s="182">
        <f>'KY_Cost-Plant Acct-Elec-P14(PA)'!H14</f>
        <v>0</v>
      </c>
      <c r="I14" s="182"/>
      <c r="J14" s="182">
        <f t="shared" si="0"/>
        <v>40030.740000000005</v>
      </c>
      <c r="K14" s="182"/>
      <c r="L14" s="182">
        <f t="shared" si="1"/>
        <v>-11332561.24</v>
      </c>
    </row>
    <row r="15" spans="1:13">
      <c r="A15" t="s">
        <v>277</v>
      </c>
      <c r="B15" s="182">
        <f>'KY_Cost-Plant Acct-Elec-P14(PA)'!B15</f>
        <v>-53741495.779999994</v>
      </c>
      <c r="C15" s="182"/>
      <c r="D15" s="182">
        <f>'KY_Cost-Plant Acct-Elec-P14(PA)'!D15</f>
        <v>-24.36</v>
      </c>
      <c r="E15" s="182"/>
      <c r="F15" s="182">
        <f>'KY_Cost-Plant Acct-Elec-P14(PA)'!F15</f>
        <v>123166.1</v>
      </c>
      <c r="G15" s="182"/>
      <c r="H15" s="182">
        <f>'KY_Cost-Plant Acct-Elec-P14(PA)'!H15</f>
        <v>0</v>
      </c>
      <c r="I15" s="182"/>
      <c r="J15" s="182">
        <f t="shared" si="0"/>
        <v>123141.74</v>
      </c>
      <c r="K15" s="182"/>
      <c r="L15" s="182">
        <f t="shared" si="1"/>
        <v>-53618354.039999992</v>
      </c>
    </row>
    <row r="16" spans="1:13">
      <c r="A16" t="s">
        <v>278</v>
      </c>
      <c r="B16" s="182">
        <f>'KY_Cost-Plant Acct-Elec-P14(PA)'!B16</f>
        <v>-23985485.93</v>
      </c>
      <c r="C16" s="182"/>
      <c r="D16" s="182">
        <f>'KY_Cost-Plant Acct-Elec-P14(PA)'!D16</f>
        <v>-1032.24</v>
      </c>
      <c r="E16" s="182"/>
      <c r="F16" s="182">
        <f>'KY_Cost-Plant Acct-Elec-P14(PA)'!F16</f>
        <v>11991.38</v>
      </c>
      <c r="G16" s="182"/>
      <c r="H16" s="182">
        <f>'KY_Cost-Plant Acct-Elec-P14(PA)'!H16</f>
        <v>0</v>
      </c>
      <c r="I16" s="182"/>
      <c r="J16" s="182">
        <f t="shared" si="0"/>
        <v>10959.14</v>
      </c>
      <c r="K16" s="182"/>
      <c r="L16" s="182">
        <f t="shared" si="1"/>
        <v>-23974526.789999999</v>
      </c>
    </row>
    <row r="17" spans="1:12">
      <c r="A17" t="s">
        <v>279</v>
      </c>
      <c r="B17" s="182">
        <f>'KY_Cost-Plant Acct-Elec-P14(PA)'!B17</f>
        <v>-36164907.420000002</v>
      </c>
      <c r="C17" s="182"/>
      <c r="D17" s="182">
        <f>'KY_Cost-Plant Acct-Elec-P14(PA)'!D17</f>
        <v>-8161.24</v>
      </c>
      <c r="E17" s="182"/>
      <c r="F17" s="182">
        <f>'KY_Cost-Plant Acct-Elec-P14(PA)'!F17</f>
        <v>89893.450000000012</v>
      </c>
      <c r="G17" s="182"/>
      <c r="H17" s="182">
        <f>'KY_Cost-Plant Acct-Elec-P14(PA)'!H17</f>
        <v>0</v>
      </c>
      <c r="I17" s="182"/>
      <c r="J17" s="182">
        <f t="shared" si="0"/>
        <v>81732.210000000006</v>
      </c>
      <c r="K17" s="182"/>
      <c r="L17" s="182">
        <f t="shared" si="1"/>
        <v>-36083175.210000001</v>
      </c>
    </row>
    <row r="18" spans="1:12">
      <c r="A18" t="s">
        <v>280</v>
      </c>
      <c r="B18" s="182">
        <f>'KY_Cost-Plant Acct-Elec-P14(PA)'!B18</f>
        <v>-55448344.360000007</v>
      </c>
      <c r="C18" s="182"/>
      <c r="D18" s="182">
        <f>'KY_Cost-Plant Acct-Elec-P14(PA)'!D18</f>
        <v>0</v>
      </c>
      <c r="E18" s="182"/>
      <c r="F18" s="182">
        <f>'KY_Cost-Plant Acct-Elec-P14(PA)'!F18</f>
        <v>30664.91</v>
      </c>
      <c r="G18" s="182"/>
      <c r="H18" s="182">
        <f>'KY_Cost-Plant Acct-Elec-P14(PA)'!H18</f>
        <v>0</v>
      </c>
      <c r="I18" s="182"/>
      <c r="J18" s="182">
        <f t="shared" si="0"/>
        <v>30664.91</v>
      </c>
      <c r="K18" s="182"/>
      <c r="L18" s="182">
        <f t="shared" si="1"/>
        <v>-55417679.45000001</v>
      </c>
    </row>
    <row r="19" spans="1:12">
      <c r="A19" t="s">
        <v>308</v>
      </c>
      <c r="B19" s="182">
        <f>'KY_Cost-Plant Acct-Elec-P14(PA)'!B19</f>
        <v>-1949769.96</v>
      </c>
      <c r="C19" s="182"/>
      <c r="D19" s="182">
        <f>'KY_Cost-Plant Acct-Elec-P14(PA)'!D19</f>
        <v>0</v>
      </c>
      <c r="E19" s="182"/>
      <c r="F19" s="182">
        <f>'KY_Cost-Plant Acct-Elec-P14(PA)'!F19</f>
        <v>22246.82</v>
      </c>
      <c r="G19" s="182"/>
      <c r="H19" s="182">
        <f>'KY_Cost-Plant Acct-Elec-P14(PA)'!H19</f>
        <v>0</v>
      </c>
      <c r="I19" s="182"/>
      <c r="J19" s="182">
        <f t="shared" si="0"/>
        <v>22246.82</v>
      </c>
      <c r="K19" s="182"/>
      <c r="L19" s="182">
        <f t="shared" si="1"/>
        <v>-1927523.14</v>
      </c>
    </row>
    <row r="20" spans="1:12">
      <c r="A20" t="s">
        <v>309</v>
      </c>
      <c r="B20" s="182">
        <f>'KY_Cost-Plant Acct-Elec-P14(PA)'!B20</f>
        <v>-6888518.79</v>
      </c>
      <c r="C20" s="182"/>
      <c r="D20" s="182">
        <f>'KY_Cost-Plant Acct-Elec-P14(PA)'!D20</f>
        <v>0</v>
      </c>
      <c r="E20" s="182"/>
      <c r="F20" s="182">
        <f>'KY_Cost-Plant Acct-Elec-P14(PA)'!F20</f>
        <v>7744.98</v>
      </c>
      <c r="G20" s="182"/>
      <c r="H20" s="182">
        <f>'KY_Cost-Plant Acct-Elec-P14(PA)'!H20</f>
        <v>0</v>
      </c>
      <c r="I20" s="182"/>
      <c r="J20" s="182">
        <f t="shared" si="0"/>
        <v>7744.98</v>
      </c>
      <c r="K20" s="182"/>
      <c r="L20" s="182">
        <f t="shared" si="1"/>
        <v>-6880773.8099999996</v>
      </c>
    </row>
    <row r="21" spans="1:12">
      <c r="A21" t="s">
        <v>310</v>
      </c>
      <c r="B21" s="182">
        <f>'KY_Cost-Plant Acct-Elec-P14(PA)'!B21</f>
        <v>-15937025.810000001</v>
      </c>
      <c r="C21" s="182"/>
      <c r="D21" s="182">
        <f>'KY_Cost-Plant Acct-Elec-P14(PA)'!D21</f>
        <v>0</v>
      </c>
      <c r="E21" s="182"/>
      <c r="F21" s="182">
        <f>'KY_Cost-Plant Acct-Elec-P14(PA)'!F21</f>
        <v>0</v>
      </c>
      <c r="G21" s="182"/>
      <c r="H21" s="182">
        <f>'KY_Cost-Plant Acct-Elec-P14(PA)'!H21</f>
        <v>0</v>
      </c>
      <c r="I21" s="182"/>
      <c r="J21" s="182">
        <f t="shared" si="0"/>
        <v>0</v>
      </c>
      <c r="K21" s="182"/>
      <c r="L21" s="182">
        <f t="shared" si="1"/>
        <v>-15937025.810000001</v>
      </c>
    </row>
    <row r="22" spans="1:12">
      <c r="A22" t="s">
        <v>311</v>
      </c>
      <c r="B22" s="182">
        <f>'KY_Cost-Plant Acct-Elec-P14(PA)'!B22</f>
        <v>-12798090.4</v>
      </c>
      <c r="C22" s="182"/>
      <c r="D22" s="182">
        <f>'KY_Cost-Plant Acct-Elec-P14(PA)'!D22</f>
        <v>-455.87</v>
      </c>
      <c r="E22" s="182"/>
      <c r="F22" s="182">
        <f>'KY_Cost-Plant Acct-Elec-P14(PA)'!F22</f>
        <v>153346.18</v>
      </c>
      <c r="G22" s="182"/>
      <c r="H22" s="182">
        <f>'KY_Cost-Plant Acct-Elec-P14(PA)'!H22</f>
        <v>0</v>
      </c>
      <c r="I22" s="182"/>
      <c r="J22" s="182">
        <f t="shared" si="0"/>
        <v>152890.31</v>
      </c>
      <c r="K22" s="182"/>
      <c r="L22" s="182">
        <f t="shared" si="1"/>
        <v>-12645200.09</v>
      </c>
    </row>
    <row r="23" spans="1:12">
      <c r="A23" t="s">
        <v>312</v>
      </c>
      <c r="B23" s="182">
        <f>'KY_Cost-Plant Acct-Elec-P14(PA)'!B23</f>
        <v>-18283151.800000001</v>
      </c>
      <c r="C23" s="182"/>
      <c r="D23" s="182">
        <f>'KY_Cost-Plant Acct-Elec-P14(PA)'!D23</f>
        <v>-31.15</v>
      </c>
      <c r="E23" s="182"/>
      <c r="F23" s="182">
        <f>'KY_Cost-Plant Acct-Elec-P14(PA)'!F23</f>
        <v>39092.99</v>
      </c>
      <c r="G23" s="182"/>
      <c r="H23" s="182">
        <f>'KY_Cost-Plant Acct-Elec-P14(PA)'!H23</f>
        <v>0</v>
      </c>
      <c r="I23" s="182"/>
      <c r="J23" s="182">
        <f t="shared" si="0"/>
        <v>39061.839999999997</v>
      </c>
      <c r="K23" s="182"/>
      <c r="L23" s="182">
        <f t="shared" si="1"/>
        <v>-18244089.960000001</v>
      </c>
    </row>
    <row r="24" spans="1:12">
      <c r="A24" t="s">
        <v>313</v>
      </c>
      <c r="B24" s="182">
        <f>'KY_Cost-Plant Acct-Elec-P14(PA)'!B24</f>
        <v>0</v>
      </c>
      <c r="C24" s="182"/>
      <c r="D24" s="182">
        <f>'KY_Cost-Plant Acct-Elec-P14(PA)'!D24</f>
        <v>0</v>
      </c>
      <c r="E24" s="182"/>
      <c r="F24" s="182">
        <f>'KY_Cost-Plant Acct-Elec-P14(PA)'!F24</f>
        <v>0</v>
      </c>
      <c r="G24" s="182"/>
      <c r="H24" s="182">
        <f>'KY_Cost-Plant Acct-Elec-P14(PA)'!H24</f>
        <v>0</v>
      </c>
      <c r="I24" s="182"/>
      <c r="J24" s="182">
        <f t="shared" si="0"/>
        <v>0</v>
      </c>
      <c r="K24" s="182"/>
      <c r="L24" s="182">
        <f t="shared" si="1"/>
        <v>0</v>
      </c>
    </row>
    <row r="25" spans="1:12">
      <c r="A25" t="s">
        <v>314</v>
      </c>
      <c r="B25" s="48">
        <f>'KY_Cost-Plant Acct-Elec-P14(PA)'!B25</f>
        <v>0</v>
      </c>
      <c r="C25" s="52"/>
      <c r="D25" s="48">
        <f>'KY_Cost-Plant Acct-Elec-P14(PA)'!D25</f>
        <v>0</v>
      </c>
      <c r="E25" s="52"/>
      <c r="F25" s="48">
        <f>'KY_Cost-Plant Acct-Elec-P14(PA)'!F25</f>
        <v>0</v>
      </c>
      <c r="G25" s="182"/>
      <c r="H25" s="48">
        <f>'KY_Cost-Plant Acct-Elec-P14(PA)'!H25</f>
        <v>0</v>
      </c>
      <c r="I25" s="182"/>
      <c r="J25" s="48">
        <f t="shared" si="0"/>
        <v>0</v>
      </c>
      <c r="K25" s="52"/>
      <c r="L25" s="48">
        <f t="shared" si="1"/>
        <v>0</v>
      </c>
    </row>
    <row r="26" spans="1:12">
      <c r="B26" s="52">
        <f>SUM(B11:B25)</f>
        <v>-271480094.50999999</v>
      </c>
      <c r="C26" s="52"/>
      <c r="D26" s="52">
        <f>SUM(D11:D25)</f>
        <v>-9704.86</v>
      </c>
      <c r="E26" s="52"/>
      <c r="F26" s="52">
        <f>SUM(F11:F25)</f>
        <v>586138.92999999993</v>
      </c>
      <c r="G26" s="52"/>
      <c r="H26" s="52">
        <f>SUM(H11:H25)</f>
        <v>0</v>
      </c>
      <c r="I26" s="52"/>
      <c r="J26" s="52">
        <f>SUM(J11:J25)</f>
        <v>576434.06999999995</v>
      </c>
      <c r="K26" s="52"/>
      <c r="L26" s="52">
        <f>SUM(L11:L25)</f>
        <v>-270903660.44</v>
      </c>
    </row>
    <row r="27" spans="1:12">
      <c r="B27" s="52"/>
      <c r="C27" s="52"/>
      <c r="D27" s="52"/>
      <c r="E27" s="52"/>
      <c r="F27" s="52"/>
      <c r="G27" s="52"/>
      <c r="H27" s="52"/>
      <c r="I27" s="52"/>
      <c r="J27" s="52"/>
      <c r="K27" s="52"/>
      <c r="L27" s="52"/>
    </row>
    <row r="28" spans="1:12">
      <c r="A28" s="12" t="s">
        <v>808</v>
      </c>
      <c r="B28" s="52"/>
      <c r="C28" s="52"/>
      <c r="D28" s="52"/>
      <c r="E28" s="52"/>
      <c r="F28" s="52"/>
      <c r="G28" s="52"/>
      <c r="H28" s="52"/>
      <c r="I28" s="52"/>
      <c r="J28" s="52"/>
      <c r="K28" s="52"/>
      <c r="L28" s="52"/>
    </row>
    <row r="29" spans="1:12">
      <c r="A29" t="s">
        <v>315</v>
      </c>
      <c r="B29" s="52">
        <f>'KY_Cost-Plant Acct-Elec-P14(PA)'!B29</f>
        <v>-6981474.3900000006</v>
      </c>
      <c r="C29" s="52"/>
      <c r="D29" s="52">
        <f>'KY_Cost-Plant Acct-Elec-P14(PA)'!D29</f>
        <v>0</v>
      </c>
      <c r="E29" s="52"/>
      <c r="F29" s="52">
        <f>'KY_Cost-Plant Acct-Elec-P14(PA)'!F29</f>
        <v>39209.64</v>
      </c>
      <c r="G29" s="52"/>
      <c r="H29" s="52">
        <f>'KY_Cost-Plant Acct-Elec-P14(PA)'!H29</f>
        <v>0</v>
      </c>
      <c r="I29" s="52"/>
      <c r="J29" s="52">
        <f t="shared" ref="J29:J34" si="2">H29+F29+D29</f>
        <v>39209.64</v>
      </c>
      <c r="K29" s="52"/>
      <c r="L29" s="182">
        <f t="shared" ref="L29:L34" si="3">B29+J29</f>
        <v>-6942264.7500000009</v>
      </c>
    </row>
    <row r="30" spans="1:12">
      <c r="A30" t="s">
        <v>316</v>
      </c>
      <c r="B30" s="52">
        <f>'KY_Cost-Plant Acct-Elec-P14(PA)'!B30</f>
        <v>-253776.4</v>
      </c>
      <c r="C30" s="52"/>
      <c r="D30" s="52">
        <f>'KY_Cost-Plant Acct-Elec-P14(PA)'!D30</f>
        <v>0</v>
      </c>
      <c r="E30" s="52"/>
      <c r="F30" s="52">
        <f>'KY_Cost-Plant Acct-Elec-P14(PA)'!F30</f>
        <v>0</v>
      </c>
      <c r="G30" s="52"/>
      <c r="H30" s="52">
        <f>'KY_Cost-Plant Acct-Elec-P14(PA)'!H30</f>
        <v>0</v>
      </c>
      <c r="I30" s="52"/>
      <c r="J30" s="52">
        <f t="shared" si="2"/>
        <v>0</v>
      </c>
      <c r="K30" s="52"/>
      <c r="L30" s="182">
        <f t="shared" si="3"/>
        <v>-253776.4</v>
      </c>
    </row>
    <row r="31" spans="1:12">
      <c r="A31" t="s">
        <v>317</v>
      </c>
      <c r="B31" s="52">
        <f>'KY_Cost-Plant Acct-Elec-P14(PA)'!B31</f>
        <v>-1385213.31</v>
      </c>
      <c r="C31" s="52"/>
      <c r="D31" s="52">
        <f>'KY_Cost-Plant Acct-Elec-P14(PA)'!D31</f>
        <v>0</v>
      </c>
      <c r="E31" s="52"/>
      <c r="F31" s="52">
        <f>'KY_Cost-Plant Acct-Elec-P14(PA)'!F31</f>
        <v>0</v>
      </c>
      <c r="G31" s="52"/>
      <c r="H31" s="52">
        <f>'KY_Cost-Plant Acct-Elec-P14(PA)'!H31</f>
        <v>0</v>
      </c>
      <c r="I31" s="52"/>
      <c r="J31" s="52">
        <f t="shared" si="2"/>
        <v>0</v>
      </c>
      <c r="K31" s="52"/>
      <c r="L31" s="182">
        <f t="shared" si="3"/>
        <v>-1385213.31</v>
      </c>
    </row>
    <row r="32" spans="1:12">
      <c r="A32" t="s">
        <v>318</v>
      </c>
      <c r="B32" s="52">
        <f>'KY_Cost-Plant Acct-Elec-P14(PA)'!B32</f>
        <v>-21504.75</v>
      </c>
      <c r="C32" s="52"/>
      <c r="D32" s="52">
        <f>'KY_Cost-Plant Acct-Elec-P14(PA)'!D32</f>
        <v>0</v>
      </c>
      <c r="E32" s="52"/>
      <c r="F32" s="52">
        <f>'KY_Cost-Plant Acct-Elec-P14(PA)'!F32</f>
        <v>0</v>
      </c>
      <c r="G32" s="52"/>
      <c r="H32" s="52">
        <f>'KY_Cost-Plant Acct-Elec-P14(PA)'!H32</f>
        <v>0</v>
      </c>
      <c r="I32" s="52"/>
      <c r="J32" s="52">
        <f t="shared" si="2"/>
        <v>0</v>
      </c>
      <c r="K32" s="52"/>
      <c r="L32" s="182">
        <f t="shared" si="3"/>
        <v>-21504.75</v>
      </c>
    </row>
    <row r="33" spans="1:12">
      <c r="A33" t="s">
        <v>319</v>
      </c>
      <c r="B33" s="52">
        <f>'KY_Cost-Plant Acct-Elec-P14(PA)'!B33</f>
        <v>-2156793.02</v>
      </c>
      <c r="C33" s="52"/>
      <c r="D33" s="52">
        <f>'KY_Cost-Plant Acct-Elec-P14(PA)'!D33</f>
        <v>0</v>
      </c>
      <c r="E33" s="52"/>
      <c r="F33" s="52">
        <f>'KY_Cost-Plant Acct-Elec-P14(PA)'!F33</f>
        <v>0</v>
      </c>
      <c r="G33" s="52"/>
      <c r="H33" s="52">
        <f>'KY_Cost-Plant Acct-Elec-P14(PA)'!H33</f>
        <v>0</v>
      </c>
      <c r="I33" s="52"/>
      <c r="J33" s="52">
        <f t="shared" si="2"/>
        <v>0</v>
      </c>
      <c r="K33" s="52"/>
      <c r="L33" s="182">
        <f t="shared" si="3"/>
        <v>-2156793.02</v>
      </c>
    </row>
    <row r="34" spans="1:12">
      <c r="A34" t="s">
        <v>320</v>
      </c>
      <c r="B34" s="48">
        <f>'KY_Cost-Plant Acct-Elec-P14(PA)'!B34</f>
        <v>-26510.82</v>
      </c>
      <c r="C34" s="52"/>
      <c r="D34" s="48">
        <f>'KY_Cost-Plant Acct-Elec-P14(PA)'!D34</f>
        <v>0</v>
      </c>
      <c r="E34" s="52"/>
      <c r="F34" s="48">
        <f>'KY_Cost-Plant Acct-Elec-P14(PA)'!F34</f>
        <v>0</v>
      </c>
      <c r="G34" s="52"/>
      <c r="H34" s="48">
        <f>'KY_Cost-Plant Acct-Elec-P14(PA)'!H34</f>
        <v>0</v>
      </c>
      <c r="I34" s="52"/>
      <c r="J34" s="48">
        <f t="shared" si="2"/>
        <v>0</v>
      </c>
      <c r="K34" s="52"/>
      <c r="L34" s="48">
        <f t="shared" si="3"/>
        <v>-26510.82</v>
      </c>
    </row>
    <row r="35" spans="1:12">
      <c r="B35" s="52">
        <f>SUM(B29:B34)</f>
        <v>-10825272.690000001</v>
      </c>
      <c r="C35" s="52"/>
      <c r="D35" s="52">
        <f>SUM(D29:D34)</f>
        <v>0</v>
      </c>
      <c r="E35" s="52"/>
      <c r="F35" s="52">
        <f>SUM(F29:F34)</f>
        <v>39209.64</v>
      </c>
      <c r="G35" s="52"/>
      <c r="H35" s="52">
        <f>SUM(H29:H34)</f>
        <v>0</v>
      </c>
      <c r="I35" s="52"/>
      <c r="J35" s="52">
        <f>SUM(J29:J34)</f>
        <v>39209.64</v>
      </c>
      <c r="K35" s="52"/>
      <c r="L35" s="52">
        <f>SUM(L29:L34)</f>
        <v>-10786063.050000001</v>
      </c>
    </row>
    <row r="36" spans="1:12">
      <c r="B36" s="52"/>
      <c r="C36" s="52"/>
      <c r="D36" s="52"/>
      <c r="E36" s="52"/>
      <c r="F36" s="52"/>
      <c r="G36" s="52"/>
      <c r="H36" s="52"/>
      <c r="I36" s="52"/>
      <c r="J36" s="52"/>
      <c r="K36" s="52"/>
      <c r="L36" s="52"/>
    </row>
    <row r="37" spans="1:12">
      <c r="A37" s="12" t="s">
        <v>809</v>
      </c>
      <c r="B37" s="52"/>
      <c r="C37" s="52"/>
      <c r="D37" s="52"/>
      <c r="E37" s="52"/>
      <c r="F37" s="52"/>
      <c r="G37" s="52"/>
      <c r="H37" s="52"/>
      <c r="I37" s="52"/>
      <c r="J37" s="52"/>
      <c r="K37" s="52"/>
      <c r="L37" s="52"/>
    </row>
    <row r="38" spans="1:12">
      <c r="A38" t="s">
        <v>321</v>
      </c>
      <c r="B38" s="52">
        <f>'KY_Cost-Plant Acct-Elec-P14(PA)'!B38</f>
        <v>0</v>
      </c>
      <c r="C38" s="52"/>
      <c r="D38" s="52">
        <f>'KY_Cost-Plant Acct-Elec-P14(PA)'!D38</f>
        <v>0</v>
      </c>
      <c r="E38" s="52"/>
      <c r="F38" s="52">
        <f>'KY_Cost-Plant Acct-Elec-P14(PA)'!F38</f>
        <v>0</v>
      </c>
      <c r="G38" s="52"/>
      <c r="H38" s="52">
        <f>'KY_Cost-Plant Acct-Elec-P14(PA)'!H38</f>
        <v>0</v>
      </c>
      <c r="I38" s="52"/>
      <c r="J38" s="52">
        <f t="shared" ref="J38:J45" si="4">H38+F38+D38</f>
        <v>0</v>
      </c>
      <c r="K38" s="52"/>
      <c r="L38" s="182">
        <f t="shared" ref="L38:L45" si="5">B38+J38</f>
        <v>0</v>
      </c>
    </row>
    <row r="39" spans="1:12">
      <c r="A39" t="s">
        <v>574</v>
      </c>
      <c r="B39" s="52">
        <f>'KY_Cost-Plant Acct-Elec-P14(PA)'!B39</f>
        <v>-4452079.3600000003</v>
      </c>
      <c r="C39" s="52"/>
      <c r="D39" s="52">
        <f>'KY_Cost-Plant Acct-Elec-P14(PA)'!D39</f>
        <v>0</v>
      </c>
      <c r="E39" s="52"/>
      <c r="F39" s="52">
        <f>'KY_Cost-Plant Acct-Elec-P14(PA)'!F39</f>
        <v>526.02</v>
      </c>
      <c r="G39" s="52"/>
      <c r="H39" s="52">
        <f>'KY_Cost-Plant Acct-Elec-P14(PA)'!H39</f>
        <v>0</v>
      </c>
      <c r="I39" s="52"/>
      <c r="J39" s="52">
        <f t="shared" si="4"/>
        <v>526.02</v>
      </c>
      <c r="K39" s="52"/>
      <c r="L39" s="182">
        <f t="shared" si="5"/>
        <v>-4451553.3400000008</v>
      </c>
    </row>
    <row r="40" spans="1:12">
      <c r="A40" t="s">
        <v>575</v>
      </c>
      <c r="B40" s="65">
        <f>'KY_Cost-Plant Acct-Elec-P14(PA)'!B40</f>
        <v>-1281266.8800000001</v>
      </c>
      <c r="C40" s="52"/>
      <c r="D40" s="65">
        <f>'KY_Cost-Plant Acct-Elec-P14(PA)'!D40</f>
        <v>0</v>
      </c>
      <c r="E40" s="52"/>
      <c r="F40" s="65">
        <f>'KY_Cost-Plant Acct-Elec-P14(PA)'!F40</f>
        <v>0</v>
      </c>
      <c r="G40" s="52"/>
      <c r="H40" s="52">
        <f>'KY_Cost-Plant Acct-Elec-P14(PA)'!H40</f>
        <v>0</v>
      </c>
      <c r="I40" s="52"/>
      <c r="J40" s="52">
        <f t="shared" si="4"/>
        <v>0</v>
      </c>
      <c r="K40" s="52"/>
      <c r="L40" s="182">
        <f t="shared" si="5"/>
        <v>-1281266.8800000001</v>
      </c>
    </row>
    <row r="41" spans="1:12">
      <c r="A41" t="s">
        <v>576</v>
      </c>
      <c r="B41" s="65">
        <f>'KY_Cost-Plant Acct-Elec-P14(PA)'!B41</f>
        <v>-2014866.1400000001</v>
      </c>
      <c r="C41" s="52"/>
      <c r="D41" s="65">
        <f>'KY_Cost-Plant Acct-Elec-P14(PA)'!D41</f>
        <v>0</v>
      </c>
      <c r="E41" s="52"/>
      <c r="F41" s="65">
        <f>'KY_Cost-Plant Acct-Elec-P14(PA)'!F41</f>
        <v>0</v>
      </c>
      <c r="G41" s="52"/>
      <c r="H41" s="52">
        <f>'KY_Cost-Plant Acct-Elec-P14(PA)'!H41</f>
        <v>0</v>
      </c>
      <c r="I41" s="52"/>
      <c r="J41" s="52">
        <f t="shared" si="4"/>
        <v>0</v>
      </c>
      <c r="K41" s="52"/>
      <c r="L41" s="182">
        <f t="shared" si="5"/>
        <v>-2014866.1400000001</v>
      </c>
    </row>
    <row r="42" spans="1:12">
      <c r="A42" t="s">
        <v>577</v>
      </c>
      <c r="B42" s="65">
        <f>'KY_Cost-Plant Acct-Elec-P14(PA)'!B42</f>
        <v>-1656640.16</v>
      </c>
      <c r="C42" s="52"/>
      <c r="D42" s="65">
        <f>'KY_Cost-Plant Acct-Elec-P14(PA)'!D42</f>
        <v>0</v>
      </c>
      <c r="E42" s="52"/>
      <c r="F42" s="65">
        <f>'KY_Cost-Plant Acct-Elec-P14(PA)'!F42</f>
        <v>0</v>
      </c>
      <c r="G42" s="52"/>
      <c r="H42" s="52">
        <f>'KY_Cost-Plant Acct-Elec-P14(PA)'!H42</f>
        <v>0</v>
      </c>
      <c r="I42" s="52"/>
      <c r="J42" s="52">
        <f t="shared" si="4"/>
        <v>0</v>
      </c>
      <c r="K42" s="52"/>
      <c r="L42" s="182">
        <f t="shared" si="5"/>
        <v>-1656640.16</v>
      </c>
    </row>
    <row r="43" spans="1:12">
      <c r="A43" t="s">
        <v>281</v>
      </c>
      <c r="B43" s="52">
        <f>'KY_Cost-Plant Acct-Elec-P14(PA)'!B43</f>
        <v>-41793.170000000006</v>
      </c>
      <c r="C43" s="52"/>
      <c r="D43" s="52">
        <f>'KY_Cost-Plant Acct-Elec-P14(PA)'!D43</f>
        <v>0</v>
      </c>
      <c r="E43" s="52"/>
      <c r="F43" s="52">
        <f>'KY_Cost-Plant Acct-Elec-P14(PA)'!F43</f>
        <v>0</v>
      </c>
      <c r="G43" s="52"/>
      <c r="H43" s="52">
        <f>'KY_Cost-Plant Acct-Elec-P14(PA)'!H43</f>
        <v>0</v>
      </c>
      <c r="I43" s="52"/>
      <c r="J43" s="52">
        <f t="shared" si="4"/>
        <v>0</v>
      </c>
      <c r="K43" s="52"/>
      <c r="L43" s="182">
        <f t="shared" si="5"/>
        <v>-41793.170000000006</v>
      </c>
    </row>
    <row r="44" spans="1:12">
      <c r="A44" t="s">
        <v>282</v>
      </c>
      <c r="B44" s="52">
        <f>'KY_Cost-Plant Acct-Elec-P14(PA)'!B44</f>
        <v>-74686.740000000005</v>
      </c>
      <c r="C44" s="52"/>
      <c r="D44" s="52">
        <f>'KY_Cost-Plant Acct-Elec-P14(PA)'!D44</f>
        <v>0</v>
      </c>
      <c r="E44" s="52"/>
      <c r="F44" s="52">
        <f>'KY_Cost-Plant Acct-Elec-P14(PA)'!F44</f>
        <v>0</v>
      </c>
      <c r="G44" s="52"/>
      <c r="H44" s="52">
        <f>'KY_Cost-Plant Acct-Elec-P14(PA)'!H44</f>
        <v>0</v>
      </c>
      <c r="I44" s="52"/>
      <c r="J44" s="52">
        <f t="shared" si="4"/>
        <v>0</v>
      </c>
      <c r="K44" s="52"/>
      <c r="L44" s="182">
        <f t="shared" si="5"/>
        <v>-74686.740000000005</v>
      </c>
    </row>
    <row r="45" spans="1:12">
      <c r="A45" t="s">
        <v>283</v>
      </c>
      <c r="B45" s="48">
        <f>'KY_Cost-Plant Acct-Elec-P14(PA)'!B45</f>
        <v>0</v>
      </c>
      <c r="C45" s="52"/>
      <c r="D45" s="48">
        <f>'KY_Cost-Plant Acct-Elec-P14(PA)'!D45</f>
        <v>0</v>
      </c>
      <c r="E45" s="52"/>
      <c r="F45" s="48">
        <f>'KY_Cost-Plant Acct-Elec-P14(PA)'!F45</f>
        <v>0</v>
      </c>
      <c r="G45" s="52"/>
      <c r="H45" s="48">
        <f>'KY_Cost-Plant Acct-Elec-P14(PA)'!H45</f>
        <v>0</v>
      </c>
      <c r="I45" s="52"/>
      <c r="J45" s="48">
        <f t="shared" si="4"/>
        <v>0</v>
      </c>
      <c r="K45" s="52"/>
      <c r="L45" s="48">
        <f t="shared" si="5"/>
        <v>0</v>
      </c>
    </row>
    <row r="46" spans="1:12">
      <c r="B46" s="52">
        <f>SUM(B38:B45)</f>
        <v>-9521332.4500000011</v>
      </c>
      <c r="C46" s="52"/>
      <c r="D46" s="52">
        <f>SUM(D38:D45)</f>
        <v>0</v>
      </c>
      <c r="E46" s="52"/>
      <c r="F46" s="52">
        <f>SUM(F38:F45)</f>
        <v>526.02</v>
      </c>
      <c r="G46" s="52"/>
      <c r="H46" s="52">
        <f>SUM(H38:H45)</f>
        <v>0</v>
      </c>
      <c r="I46" s="52"/>
      <c r="J46" s="52">
        <f>SUM(J38:J45)</f>
        <v>526.02</v>
      </c>
      <c r="K46" s="52"/>
      <c r="L46" s="52">
        <f>SUM(L38:L45)</f>
        <v>-9520806.4300000016</v>
      </c>
    </row>
    <row r="47" spans="1:12">
      <c r="B47" s="52"/>
      <c r="C47" s="52"/>
      <c r="D47" s="52"/>
      <c r="E47" s="52"/>
      <c r="F47" s="52"/>
      <c r="G47" s="52"/>
      <c r="H47" s="52"/>
      <c r="I47" s="52"/>
      <c r="J47" s="52"/>
      <c r="K47" s="52"/>
      <c r="L47" s="52"/>
    </row>
    <row r="48" spans="1:12">
      <c r="A48" s="3" t="s">
        <v>810</v>
      </c>
      <c r="B48" s="52"/>
      <c r="C48" s="52"/>
      <c r="D48" s="52"/>
      <c r="E48" s="52"/>
      <c r="F48" s="52"/>
      <c r="G48" s="52"/>
      <c r="H48" s="52"/>
      <c r="I48" s="52"/>
      <c r="J48" s="52"/>
      <c r="K48" s="52"/>
      <c r="L48" s="52"/>
    </row>
    <row r="49" spans="1:12">
      <c r="A49" t="s">
        <v>284</v>
      </c>
      <c r="B49" s="52">
        <f>'KY_Cost-Plant Acct-Elec-P14(PA)'!B49</f>
        <v>0</v>
      </c>
      <c r="C49" s="52"/>
      <c r="D49" s="52">
        <f>'KY_Cost-Plant Acct-Elec-P14(PA)'!D49</f>
        <v>0</v>
      </c>
      <c r="E49" s="52"/>
      <c r="F49" s="52">
        <f>'KY_Cost-Plant Acct-Elec-P14(PA)'!F49</f>
        <v>0</v>
      </c>
      <c r="G49" s="52"/>
      <c r="H49" s="52">
        <f>'KY_Cost-Plant Acct-Elec-P14(PA)'!H49</f>
        <v>0</v>
      </c>
      <c r="I49" s="52"/>
      <c r="J49" s="52">
        <f>H49+F49+D49</f>
        <v>0</v>
      </c>
      <c r="K49" s="52"/>
      <c r="L49" s="182">
        <f>B49+J49</f>
        <v>0</v>
      </c>
    </row>
    <row r="50" spans="1:12">
      <c r="A50" t="s">
        <v>285</v>
      </c>
      <c r="B50" s="48">
        <f>'KY_Cost-Plant Acct-Elec-P14(PA)'!B50</f>
        <v>0</v>
      </c>
      <c r="C50" s="52"/>
      <c r="D50" s="48">
        <f>'KY_Cost-Plant Acct-Elec-P14(PA)'!D50</f>
        <v>0</v>
      </c>
      <c r="E50" s="52"/>
      <c r="F50" s="48">
        <f>'KY_Cost-Plant Acct-Elec-P14(PA)'!F50</f>
        <v>0</v>
      </c>
      <c r="G50" s="52"/>
      <c r="H50" s="48">
        <f>'KY_Cost-Plant Acct-Elec-P14(PA)'!H50</f>
        <v>0</v>
      </c>
      <c r="I50" s="52"/>
      <c r="J50" s="48">
        <f>H50+F50+D50</f>
        <v>0</v>
      </c>
      <c r="K50" s="52"/>
      <c r="L50" s="48">
        <f>B50+J50</f>
        <v>0</v>
      </c>
    </row>
    <row r="51" spans="1:12">
      <c r="B51" s="52">
        <f>SUM(B49:B50)</f>
        <v>0</v>
      </c>
      <c r="C51" s="52"/>
      <c r="D51" s="52">
        <f>SUM(D49:D50)</f>
        <v>0</v>
      </c>
      <c r="E51" s="52"/>
      <c r="F51" s="52">
        <f>SUM(F49:F50)</f>
        <v>0</v>
      </c>
      <c r="G51" s="52"/>
      <c r="H51" s="52">
        <f>SUM(H49:H50)</f>
        <v>0</v>
      </c>
      <c r="I51" s="52"/>
      <c r="J51" s="52">
        <f>SUM(J49:J50)</f>
        <v>0</v>
      </c>
      <c r="K51" s="52"/>
      <c r="L51" s="52">
        <f>SUM(L49:L50)</f>
        <v>0</v>
      </c>
    </row>
    <row r="52" spans="1:12">
      <c r="B52" s="52"/>
      <c r="C52" s="52"/>
      <c r="D52" s="52"/>
      <c r="E52" s="52"/>
      <c r="F52" s="52"/>
      <c r="G52" s="52"/>
      <c r="H52" s="52"/>
      <c r="I52" s="52"/>
      <c r="J52" s="52"/>
      <c r="K52" s="52"/>
      <c r="L52" s="52"/>
    </row>
    <row r="53" spans="1:12">
      <c r="A53" s="3" t="s">
        <v>811</v>
      </c>
      <c r="B53" s="182"/>
      <c r="C53" s="182"/>
      <c r="D53" s="182"/>
      <c r="E53" s="182"/>
      <c r="F53" s="182"/>
      <c r="G53" s="182"/>
      <c r="H53" s="182"/>
      <c r="I53" s="182"/>
      <c r="J53" s="182"/>
      <c r="K53" s="182"/>
      <c r="L53" s="182"/>
    </row>
    <row r="54" spans="1:12">
      <c r="A54" t="s">
        <v>286</v>
      </c>
      <c r="B54" s="182">
        <f>'KY_Cost-Plant Acct-Elec-P14(PA)'!B54</f>
        <v>0</v>
      </c>
      <c r="C54" s="182"/>
      <c r="D54" s="182">
        <f>'KY_Cost-Plant Acct-Elec-P14(PA)'!D54</f>
        <v>0</v>
      </c>
      <c r="E54" s="182"/>
      <c r="F54" s="182">
        <f>'KY_Cost-Plant Acct-Elec-P14(PA)'!F54</f>
        <v>0</v>
      </c>
      <c r="G54" s="182"/>
      <c r="H54" s="182">
        <f>'KY_Cost-Plant Acct-Elec-P14(PA)'!H54</f>
        <v>0</v>
      </c>
      <c r="I54" s="182"/>
      <c r="J54" s="182">
        <f t="shared" ref="J54:J62" si="6">H54+F54+D54</f>
        <v>0</v>
      </c>
      <c r="K54" s="182"/>
      <c r="L54" s="182">
        <f t="shared" ref="L54:L62" si="7">B54+J54</f>
        <v>0</v>
      </c>
    </row>
    <row r="55" spans="1:12">
      <c r="A55" t="s">
        <v>287</v>
      </c>
      <c r="B55" s="182">
        <f>'KY_Cost-Plant Acct-Elec-P14(PA)'!B55</f>
        <v>-3719097.5700000003</v>
      </c>
      <c r="C55" s="182"/>
      <c r="D55" s="182">
        <f>'KY_Cost-Plant Acct-Elec-P14(PA)'!D55</f>
        <v>0</v>
      </c>
      <c r="E55" s="182"/>
      <c r="F55" s="182">
        <f>'KY_Cost-Plant Acct-Elec-P14(PA)'!F55</f>
        <v>0</v>
      </c>
      <c r="G55" s="182"/>
      <c r="H55" s="182">
        <f>'KY_Cost-Plant Acct-Elec-P14(PA)'!H55</f>
        <v>0</v>
      </c>
      <c r="I55" s="182"/>
      <c r="J55" s="182">
        <f t="shared" si="6"/>
        <v>0</v>
      </c>
      <c r="K55" s="182"/>
      <c r="L55" s="182">
        <f t="shared" si="7"/>
        <v>-3719097.5700000003</v>
      </c>
    </row>
    <row r="56" spans="1:12">
      <c r="A56" t="s">
        <v>288</v>
      </c>
      <c r="B56" s="182">
        <f>'KY_Cost-Plant Acct-Elec-P14(PA)'!B56</f>
        <v>-1908827.0100000002</v>
      </c>
      <c r="C56" s="182"/>
      <c r="D56" s="182">
        <f>'KY_Cost-Plant Acct-Elec-P14(PA)'!D56</f>
        <v>0</v>
      </c>
      <c r="E56" s="182"/>
      <c r="F56" s="182">
        <f>'KY_Cost-Plant Acct-Elec-P14(PA)'!F56</f>
        <v>0</v>
      </c>
      <c r="G56" s="182"/>
      <c r="H56" s="182">
        <f>'KY_Cost-Plant Acct-Elec-P14(PA)'!H56</f>
        <v>0</v>
      </c>
      <c r="I56" s="182"/>
      <c r="J56" s="182">
        <f t="shared" si="6"/>
        <v>0</v>
      </c>
      <c r="K56" s="182"/>
      <c r="L56" s="182">
        <f t="shared" si="7"/>
        <v>-1908827.0100000002</v>
      </c>
    </row>
    <row r="57" spans="1:12">
      <c r="A57" t="s">
        <v>289</v>
      </c>
      <c r="B57" s="182">
        <f>'KY_Cost-Plant Acct-Elec-P14(PA)'!B57</f>
        <v>-31887984.409999996</v>
      </c>
      <c r="C57" s="182"/>
      <c r="D57" s="182">
        <f>'KY_Cost-Plant Acct-Elec-P14(PA)'!D57</f>
        <v>0</v>
      </c>
      <c r="E57" s="182"/>
      <c r="F57" s="182">
        <f>'KY_Cost-Plant Acct-Elec-P14(PA)'!F57</f>
        <v>194624.59</v>
      </c>
      <c r="G57" s="182"/>
      <c r="H57" s="182">
        <f>'KY_Cost-Plant Acct-Elec-P14(PA)'!H57</f>
        <v>0</v>
      </c>
      <c r="I57" s="182"/>
      <c r="J57" s="182">
        <f t="shared" si="6"/>
        <v>194624.59</v>
      </c>
      <c r="K57" s="182"/>
      <c r="L57" s="182">
        <f t="shared" si="7"/>
        <v>-31693359.819999997</v>
      </c>
    </row>
    <row r="58" spans="1:12">
      <c r="A58" t="s">
        <v>290</v>
      </c>
      <c r="B58" s="182">
        <f>'KY_Cost-Plant Acct-Elec-P14(PA)'!B58</f>
        <v>-14712192.33</v>
      </c>
      <c r="C58" s="182"/>
      <c r="D58" s="182">
        <f>'KY_Cost-Plant Acct-Elec-P14(PA)'!D58</f>
        <v>0</v>
      </c>
      <c r="E58" s="182"/>
      <c r="F58" s="182">
        <f>'KY_Cost-Plant Acct-Elec-P14(PA)'!F58</f>
        <v>0</v>
      </c>
      <c r="G58" s="182"/>
      <c r="H58" s="182">
        <f>'KY_Cost-Plant Acct-Elec-P14(PA)'!H58</f>
        <v>0</v>
      </c>
      <c r="I58" s="182"/>
      <c r="J58" s="182">
        <f t="shared" si="6"/>
        <v>0</v>
      </c>
      <c r="K58" s="182"/>
      <c r="L58" s="182">
        <f t="shared" si="7"/>
        <v>-14712192.33</v>
      </c>
    </row>
    <row r="59" spans="1:12">
      <c r="A59" t="s">
        <v>291</v>
      </c>
      <c r="B59" s="182">
        <f>'KY_Cost-Plant Acct-Elec-P14(PA)'!B59</f>
        <v>-5269689.1400000006</v>
      </c>
      <c r="C59" s="182"/>
      <c r="D59" s="182">
        <f>'KY_Cost-Plant Acct-Elec-P14(PA)'!D59</f>
        <v>0</v>
      </c>
      <c r="E59" s="182"/>
      <c r="F59" s="182">
        <f>'KY_Cost-Plant Acct-Elec-P14(PA)'!F59</f>
        <v>0</v>
      </c>
      <c r="G59" s="182"/>
      <c r="H59" s="182">
        <f>'KY_Cost-Plant Acct-Elec-P14(PA)'!H59</f>
        <v>0</v>
      </c>
      <c r="I59" s="182"/>
      <c r="J59" s="182">
        <f t="shared" si="6"/>
        <v>0</v>
      </c>
      <c r="K59" s="182"/>
      <c r="L59" s="182">
        <f t="shared" si="7"/>
        <v>-5269689.1400000006</v>
      </c>
    </row>
    <row r="60" spans="1:12">
      <c r="A60" t="s">
        <v>292</v>
      </c>
      <c r="B60" s="182">
        <f>'KY_Cost-Plant Acct-Elec-P14(PA)'!B60</f>
        <v>-1146655.4399999997</v>
      </c>
      <c r="C60" s="182"/>
      <c r="D60" s="182">
        <f>'KY_Cost-Plant Acct-Elec-P14(PA)'!D60</f>
        <v>0</v>
      </c>
      <c r="E60" s="182"/>
      <c r="F60" s="182">
        <f>'KY_Cost-Plant Acct-Elec-P14(PA)'!F60</f>
        <v>0</v>
      </c>
      <c r="G60" s="182"/>
      <c r="H60" s="182">
        <f>'KY_Cost-Plant Acct-Elec-P14(PA)'!H60</f>
        <v>0</v>
      </c>
      <c r="I60" s="182"/>
      <c r="J60" s="182">
        <f t="shared" si="6"/>
        <v>0</v>
      </c>
      <c r="K60" s="182"/>
      <c r="L60" s="182">
        <f t="shared" si="7"/>
        <v>-1146655.4399999997</v>
      </c>
    </row>
    <row r="61" spans="1:12">
      <c r="A61" t="s">
        <v>293</v>
      </c>
      <c r="B61" s="182">
        <f>'KY_Cost-Plant Acct-Elec-P14(PA)'!B61</f>
        <v>0</v>
      </c>
      <c r="C61" s="182"/>
      <c r="D61" s="182">
        <f>'KY_Cost-Plant Acct-Elec-P14(PA)'!D61</f>
        <v>0</v>
      </c>
      <c r="E61" s="182"/>
      <c r="F61" s="182">
        <f>'KY_Cost-Plant Acct-Elec-P14(PA)'!F61</f>
        <v>0</v>
      </c>
      <c r="G61" s="182"/>
      <c r="H61" s="182">
        <f>'KY_Cost-Plant Acct-Elec-P14(PA)'!H61</f>
        <v>0</v>
      </c>
      <c r="I61" s="182"/>
      <c r="J61" s="182">
        <f t="shared" si="6"/>
        <v>0</v>
      </c>
      <c r="K61" s="182"/>
      <c r="L61" s="182">
        <f t="shared" si="7"/>
        <v>0</v>
      </c>
    </row>
    <row r="62" spans="1:12">
      <c r="A62" t="s">
        <v>294</v>
      </c>
      <c r="B62" s="48">
        <f>'KY_Cost-Plant Acct-Elec-P14(PA)'!B62</f>
        <v>0</v>
      </c>
      <c r="C62" s="182"/>
      <c r="D62" s="48">
        <f>'KY_Cost-Plant Acct-Elec-P14(PA)'!D62</f>
        <v>0</v>
      </c>
      <c r="E62" s="182"/>
      <c r="F62" s="48">
        <f>'KY_Cost-Plant Acct-Elec-P14(PA)'!F62</f>
        <v>0</v>
      </c>
      <c r="G62" s="182"/>
      <c r="H62" s="48">
        <f>'KY_Cost-Plant Acct-Elec-P14(PA)'!H62</f>
        <v>0</v>
      </c>
      <c r="I62" s="182"/>
      <c r="J62" s="48">
        <f t="shared" si="6"/>
        <v>0</v>
      </c>
      <c r="K62" s="52"/>
      <c r="L62" s="48">
        <f t="shared" si="7"/>
        <v>0</v>
      </c>
    </row>
    <row r="63" spans="1:12">
      <c r="B63" s="52">
        <f>SUM(B54:B62)</f>
        <v>-58644445.899999991</v>
      </c>
      <c r="C63" s="52"/>
      <c r="D63" s="52">
        <f>SUM(D54:D62)</f>
        <v>0</v>
      </c>
      <c r="E63" s="52"/>
      <c r="F63" s="52">
        <f>SUM(F54:F62)</f>
        <v>194624.59</v>
      </c>
      <c r="G63" s="52"/>
      <c r="H63" s="52">
        <f>SUM(H54:H62)</f>
        <v>0</v>
      </c>
      <c r="I63" s="52"/>
      <c r="J63" s="52">
        <f>SUM(J54:J62)</f>
        <v>194624.59</v>
      </c>
      <c r="K63" s="52"/>
      <c r="L63" s="52">
        <f>SUM(L54:L62)</f>
        <v>-58449821.309999995</v>
      </c>
    </row>
    <row r="64" spans="1:12">
      <c r="B64" s="52"/>
      <c r="C64" s="52"/>
      <c r="D64" s="52"/>
      <c r="E64" s="52"/>
      <c r="F64" s="52"/>
      <c r="G64" s="52"/>
      <c r="H64" s="52"/>
      <c r="I64" s="52"/>
      <c r="J64" s="52"/>
      <c r="K64" s="52"/>
      <c r="L64" s="52"/>
    </row>
    <row r="65" spans="1:12">
      <c r="A65" s="3" t="s">
        <v>812</v>
      </c>
      <c r="B65" s="65"/>
      <c r="C65" s="52"/>
      <c r="D65" s="52"/>
      <c r="E65" s="52"/>
      <c r="F65" s="52"/>
      <c r="G65" s="52"/>
      <c r="H65" s="52"/>
      <c r="I65" s="52"/>
      <c r="J65" s="52"/>
      <c r="K65" s="52"/>
      <c r="L65" s="52"/>
    </row>
    <row r="66" spans="1:12">
      <c r="A66" t="s">
        <v>295</v>
      </c>
      <c r="B66" s="65">
        <f>'KY_Cost-Plant Acct-Elec-P14(PA)'!B66</f>
        <v>0</v>
      </c>
      <c r="C66" s="52"/>
      <c r="D66" s="65">
        <f>'KY_Cost-Plant Acct-Elec-P14(PA)'!D66</f>
        <v>0</v>
      </c>
      <c r="E66" s="52"/>
      <c r="F66" s="65">
        <f>'KY_Cost-Plant Acct-Elec-P14(PA)'!F66</f>
        <v>0</v>
      </c>
      <c r="G66" s="52"/>
      <c r="H66" s="65">
        <f>'KY_Cost-Plant Acct-Elec-P14(PA)'!H66</f>
        <v>0</v>
      </c>
      <c r="I66" s="52"/>
      <c r="J66" s="52">
        <f t="shared" ref="J66:J75" si="8">H66+F66+D66</f>
        <v>0</v>
      </c>
      <c r="K66" s="52"/>
      <c r="L66" s="182">
        <f t="shared" ref="L66:L75" si="9">B66+J66</f>
        <v>0</v>
      </c>
    </row>
    <row r="67" spans="1:12">
      <c r="A67" t="s">
        <v>832</v>
      </c>
      <c r="B67" s="65">
        <f>'KY_Cost-Plant Acct-Elec-P14(PA)'!B68+'Capital Leased Prop P25 (PA)'!B10</f>
        <v>-181726095.94000003</v>
      </c>
      <c r="C67" s="52"/>
      <c r="D67" s="65">
        <f>'KY_Cost-Plant Acct-Elec-P14(PA)'!D68+'Capital Leased Prop P25 (PA)'!D10</f>
        <v>0</v>
      </c>
      <c r="E67" s="52"/>
      <c r="F67" s="65">
        <f>'KY_Cost-Plant Acct-Elec-P14(PA)'!F68+'Capital Leased Prop P25 (PA)'!F10</f>
        <v>49120.57</v>
      </c>
      <c r="G67" s="52"/>
      <c r="H67" s="65">
        <f>'KY_Cost-Plant Acct-Elec-P14(PA)'!H68+'Capital Leased Prop P25 (PA)'!H10</f>
        <v>0</v>
      </c>
      <c r="I67" s="52"/>
      <c r="J67" s="52">
        <f t="shared" si="8"/>
        <v>49120.57</v>
      </c>
      <c r="K67" s="52"/>
      <c r="L67" s="182">
        <f t="shared" si="9"/>
        <v>-181676975.37000003</v>
      </c>
    </row>
    <row r="68" spans="1:12">
      <c r="A68" t="s">
        <v>833</v>
      </c>
      <c r="B68" s="65">
        <f>'KY_Cost-Plant Acct-Elec-P14(PA)'!B69</f>
        <v>-8229798.5499999998</v>
      </c>
      <c r="C68" s="52"/>
      <c r="D68" s="65">
        <f>'KY_Cost-Plant Acct-Elec-P14(PA)'!D69</f>
        <v>0</v>
      </c>
      <c r="E68" s="52"/>
      <c r="F68" s="65">
        <f>'KY_Cost-Plant Acct-Elec-P14(PA)'!F69</f>
        <v>0</v>
      </c>
      <c r="G68" s="52"/>
      <c r="H68" s="65">
        <f>'KY_Cost-Plant Acct-Elec-P14(PA)'!H69</f>
        <v>0</v>
      </c>
      <c r="I68" s="52"/>
      <c r="J68" s="52">
        <f t="shared" si="8"/>
        <v>0</v>
      </c>
      <c r="K68" s="52"/>
      <c r="L68" s="182">
        <f t="shared" si="9"/>
        <v>-8229798.5499999998</v>
      </c>
    </row>
    <row r="69" spans="1:12">
      <c r="A69" t="s">
        <v>834</v>
      </c>
      <c r="B69" s="65">
        <f>'KY_Cost-Plant Acct-Elec-P14(PA)'!B70</f>
        <v>-586194103.17000008</v>
      </c>
      <c r="C69" s="52"/>
      <c r="D69" s="65">
        <f>'KY_Cost-Plant Acct-Elec-P14(PA)'!D70</f>
        <v>0</v>
      </c>
      <c r="E69" s="52"/>
      <c r="F69" s="65">
        <f>'KY_Cost-Plant Acct-Elec-P14(PA)'!F70</f>
        <v>-230155.0300000002</v>
      </c>
      <c r="G69" s="52"/>
      <c r="H69" s="65">
        <f>'KY_Cost-Plant Acct-Elec-P14(PA)'!H70</f>
        <v>0</v>
      </c>
      <c r="I69" s="52"/>
      <c r="J69" s="52">
        <f t="shared" si="8"/>
        <v>-230155.0300000002</v>
      </c>
      <c r="K69" s="52"/>
      <c r="L69" s="182">
        <f t="shared" si="9"/>
        <v>-586424258.20000005</v>
      </c>
    </row>
    <row r="70" spans="1:12">
      <c r="A70" t="s">
        <v>835</v>
      </c>
      <c r="B70" s="65">
        <f>'KY_Cost-Plant Acct-Elec-P14(PA)'!B71</f>
        <v>-568669.44999999995</v>
      </c>
      <c r="C70" s="52"/>
      <c r="D70" s="65">
        <f>'KY_Cost-Plant Acct-Elec-P14(PA)'!D71</f>
        <v>0</v>
      </c>
      <c r="E70" s="52"/>
      <c r="F70" s="65">
        <f>'KY_Cost-Plant Acct-Elec-P14(PA)'!F71</f>
        <v>0</v>
      </c>
      <c r="G70" s="52"/>
      <c r="H70" s="65">
        <f>'KY_Cost-Plant Acct-Elec-P14(PA)'!H71</f>
        <v>0</v>
      </c>
      <c r="I70" s="52"/>
      <c r="J70" s="52">
        <f t="shared" si="8"/>
        <v>0</v>
      </c>
      <c r="K70" s="52"/>
      <c r="L70" s="182">
        <f t="shared" si="9"/>
        <v>-568669.44999999995</v>
      </c>
    </row>
    <row r="71" spans="1:12">
      <c r="A71" t="s">
        <v>836</v>
      </c>
      <c r="B71" s="52">
        <f>'KY_Cost-Plant Acct-Elec-P14(PA)'!B72</f>
        <v>-116550878.17999999</v>
      </c>
      <c r="C71" s="52"/>
      <c r="D71" s="52">
        <f>'KY_Cost-Plant Acct-Elec-P14(PA)'!D72</f>
        <v>0</v>
      </c>
      <c r="E71" s="52"/>
      <c r="F71" s="52">
        <f>'KY_Cost-Plant Acct-Elec-P14(PA)'!F72</f>
        <v>133263.56000000006</v>
      </c>
      <c r="G71" s="52"/>
      <c r="H71" s="52">
        <f>'KY_Cost-Plant Acct-Elec-P14(PA)'!H72</f>
        <v>0</v>
      </c>
      <c r="I71" s="52"/>
      <c r="J71" s="52">
        <f t="shared" si="8"/>
        <v>133263.56000000006</v>
      </c>
      <c r="K71" s="52"/>
      <c r="L71" s="182">
        <f t="shared" si="9"/>
        <v>-116417614.61999999</v>
      </c>
    </row>
    <row r="72" spans="1:12">
      <c r="A72" t="s">
        <v>837</v>
      </c>
      <c r="B72" s="52">
        <f>'KY_Cost-Plant Acct-Elec-P14(PA)'!B73</f>
        <v>-109748429.26000001</v>
      </c>
      <c r="C72" s="52"/>
      <c r="D72" s="52">
        <f>'KY_Cost-Plant Acct-Elec-P14(PA)'!D73</f>
        <v>-16378.43</v>
      </c>
      <c r="E72" s="52"/>
      <c r="F72" s="52">
        <f>'KY_Cost-Plant Acct-Elec-P14(PA)'!F73</f>
        <v>12536.799999999988</v>
      </c>
      <c r="G72" s="52"/>
      <c r="H72" s="52">
        <f>'KY_Cost-Plant Acct-Elec-P14(PA)'!H73</f>
        <v>0</v>
      </c>
      <c r="I72" s="52"/>
      <c r="J72" s="52">
        <f t="shared" si="8"/>
        <v>-3841.6300000000119</v>
      </c>
      <c r="K72" s="52"/>
      <c r="L72" s="182">
        <f t="shared" si="9"/>
        <v>-109752270.89</v>
      </c>
    </row>
    <row r="73" spans="1:12">
      <c r="A73" t="s">
        <v>1024</v>
      </c>
      <c r="B73" s="52">
        <f>'KY_Cost-Plant Acct-Elec-P14(PA)'!B74</f>
        <v>0</v>
      </c>
      <c r="C73" s="52"/>
      <c r="D73" s="52">
        <f>'KY_Cost-Plant Acct-Elec-P14(PA)'!D74</f>
        <v>0</v>
      </c>
      <c r="E73" s="52"/>
      <c r="F73" s="52">
        <f>'KY_Cost-Plant Acct-Elec-P14(PA)'!F74</f>
        <v>0</v>
      </c>
      <c r="G73" s="52"/>
      <c r="H73" s="52">
        <f>'KY_Cost-Plant Acct-Elec-P14(PA)'!H74</f>
        <v>0</v>
      </c>
      <c r="I73" s="52"/>
      <c r="J73" s="52">
        <f t="shared" si="8"/>
        <v>0</v>
      </c>
      <c r="K73" s="52"/>
      <c r="L73" s="182">
        <f t="shared" si="9"/>
        <v>0</v>
      </c>
    </row>
    <row r="74" spans="1:12">
      <c r="A74" t="s">
        <v>838</v>
      </c>
      <c r="B74" s="52">
        <f>'KY_Cost-Plant Acct-Elec-P14(PA)'!B75</f>
        <v>-5302444.4000000004</v>
      </c>
      <c r="C74" s="52"/>
      <c r="D74" s="52">
        <f>'KY_Cost-Plant Acct-Elec-P14(PA)'!D75</f>
        <v>0</v>
      </c>
      <c r="E74" s="52"/>
      <c r="F74" s="52">
        <f>'KY_Cost-Plant Acct-Elec-P14(PA)'!F75</f>
        <v>0</v>
      </c>
      <c r="G74" s="52"/>
      <c r="H74" s="52">
        <f>'KY_Cost-Plant Acct-Elec-P14(PA)'!H75</f>
        <v>0</v>
      </c>
      <c r="I74" s="52"/>
      <c r="J74" s="52">
        <f t="shared" si="8"/>
        <v>0</v>
      </c>
      <c r="K74" s="52"/>
      <c r="L74" s="182">
        <f t="shared" si="9"/>
        <v>-5302444.4000000004</v>
      </c>
    </row>
    <row r="75" spans="1:12">
      <c r="A75" t="s">
        <v>839</v>
      </c>
      <c r="B75" s="48">
        <f>'KY_Cost-Plant Acct-Elec-P14(PA)'!B76</f>
        <v>0</v>
      </c>
      <c r="C75" s="52"/>
      <c r="D75" s="48">
        <f>'KY_Cost-Plant Acct-Elec-P14(PA)'!D76</f>
        <v>0</v>
      </c>
      <c r="E75" s="52"/>
      <c r="F75" s="48">
        <f>'KY_Cost-Plant Acct-Elec-P14(PA)'!F76</f>
        <v>0</v>
      </c>
      <c r="G75" s="52"/>
      <c r="H75" s="48">
        <f>'KY_Cost-Plant Acct-Elec-P14(PA)'!H76</f>
        <v>0</v>
      </c>
      <c r="I75" s="52"/>
      <c r="J75" s="48">
        <f t="shared" si="8"/>
        <v>0</v>
      </c>
      <c r="K75" s="52"/>
      <c r="L75" s="48">
        <f t="shared" si="9"/>
        <v>0</v>
      </c>
    </row>
    <row r="76" spans="1:12">
      <c r="B76" s="52">
        <f>SUM(B66:B75)</f>
        <v>-1008320418.95</v>
      </c>
      <c r="C76" s="52"/>
      <c r="D76" s="52">
        <f>SUM(D66:D75)</f>
        <v>-16378.43</v>
      </c>
      <c r="E76" s="52"/>
      <c r="F76" s="52">
        <f>SUM(F66:F75)</f>
        <v>-35234.100000000151</v>
      </c>
      <c r="G76" s="52"/>
      <c r="H76" s="52">
        <f>SUM(H66:H75)</f>
        <v>0</v>
      </c>
      <c r="I76" s="52"/>
      <c r="J76" s="52">
        <f>SUM(J66:J75)</f>
        <v>-51612.530000000152</v>
      </c>
      <c r="K76" s="52"/>
      <c r="L76" s="52">
        <f>SUM(L66:L75)</f>
        <v>-1008372031.4800001</v>
      </c>
    </row>
    <row r="77" spans="1:12">
      <c r="B77" s="52"/>
      <c r="C77" s="52"/>
      <c r="D77" s="52"/>
      <c r="E77" s="52"/>
      <c r="F77" s="52"/>
      <c r="G77" s="52"/>
      <c r="H77" s="52"/>
      <c r="I77" s="52"/>
      <c r="J77" s="52"/>
      <c r="K77" s="52"/>
      <c r="L77" s="52"/>
    </row>
    <row r="78" spans="1:12">
      <c r="A78" s="3" t="s">
        <v>119</v>
      </c>
      <c r="B78" s="52"/>
      <c r="C78" s="52"/>
      <c r="D78" s="52"/>
      <c r="E78" s="52"/>
      <c r="F78" s="52"/>
      <c r="G78" s="52"/>
      <c r="H78" s="52"/>
      <c r="I78" s="52"/>
      <c r="J78" s="52"/>
      <c r="K78" s="52"/>
      <c r="L78" s="52"/>
    </row>
    <row r="79" spans="1:12">
      <c r="A79" t="s">
        <v>5</v>
      </c>
      <c r="B79" s="52">
        <f>'KY_Cost-Plant Acct-Elec-P14(PA)'!B80+'IN_Cost-Plant Acct-Elec-P16(PA)'!B11</f>
        <v>-1916046</v>
      </c>
      <c r="C79" s="52"/>
      <c r="D79" s="52">
        <f>'KY_Cost-Plant Acct-Elec-P14(PA)'!D80+'IN_Cost-Plant Acct-Elec-P16(PA)'!D11</f>
        <v>0</v>
      </c>
      <c r="E79" s="52"/>
      <c r="F79" s="52">
        <f>'KY_Cost-Plant Acct-Elec-P14(PA)'!F80+'IN_Cost-Plant Acct-Elec-P16(PA)'!F11</f>
        <v>0</v>
      </c>
      <c r="G79" s="52"/>
      <c r="H79" s="52">
        <f>'KY_Cost-Plant Acct-Elec-P14(PA)'!H80+'IN_Cost-Plant Acct-Elec-P16(PA)'!H11</f>
        <v>0</v>
      </c>
      <c r="I79" s="52"/>
      <c r="J79" s="52">
        <f t="shared" ref="J79:J90" si="10">H79+F79+D79</f>
        <v>0</v>
      </c>
      <c r="K79" s="52"/>
      <c r="L79" s="182">
        <f t="shared" ref="L79:L90" si="11">B79+J79</f>
        <v>-1916046</v>
      </c>
    </row>
    <row r="80" spans="1:12">
      <c r="A80" t="s">
        <v>6</v>
      </c>
      <c r="B80" s="52">
        <f>'KY_Cost-Plant Acct-Elec-P14(PA)'!B81+'IN_Cost-Plant Acct-Elec-P16(PA)'!B12</f>
        <v>0</v>
      </c>
      <c r="C80" s="52"/>
      <c r="D80" s="52">
        <f>'KY_Cost-Plant Acct-Elec-P14(PA)'!D81+'IN_Cost-Plant Acct-Elec-P16(PA)'!D12</f>
        <v>0</v>
      </c>
      <c r="E80" s="52"/>
      <c r="F80" s="52">
        <f>'KY_Cost-Plant Acct-Elec-P14(PA)'!F81+'IN_Cost-Plant Acct-Elec-P16(PA)'!F12</f>
        <v>0</v>
      </c>
      <c r="G80" s="52"/>
      <c r="H80" s="52">
        <f>'KY_Cost-Plant Acct-Elec-P14(PA)'!H81+'IN_Cost-Plant Acct-Elec-P16(PA)'!H12</f>
        <v>0</v>
      </c>
      <c r="I80" s="52"/>
      <c r="J80" s="52">
        <f t="shared" si="10"/>
        <v>0</v>
      </c>
      <c r="K80" s="52"/>
      <c r="L80" s="182">
        <f t="shared" si="11"/>
        <v>0</v>
      </c>
    </row>
    <row r="81" spans="1:12">
      <c r="A81" t="s">
        <v>7</v>
      </c>
      <c r="B81" s="52">
        <f>'KY_Cost-Plant Acct-Elec-P14(PA)'!B82+'IN_Cost-Plant Acct-Elec-P16(PA)'!B13</f>
        <v>-1241346.8399999999</v>
      </c>
      <c r="C81" s="52"/>
      <c r="D81" s="52">
        <f>'KY_Cost-Plant Acct-Elec-P14(PA)'!D82+'IN_Cost-Plant Acct-Elec-P16(PA)'!D13</f>
        <v>0</v>
      </c>
      <c r="E81" s="52"/>
      <c r="F81" s="52">
        <f>'KY_Cost-Plant Acct-Elec-P14(PA)'!F82+'IN_Cost-Plant Acct-Elec-P16(PA)'!F13</f>
        <v>0</v>
      </c>
      <c r="G81" s="52"/>
      <c r="H81" s="52">
        <f>'KY_Cost-Plant Acct-Elec-P14(PA)'!H82+'IN_Cost-Plant Acct-Elec-P16(PA)'!H13</f>
        <v>0</v>
      </c>
      <c r="I81" s="52"/>
      <c r="J81" s="52">
        <f t="shared" si="10"/>
        <v>0</v>
      </c>
      <c r="K81" s="52"/>
      <c r="L81" s="182">
        <f t="shared" si="11"/>
        <v>-1241346.8399999999</v>
      </c>
    </row>
    <row r="82" spans="1:12">
      <c r="A82" t="s">
        <v>8</v>
      </c>
      <c r="B82" s="52">
        <f>'KY_Cost-Plant Acct-Elec-P14(PA)'!B83+'IN_Cost-Plant Acct-Elec-P16(PA)'!B14</f>
        <v>-69058205.019999996</v>
      </c>
      <c r="C82" s="52"/>
      <c r="D82" s="52">
        <f>'KY_Cost-Plant Acct-Elec-P14(PA)'!D83+'IN_Cost-Plant Acct-Elec-P16(PA)'!D14</f>
        <v>0</v>
      </c>
      <c r="E82" s="52"/>
      <c r="F82" s="52">
        <f>'KY_Cost-Plant Acct-Elec-P14(PA)'!F83+'IN_Cost-Plant Acct-Elec-P16(PA)'!F14</f>
        <v>716300.49</v>
      </c>
      <c r="G82" s="52"/>
      <c r="H82" s="52">
        <f>'KY_Cost-Plant Acct-Elec-P14(PA)'!H83+'IN_Cost-Plant Acct-Elec-P16(PA)'!H14</f>
        <v>0</v>
      </c>
      <c r="I82" s="52"/>
      <c r="J82" s="52">
        <f t="shared" si="10"/>
        <v>716300.49</v>
      </c>
      <c r="K82" s="52"/>
      <c r="L82" s="182">
        <f t="shared" si="11"/>
        <v>-68341904.530000001</v>
      </c>
    </row>
    <row r="83" spans="1:12">
      <c r="A83" t="s">
        <v>840</v>
      </c>
      <c r="B83" s="52">
        <f>'KY_Cost-Plant Acct-Elec-P14(PA)'!B84</f>
        <v>-5748.1100000000006</v>
      </c>
      <c r="C83" s="52"/>
      <c r="D83" s="52">
        <f>'KY_Cost-Plant Acct-Elec-P14(PA)'!D84</f>
        <v>0</v>
      </c>
      <c r="E83" s="52"/>
      <c r="F83" s="52">
        <f>'KY_Cost-Plant Acct-Elec-P14(PA)'!F84</f>
        <v>0</v>
      </c>
      <c r="G83" s="52"/>
      <c r="H83" s="52">
        <f>'KY_Cost-Plant Acct-Elec-P14(PA)'!H84</f>
        <v>0</v>
      </c>
      <c r="I83" s="52"/>
      <c r="J83" s="52">
        <f t="shared" si="10"/>
        <v>0</v>
      </c>
      <c r="K83" s="52"/>
      <c r="L83" s="182">
        <f t="shared" si="11"/>
        <v>-5748.1100000000006</v>
      </c>
    </row>
    <row r="84" spans="1:12">
      <c r="A84" t="s">
        <v>9</v>
      </c>
      <c r="B84" s="52">
        <f>'KY_Cost-Plant Acct-Elec-P14(PA)'!B85+'IN_Cost-Plant Acct-Elec-P16(PA)'!B15</f>
        <v>-14295642.57</v>
      </c>
      <c r="C84" s="52"/>
      <c r="D84" s="52">
        <f>'KY_Cost-Plant Acct-Elec-P14(PA)'!D85+'IN_Cost-Plant Acct-Elec-P16(PA)'!D15</f>
        <v>0</v>
      </c>
      <c r="E84" s="52"/>
      <c r="F84" s="52">
        <f>'KY_Cost-Plant Acct-Elec-P14(PA)'!F85+'IN_Cost-Plant Acct-Elec-P16(PA)'!F15</f>
        <v>91852.77</v>
      </c>
      <c r="G84" s="52"/>
      <c r="H84" s="52">
        <f>'KY_Cost-Plant Acct-Elec-P14(PA)'!H85+'IN_Cost-Plant Acct-Elec-P16(PA)'!H15</f>
        <v>0</v>
      </c>
      <c r="I84" s="52"/>
      <c r="J84" s="52">
        <f t="shared" si="10"/>
        <v>91852.77</v>
      </c>
      <c r="K84" s="52"/>
      <c r="L84" s="182">
        <f t="shared" si="11"/>
        <v>-14203789.800000001</v>
      </c>
    </row>
    <row r="85" spans="1:12">
      <c r="A85" t="s">
        <v>10</v>
      </c>
      <c r="B85" s="52">
        <f>'KY_Cost-Plant Acct-Elec-P14(PA)'!B86+'IN_Cost-Plant Acct-Elec-P16(PA)'!B16</f>
        <v>-12902191.32</v>
      </c>
      <c r="C85" s="52"/>
      <c r="D85" s="52">
        <f>'KY_Cost-Plant Acct-Elec-P14(PA)'!D86+'IN_Cost-Plant Acct-Elec-P16(PA)'!D16</f>
        <v>0</v>
      </c>
      <c r="E85" s="52"/>
      <c r="F85" s="52">
        <f>'KY_Cost-Plant Acct-Elec-P14(PA)'!F86+'IN_Cost-Plant Acct-Elec-P16(PA)'!F16</f>
        <v>9477.98</v>
      </c>
      <c r="G85" s="52"/>
      <c r="H85" s="52">
        <f>'KY_Cost-Plant Acct-Elec-P14(PA)'!H86+'IN_Cost-Plant Acct-Elec-P16(PA)'!H16</f>
        <v>0</v>
      </c>
      <c r="I85" s="52"/>
      <c r="J85" s="52">
        <f t="shared" si="10"/>
        <v>9477.98</v>
      </c>
      <c r="K85" s="52"/>
      <c r="L85" s="182">
        <f t="shared" si="11"/>
        <v>-12892713.34</v>
      </c>
    </row>
    <row r="86" spans="1:12">
      <c r="A86" t="s">
        <v>11</v>
      </c>
      <c r="B86" s="52">
        <f>'KY_Cost-Plant Acct-Elec-P14(PA)'!B87+'IN_Cost-Plant Acct-Elec-P16(PA)'!B17</f>
        <v>-15436663.870000001</v>
      </c>
      <c r="C86" s="52"/>
      <c r="D86" s="52">
        <f>'KY_Cost-Plant Acct-Elec-P14(PA)'!D87+'IN_Cost-Plant Acct-Elec-P16(PA)'!D17</f>
        <v>0</v>
      </c>
      <c r="E86" s="52"/>
      <c r="F86" s="52">
        <f>'KY_Cost-Plant Acct-Elec-P14(PA)'!F87+'IN_Cost-Plant Acct-Elec-P16(PA)'!F17</f>
        <v>22038.629999999997</v>
      </c>
      <c r="G86" s="52"/>
      <c r="H86" s="52">
        <f>'KY_Cost-Plant Acct-Elec-P14(PA)'!H87+'IN_Cost-Plant Acct-Elec-P16(PA)'!H17</f>
        <v>0</v>
      </c>
      <c r="I86" s="52"/>
      <c r="J86" s="52">
        <f t="shared" si="10"/>
        <v>22038.629999999997</v>
      </c>
      <c r="K86" s="52"/>
      <c r="L86" s="182">
        <f t="shared" si="11"/>
        <v>-15414625.24</v>
      </c>
    </row>
    <row r="87" spans="1:12">
      <c r="A87" t="s">
        <v>841</v>
      </c>
      <c r="B87" s="52">
        <f>'KY_Cost-Plant Acct-Elec-P14(PA)'!B88</f>
        <v>-566038.14</v>
      </c>
      <c r="C87" s="52"/>
      <c r="D87" s="52">
        <f>'KY_Cost-Plant Acct-Elec-P14(PA)'!D88</f>
        <v>0</v>
      </c>
      <c r="E87" s="52"/>
      <c r="F87" s="52">
        <f>'KY_Cost-Plant Acct-Elec-P14(PA)'!F88</f>
        <v>138218.09</v>
      </c>
      <c r="G87" s="52"/>
      <c r="H87" s="52">
        <f>'KY_Cost-Plant Acct-Elec-P14(PA)'!H88</f>
        <v>0</v>
      </c>
      <c r="I87" s="52"/>
      <c r="J87" s="52">
        <f t="shared" si="10"/>
        <v>138218.09</v>
      </c>
      <c r="K87" s="52"/>
      <c r="L87" s="182">
        <f t="shared" si="11"/>
        <v>-427820.05000000005</v>
      </c>
    </row>
    <row r="88" spans="1:12">
      <c r="A88" t="s">
        <v>842</v>
      </c>
      <c r="B88" s="52">
        <f>'KY_Cost-Plant Acct-Elec-P14(PA)'!B89</f>
        <v>-1971326.56</v>
      </c>
      <c r="C88" s="52"/>
      <c r="D88" s="52">
        <f>'KY_Cost-Plant Acct-Elec-P14(PA)'!D89</f>
        <v>0</v>
      </c>
      <c r="E88" s="52"/>
      <c r="F88" s="52">
        <f>'KY_Cost-Plant Acct-Elec-P14(PA)'!F89</f>
        <v>189371.47999999998</v>
      </c>
      <c r="G88" s="52"/>
      <c r="H88" s="52">
        <f>'KY_Cost-Plant Acct-Elec-P14(PA)'!H89</f>
        <v>0</v>
      </c>
      <c r="I88" s="52"/>
      <c r="J88" s="52">
        <f t="shared" si="10"/>
        <v>189371.47999999998</v>
      </c>
      <c r="K88" s="52"/>
      <c r="L88" s="182">
        <f t="shared" si="11"/>
        <v>-1781955.08</v>
      </c>
    </row>
    <row r="89" spans="1:12">
      <c r="A89" t="s">
        <v>843</v>
      </c>
      <c r="B89" s="52">
        <f>'KY_Cost-Plant Acct-Elec-P14(PA)'!B90</f>
        <v>0</v>
      </c>
      <c r="C89" s="52"/>
      <c r="D89" s="52">
        <f>'KY_Cost-Plant Acct-Elec-P14(PA)'!D90</f>
        <v>0</v>
      </c>
      <c r="E89" s="52"/>
      <c r="F89" s="52">
        <f>'KY_Cost-Plant Acct-Elec-P14(PA)'!F90</f>
        <v>0</v>
      </c>
      <c r="G89" s="52"/>
      <c r="H89" s="52">
        <f>'KY_Cost-Plant Acct-Elec-P14(PA)'!H90</f>
        <v>0</v>
      </c>
      <c r="I89" s="52"/>
      <c r="J89" s="52">
        <f t="shared" si="10"/>
        <v>0</v>
      </c>
      <c r="K89" s="52"/>
      <c r="L89" s="182">
        <f t="shared" si="11"/>
        <v>0</v>
      </c>
    </row>
    <row r="90" spans="1:12">
      <c r="A90" t="s">
        <v>844</v>
      </c>
      <c r="B90" s="48">
        <f>'KY_Cost-Plant Acct-Elec-P14(PA)'!B91</f>
        <v>0</v>
      </c>
      <c r="C90" s="52"/>
      <c r="D90" s="48">
        <f>'KY_Cost-Plant Acct-Elec-P14(PA)'!D91</f>
        <v>0</v>
      </c>
      <c r="E90" s="52"/>
      <c r="F90" s="48">
        <f>'KY_Cost-Plant Acct-Elec-P14(PA)'!F91</f>
        <v>0</v>
      </c>
      <c r="G90" s="52"/>
      <c r="H90" s="48">
        <f>'KY_Cost-Plant Acct-Elec-P14(PA)'!H91</f>
        <v>0</v>
      </c>
      <c r="I90" s="52"/>
      <c r="J90" s="48">
        <f t="shared" si="10"/>
        <v>0</v>
      </c>
      <c r="K90" s="52"/>
      <c r="L90" s="48">
        <f t="shared" si="11"/>
        <v>0</v>
      </c>
    </row>
    <row r="91" spans="1:12">
      <c r="B91" s="52">
        <f>SUM(B79:B90)</f>
        <v>-117393208.42999999</v>
      </c>
      <c r="C91" s="52"/>
      <c r="D91" s="52">
        <f>SUM(D79:D90)</f>
        <v>0</v>
      </c>
      <c r="E91" s="52"/>
      <c r="F91" s="52">
        <f>SUM(F79:F90)</f>
        <v>1167259.44</v>
      </c>
      <c r="G91" s="52"/>
      <c r="H91" s="52">
        <f>SUM(H79:H90)</f>
        <v>0</v>
      </c>
      <c r="I91" s="52"/>
      <c r="J91" s="52">
        <f>SUM(J79:J90)</f>
        <v>1167259.44</v>
      </c>
      <c r="K91" s="52"/>
      <c r="L91" s="52">
        <f>SUM(L79:L90)</f>
        <v>-116225948.98999999</v>
      </c>
    </row>
    <row r="92" spans="1:12">
      <c r="B92" s="52"/>
      <c r="C92" s="52"/>
      <c r="D92" s="52"/>
      <c r="E92" s="52"/>
      <c r="F92" s="52"/>
      <c r="G92" s="52"/>
      <c r="H92" s="52"/>
      <c r="I92" s="52"/>
      <c r="J92" s="52"/>
      <c r="K92" s="52"/>
      <c r="L92" s="52"/>
    </row>
    <row r="93" spans="1:12">
      <c r="B93" s="182"/>
      <c r="C93" s="182"/>
      <c r="D93" s="182"/>
      <c r="E93" s="182"/>
      <c r="F93" s="182"/>
      <c r="G93" s="182"/>
      <c r="H93" s="182"/>
      <c r="I93" s="182"/>
      <c r="J93" s="182"/>
      <c r="K93" s="182"/>
      <c r="L93" s="182"/>
    </row>
    <row r="94" spans="1:12">
      <c r="A94" s="3" t="s">
        <v>824</v>
      </c>
      <c r="B94" s="88">
        <f>B91+B76+B63+B51+B46+B35+B26</f>
        <v>-1476184772.9300003</v>
      </c>
      <c r="C94" s="52"/>
      <c r="D94" s="88">
        <f>D91+D76+D63+D51+D46+D35+D26</f>
        <v>-26083.29</v>
      </c>
      <c r="E94" s="52"/>
      <c r="F94" s="88">
        <f>F91+F76+F63+F51+F46+F35+F26</f>
        <v>1952524.5199999998</v>
      </c>
      <c r="G94" s="52"/>
      <c r="H94" s="88">
        <f>H91+H76+H63+H51+H46+H35+H26</f>
        <v>0</v>
      </c>
      <c r="I94" s="52"/>
      <c r="J94" s="88">
        <f>J91+J76+J63+J51+J46+J35+J26</f>
        <v>1926441.2299999995</v>
      </c>
      <c r="K94" s="52"/>
      <c r="L94" s="88">
        <f>L91+L76+L63+L51+L46+L35+L26</f>
        <v>-1474258331.7</v>
      </c>
    </row>
    <row r="95" spans="1:12" s="10" customFormat="1">
      <c r="B95" s="64"/>
      <c r="C95" s="64"/>
      <c r="D95" s="64"/>
      <c r="E95" s="64"/>
      <c r="F95" s="64"/>
      <c r="G95" s="64"/>
      <c r="H95" s="64"/>
      <c r="I95" s="64"/>
      <c r="J95" s="64"/>
      <c r="K95" s="64"/>
      <c r="L95" s="64"/>
    </row>
    <row r="96" spans="1:12" s="10" customFormat="1">
      <c r="B96" s="65"/>
      <c r="C96" s="64"/>
      <c r="D96" s="65"/>
      <c r="E96" s="64"/>
      <c r="F96" s="65"/>
      <c r="G96" s="64"/>
      <c r="H96" s="65"/>
      <c r="I96" s="64"/>
      <c r="J96" s="65"/>
      <c r="K96" s="65"/>
      <c r="L96" s="65"/>
    </row>
    <row r="97" spans="1:13" s="10" customFormat="1">
      <c r="A97" s="12" t="s">
        <v>689</v>
      </c>
      <c r="B97" s="24"/>
      <c r="C97" s="24"/>
      <c r="D97" s="24"/>
      <c r="E97" s="24"/>
      <c r="F97" s="24"/>
      <c r="G97" s="24"/>
      <c r="H97" s="24"/>
      <c r="I97" s="24"/>
      <c r="J97" s="24"/>
      <c r="K97" s="24"/>
      <c r="L97" s="24"/>
    </row>
    <row r="98" spans="1:13" s="10" customFormat="1">
      <c r="A98" s="12" t="s">
        <v>691</v>
      </c>
      <c r="B98" s="24"/>
      <c r="C98" s="24"/>
      <c r="D98" s="24"/>
      <c r="E98" s="24"/>
      <c r="F98" s="24"/>
      <c r="G98" s="24"/>
      <c r="H98" s="24"/>
      <c r="I98" s="24"/>
      <c r="J98" s="24"/>
      <c r="K98" s="24"/>
      <c r="L98" s="24"/>
    </row>
    <row r="99" spans="1:13" s="10" customFormat="1">
      <c r="A99" s="10" t="s">
        <v>275</v>
      </c>
      <c r="B99" s="24">
        <f>'KY_Cost-Plant Acct-Elec-P14(PA)'!B99</f>
        <v>0</v>
      </c>
      <c r="C99" s="24"/>
      <c r="D99" s="24">
        <f>'KY_Cost-Plant Acct-Elec-P14(PA)'!D99</f>
        <v>0</v>
      </c>
      <c r="E99" s="24"/>
      <c r="F99" s="24">
        <f>'KY_Cost-Plant Acct-Elec-P14(PA)'!F99</f>
        <v>0</v>
      </c>
      <c r="G99" s="24"/>
      <c r="H99" s="24">
        <f>'KY_Cost-Plant Acct-Elec-P14(PA)'!H99</f>
        <v>0</v>
      </c>
      <c r="I99" s="24"/>
      <c r="J99" s="24">
        <f>D99+F99+H99</f>
        <v>0</v>
      </c>
      <c r="K99" s="24"/>
      <c r="L99" s="24">
        <f>J99+B99</f>
        <v>0</v>
      </c>
    </row>
    <row r="100" spans="1:13" s="10" customFormat="1">
      <c r="A100" s="10" t="s">
        <v>12</v>
      </c>
      <c r="B100" s="24">
        <f>'KY_Cost-Plant Acct-Elec-P14(PA)'!B100+'IN_Cost-Plant Acct-Elec-P16(PA)'!B26</f>
        <v>-572.15999999999985</v>
      </c>
      <c r="C100" s="24"/>
      <c r="D100" s="24">
        <f>'KY_Cost-Plant Acct-Elec-P14(PA)'!D100+'IN_Cost-Plant Acct-Elec-P16(PA)'!D26</f>
        <v>0</v>
      </c>
      <c r="E100" s="24"/>
      <c r="F100" s="24">
        <f>'KY_Cost-Plant Acct-Elec-P14(PA)'!F100</f>
        <v>0</v>
      </c>
      <c r="G100" s="24"/>
      <c r="H100" s="24">
        <f>'KY_Cost-Plant Acct-Elec-P14(PA)'!H100</f>
        <v>0</v>
      </c>
      <c r="I100" s="24"/>
      <c r="J100" s="24">
        <f t="shared" ref="J100:J109" si="12">D100+F100+H100</f>
        <v>0</v>
      </c>
      <c r="K100" s="24"/>
      <c r="L100" s="24">
        <f t="shared" ref="L100:L109" si="13">J100+B100</f>
        <v>-572.15999999999985</v>
      </c>
    </row>
    <row r="101" spans="1:13" s="10" customFormat="1">
      <c r="A101" s="10" t="s">
        <v>276</v>
      </c>
      <c r="B101" s="24">
        <f>'KY_Cost-Plant Acct-Elec-P14(PA)'!B101</f>
        <v>-1180.6199999999999</v>
      </c>
      <c r="C101" s="24"/>
      <c r="D101" s="24">
        <f>'KY_Cost-Plant Acct-Elec-P14(PA)'!D101</f>
        <v>0</v>
      </c>
      <c r="E101" s="24"/>
      <c r="F101" s="24">
        <f>'KY_Cost-Plant Acct-Elec-P14(PA)'!F101</f>
        <v>0</v>
      </c>
      <c r="G101" s="24"/>
      <c r="H101" s="24">
        <f>'KY_Cost-Plant Acct-Elec-P14(PA)'!H101</f>
        <v>0</v>
      </c>
      <c r="I101" s="24"/>
      <c r="J101" s="24">
        <f t="shared" si="12"/>
        <v>0</v>
      </c>
      <c r="K101" s="24"/>
      <c r="L101" s="24">
        <f t="shared" si="13"/>
        <v>-1180.6199999999999</v>
      </c>
    </row>
    <row r="102" spans="1:13" s="10" customFormat="1">
      <c r="A102" s="10" t="s">
        <v>277</v>
      </c>
      <c r="B102" s="24">
        <f>'KY_Cost-Plant Acct-Elec-P14(PA)'!B102</f>
        <v>-92.040000000001783</v>
      </c>
      <c r="C102" s="24"/>
      <c r="D102" s="24">
        <f>'KY_Cost-Plant Acct-Elec-P14(PA)'!D102</f>
        <v>46.73</v>
      </c>
      <c r="E102" s="24"/>
      <c r="F102" s="24">
        <f>'KY_Cost-Plant Acct-Elec-P14(PA)'!F102</f>
        <v>0</v>
      </c>
      <c r="G102" s="24"/>
      <c r="H102" s="24">
        <f>'KY_Cost-Plant Acct-Elec-P14(PA)'!H102</f>
        <v>0</v>
      </c>
      <c r="I102" s="24"/>
      <c r="J102" s="24">
        <f t="shared" si="12"/>
        <v>46.73</v>
      </c>
      <c r="K102" s="24"/>
      <c r="L102" s="24">
        <f t="shared" si="13"/>
        <v>-45.310000000001786</v>
      </c>
    </row>
    <row r="103" spans="1:13" s="10" customFormat="1">
      <c r="A103" s="10" t="s">
        <v>278</v>
      </c>
      <c r="B103" s="24">
        <f>'KY_Cost-Plant Acct-Elec-P14(PA)'!B103</f>
        <v>-652.1200000000008</v>
      </c>
      <c r="C103" s="24"/>
      <c r="D103" s="24">
        <f>'KY_Cost-Plant Acct-Elec-P14(PA)'!D103</f>
        <v>34.340000000000003</v>
      </c>
      <c r="E103" s="24"/>
      <c r="F103" s="24">
        <f>'KY_Cost-Plant Acct-Elec-P14(PA)'!F103</f>
        <v>0</v>
      </c>
      <c r="G103" s="24"/>
      <c r="H103" s="24">
        <f>'KY_Cost-Plant Acct-Elec-P14(PA)'!H103</f>
        <v>0</v>
      </c>
      <c r="I103" s="24"/>
      <c r="J103" s="24">
        <f t="shared" si="12"/>
        <v>34.340000000000003</v>
      </c>
      <c r="K103" s="24"/>
      <c r="L103" s="24">
        <f t="shared" si="13"/>
        <v>-617.78000000000077</v>
      </c>
    </row>
    <row r="104" spans="1:13" s="10" customFormat="1">
      <c r="A104" s="10" t="s">
        <v>279</v>
      </c>
      <c r="B104" s="24">
        <f>'KY_Cost-Plant Acct-Elec-P14(PA)'!B104</f>
        <v>-14975.07</v>
      </c>
      <c r="C104" s="24"/>
      <c r="D104" s="24">
        <f>'KY_Cost-Plant Acct-Elec-P14(PA)'!D104</f>
        <v>9196.5499999999993</v>
      </c>
      <c r="E104" s="24"/>
      <c r="F104" s="24">
        <f>'KY_Cost-Plant Acct-Elec-P14(PA)'!F104</f>
        <v>0</v>
      </c>
      <c r="G104" s="24"/>
      <c r="H104" s="24">
        <f>'KY_Cost-Plant Acct-Elec-P14(PA)'!H104</f>
        <v>0</v>
      </c>
      <c r="I104" s="24"/>
      <c r="J104" s="24">
        <f t="shared" si="12"/>
        <v>9196.5499999999993</v>
      </c>
      <c r="K104" s="24"/>
      <c r="L104" s="24">
        <f t="shared" si="13"/>
        <v>-5778.52</v>
      </c>
    </row>
    <row r="105" spans="1:13" s="10" customFormat="1">
      <c r="A105" s="10" t="s">
        <v>280</v>
      </c>
      <c r="B105" s="24">
        <f>'KY_Cost-Plant Acct-Elec-P14(PA)'!B105</f>
        <v>-94.610000000000582</v>
      </c>
      <c r="C105" s="24"/>
      <c r="D105" s="24">
        <f>'KY_Cost-Plant Acct-Elec-P14(PA)'!D105</f>
        <v>14.21</v>
      </c>
      <c r="E105" s="24"/>
      <c r="F105" s="24">
        <f>'KY_Cost-Plant Acct-Elec-P14(PA)'!F105</f>
        <v>0</v>
      </c>
      <c r="G105" s="24"/>
      <c r="H105" s="24">
        <f>'KY_Cost-Plant Acct-Elec-P14(PA)'!H105</f>
        <v>0</v>
      </c>
      <c r="I105" s="24"/>
      <c r="J105" s="24">
        <f t="shared" si="12"/>
        <v>14.21</v>
      </c>
      <c r="K105" s="24"/>
      <c r="L105" s="24">
        <f t="shared" si="13"/>
        <v>-80.400000000000574</v>
      </c>
    </row>
    <row r="106" spans="1:13" s="10" customFormat="1">
      <c r="A106" s="10" t="s">
        <v>308</v>
      </c>
      <c r="B106" s="24">
        <f>'KY_Cost-Plant Acct-Elec-P14(PA)'!B106</f>
        <v>-187.43000000000029</v>
      </c>
      <c r="C106" s="24"/>
      <c r="D106" s="24">
        <f>'KY_Cost-Plant Acct-Elec-P14(PA)'!D106</f>
        <v>69.08</v>
      </c>
      <c r="E106" s="24"/>
      <c r="F106" s="24">
        <f>'KY_Cost-Plant Acct-Elec-P14(PA)'!F106</f>
        <v>0</v>
      </c>
      <c r="G106" s="24"/>
      <c r="H106" s="24">
        <f>'KY_Cost-Plant Acct-Elec-P14(PA)'!H106</f>
        <v>0</v>
      </c>
      <c r="I106" s="24"/>
      <c r="J106" s="24">
        <f t="shared" si="12"/>
        <v>69.08</v>
      </c>
      <c r="K106" s="24"/>
      <c r="L106" s="24">
        <f t="shared" si="13"/>
        <v>-118.35000000000029</v>
      </c>
    </row>
    <row r="107" spans="1:13" s="10" customFormat="1">
      <c r="A107" s="10" t="s">
        <v>310</v>
      </c>
      <c r="B107" s="24">
        <v>0</v>
      </c>
      <c r="C107" s="24"/>
      <c r="D107" s="24">
        <f>'KY_Cost-Plant Acct-Elec-P14(PA)'!D107</f>
        <v>0</v>
      </c>
      <c r="E107" s="24"/>
      <c r="F107" s="24">
        <f>'KY_Cost-Plant Acct-Elec-P14(PA)'!F107</f>
        <v>0</v>
      </c>
      <c r="G107" s="24"/>
      <c r="H107" s="24">
        <f>'KY_Cost-Plant Acct-Elec-P14(PA)'!H107</f>
        <v>0</v>
      </c>
      <c r="I107" s="24"/>
      <c r="J107" s="24">
        <f t="shared" si="12"/>
        <v>0</v>
      </c>
      <c r="K107" s="24"/>
      <c r="L107" s="24">
        <f t="shared" si="13"/>
        <v>0</v>
      </c>
    </row>
    <row r="108" spans="1:13" s="10" customFormat="1">
      <c r="A108" s="10" t="s">
        <v>311</v>
      </c>
      <c r="B108" s="24">
        <f>'KY_Cost-Plant Acct-Elec-P14(PA)'!B108</f>
        <v>334.92999999999847</v>
      </c>
      <c r="C108" s="24"/>
      <c r="D108" s="24">
        <f>'KY_Cost-Plant Acct-Elec-P14(PA)'!D108</f>
        <v>-374.09999999999997</v>
      </c>
      <c r="E108" s="24"/>
      <c r="F108" s="24">
        <f>'KY_Cost-Plant Acct-Elec-P14(PA)'!F108</f>
        <v>0</v>
      </c>
      <c r="G108" s="24"/>
      <c r="H108" s="24">
        <f>'KY_Cost-Plant Acct-Elec-P14(PA)'!H108</f>
        <v>0</v>
      </c>
      <c r="I108" s="24"/>
      <c r="J108" s="24">
        <f t="shared" si="12"/>
        <v>-374.09999999999997</v>
      </c>
      <c r="K108" s="24"/>
      <c r="L108" s="24">
        <f t="shared" si="13"/>
        <v>-39.170000000001494</v>
      </c>
    </row>
    <row r="109" spans="1:13" s="10" customFormat="1">
      <c r="A109" s="10" t="s">
        <v>312</v>
      </c>
      <c r="B109" s="28">
        <f>'KY_Cost-Plant Acct-Elec-P14(PA)'!B109</f>
        <v>-718.05000000000018</v>
      </c>
      <c r="C109" s="27"/>
      <c r="D109" s="28">
        <f>'KY_Cost-Plant Acct-Elec-P14(PA)'!D109</f>
        <v>718.05</v>
      </c>
      <c r="E109" s="27"/>
      <c r="F109" s="28">
        <f>'KY_Cost-Plant Acct-Elec-P14(PA)'!F109</f>
        <v>0</v>
      </c>
      <c r="G109" s="27"/>
      <c r="H109" s="28">
        <f>'KY_Cost-Plant Acct-Elec-P14(PA)'!H109</f>
        <v>0</v>
      </c>
      <c r="I109" s="27"/>
      <c r="J109" s="28">
        <f t="shared" si="12"/>
        <v>718.05</v>
      </c>
      <c r="K109" s="27"/>
      <c r="L109" s="28">
        <f t="shared" si="13"/>
        <v>0</v>
      </c>
      <c r="M109" s="71"/>
    </row>
    <row r="110" spans="1:13" s="10" customFormat="1">
      <c r="B110" s="27">
        <f>SUM(B99:B109)</f>
        <v>-18137.170000000002</v>
      </c>
      <c r="C110" s="27"/>
      <c r="D110" s="27">
        <f>SUM(D99:D109)</f>
        <v>9704.8599999999969</v>
      </c>
      <c r="E110" s="27"/>
      <c r="F110" s="27">
        <f>SUM(F99:F109)</f>
        <v>0</v>
      </c>
      <c r="G110" s="27"/>
      <c r="H110" s="27">
        <f>SUM(H99:H109)</f>
        <v>0</v>
      </c>
      <c r="I110" s="27"/>
      <c r="J110" s="27">
        <f>SUM(J99:J109)</f>
        <v>9704.8599999999969</v>
      </c>
      <c r="K110" s="27"/>
      <c r="L110" s="27">
        <f>SUM(L99:L109)</f>
        <v>-8432.3100000000068</v>
      </c>
      <c r="M110" s="71"/>
    </row>
    <row r="111" spans="1:13" s="10" customFormat="1">
      <c r="B111" s="27"/>
      <c r="C111" s="27"/>
      <c r="D111" s="27"/>
      <c r="E111" s="27"/>
      <c r="F111" s="27"/>
      <c r="G111" s="27"/>
      <c r="H111" s="27"/>
      <c r="I111" s="27"/>
      <c r="J111" s="27"/>
      <c r="K111" s="27"/>
      <c r="L111" s="27"/>
      <c r="M111" s="71"/>
    </row>
    <row r="112" spans="1:13" s="10" customFormat="1">
      <c r="A112" s="12" t="s">
        <v>813</v>
      </c>
      <c r="B112" s="27"/>
      <c r="C112" s="27"/>
      <c r="D112" s="27"/>
      <c r="E112" s="27"/>
      <c r="F112" s="27"/>
      <c r="G112" s="27"/>
      <c r="H112" s="27"/>
      <c r="I112" s="27"/>
      <c r="J112" s="27"/>
      <c r="K112" s="27"/>
      <c r="L112" s="27"/>
      <c r="M112" s="71"/>
    </row>
    <row r="113" spans="1:13" s="10" customFormat="1">
      <c r="A113" s="10" t="s">
        <v>316</v>
      </c>
      <c r="B113" s="27">
        <f>'KY_Cost-Plant Acct-Elec-P14(PA)'!B113</f>
        <v>0</v>
      </c>
      <c r="C113" s="27"/>
      <c r="D113" s="27">
        <f>'KY_Cost-Plant Acct-Elec-P14(PA)'!D113</f>
        <v>0</v>
      </c>
      <c r="E113" s="27"/>
      <c r="F113" s="27">
        <f>'KY_Cost-Plant Acct-Elec-P14(PA)'!F113</f>
        <v>0</v>
      </c>
      <c r="G113" s="27"/>
      <c r="H113" s="27">
        <f>'KY_Cost-Plant Acct-Elec-P14(PA)'!H113</f>
        <v>0</v>
      </c>
      <c r="I113" s="27"/>
      <c r="J113" s="27">
        <f>D113+F113+H113</f>
        <v>0</v>
      </c>
      <c r="K113" s="27"/>
      <c r="L113" s="27">
        <f>J113+B113</f>
        <v>0</v>
      </c>
      <c r="M113" s="71"/>
    </row>
    <row r="114" spans="1:13" s="10" customFormat="1">
      <c r="A114" s="10" t="s">
        <v>973</v>
      </c>
      <c r="B114" s="28">
        <f>'KY_Cost-Plant Acct-Elec-P14(PA)'!B114</f>
        <v>0</v>
      </c>
      <c r="C114" s="27"/>
      <c r="D114" s="28">
        <f>'KY_Cost-Plant Acct-Elec-P14(PA)'!D114</f>
        <v>0</v>
      </c>
      <c r="E114" s="27"/>
      <c r="F114" s="28">
        <f>'KY_Cost-Plant Acct-Elec-P14(PA)'!F114</f>
        <v>0</v>
      </c>
      <c r="G114" s="27"/>
      <c r="H114" s="28">
        <f>'KY_Cost-Plant Acct-Elec-P14(PA)'!H114</f>
        <v>0</v>
      </c>
      <c r="I114" s="27"/>
      <c r="J114" s="28">
        <f>D114+F114+H114</f>
        <v>0</v>
      </c>
      <c r="K114" s="27"/>
      <c r="L114" s="28">
        <f>J114+B114</f>
        <v>0</v>
      </c>
      <c r="M114" s="71"/>
    </row>
    <row r="115" spans="1:13" s="10" customFormat="1">
      <c r="B115" s="27">
        <f>SUM(B113:B114)</f>
        <v>0</v>
      </c>
      <c r="C115" s="27"/>
      <c r="D115" s="27">
        <f>SUM(D113:D114)</f>
        <v>0</v>
      </c>
      <c r="E115" s="27"/>
      <c r="F115" s="27">
        <f>SUM(F113:F114)</f>
        <v>0</v>
      </c>
      <c r="G115" s="27"/>
      <c r="H115" s="27">
        <f>SUM(H113:H114)</f>
        <v>0</v>
      </c>
      <c r="I115" s="27"/>
      <c r="J115" s="27">
        <f>SUM(J113:J114)</f>
        <v>0</v>
      </c>
      <c r="K115" s="27"/>
      <c r="L115" s="27">
        <f>SUM(L113:L114)</f>
        <v>0</v>
      </c>
      <c r="M115" s="71"/>
    </row>
    <row r="116" spans="1:13" s="10" customFormat="1">
      <c r="B116" s="27"/>
      <c r="C116" s="27"/>
      <c r="D116" s="27"/>
      <c r="E116" s="27"/>
      <c r="F116" s="27"/>
      <c r="G116" s="27"/>
      <c r="H116" s="27"/>
      <c r="I116" s="27"/>
      <c r="J116" s="27"/>
      <c r="K116" s="27"/>
      <c r="L116" s="27"/>
      <c r="M116" s="71"/>
    </row>
    <row r="117" spans="1:13" s="10" customFormat="1">
      <c r="A117" s="12" t="s">
        <v>809</v>
      </c>
      <c r="B117" s="27"/>
      <c r="C117" s="27"/>
      <c r="D117" s="27"/>
      <c r="E117" s="27"/>
      <c r="F117" s="27"/>
      <c r="G117" s="27"/>
      <c r="H117" s="27"/>
      <c r="I117" s="27"/>
      <c r="J117" s="27"/>
      <c r="K117" s="27"/>
      <c r="L117" s="27"/>
      <c r="M117" s="71"/>
    </row>
    <row r="118" spans="1:13" s="10" customFormat="1">
      <c r="A118" s="10" t="s">
        <v>574</v>
      </c>
      <c r="B118" s="27">
        <f>'KY_Cost-Plant Acct-Elec-P14(PA)'!B118</f>
        <v>0</v>
      </c>
      <c r="C118" s="27"/>
      <c r="D118" s="27">
        <f>'KY_Cost-Plant Acct-Elec-P14(PA)'!D118</f>
        <v>0</v>
      </c>
      <c r="E118" s="27"/>
      <c r="F118" s="27">
        <f>'KY_Cost-Plant Acct-Elec-P14(PA)'!F118</f>
        <v>0</v>
      </c>
      <c r="G118" s="27"/>
      <c r="H118" s="27">
        <f>'KY_Cost-Plant Acct-Elec-P14(PA)'!H118</f>
        <v>0</v>
      </c>
      <c r="I118" s="27"/>
      <c r="J118" s="27">
        <f>D118+F118+H118</f>
        <v>0</v>
      </c>
      <c r="K118" s="27"/>
      <c r="L118" s="27">
        <f>J118+B118</f>
        <v>0</v>
      </c>
      <c r="M118" s="71"/>
    </row>
    <row r="119" spans="1:13" s="10" customFormat="1">
      <c r="A119" s="10" t="s">
        <v>575</v>
      </c>
      <c r="B119" s="27">
        <f>'KY_Cost-Plant Acct-Elec-P14(PA)'!B119</f>
        <v>0</v>
      </c>
      <c r="C119" s="27"/>
      <c r="D119" s="27">
        <f>'KY_Cost-Plant Acct-Elec-P14(PA)'!D119</f>
        <v>0</v>
      </c>
      <c r="E119" s="27"/>
      <c r="F119" s="27">
        <f>'KY_Cost-Plant Acct-Elec-P14(PA)'!F119</f>
        <v>0</v>
      </c>
      <c r="G119" s="27"/>
      <c r="H119" s="27">
        <f>'KY_Cost-Plant Acct-Elec-P14(PA)'!H119</f>
        <v>0</v>
      </c>
      <c r="I119" s="27"/>
      <c r="J119" s="27">
        <f>D119+F119+H119</f>
        <v>0</v>
      </c>
      <c r="K119" s="27"/>
      <c r="L119" s="27">
        <f>J119+B119</f>
        <v>0</v>
      </c>
      <c r="M119" s="71"/>
    </row>
    <row r="120" spans="1:13" s="10" customFormat="1">
      <c r="A120" s="10" t="s">
        <v>576</v>
      </c>
      <c r="B120" s="27">
        <f>'KY_Cost-Plant Acct-Elec-P14(PA)'!B120</f>
        <v>0</v>
      </c>
      <c r="C120" s="27"/>
      <c r="D120" s="27">
        <f>'KY_Cost-Plant Acct-Elec-P14(PA)'!D120</f>
        <v>0</v>
      </c>
      <c r="E120" s="27"/>
      <c r="F120" s="27">
        <f>'KY_Cost-Plant Acct-Elec-P14(PA)'!F120</f>
        <v>0</v>
      </c>
      <c r="G120" s="27"/>
      <c r="H120" s="27">
        <f>'KY_Cost-Plant Acct-Elec-P14(PA)'!H120</f>
        <v>0</v>
      </c>
      <c r="I120" s="27"/>
      <c r="J120" s="27">
        <f>D120+F120+H120</f>
        <v>0</v>
      </c>
      <c r="K120" s="27"/>
      <c r="L120" s="27">
        <f>J120+B120</f>
        <v>0</v>
      </c>
      <c r="M120" s="71"/>
    </row>
    <row r="121" spans="1:13" s="71" customFormat="1">
      <c r="A121" s="71" t="s">
        <v>577</v>
      </c>
      <c r="B121" s="27">
        <f>'KY_Cost-Plant Acct-Elec-P14(PA)'!B121</f>
        <v>0</v>
      </c>
      <c r="C121" s="27"/>
      <c r="D121" s="27">
        <f>'KY_Cost-Plant Acct-Elec-P14(PA)'!D121</f>
        <v>0</v>
      </c>
      <c r="E121" s="27"/>
      <c r="F121" s="27">
        <f>'KY_Cost-Plant Acct-Elec-P14(PA)'!F120</f>
        <v>0</v>
      </c>
      <c r="G121" s="27"/>
      <c r="H121" s="27">
        <f>'KY_Cost-Plant Acct-Elec-P14(PA)'!H121</f>
        <v>0</v>
      </c>
      <c r="I121" s="27"/>
      <c r="J121" s="27">
        <f>D121+F121+H121</f>
        <v>0</v>
      </c>
      <c r="K121" s="27"/>
      <c r="L121" s="27">
        <f>J121+B121</f>
        <v>0</v>
      </c>
    </row>
    <row r="122" spans="1:13" s="10" customFormat="1">
      <c r="A122" s="10" t="s">
        <v>23</v>
      </c>
      <c r="B122" s="28">
        <v>0</v>
      </c>
      <c r="C122" s="27"/>
      <c r="D122" s="28">
        <f>'KY_Cost-Plant Acct-Elec-P14(PA)'!D122</f>
        <v>0</v>
      </c>
      <c r="E122" s="27"/>
      <c r="F122" s="28">
        <f>'KY_Cost-Plant Acct-Elec-P14(PA)'!F121</f>
        <v>0</v>
      </c>
      <c r="G122" s="27"/>
      <c r="H122" s="28">
        <v>0</v>
      </c>
      <c r="I122" s="27"/>
      <c r="J122" s="28">
        <f>D122+F122+H122</f>
        <v>0</v>
      </c>
      <c r="K122" s="27"/>
      <c r="L122" s="28">
        <f>J122+B122</f>
        <v>0</v>
      </c>
      <c r="M122" s="71"/>
    </row>
    <row r="123" spans="1:13" s="10" customFormat="1">
      <c r="B123" s="27">
        <f>SUM(B118:B122)</f>
        <v>0</v>
      </c>
      <c r="C123" s="27"/>
      <c r="D123" s="27">
        <f>SUM(D118:D122)</f>
        <v>0</v>
      </c>
      <c r="E123" s="27"/>
      <c r="F123" s="27">
        <f>SUM(F118:F122)</f>
        <v>0</v>
      </c>
      <c r="G123" s="27"/>
      <c r="H123" s="27">
        <f>SUM(H118:H122)</f>
        <v>0</v>
      </c>
      <c r="I123" s="27"/>
      <c r="J123" s="27">
        <f>SUM(J118:J122)</f>
        <v>0</v>
      </c>
      <c r="K123" s="27"/>
      <c r="L123" s="27">
        <f>SUM(L118:L122)</f>
        <v>0</v>
      </c>
      <c r="M123" s="71"/>
    </row>
    <row r="124" spans="1:13" s="10" customFormat="1">
      <c r="B124" s="27"/>
      <c r="C124" s="27"/>
      <c r="D124" s="27"/>
      <c r="E124" s="27"/>
      <c r="F124" s="27"/>
      <c r="G124" s="27"/>
      <c r="H124" s="27"/>
      <c r="I124" s="27"/>
      <c r="J124" s="27"/>
      <c r="K124" s="27"/>
      <c r="L124" s="27"/>
      <c r="M124" s="71"/>
    </row>
    <row r="125" spans="1:13" s="10" customFormat="1">
      <c r="A125" s="12" t="s">
        <v>811</v>
      </c>
      <c r="B125" s="27"/>
      <c r="C125" s="27"/>
      <c r="D125" s="27"/>
      <c r="E125" s="27"/>
      <c r="F125" s="27"/>
      <c r="G125" s="27"/>
      <c r="H125" s="27"/>
      <c r="I125" s="27"/>
      <c r="J125" s="27"/>
      <c r="K125" s="27"/>
      <c r="L125" s="27"/>
      <c r="M125" s="71"/>
    </row>
    <row r="126" spans="1:13" s="10" customFormat="1">
      <c r="A126" s="10" t="s">
        <v>288</v>
      </c>
      <c r="B126" s="27">
        <v>0</v>
      </c>
      <c r="C126" s="27"/>
      <c r="D126" s="27">
        <f>'KY_Cost-Plant Acct-Elec-P14(PA)'!D126</f>
        <v>0</v>
      </c>
      <c r="E126" s="27"/>
      <c r="F126" s="27">
        <v>0</v>
      </c>
      <c r="G126" s="27"/>
      <c r="H126" s="27">
        <v>0</v>
      </c>
      <c r="I126" s="27"/>
      <c r="J126" s="27">
        <f>D126+F126+H126</f>
        <v>0</v>
      </c>
      <c r="K126" s="27"/>
      <c r="L126" s="27">
        <f>J126+B126</f>
        <v>0</v>
      </c>
      <c r="M126" s="71"/>
    </row>
    <row r="127" spans="1:13" s="10" customFormat="1">
      <c r="A127" s="10" t="s">
        <v>289</v>
      </c>
      <c r="B127" s="27">
        <f>'KY_Cost-Plant Acct-Elec-P14(PA)'!B127</f>
        <v>0</v>
      </c>
      <c r="C127" s="27"/>
      <c r="D127" s="27">
        <f>'KY_Cost-Plant Acct-Elec-P14(PA)'!D127</f>
        <v>0</v>
      </c>
      <c r="E127" s="27"/>
      <c r="F127" s="27">
        <f>'KY_Cost-Plant Acct-Elec-P14(PA)'!F127</f>
        <v>0</v>
      </c>
      <c r="G127" s="27"/>
      <c r="H127" s="27">
        <f>'KY_Cost-Plant Acct-Elec-P14(PA)'!H127</f>
        <v>0</v>
      </c>
      <c r="I127" s="27"/>
      <c r="J127" s="27">
        <f>D127+F127+H127</f>
        <v>0</v>
      </c>
      <c r="K127" s="27"/>
      <c r="L127" s="27">
        <f>J127+B127</f>
        <v>0</v>
      </c>
      <c r="M127" s="71"/>
    </row>
    <row r="128" spans="1:13" s="10" customFormat="1">
      <c r="A128" s="10" t="s">
        <v>290</v>
      </c>
      <c r="B128" s="27">
        <f>'KY_Cost-Plant Acct-Elec-P14(PA)'!B128</f>
        <v>0</v>
      </c>
      <c r="C128" s="27"/>
      <c r="D128" s="27">
        <f>'KY_Cost-Plant Acct-Elec-P14(PA)'!D128</f>
        <v>0</v>
      </c>
      <c r="E128" s="27"/>
      <c r="F128" s="27">
        <f>'KY_Cost-Plant Acct-Elec-P14(PA)'!F128</f>
        <v>0</v>
      </c>
      <c r="G128" s="27"/>
      <c r="H128" s="27">
        <f>'KY_Cost-Plant Acct-Elec-P14(PA)'!H128</f>
        <v>0</v>
      </c>
      <c r="I128" s="27"/>
      <c r="J128" s="27">
        <f>D128+F128+H128</f>
        <v>0</v>
      </c>
      <c r="K128" s="27"/>
      <c r="L128" s="27">
        <f>J128+B128</f>
        <v>0</v>
      </c>
      <c r="M128" s="71"/>
    </row>
    <row r="129" spans="1:13" s="10" customFormat="1">
      <c r="A129" s="10" t="s">
        <v>975</v>
      </c>
      <c r="B129" s="27">
        <v>0</v>
      </c>
      <c r="C129" s="27"/>
      <c r="D129" s="27">
        <f>'KY_Cost-Plant Acct-Elec-P14(PA)'!D129</f>
        <v>0</v>
      </c>
      <c r="E129" s="27"/>
      <c r="F129" s="27">
        <f>'KY_Cost-Plant Acct-Elec-P14(PA)'!F128</f>
        <v>0</v>
      </c>
      <c r="G129" s="27"/>
      <c r="H129" s="27">
        <f>'KY_Cost-Plant Acct-Elec-P14(PA)'!H128</f>
        <v>0</v>
      </c>
      <c r="I129" s="27"/>
      <c r="J129" s="27">
        <f>D129+F129+H129</f>
        <v>0</v>
      </c>
      <c r="K129" s="27"/>
      <c r="L129" s="27">
        <f>J129+B129</f>
        <v>0</v>
      </c>
      <c r="M129" s="71"/>
    </row>
    <row r="130" spans="1:13" s="10" customFormat="1">
      <c r="A130" s="10" t="s">
        <v>82</v>
      </c>
      <c r="B130" s="28">
        <f>'KY_Cost-Plant Acct-Elec-P14(PA)'!B129</f>
        <v>0</v>
      </c>
      <c r="C130" s="27"/>
      <c r="D130" s="28">
        <f>'KY_Cost-Plant Acct-Elec-P14(PA)'!D130</f>
        <v>0</v>
      </c>
      <c r="E130" s="27"/>
      <c r="F130" s="28">
        <f>'KY_Cost-Plant Acct-Elec-P14(PA)'!F129</f>
        <v>0</v>
      </c>
      <c r="G130" s="27"/>
      <c r="H130" s="28">
        <f>'KY_Cost-Plant Acct-Elec-P14(PA)'!H129</f>
        <v>0</v>
      </c>
      <c r="I130" s="27"/>
      <c r="J130" s="28">
        <f>D130+F130+H130</f>
        <v>0</v>
      </c>
      <c r="K130" s="27"/>
      <c r="L130" s="28">
        <f>J130+B130</f>
        <v>0</v>
      </c>
      <c r="M130" s="71"/>
    </row>
    <row r="131" spans="1:13" s="10" customFormat="1">
      <c r="B131" s="27">
        <f>SUM(B126:B130)</f>
        <v>0</v>
      </c>
      <c r="C131" s="27"/>
      <c r="D131" s="27">
        <f>SUM(D126:D130)</f>
        <v>0</v>
      </c>
      <c r="E131" s="27"/>
      <c r="F131" s="27">
        <f>SUM(F126:F130)</f>
        <v>0</v>
      </c>
      <c r="G131" s="27"/>
      <c r="H131" s="27">
        <f>SUM(H126:H130)</f>
        <v>0</v>
      </c>
      <c r="I131" s="27"/>
      <c r="J131" s="27">
        <f>SUM(J126:J130)</f>
        <v>0</v>
      </c>
      <c r="K131" s="27"/>
      <c r="L131" s="27">
        <f>SUM(L126:L130)</f>
        <v>0</v>
      </c>
      <c r="M131" s="71"/>
    </row>
    <row r="132" spans="1:13" s="10" customFormat="1">
      <c r="A132" s="12" t="s">
        <v>812</v>
      </c>
      <c r="B132" s="27"/>
      <c r="C132" s="27"/>
      <c r="D132" s="27"/>
      <c r="E132" s="27"/>
      <c r="F132" s="27"/>
      <c r="G132" s="27"/>
      <c r="H132" s="27"/>
      <c r="I132" s="27"/>
      <c r="J132" s="27"/>
      <c r="K132" s="27"/>
      <c r="L132" s="27"/>
      <c r="M132" s="71"/>
    </row>
    <row r="133" spans="1:13" s="10" customFormat="1">
      <c r="A133" s="10" t="s">
        <v>832</v>
      </c>
      <c r="B133" s="27">
        <f>'KY_Cost-Plant Acct-Elec-P14(PA)'!B133</f>
        <v>0</v>
      </c>
      <c r="C133" s="27"/>
      <c r="D133" s="27">
        <f>'KY_Cost-Plant Acct-Elec-P14(PA)'!D133</f>
        <v>0</v>
      </c>
      <c r="E133" s="27"/>
      <c r="F133" s="27">
        <f>'KY_Cost-Plant Acct-Elec-P14(PA)'!F133</f>
        <v>0</v>
      </c>
      <c r="G133" s="27"/>
      <c r="H133" s="27">
        <f>'KY_Cost-Plant Acct-Elec-P14(PA)'!H133</f>
        <v>0</v>
      </c>
      <c r="I133" s="27"/>
      <c r="J133" s="27">
        <f>D133+F133+H133</f>
        <v>0</v>
      </c>
      <c r="K133" s="27"/>
      <c r="L133" s="27">
        <f>J133+B133</f>
        <v>0</v>
      </c>
      <c r="M133" s="71"/>
    </row>
    <row r="134" spans="1:13" s="10" customFormat="1">
      <c r="A134" s="10" t="s">
        <v>834</v>
      </c>
      <c r="B134" s="27">
        <f>'KY_Cost-Plant Acct-Elec-P14(PA)'!B134</f>
        <v>-18472.959999999992</v>
      </c>
      <c r="C134" s="27"/>
      <c r="D134" s="27">
        <f>'KY_Cost-Plant Acct-Elec-P14(PA)'!D134</f>
        <v>0</v>
      </c>
      <c r="E134" s="27"/>
      <c r="F134" s="27">
        <f>'KY_Cost-Plant Acct-Elec-P14(PA)'!F134</f>
        <v>0</v>
      </c>
      <c r="G134" s="27"/>
      <c r="H134" s="27">
        <f>'KY_Cost-Plant Acct-Elec-P14(PA)'!H134</f>
        <v>0</v>
      </c>
      <c r="I134" s="27"/>
      <c r="J134" s="27">
        <f>D134+F134+H134</f>
        <v>0</v>
      </c>
      <c r="K134" s="27"/>
      <c r="L134" s="27">
        <f>J134+B134</f>
        <v>-18472.959999999992</v>
      </c>
      <c r="M134" s="71"/>
    </row>
    <row r="135" spans="1:13" s="10" customFormat="1">
      <c r="A135" s="10" t="s">
        <v>836</v>
      </c>
      <c r="B135" s="27">
        <f>'KY_Cost-Plant Acct-Elec-P14(PA)'!B135</f>
        <v>0</v>
      </c>
      <c r="C135" s="27"/>
      <c r="D135" s="27">
        <f>'KY_Cost-Plant Acct-Elec-P14(PA)'!D135</f>
        <v>0</v>
      </c>
      <c r="E135" s="27"/>
      <c r="F135" s="27">
        <f>'KY_Cost-Plant Acct-Elec-P14(PA)'!F135</f>
        <v>0</v>
      </c>
      <c r="G135" s="27"/>
      <c r="H135" s="27">
        <f>'KY_Cost-Plant Acct-Elec-P14(PA)'!H135</f>
        <v>0</v>
      </c>
      <c r="I135" s="27"/>
      <c r="J135" s="27">
        <f>D135+F135+H135</f>
        <v>0</v>
      </c>
      <c r="K135" s="27"/>
      <c r="L135" s="27">
        <f>J135+B135</f>
        <v>0</v>
      </c>
      <c r="M135" s="71"/>
    </row>
    <row r="136" spans="1:13" s="10" customFormat="1">
      <c r="A136" s="10" t="s">
        <v>837</v>
      </c>
      <c r="B136" s="27">
        <f>'KY_Cost-Plant Acct-Elec-P14(PA)'!B136</f>
        <v>-16378.430000000002</v>
      </c>
      <c r="C136" s="27"/>
      <c r="D136" s="27">
        <f>'KY_Cost-Plant Acct-Elec-P14(PA)'!D136</f>
        <v>16378.43</v>
      </c>
      <c r="E136" s="27"/>
      <c r="F136" s="27">
        <f>'KY_Cost-Plant Acct-Elec-P14(PA)'!F136</f>
        <v>0</v>
      </c>
      <c r="G136" s="27"/>
      <c r="H136" s="27">
        <f>'KY_Cost-Plant Acct-Elec-P14(PA)'!H136</f>
        <v>0</v>
      </c>
      <c r="I136" s="27"/>
      <c r="J136" s="27">
        <f>D136+F136+H136</f>
        <v>16378.43</v>
      </c>
      <c r="K136" s="27"/>
      <c r="L136" s="27">
        <f>J136+B136</f>
        <v>0</v>
      </c>
      <c r="M136" s="71"/>
    </row>
    <row r="137" spans="1:13" s="10" customFormat="1">
      <c r="A137" s="10" t="s">
        <v>838</v>
      </c>
      <c r="B137" s="28">
        <f>'KY_Cost-Plant Acct-Elec-P14(PA)'!B137</f>
        <v>0</v>
      </c>
      <c r="C137" s="27"/>
      <c r="D137" s="28">
        <f>'KY_Cost-Plant Acct-Elec-P14(PA)'!D137</f>
        <v>0</v>
      </c>
      <c r="E137" s="27"/>
      <c r="F137" s="28">
        <f>'KY_Cost-Plant Acct-Elec-P14(PA)'!F137</f>
        <v>0</v>
      </c>
      <c r="G137" s="27"/>
      <c r="H137" s="28">
        <f>'KY_Cost-Plant Acct-Elec-P14(PA)'!H137</f>
        <v>0</v>
      </c>
      <c r="I137" s="27"/>
      <c r="J137" s="28">
        <f>D137+F137+H137</f>
        <v>0</v>
      </c>
      <c r="K137" s="27"/>
      <c r="L137" s="28">
        <f>J137+B137</f>
        <v>0</v>
      </c>
      <c r="M137" s="71"/>
    </row>
    <row r="138" spans="1:13" s="10" customFormat="1">
      <c r="B138" s="27">
        <f>SUM(B133:B137)</f>
        <v>-34851.389999999992</v>
      </c>
      <c r="C138" s="27"/>
      <c r="D138" s="27">
        <f>SUM(D133:D137)</f>
        <v>16378.43</v>
      </c>
      <c r="E138" s="27"/>
      <c r="F138" s="27">
        <f>SUM(F133:F137)</f>
        <v>0</v>
      </c>
      <c r="G138" s="27"/>
      <c r="H138" s="27">
        <f>SUM(H133:H137)</f>
        <v>0</v>
      </c>
      <c r="I138" s="27"/>
      <c r="J138" s="27">
        <f>SUM(J133:J137)</f>
        <v>16378.43</v>
      </c>
      <c r="K138" s="27"/>
      <c r="L138" s="27">
        <f>SUM(L133:L137)</f>
        <v>-18472.959999999992</v>
      </c>
      <c r="M138" s="71"/>
    </row>
    <row r="139" spans="1:13" s="10" customFormat="1">
      <c r="B139" s="27"/>
      <c r="C139" s="27"/>
      <c r="D139" s="27"/>
      <c r="E139" s="27"/>
      <c r="F139" s="27"/>
      <c r="G139" s="27"/>
      <c r="H139" s="27"/>
      <c r="I139" s="27"/>
      <c r="J139" s="27"/>
      <c r="K139" s="27"/>
      <c r="L139" s="27"/>
      <c r="M139" s="71"/>
    </row>
    <row r="140" spans="1:13" s="10" customFormat="1">
      <c r="A140" s="12" t="s">
        <v>814</v>
      </c>
      <c r="B140" s="27"/>
      <c r="C140" s="27"/>
      <c r="D140" s="27"/>
      <c r="E140" s="27"/>
      <c r="F140" s="27"/>
      <c r="G140" s="27"/>
      <c r="H140" s="27"/>
      <c r="I140" s="27"/>
      <c r="J140" s="27"/>
      <c r="K140" s="27"/>
      <c r="L140" s="27"/>
      <c r="M140" s="71"/>
    </row>
    <row r="141" spans="1:13" s="10" customFormat="1">
      <c r="A141" s="10" t="s">
        <v>6</v>
      </c>
      <c r="B141" s="27">
        <f>'KY_Cost-Plant Acct-Elec-P14(PA)'!B141</f>
        <v>0</v>
      </c>
      <c r="C141" s="27"/>
      <c r="D141" s="27">
        <f>'KY_Cost-Plant Acct-Elec-P14(PA)'!D141</f>
        <v>0</v>
      </c>
      <c r="E141" s="27"/>
      <c r="F141" s="27">
        <f>'KY_Cost-Plant Acct-Elec-P14(PA)'!F141</f>
        <v>0</v>
      </c>
      <c r="G141" s="27"/>
      <c r="H141" s="27">
        <f>'KY_Cost-Plant Acct-Elec-P14(PA)'!H141</f>
        <v>0</v>
      </c>
      <c r="I141" s="27"/>
      <c r="J141" s="27">
        <f t="shared" ref="J141:J146" si="14">D141+F141+H141</f>
        <v>0</v>
      </c>
      <c r="K141" s="27"/>
      <c r="L141" s="27">
        <f t="shared" ref="L141:L146" si="15">J141+B141</f>
        <v>0</v>
      </c>
      <c r="M141" s="71"/>
    </row>
    <row r="142" spans="1:13" s="10" customFormat="1">
      <c r="A142" s="10" t="s">
        <v>7</v>
      </c>
      <c r="B142" s="27">
        <f>'KY_Cost-Plant Acct-Elec-P14(PA)'!B142</f>
        <v>0</v>
      </c>
      <c r="C142" s="27"/>
      <c r="D142" s="27">
        <f>'KY_Cost-Plant Acct-Elec-P14(PA)'!D142</f>
        <v>0</v>
      </c>
      <c r="E142" s="27"/>
      <c r="F142" s="27">
        <f>'KY_Cost-Plant Acct-Elec-P14(PA)'!F142</f>
        <v>0</v>
      </c>
      <c r="G142" s="27"/>
      <c r="H142" s="27">
        <f>'KY_Cost-Plant Acct-Elec-P14(PA)'!H142</f>
        <v>0</v>
      </c>
      <c r="I142" s="27"/>
      <c r="J142" s="27">
        <f t="shared" si="14"/>
        <v>0</v>
      </c>
      <c r="K142" s="27"/>
      <c r="L142" s="27">
        <f t="shared" si="15"/>
        <v>0</v>
      </c>
      <c r="M142" s="71"/>
    </row>
    <row r="143" spans="1:13" s="10" customFormat="1">
      <c r="A143" s="10" t="s">
        <v>8</v>
      </c>
      <c r="B143" s="27">
        <f>'KY_Cost-Plant Acct-Elec-P14(PA)'!B143</f>
        <v>-31568.730000000003</v>
      </c>
      <c r="C143" s="27"/>
      <c r="D143" s="27">
        <f>'KY_Cost-Plant Acct-Elec-P14(PA)'!D143</f>
        <v>0</v>
      </c>
      <c r="E143" s="27"/>
      <c r="F143" s="27">
        <f>'KY_Cost-Plant Acct-Elec-P14(PA)'!F143</f>
        <v>0</v>
      </c>
      <c r="G143" s="27"/>
      <c r="H143" s="27">
        <f>'KY_Cost-Plant Acct-Elec-P14(PA)'!H143</f>
        <v>0</v>
      </c>
      <c r="I143" s="27"/>
      <c r="J143" s="27">
        <f t="shared" si="14"/>
        <v>0</v>
      </c>
      <c r="K143" s="27"/>
      <c r="L143" s="27">
        <f t="shared" si="15"/>
        <v>-31568.730000000003</v>
      </c>
      <c r="M143" s="71"/>
    </row>
    <row r="144" spans="1:13" s="10" customFormat="1">
      <c r="A144" s="10" t="s">
        <v>9</v>
      </c>
      <c r="B144" s="27">
        <f>'KY_Cost-Plant Acct-Elec-P14(PA)'!B144</f>
        <v>-67106.97</v>
      </c>
      <c r="C144" s="27"/>
      <c r="D144" s="27">
        <f>'IN_Cost-Plant Acct-Elec-P16(PA)'!D30+'KY_Cost-Plant Acct-Elec-P14(PA)'!D144</f>
        <v>0</v>
      </c>
      <c r="E144" s="27"/>
      <c r="F144" s="27">
        <f>'IN_Cost-Plant Acct-Elec-P16(PA)'!F30</f>
        <v>0</v>
      </c>
      <c r="G144" s="27"/>
      <c r="H144" s="27">
        <f>'KY_Cost-Plant Acct-Elec-P14(PA)'!H144</f>
        <v>0</v>
      </c>
      <c r="I144" s="27"/>
      <c r="J144" s="27">
        <f t="shared" si="14"/>
        <v>0</v>
      </c>
      <c r="K144" s="27"/>
      <c r="L144" s="27">
        <f t="shared" si="15"/>
        <v>-67106.97</v>
      </c>
      <c r="M144" s="71"/>
    </row>
    <row r="145" spans="1:13" s="10" customFormat="1">
      <c r="A145" s="10" t="s">
        <v>10</v>
      </c>
      <c r="B145" s="27">
        <f>'KY_Cost-Plant Acct-Elec-P14(PA)'!B145</f>
        <v>-55194.91</v>
      </c>
      <c r="C145" s="27"/>
      <c r="D145" s="27">
        <f>'KY_Cost-Plant Acct-Elec-P14(PA)'!D145</f>
        <v>0</v>
      </c>
      <c r="E145" s="27"/>
      <c r="F145" s="27">
        <f>'KY_Cost-Plant Acct-Elec-P14(PA)'!F145</f>
        <v>0</v>
      </c>
      <c r="G145" s="27"/>
      <c r="H145" s="27">
        <f>'KY_Cost-Plant Acct-Elec-P14(PA)'!H145</f>
        <v>0</v>
      </c>
      <c r="I145" s="27"/>
      <c r="J145" s="27">
        <f t="shared" si="14"/>
        <v>0</v>
      </c>
      <c r="K145" s="27"/>
      <c r="L145" s="27">
        <f t="shared" si="15"/>
        <v>-55194.91</v>
      </c>
      <c r="M145" s="71"/>
    </row>
    <row r="146" spans="1:13" s="10" customFormat="1">
      <c r="A146" s="10" t="s">
        <v>11</v>
      </c>
      <c r="B146" s="28">
        <f>'KY_Cost-Plant Acct-Elec-P14(PA)'!B146</f>
        <v>-31685.06</v>
      </c>
      <c r="C146" s="27"/>
      <c r="D146" s="28">
        <f>'KY_Cost-Plant Acct-Elec-P14(PA)'!D146</f>
        <v>0</v>
      </c>
      <c r="E146" s="27"/>
      <c r="F146" s="28">
        <f>'KY_Cost-Plant Acct-Elec-P14(PA)'!F146</f>
        <v>0</v>
      </c>
      <c r="G146" s="27"/>
      <c r="H146" s="28">
        <f>'KY_Cost-Plant Acct-Elec-P14(PA)'!H146</f>
        <v>0</v>
      </c>
      <c r="I146" s="27"/>
      <c r="J146" s="28">
        <f t="shared" si="14"/>
        <v>0</v>
      </c>
      <c r="K146" s="27"/>
      <c r="L146" s="28">
        <f t="shared" si="15"/>
        <v>-31685.06</v>
      </c>
      <c r="M146" s="71"/>
    </row>
    <row r="147" spans="1:13" s="10" customFormat="1">
      <c r="B147" s="27">
        <f>SUM(B141:B146)</f>
        <v>-185555.67</v>
      </c>
      <c r="C147" s="27"/>
      <c r="D147" s="27">
        <f>SUM(D141:D146)</f>
        <v>0</v>
      </c>
      <c r="E147" s="27"/>
      <c r="F147" s="27">
        <f>SUM(F143:F146)</f>
        <v>0</v>
      </c>
      <c r="G147" s="27"/>
      <c r="H147" s="27">
        <f>SUM(H143:H146)</f>
        <v>0</v>
      </c>
      <c r="I147" s="27"/>
      <c r="J147" s="27">
        <f>SUM(J141:J146)</f>
        <v>0</v>
      </c>
      <c r="K147" s="27"/>
      <c r="L147" s="27">
        <f>SUM(L141:L146)</f>
        <v>-185555.67</v>
      </c>
      <c r="M147" s="71"/>
    </row>
    <row r="148" spans="1:13" s="10" customFormat="1">
      <c r="B148" s="27"/>
      <c r="C148" s="27"/>
      <c r="D148" s="27"/>
      <c r="E148" s="27"/>
      <c r="F148" s="27"/>
      <c r="G148" s="27"/>
      <c r="H148" s="27"/>
      <c r="I148" s="27"/>
      <c r="J148" s="27"/>
      <c r="K148" s="27"/>
      <c r="L148" s="27"/>
      <c r="M148" s="71"/>
    </row>
    <row r="149" spans="1:13" s="10" customFormat="1">
      <c r="B149" s="24"/>
      <c r="C149" s="24"/>
      <c r="D149" s="24"/>
      <c r="E149" s="24"/>
      <c r="F149" s="24"/>
      <c r="G149" s="24"/>
      <c r="H149" s="24"/>
      <c r="I149" s="24"/>
      <c r="J149" s="24"/>
      <c r="K149" s="24"/>
      <c r="L149" s="24"/>
    </row>
    <row r="150" spans="1:13" s="10" customFormat="1">
      <c r="A150" s="12" t="s">
        <v>690</v>
      </c>
      <c r="B150" s="25">
        <f>B147+B138+B115+B110+B131+B123</f>
        <v>-238544.23</v>
      </c>
      <c r="C150" s="27"/>
      <c r="D150" s="25">
        <f>D147+D138+D115+D110+D131+D123</f>
        <v>26083.289999999997</v>
      </c>
      <c r="E150" s="27"/>
      <c r="F150" s="25">
        <f>F147+F138+F115+F110+F131+F123</f>
        <v>0</v>
      </c>
      <c r="G150" s="27"/>
      <c r="H150" s="25">
        <f>H147+H138+H115+H110+H131+H123</f>
        <v>0</v>
      </c>
      <c r="I150" s="27"/>
      <c r="J150" s="25">
        <f>J147+J138+J115+J110+J131+J123</f>
        <v>26083.289999999997</v>
      </c>
      <c r="K150" s="27"/>
      <c r="L150" s="25">
        <f>L147+L138+L115+L110+L131+L123</f>
        <v>-212460.94</v>
      </c>
    </row>
    <row r="151" spans="1:13" s="10" customFormat="1"/>
    <row r="152" spans="1:13" ht="13.5" thickBot="1">
      <c r="A152" s="3" t="s">
        <v>825</v>
      </c>
      <c r="B152" s="92">
        <f>B150+B94</f>
        <v>-1476423317.1600003</v>
      </c>
      <c r="D152" s="92">
        <f>D150+D94</f>
        <v>0</v>
      </c>
      <c r="F152" s="92">
        <f>F150+F94</f>
        <v>1952524.5199999998</v>
      </c>
      <c r="H152" s="92">
        <f>H150+H94</f>
        <v>0</v>
      </c>
      <c r="J152" s="92">
        <f>J150+J94</f>
        <v>1952524.5199999996</v>
      </c>
      <c r="L152" s="92">
        <f>L150+L94</f>
        <v>-1474470792.6400001</v>
      </c>
    </row>
    <row r="153" spans="1:13" ht="13.5" thickTop="1">
      <c r="B153" s="89"/>
      <c r="L153" s="89"/>
    </row>
  </sheetData>
  <mergeCells count="3">
    <mergeCell ref="A1:M1"/>
    <mergeCell ref="A2:M2"/>
    <mergeCell ref="A3:M3"/>
  </mergeCells>
  <pageMargins left="0.75" right="0.75" top="1" bottom="0.75" header="0.5" footer="0.5"/>
  <pageSetup scale="65" fitToHeight="3" orientation="landscape" r:id="rId1"/>
  <headerFooter alignWithMargins="0">
    <oddFooter>&amp;L&amp;Z
&amp;F&amp;C&amp;A&amp;R12.&amp;P</oddFooter>
  </headerFooter>
</worksheet>
</file>

<file path=xl/worksheets/sheet132.xml><?xml version="1.0" encoding="utf-8"?>
<worksheet xmlns="http://schemas.openxmlformats.org/spreadsheetml/2006/main" xmlns:r="http://schemas.openxmlformats.org/officeDocument/2006/relationships">
  <sheetPr codeName="Sheet135">
    <pageSetUpPr fitToPage="1"/>
  </sheetPr>
  <dimension ref="A1:P128"/>
  <sheetViews>
    <sheetView zoomScale="90" zoomScaleNormal="90" workbookViewId="0">
      <selection sqref="A1:P1"/>
    </sheetView>
  </sheetViews>
  <sheetFormatPr defaultRowHeight="12.75"/>
  <cols>
    <col min="1" max="1" width="50.85546875" bestFit="1" customWidth="1"/>
    <col min="2" max="2" width="18.42578125" bestFit="1" customWidth="1"/>
    <col min="3" max="3" width="1.7109375" customWidth="1"/>
    <col min="4" max="4" width="17.7109375" customWidth="1"/>
    <col min="5" max="5" width="1.7109375" customWidth="1"/>
    <col min="6" max="6" width="17.7109375" customWidth="1"/>
    <col min="7" max="7" width="1.7109375" customWidth="1"/>
    <col min="8" max="8" width="18.42578125" bestFit="1" customWidth="1"/>
    <col min="9" max="9" width="1.7109375" customWidth="1"/>
    <col min="10" max="10" width="18.42578125" bestFit="1" customWidth="1"/>
    <col min="11" max="11" width="1.5703125" customWidth="1"/>
    <col min="12" max="12" width="18.42578125" bestFit="1" customWidth="1"/>
    <col min="13" max="13" width="1.7109375" customWidth="1"/>
    <col min="14" max="14" width="21.85546875" customWidth="1"/>
    <col min="15" max="15" width="2.7109375" customWidth="1"/>
    <col min="16" max="16" width="23.140625" bestFit="1" customWidth="1"/>
  </cols>
  <sheetData>
    <row r="1" spans="1:16" s="38" customFormat="1" ht="15.75">
      <c r="A1" s="366" t="s">
        <v>134</v>
      </c>
      <c r="B1" s="366"/>
      <c r="C1" s="366"/>
      <c r="D1" s="366"/>
      <c r="E1" s="366"/>
      <c r="F1" s="366"/>
      <c r="G1" s="366"/>
      <c r="H1" s="366"/>
      <c r="I1" s="366"/>
      <c r="J1" s="366"/>
      <c r="K1" s="366"/>
      <c r="L1" s="366"/>
      <c r="M1" s="366"/>
      <c r="N1" s="366"/>
      <c r="O1" s="366"/>
      <c r="P1" s="366"/>
    </row>
    <row r="2" spans="1:16" s="38" customFormat="1" ht="15.75">
      <c r="A2" s="366" t="s">
        <v>1160</v>
      </c>
      <c r="B2" s="366"/>
      <c r="C2" s="366"/>
      <c r="D2" s="366"/>
      <c r="E2" s="366"/>
      <c r="F2" s="366"/>
      <c r="G2" s="366"/>
      <c r="H2" s="366"/>
      <c r="I2" s="366"/>
      <c r="J2" s="366"/>
      <c r="K2" s="366"/>
      <c r="L2" s="366"/>
      <c r="M2" s="366"/>
      <c r="N2" s="366"/>
      <c r="O2" s="366"/>
      <c r="P2" s="366"/>
    </row>
    <row r="3" spans="1:16">
      <c r="A3" s="357" t="str">
        <f>'Summary - Cost - PG 1 (PA)'!A3:N3</f>
        <v>MARCH 2012</v>
      </c>
      <c r="B3" s="357"/>
      <c r="C3" s="357"/>
      <c r="D3" s="357"/>
      <c r="E3" s="357"/>
      <c r="F3" s="357"/>
      <c r="G3" s="357"/>
      <c r="H3" s="357"/>
      <c r="I3" s="357"/>
      <c r="J3" s="357"/>
      <c r="K3" s="357"/>
      <c r="L3" s="357"/>
      <c r="M3" s="357"/>
      <c r="N3" s="357"/>
      <c r="O3" s="357"/>
      <c r="P3" s="357"/>
    </row>
    <row r="4" spans="1:16">
      <c r="A4" s="190"/>
      <c r="B4" s="190"/>
      <c r="C4" s="190"/>
      <c r="D4" s="190"/>
      <c r="E4" s="190"/>
      <c r="F4" s="190"/>
      <c r="G4" s="190"/>
      <c r="H4" s="190"/>
      <c r="I4" s="190"/>
      <c r="J4" s="190"/>
      <c r="K4" s="190"/>
      <c r="L4" s="190"/>
    </row>
    <row r="6" spans="1:16">
      <c r="B6" s="41" t="s">
        <v>25</v>
      </c>
      <c r="D6" s="182"/>
      <c r="F6" s="182"/>
      <c r="H6" s="41" t="s">
        <v>612</v>
      </c>
      <c r="J6" s="41" t="s">
        <v>147</v>
      </c>
      <c r="K6" s="182"/>
      <c r="L6" s="41" t="s">
        <v>26</v>
      </c>
      <c r="P6" s="29" t="s">
        <v>422</v>
      </c>
    </row>
    <row r="7" spans="1:16" s="10" customFormat="1">
      <c r="B7" s="42" t="s">
        <v>27</v>
      </c>
      <c r="C7"/>
      <c r="D7" s="42" t="s">
        <v>107</v>
      </c>
      <c r="E7"/>
      <c r="F7" s="42" t="s">
        <v>108</v>
      </c>
      <c r="G7"/>
      <c r="H7" s="42" t="s">
        <v>613</v>
      </c>
      <c r="I7"/>
      <c r="J7" s="42" t="s">
        <v>109</v>
      </c>
      <c r="K7" s="54"/>
      <c r="L7" s="42" t="s">
        <v>27</v>
      </c>
      <c r="N7" s="42" t="s">
        <v>46</v>
      </c>
      <c r="P7" s="42" t="s">
        <v>419</v>
      </c>
    </row>
    <row r="8" spans="1:16" s="10" customFormat="1">
      <c r="A8" s="12" t="s">
        <v>296</v>
      </c>
      <c r="B8" s="54"/>
      <c r="C8"/>
      <c r="D8" s="54"/>
      <c r="E8"/>
      <c r="F8" s="54"/>
      <c r="G8"/>
      <c r="H8" s="54"/>
      <c r="I8"/>
      <c r="J8" s="54"/>
      <c r="K8" s="54"/>
      <c r="L8" s="54"/>
    </row>
    <row r="9" spans="1:16" s="10" customFormat="1">
      <c r="A9" s="12" t="s">
        <v>420</v>
      </c>
      <c r="B9"/>
      <c r="C9"/>
      <c r="D9"/>
      <c r="E9"/>
      <c r="F9"/>
      <c r="G9"/>
      <c r="H9"/>
      <c r="I9"/>
      <c r="J9"/>
      <c r="K9"/>
      <c r="L9"/>
    </row>
    <row r="10" spans="1:16" s="10" customFormat="1">
      <c r="A10" s="12" t="s">
        <v>691</v>
      </c>
      <c r="B10"/>
      <c r="C10"/>
      <c r="D10"/>
      <c r="E10"/>
      <c r="F10"/>
      <c r="G10"/>
      <c r="H10"/>
      <c r="I10"/>
      <c r="J10"/>
      <c r="K10"/>
      <c r="L10"/>
    </row>
    <row r="11" spans="1:16">
      <c r="A11" t="s">
        <v>274</v>
      </c>
      <c r="B11" s="182">
        <f>'KY_Cost-Plant Acct-Elec-P14(PA)'!B11</f>
        <v>0</v>
      </c>
      <c r="C11" s="182"/>
      <c r="D11" s="182">
        <f>'KY_Cost-Plant Acct-Elec-P14(PA)'!D11</f>
        <v>0</v>
      </c>
      <c r="E11" s="182"/>
      <c r="F11" s="182">
        <f>'KY_Cost-Plant Acct-Elec-P14(PA)'!F11</f>
        <v>0</v>
      </c>
      <c r="G11" s="182"/>
      <c r="H11" s="182">
        <f>'KY_Cost-Plant Acct-Elec-P14(PA)'!H11</f>
        <v>0</v>
      </c>
      <c r="I11" s="182"/>
      <c r="J11" s="182">
        <f>H11+F11+D11</f>
        <v>0</v>
      </c>
      <c r="K11" s="182"/>
      <c r="L11" s="182">
        <f>B11+J11</f>
        <v>0</v>
      </c>
      <c r="N11" s="89">
        <v>0</v>
      </c>
      <c r="P11" s="89">
        <f>L11+N11</f>
        <v>0</v>
      </c>
    </row>
    <row r="12" spans="1:16">
      <c r="A12" t="s">
        <v>275</v>
      </c>
      <c r="B12" s="182">
        <f>'KY_Cost-Plant Acct-Elec-P14(PA)'!B12+'KY_Cost-Plant Acct-Elec-P14(PA)'!B99</f>
        <v>-1444458.3800000001</v>
      </c>
      <c r="C12" s="182"/>
      <c r="D12" s="182">
        <f>'KY_Cost-Plant Acct-Elec-P14(PA)'!D12+'KY_Cost-Plant Acct-Elec-P14(PA)'!D99</f>
        <v>0</v>
      </c>
      <c r="E12" s="182"/>
      <c r="F12" s="182">
        <f>'KY_Cost-Plant Acct-Elec-P14(PA)'!F12</f>
        <v>288.01</v>
      </c>
      <c r="G12" s="182"/>
      <c r="H12" s="182">
        <f>'KY_Cost-Plant Acct-Elec-P14(PA)'!H12</f>
        <v>0</v>
      </c>
      <c r="I12" s="182"/>
      <c r="J12" s="182">
        <f t="shared" ref="J12:J25" si="0">H12+F12+D12</f>
        <v>288.01</v>
      </c>
      <c r="K12" s="182"/>
      <c r="L12" s="182">
        <f t="shared" ref="L12:L25" si="1">B12+J12</f>
        <v>-1444170.37</v>
      </c>
      <c r="N12" s="89">
        <f>'KY_Res by Plant Acct-P29 (PA)'!R12</f>
        <v>1440951.4500000002</v>
      </c>
      <c r="P12" s="89">
        <f t="shared" ref="P12:P25" si="2">L12+N12</f>
        <v>-3218.9199999999255</v>
      </c>
    </row>
    <row r="13" spans="1:16">
      <c r="A13" t="s">
        <v>12</v>
      </c>
      <c r="B13" s="182">
        <f>'KY_Cost-Plant Acct-Elec-P14(PA)'!B13+'KY_Cost-Plant Acct-Elec-P14(PA)'!B100</f>
        <v>-33466826.059999999</v>
      </c>
      <c r="C13" s="182"/>
      <c r="D13" s="182">
        <f>'KY_Cost-Plant Acct-Elec-P14(PA)'!D13+'KY_Cost-Plant Acct-Elec-P14(PA)'!D100</f>
        <v>0</v>
      </c>
      <c r="E13" s="182"/>
      <c r="F13" s="182">
        <f>'KY_Cost-Plant Acct-Elec-P14(PA)'!F13</f>
        <v>67673.37</v>
      </c>
      <c r="G13" s="182"/>
      <c r="H13" s="182">
        <f>'KY_Cost-Plant Acct-Elec-P14(PA)'!H13+'KY_Cost-Plant Acct-Elec-P14(PA)'!H100</f>
        <v>0</v>
      </c>
      <c r="I13" s="182"/>
      <c r="J13" s="182">
        <f t="shared" si="0"/>
        <v>67673.37</v>
      </c>
      <c r="K13" s="182"/>
      <c r="L13" s="182">
        <f t="shared" si="1"/>
        <v>-33399152.689999998</v>
      </c>
      <c r="N13" s="89">
        <f>'KY_Res by Plant Acct-P29 (PA)'!R13</f>
        <v>33401126.129999999</v>
      </c>
      <c r="P13" s="89">
        <f t="shared" si="2"/>
        <v>1973.4400000013411</v>
      </c>
    </row>
    <row r="14" spans="1:16">
      <c r="A14" t="s">
        <v>276</v>
      </c>
      <c r="B14" s="182">
        <f>'KY_Cost-Plant Acct-Elec-P14(PA)'!B14+'KY_Cost-Plant Acct-Elec-P14(PA)'!B101</f>
        <v>-11373772.6</v>
      </c>
      <c r="C14" s="182"/>
      <c r="D14" s="182">
        <f>'KY_Cost-Plant Acct-Elec-P14(PA)'!D14+'KY_Cost-Plant Acct-Elec-P14(PA)'!D101</f>
        <v>0</v>
      </c>
      <c r="E14" s="182"/>
      <c r="F14" s="182">
        <f>'KY_Cost-Plant Acct-Elec-P14(PA)'!F14</f>
        <v>40030.740000000005</v>
      </c>
      <c r="G14" s="182"/>
      <c r="H14" s="182">
        <f>'KY_Cost-Plant Acct-Elec-P14(PA)'!H14+'KY_Cost-Plant Acct-Elec-P14(PA)'!H101</f>
        <v>0</v>
      </c>
      <c r="I14" s="182"/>
      <c r="J14" s="182">
        <f t="shared" si="0"/>
        <v>40030.740000000005</v>
      </c>
      <c r="K14" s="182"/>
      <c r="L14" s="182">
        <f t="shared" si="1"/>
        <v>-11333741.859999999</v>
      </c>
      <c r="N14" s="89">
        <f>'KY_Res by Plant Acct-P29 (PA)'!R15</f>
        <v>11334921.560000001</v>
      </c>
      <c r="P14" s="89">
        <f t="shared" si="2"/>
        <v>1179.7000000011176</v>
      </c>
    </row>
    <row r="15" spans="1:16">
      <c r="A15" t="s">
        <v>277</v>
      </c>
      <c r="B15" s="182">
        <f>'KY_Cost-Plant Acct-Elec-P14(PA)'!B15+'KY_Cost-Plant Acct-Elec-P14(PA)'!B102</f>
        <v>-53741587.819999993</v>
      </c>
      <c r="C15" s="182"/>
      <c r="D15" s="182">
        <f>'KY_Cost-Plant Acct-Elec-P14(PA)'!D15+'KY_Cost-Plant Acct-Elec-P14(PA)'!D102</f>
        <v>22.369999999999997</v>
      </c>
      <c r="E15" s="182"/>
      <c r="F15" s="182">
        <f>'KY_Cost-Plant Acct-Elec-P14(PA)'!F15</f>
        <v>123166.1</v>
      </c>
      <c r="G15" s="182"/>
      <c r="H15" s="182">
        <f>'KY_Cost-Plant Acct-Elec-P14(PA)'!H15+'KY_Cost-Plant Acct-Elec-P14(PA)'!H102</f>
        <v>0</v>
      </c>
      <c r="I15" s="182"/>
      <c r="J15" s="182">
        <f t="shared" si="0"/>
        <v>123188.47</v>
      </c>
      <c r="K15" s="182"/>
      <c r="L15" s="182">
        <f t="shared" si="1"/>
        <v>-53618399.349999994</v>
      </c>
      <c r="N15" s="89">
        <f>'KY_Res by Plant Acct-P29 (PA)'!R16</f>
        <v>53611288.389999993</v>
      </c>
      <c r="P15" s="89">
        <f t="shared" si="2"/>
        <v>-7110.9600000008941</v>
      </c>
    </row>
    <row r="16" spans="1:16">
      <c r="A16" t="s">
        <v>278</v>
      </c>
      <c r="B16" s="182">
        <f>'KY_Cost-Plant Acct-Elec-P14(PA)'!B16+'KY_Cost-Plant Acct-Elec-P14(PA)'!B103</f>
        <v>-23986138.050000001</v>
      </c>
      <c r="C16" s="182"/>
      <c r="D16" s="182">
        <f>'KY_Cost-Plant Acct-Elec-P14(PA)'!D16+'KY_Cost-Plant Acct-Elec-P14(PA)'!D103</f>
        <v>-997.9</v>
      </c>
      <c r="E16" s="182"/>
      <c r="F16" s="182">
        <f>'KY_Cost-Plant Acct-Elec-P14(PA)'!F16</f>
        <v>11991.38</v>
      </c>
      <c r="G16" s="182"/>
      <c r="H16" s="182">
        <f>'KY_Cost-Plant Acct-Elec-P14(PA)'!H16+'KY_Cost-Plant Acct-Elec-P14(PA)'!H103</f>
        <v>0</v>
      </c>
      <c r="I16" s="182"/>
      <c r="J16" s="182">
        <f t="shared" si="0"/>
        <v>10993.48</v>
      </c>
      <c r="K16" s="182"/>
      <c r="L16" s="182">
        <f t="shared" si="1"/>
        <v>-23975144.57</v>
      </c>
      <c r="N16" s="89">
        <f>'KY_Res by Plant Acct-P29 (PA)'!R17</f>
        <v>23979907.09</v>
      </c>
      <c r="P16" s="89">
        <f t="shared" si="2"/>
        <v>4762.519999999553</v>
      </c>
    </row>
    <row r="17" spans="1:16">
      <c r="A17" t="s">
        <v>279</v>
      </c>
      <c r="B17" s="182">
        <f>'KY_Cost-Plant Acct-Elec-P14(PA)'!B17+'KY_Cost-Plant Acct-Elec-P14(PA)'!B104</f>
        <v>-36179882.490000002</v>
      </c>
      <c r="C17" s="182"/>
      <c r="D17" s="182">
        <f>'KY_Cost-Plant Acct-Elec-P14(PA)'!D17+'KY_Cost-Plant Acct-Elec-P14(PA)'!D104</f>
        <v>1035.3099999999995</v>
      </c>
      <c r="E17" s="182"/>
      <c r="F17" s="182">
        <f>'KY_Cost-Plant Acct-Elec-P14(PA)'!F17</f>
        <v>89893.450000000012</v>
      </c>
      <c r="G17" s="182"/>
      <c r="H17" s="182">
        <f>'KY_Cost-Plant Acct-Elec-P14(PA)'!H17+'KY_Cost-Plant Acct-Elec-P14(PA)'!H104</f>
        <v>0</v>
      </c>
      <c r="I17" s="182"/>
      <c r="J17" s="182">
        <f t="shared" si="0"/>
        <v>90928.760000000009</v>
      </c>
      <c r="K17" s="182"/>
      <c r="L17" s="182">
        <f t="shared" si="1"/>
        <v>-36088953.730000004</v>
      </c>
      <c r="N17" s="89">
        <f>'KY_Res by Plant Acct-P29 (PA)'!R18</f>
        <v>36074061.270000003</v>
      </c>
      <c r="P17" s="89">
        <f t="shared" si="2"/>
        <v>-14892.460000000894</v>
      </c>
    </row>
    <row r="18" spans="1:16">
      <c r="A18" t="s">
        <v>280</v>
      </c>
      <c r="B18" s="182">
        <f>'KY_Cost-Plant Acct-Elec-P14(PA)'!B18+'KY_Cost-Plant Acct-Elec-P14(PA)'!B105</f>
        <v>-55448438.970000006</v>
      </c>
      <c r="C18" s="182"/>
      <c r="D18" s="182">
        <f>'KY_Cost-Plant Acct-Elec-P14(PA)'!D18+'KY_Cost-Plant Acct-Elec-P14(PA)'!D105</f>
        <v>14.21</v>
      </c>
      <c r="E18" s="182"/>
      <c r="F18" s="182">
        <f>'KY_Cost-Plant Acct-Elec-P14(PA)'!F18</f>
        <v>30664.91</v>
      </c>
      <c r="G18" s="182"/>
      <c r="H18" s="182">
        <f>'KY_Cost-Plant Acct-Elec-P14(PA)'!H18+'KY_Cost-Plant Acct-Elec-P14(PA)'!H105</f>
        <v>0</v>
      </c>
      <c r="I18" s="182"/>
      <c r="J18" s="182">
        <f t="shared" si="0"/>
        <v>30679.119999999999</v>
      </c>
      <c r="K18" s="182"/>
      <c r="L18" s="182">
        <f t="shared" si="1"/>
        <v>-55417759.850000009</v>
      </c>
      <c r="N18" s="89">
        <f>'KY_Res by Plant Acct-P29 (PA)'!R19</f>
        <v>55422446.430000007</v>
      </c>
      <c r="P18" s="89">
        <f t="shared" si="2"/>
        <v>4686.5799999982119</v>
      </c>
    </row>
    <row r="19" spans="1:16">
      <c r="A19" t="s">
        <v>308</v>
      </c>
      <c r="B19" s="182">
        <f>'KY_Cost-Plant Acct-Elec-P14(PA)'!B19+'KY_Cost-Plant Acct-Elec-P14(PA)'!B106</f>
        <v>-1949957.39</v>
      </c>
      <c r="C19" s="182"/>
      <c r="D19" s="182">
        <f>'KY_Cost-Plant Acct-Elec-P14(PA)'!D19+'KY_Cost-Plant Acct-Elec-P14(PA)'!D106</f>
        <v>69.08</v>
      </c>
      <c r="E19" s="182"/>
      <c r="F19" s="182">
        <f>'KY_Cost-Plant Acct-Elec-P14(PA)'!F19</f>
        <v>22246.82</v>
      </c>
      <c r="G19" s="182"/>
      <c r="H19" s="182">
        <f>'KY_Cost-Plant Acct-Elec-P14(PA)'!H19+'KY_Cost-Plant Acct-Elec-P14(PA)'!H106</f>
        <v>0</v>
      </c>
      <c r="I19" s="182"/>
      <c r="J19" s="182">
        <f t="shared" si="0"/>
        <v>22315.9</v>
      </c>
      <c r="K19" s="182"/>
      <c r="L19" s="182">
        <f t="shared" si="1"/>
        <v>-1927641.49</v>
      </c>
      <c r="N19" s="89">
        <f>'KY_Res by Plant Acct-P29 (PA)'!R20</f>
        <v>1939838.67</v>
      </c>
      <c r="P19" s="89">
        <f t="shared" si="2"/>
        <v>12197.179999999935</v>
      </c>
    </row>
    <row r="20" spans="1:16">
      <c r="A20" t="s">
        <v>309</v>
      </c>
      <c r="B20" s="182">
        <f>'KY_Cost-Plant Acct-Elec-P14(PA)'!B20</f>
        <v>-6888518.79</v>
      </c>
      <c r="C20" s="182"/>
      <c r="D20" s="182">
        <f>'KY_Cost-Plant Acct-Elec-P14(PA)'!D20</f>
        <v>0</v>
      </c>
      <c r="E20" s="182"/>
      <c r="F20" s="182">
        <f>'KY_Cost-Plant Acct-Elec-P14(PA)'!F20</f>
        <v>7744.98</v>
      </c>
      <c r="G20" s="182"/>
      <c r="H20" s="182">
        <f>'KY_Cost-Plant Acct-Elec-P14(PA)'!H20</f>
        <v>0</v>
      </c>
      <c r="I20" s="182"/>
      <c r="J20" s="182">
        <f t="shared" si="0"/>
        <v>7744.98</v>
      </c>
      <c r="K20" s="182"/>
      <c r="L20" s="182">
        <f t="shared" si="1"/>
        <v>-6880773.8099999996</v>
      </c>
      <c r="N20" s="89">
        <f>'KY_Res by Plant Acct-P29 (PA)'!R21</f>
        <v>6880773.8099999996</v>
      </c>
      <c r="P20" s="89">
        <f t="shared" si="2"/>
        <v>0</v>
      </c>
    </row>
    <row r="21" spans="1:16">
      <c r="A21" t="s">
        <v>310</v>
      </c>
      <c r="B21" s="182">
        <f>'KY_Cost-Plant Acct-Elec-P14(PA)'!B21</f>
        <v>-15937025.810000001</v>
      </c>
      <c r="C21" s="182"/>
      <c r="D21" s="182">
        <f>'KY_Cost-Plant Acct-Elec-P14(PA)'!D21+'KY_Cost-Plant Acct-Elec-P14(PA)'!D107</f>
        <v>0</v>
      </c>
      <c r="E21" s="182"/>
      <c r="F21" s="182">
        <f>'KY_Cost-Plant Acct-Elec-P14(PA)'!F21</f>
        <v>0</v>
      </c>
      <c r="G21" s="182"/>
      <c r="H21" s="182">
        <f>'KY_Cost-Plant Acct-Elec-P14(PA)'!H21</f>
        <v>0</v>
      </c>
      <c r="I21" s="182"/>
      <c r="J21" s="182">
        <f t="shared" si="0"/>
        <v>0</v>
      </c>
      <c r="K21" s="182"/>
      <c r="L21" s="182">
        <f t="shared" si="1"/>
        <v>-15937025.810000001</v>
      </c>
      <c r="N21" s="89">
        <f>'KY_Res by Plant Acct-P29 (PA)'!R22</f>
        <v>15937025.810000001</v>
      </c>
      <c r="P21" s="89">
        <f t="shared" si="2"/>
        <v>0</v>
      </c>
    </row>
    <row r="22" spans="1:16">
      <c r="A22" t="s">
        <v>311</v>
      </c>
      <c r="B22" s="182">
        <f>'KY_Cost-Plant Acct-Elec-P14(PA)'!B22+'KY_Cost-Plant Acct-Elec-P14(PA)'!B108</f>
        <v>-12797755.470000001</v>
      </c>
      <c r="C22" s="182"/>
      <c r="D22" s="182">
        <f>'KY_Cost-Plant Acct-Elec-P14(PA)'!D108+'KY_Cost-Plant Acct-Elec-P14(PA)'!D22</f>
        <v>-829.97</v>
      </c>
      <c r="E22" s="182"/>
      <c r="F22" s="182">
        <f>'KY_Cost-Plant Acct-Elec-P14(PA)'!F22</f>
        <v>153346.18</v>
      </c>
      <c r="G22" s="182"/>
      <c r="H22" s="182">
        <f>'KY_Cost-Plant Acct-Elec-P14(PA)'!H22+'KY_Cost-Plant Acct-Elec-P14(PA)'!H108</f>
        <v>0</v>
      </c>
      <c r="I22" s="182"/>
      <c r="J22" s="182">
        <f t="shared" si="0"/>
        <v>152516.21</v>
      </c>
      <c r="K22" s="182"/>
      <c r="L22" s="182">
        <f t="shared" si="1"/>
        <v>-12645239.26</v>
      </c>
      <c r="N22" s="89">
        <f>'KY_Res by Plant Acct-P29 (PA)'!R23</f>
        <v>12647666.75</v>
      </c>
      <c r="P22" s="89">
        <f t="shared" si="2"/>
        <v>2427.4900000002235</v>
      </c>
    </row>
    <row r="23" spans="1:16">
      <c r="A23" t="s">
        <v>312</v>
      </c>
      <c r="B23" s="182">
        <f>'KY_Cost-Plant Acct-Elec-P14(PA)'!B23+'KY_Cost-Plant Acct-Elec-P14(PA)'!B109</f>
        <v>-18283869.850000001</v>
      </c>
      <c r="C23" s="182"/>
      <c r="D23" s="182">
        <f>'KY_Cost-Plant Acct-Elec-P14(PA)'!D23+'KY_Cost-Plant Acct-Elec-P14(PA)'!D109</f>
        <v>686.9</v>
      </c>
      <c r="E23" s="182"/>
      <c r="F23" s="182">
        <f>'KY_Cost-Plant Acct-Elec-P14(PA)'!F23</f>
        <v>39092.99</v>
      </c>
      <c r="G23" s="182"/>
      <c r="H23" s="182">
        <f>'KY_Cost-Plant Acct-Elec-P14(PA)'!H23+'KY_Cost-Plant Acct-Elec-P14(PA)'!H109</f>
        <v>0</v>
      </c>
      <c r="I23" s="182"/>
      <c r="J23" s="182">
        <f t="shared" si="0"/>
        <v>39779.89</v>
      </c>
      <c r="K23" s="182"/>
      <c r="L23" s="182">
        <f t="shared" si="1"/>
        <v>-18244089.960000001</v>
      </c>
      <c r="N23" s="89">
        <f>'KY_Res by Plant Acct-P29 (PA)'!R24</f>
        <v>18242131.630000003</v>
      </c>
      <c r="P23" s="89">
        <f t="shared" si="2"/>
        <v>-1958.3299999982119</v>
      </c>
    </row>
    <row r="24" spans="1:16">
      <c r="A24" t="s">
        <v>313</v>
      </c>
      <c r="B24" s="182">
        <f>'KY_Cost-Plant Acct-Elec-P14(PA)'!B24</f>
        <v>0</v>
      </c>
      <c r="C24" s="182"/>
      <c r="D24" s="182">
        <f>'KY_Cost-Plant Acct-Elec-P14(PA)'!D24</f>
        <v>0</v>
      </c>
      <c r="E24" s="182"/>
      <c r="F24" s="182">
        <f>'KY_Cost-Plant Acct-Elec-P14(PA)'!F24</f>
        <v>0</v>
      </c>
      <c r="G24" s="182"/>
      <c r="H24" s="182">
        <f>'KY_Cost-Plant Acct-Elec-P14(PA)'!H24</f>
        <v>0</v>
      </c>
      <c r="I24" s="182"/>
      <c r="J24" s="182">
        <f t="shared" si="0"/>
        <v>0</v>
      </c>
      <c r="K24" s="182"/>
      <c r="L24" s="182">
        <f t="shared" si="1"/>
        <v>0</v>
      </c>
      <c r="N24" s="89">
        <f>'KY_Res by Plant Acct-P29 (PA)'!R25</f>
        <v>0</v>
      </c>
      <c r="P24" s="89">
        <f t="shared" si="2"/>
        <v>0</v>
      </c>
    </row>
    <row r="25" spans="1:16">
      <c r="A25" t="s">
        <v>314</v>
      </c>
      <c r="B25" s="48">
        <f>'KY_Cost-Plant Acct-Elec-P14(PA)'!B25</f>
        <v>0</v>
      </c>
      <c r="C25" s="52"/>
      <c r="D25" s="48">
        <f>'KY_Cost-Plant Acct-Elec-P14(PA)'!D25</f>
        <v>0</v>
      </c>
      <c r="E25" s="52"/>
      <c r="F25" s="48">
        <f>'KY_Cost-Plant Acct-Elec-P14(PA)'!F25</f>
        <v>0</v>
      </c>
      <c r="G25" s="182"/>
      <c r="H25" s="48">
        <f>'KY_Cost-Plant Acct-Elec-P14(PA)'!H25</f>
        <v>0</v>
      </c>
      <c r="I25" s="182"/>
      <c r="J25" s="48">
        <f t="shared" si="0"/>
        <v>0</v>
      </c>
      <c r="K25" s="52"/>
      <c r="L25" s="48">
        <f t="shared" si="1"/>
        <v>0</v>
      </c>
      <c r="N25" s="90">
        <f>'KY_Res by Plant Acct-P29 (PA)'!R26</f>
        <v>0</v>
      </c>
      <c r="P25" s="90">
        <f t="shared" si="2"/>
        <v>0</v>
      </c>
    </row>
    <row r="26" spans="1:16">
      <c r="B26" s="52">
        <f>SUM(B11:B25)</f>
        <v>-271498231.67999995</v>
      </c>
      <c r="C26" s="52"/>
      <c r="D26" s="52">
        <f>SUM(D11:D25)</f>
        <v>-5.6843418860808015E-13</v>
      </c>
      <c r="E26" s="52"/>
      <c r="F26" s="52">
        <f>SUM(F11:F25)</f>
        <v>586138.92999999993</v>
      </c>
      <c r="G26" s="52"/>
      <c r="H26" s="52">
        <f>SUM(H11:H25)</f>
        <v>0</v>
      </c>
      <c r="I26" s="52"/>
      <c r="J26" s="52">
        <f>SUM(J11:J25)</f>
        <v>586138.93000000005</v>
      </c>
      <c r="K26" s="52"/>
      <c r="L26" s="52">
        <f>SUM(L11:L25)</f>
        <v>-270912092.75</v>
      </c>
      <c r="N26" s="52">
        <f>SUM(N11:N25)</f>
        <v>270912138.99000001</v>
      </c>
      <c r="P26" s="52">
        <f>SUM(P11:P25)</f>
        <v>46.240000000456348</v>
      </c>
    </row>
    <row r="27" spans="1:16">
      <c r="B27" s="52"/>
      <c r="C27" s="52"/>
      <c r="D27" s="52"/>
      <c r="E27" s="52"/>
      <c r="F27" s="52"/>
      <c r="G27" s="52"/>
      <c r="H27" s="52"/>
      <c r="I27" s="52"/>
      <c r="J27" s="52"/>
      <c r="K27" s="52"/>
      <c r="L27" s="52"/>
    </row>
    <row r="28" spans="1:16">
      <c r="A28" s="12" t="s">
        <v>808</v>
      </c>
      <c r="B28" s="52"/>
      <c r="C28" s="52"/>
      <c r="D28" s="52"/>
      <c r="E28" s="52"/>
      <c r="F28" s="52"/>
      <c r="G28" s="52"/>
      <c r="H28" s="52"/>
      <c r="I28" s="52"/>
      <c r="J28" s="52"/>
      <c r="K28" s="52"/>
      <c r="L28" s="52"/>
    </row>
    <row r="29" spans="1:16">
      <c r="A29" t="s">
        <v>315</v>
      </c>
      <c r="B29" s="52">
        <f>'KY_Cost-Plant Acct-Elec-P14(PA)'!B29</f>
        <v>-6981474.3900000006</v>
      </c>
      <c r="C29" s="52"/>
      <c r="D29" s="52">
        <f>'KY_Cost-Plant Acct-Elec-P14(PA)'!D29</f>
        <v>0</v>
      </c>
      <c r="E29" s="52"/>
      <c r="F29" s="52">
        <f>'KY_Cost-Plant Acct-Elec-P14(PA)'!F29</f>
        <v>39209.64</v>
      </c>
      <c r="G29" s="52"/>
      <c r="H29" s="52">
        <f>'KY_Cost-Plant Acct-Elec-P14(PA)'!H29</f>
        <v>0</v>
      </c>
      <c r="I29" s="52"/>
      <c r="J29" s="52">
        <f t="shared" ref="J29:J34" si="3">H29+F29+D29</f>
        <v>39209.64</v>
      </c>
      <c r="K29" s="52"/>
      <c r="L29" s="182">
        <f t="shared" ref="L29:L34" si="4">B29+J29</f>
        <v>-6942264.7500000009</v>
      </c>
      <c r="N29" s="89">
        <f>'KY_Res by Plant Acct-P29 (PA)'!R30</f>
        <v>6942264.75</v>
      </c>
      <c r="P29" s="89">
        <f t="shared" ref="P29:P34" si="5">L29+N29</f>
        <v>0</v>
      </c>
    </row>
    <row r="30" spans="1:16">
      <c r="A30" t="s">
        <v>316</v>
      </c>
      <c r="B30" s="52">
        <f>'KY_Cost-Plant Acct-Elec-P14(PA)'!B30+'KY_Cost-Plant Acct-Elec-P14(PA)'!B113</f>
        <v>-253776.4</v>
      </c>
      <c r="C30" s="52"/>
      <c r="D30" s="52">
        <f>'KY_Cost-Plant Acct-Elec-P14(PA)'!D30+'KY_Cost-Plant Acct-Elec-P14(PA)'!D113</f>
        <v>0</v>
      </c>
      <c r="E30" s="52"/>
      <c r="F30" s="52">
        <f>'KY_Cost-Plant Acct-Elec-P14(PA)'!F30</f>
        <v>0</v>
      </c>
      <c r="G30" s="52"/>
      <c r="H30" s="52">
        <f>'KY_Cost-Plant Acct-Elec-P14(PA)'!H30</f>
        <v>0</v>
      </c>
      <c r="I30" s="52"/>
      <c r="J30" s="52">
        <f t="shared" si="3"/>
        <v>0</v>
      </c>
      <c r="K30" s="52"/>
      <c r="L30" s="182">
        <f t="shared" si="4"/>
        <v>-253776.4</v>
      </c>
      <c r="N30" s="89">
        <f>'KY_Res by Plant Acct-P29 (PA)'!R31</f>
        <v>253776.4</v>
      </c>
      <c r="P30" s="89">
        <f t="shared" si="5"/>
        <v>0</v>
      </c>
    </row>
    <row r="31" spans="1:16">
      <c r="A31" t="s">
        <v>317</v>
      </c>
      <c r="B31" s="52">
        <f>'KY_Cost-Plant Acct-Elec-P14(PA)'!B31+'KY_Cost-Plant Acct-Elec-P14(PA)'!B114</f>
        <v>-1385213.31</v>
      </c>
      <c r="C31" s="52"/>
      <c r="D31" s="52">
        <f>'KY_Cost-Plant Acct-Elec-P14(PA)'!D31+'KY_Cost-Plant Acct-Elec-P14(PA)'!D114</f>
        <v>0</v>
      </c>
      <c r="E31" s="52"/>
      <c r="F31" s="52">
        <f>'KY_Cost-Plant Acct-Elec-P14(PA)'!F31</f>
        <v>0</v>
      </c>
      <c r="G31" s="52"/>
      <c r="H31" s="52">
        <f>'KY_Cost-Plant Acct-Elec-P14(PA)'!H31</f>
        <v>0</v>
      </c>
      <c r="I31" s="52"/>
      <c r="J31" s="52">
        <f t="shared" si="3"/>
        <v>0</v>
      </c>
      <c r="K31" s="52"/>
      <c r="L31" s="182">
        <f t="shared" si="4"/>
        <v>-1385213.31</v>
      </c>
      <c r="N31" s="89">
        <f>'KY_Res by Plant Acct-P29 (PA)'!R32</f>
        <v>1385213.31</v>
      </c>
      <c r="P31" s="89">
        <f t="shared" si="5"/>
        <v>0</v>
      </c>
    </row>
    <row r="32" spans="1:16">
      <c r="A32" t="s">
        <v>318</v>
      </c>
      <c r="B32" s="52">
        <f>'KY_Cost-Plant Acct-Elec-P14(PA)'!B32</f>
        <v>-21504.75</v>
      </c>
      <c r="C32" s="52"/>
      <c r="D32" s="52">
        <f>'KY_Cost-Plant Acct-Elec-P14(PA)'!D32</f>
        <v>0</v>
      </c>
      <c r="E32" s="52"/>
      <c r="F32" s="52">
        <f>'KY_Cost-Plant Acct-Elec-P14(PA)'!F32</f>
        <v>0</v>
      </c>
      <c r="G32" s="52"/>
      <c r="H32" s="52">
        <f>'KY_Cost-Plant Acct-Elec-P14(PA)'!H32</f>
        <v>0</v>
      </c>
      <c r="I32" s="52"/>
      <c r="J32" s="52">
        <f t="shared" si="3"/>
        <v>0</v>
      </c>
      <c r="K32" s="52"/>
      <c r="L32" s="182">
        <f t="shared" si="4"/>
        <v>-21504.75</v>
      </c>
      <c r="N32" s="89">
        <f>'KY_Res by Plant Acct-P29 (PA)'!R33</f>
        <v>21504.75</v>
      </c>
      <c r="P32" s="89">
        <f t="shared" si="5"/>
        <v>0</v>
      </c>
    </row>
    <row r="33" spans="1:16">
      <c r="A33" t="s">
        <v>319</v>
      </c>
      <c r="B33" s="52">
        <f>'KY_Cost-Plant Acct-Elec-P14(PA)'!B33</f>
        <v>-2156793.02</v>
      </c>
      <c r="C33" s="52"/>
      <c r="D33" s="52">
        <f>'KY_Cost-Plant Acct-Elec-P14(PA)'!D33</f>
        <v>0</v>
      </c>
      <c r="E33" s="52"/>
      <c r="F33" s="52">
        <f>'KY_Cost-Plant Acct-Elec-P14(PA)'!F33</f>
        <v>0</v>
      </c>
      <c r="G33" s="52"/>
      <c r="H33" s="52">
        <f>'KY_Cost-Plant Acct-Elec-P14(PA)'!H33</f>
        <v>0</v>
      </c>
      <c r="I33" s="52"/>
      <c r="J33" s="52">
        <f t="shared" si="3"/>
        <v>0</v>
      </c>
      <c r="K33" s="52"/>
      <c r="L33" s="182">
        <f t="shared" si="4"/>
        <v>-2156793.02</v>
      </c>
      <c r="N33" s="89">
        <f>'KY_Res by Plant Acct-P29 (PA)'!R34</f>
        <v>2156793.0200000005</v>
      </c>
      <c r="P33" s="89">
        <f t="shared" si="5"/>
        <v>0</v>
      </c>
    </row>
    <row r="34" spans="1:16">
      <c r="A34" t="s">
        <v>320</v>
      </c>
      <c r="B34" s="48">
        <f>'KY_Cost-Plant Acct-Elec-P14(PA)'!B34</f>
        <v>-26510.82</v>
      </c>
      <c r="C34" s="52"/>
      <c r="D34" s="48">
        <f>'KY_Cost-Plant Acct-Elec-P14(PA)'!D34</f>
        <v>0</v>
      </c>
      <c r="E34" s="52"/>
      <c r="F34" s="48">
        <f>'KY_Cost-Plant Acct-Elec-P14(PA)'!F34</f>
        <v>0</v>
      </c>
      <c r="G34" s="52"/>
      <c r="H34" s="48">
        <f>'KY_Cost-Plant Acct-Elec-P14(PA)'!H34</f>
        <v>0</v>
      </c>
      <c r="I34" s="52"/>
      <c r="J34" s="48">
        <f t="shared" si="3"/>
        <v>0</v>
      </c>
      <c r="K34" s="52"/>
      <c r="L34" s="48">
        <f t="shared" si="4"/>
        <v>-26510.82</v>
      </c>
      <c r="N34" s="90">
        <f>'KY_Res by Plant Acct-P29 (PA)'!R35</f>
        <v>26510.82</v>
      </c>
      <c r="P34" s="90">
        <f t="shared" si="5"/>
        <v>0</v>
      </c>
    </row>
    <row r="35" spans="1:16">
      <c r="B35" s="52">
        <f>SUM(B29:B34)</f>
        <v>-10825272.690000001</v>
      </c>
      <c r="C35" s="52"/>
      <c r="D35" s="52">
        <f>SUM(D29:D34)</f>
        <v>0</v>
      </c>
      <c r="E35" s="52"/>
      <c r="F35" s="52">
        <f>SUM(F29:F34)</f>
        <v>39209.64</v>
      </c>
      <c r="G35" s="52"/>
      <c r="H35" s="52">
        <f>SUM(H29:H34)</f>
        <v>0</v>
      </c>
      <c r="I35" s="52"/>
      <c r="J35" s="52">
        <f>SUM(J29:J34)</f>
        <v>39209.64</v>
      </c>
      <c r="K35" s="52"/>
      <c r="L35" s="52">
        <f>SUM(L29:L34)</f>
        <v>-10786063.050000001</v>
      </c>
      <c r="N35" s="52">
        <f>SUM(N29:N34)</f>
        <v>10786063.050000001</v>
      </c>
      <c r="P35" s="52">
        <f>SUM(P29:P34)</f>
        <v>0</v>
      </c>
    </row>
    <row r="36" spans="1:16">
      <c r="B36" s="52"/>
      <c r="C36" s="52"/>
      <c r="D36" s="52"/>
      <c r="E36" s="52"/>
      <c r="F36" s="52"/>
      <c r="G36" s="52"/>
      <c r="H36" s="52"/>
      <c r="I36" s="52"/>
      <c r="J36" s="52"/>
      <c r="K36" s="52"/>
      <c r="L36" s="52"/>
    </row>
    <row r="37" spans="1:16">
      <c r="A37" s="12" t="s">
        <v>809</v>
      </c>
      <c r="B37" s="52"/>
      <c r="C37" s="52"/>
      <c r="D37" s="52"/>
      <c r="E37" s="52"/>
      <c r="F37" s="52"/>
      <c r="G37" s="52"/>
      <c r="H37" s="52"/>
      <c r="I37" s="52"/>
      <c r="J37" s="52"/>
      <c r="K37" s="52"/>
      <c r="L37" s="52"/>
    </row>
    <row r="38" spans="1:16">
      <c r="A38" t="s">
        <v>321</v>
      </c>
      <c r="B38" s="52">
        <f>'KY_Cost-Plant Acct-Elec-P14(PA)'!B38</f>
        <v>0</v>
      </c>
      <c r="C38" s="52"/>
      <c r="D38" s="52">
        <f>'KY_Cost-Plant Acct-Elec-P14(PA)'!D38</f>
        <v>0</v>
      </c>
      <c r="E38" s="52"/>
      <c r="F38" s="52">
        <f>'KY_Cost-Plant Acct-Elec-P14(PA)'!F38</f>
        <v>0</v>
      </c>
      <c r="G38" s="52"/>
      <c r="H38" s="52">
        <f>'KY_Cost-Plant Acct-Elec-P14(PA)'!H38</f>
        <v>0</v>
      </c>
      <c r="I38" s="52"/>
      <c r="J38" s="52">
        <f t="shared" ref="J38:J45" si="6">H38+F38+D38</f>
        <v>0</v>
      </c>
      <c r="K38" s="52"/>
      <c r="L38" s="182">
        <f t="shared" ref="L38:L45" si="7">B38+J38</f>
        <v>0</v>
      </c>
      <c r="N38" s="89">
        <v>0</v>
      </c>
      <c r="P38" s="89">
        <f t="shared" ref="P38:P45" si="8">L38+N38</f>
        <v>0</v>
      </c>
    </row>
    <row r="39" spans="1:16">
      <c r="A39" t="s">
        <v>574</v>
      </c>
      <c r="B39" s="52">
        <f>'KY_Cost-Plant Acct-Elec-P14(PA)'!B39+'KY_Cost-Plant Acct-Elec-P14(PA)'!B118</f>
        <v>-4452079.3600000003</v>
      </c>
      <c r="C39" s="52"/>
      <c r="D39" s="52">
        <f>'KY_Cost-Plant Acct-Elec-P14(PA)'!D39+'KY_Cost-Plant Acct-Elec-P14(PA)'!D118</f>
        <v>0</v>
      </c>
      <c r="E39" s="52"/>
      <c r="F39" s="52">
        <f>'KY_Cost-Plant Acct-Elec-P14(PA)'!F39</f>
        <v>526.02</v>
      </c>
      <c r="G39" s="52"/>
      <c r="H39" s="52">
        <f>'KY_Cost-Plant Acct-Elec-P14(PA)'!H39+'KY_Cost-Plant Acct-Elec-P14(PA)'!H118</f>
        <v>0</v>
      </c>
      <c r="I39" s="52"/>
      <c r="J39" s="52">
        <f t="shared" si="6"/>
        <v>526.02</v>
      </c>
      <c r="K39" s="52"/>
      <c r="L39" s="182">
        <f t="shared" si="7"/>
        <v>-4451553.3400000008</v>
      </c>
      <c r="N39" s="89">
        <f>'KY_Res by Plant Acct-P29 (PA)'!R41+'KY_Res by Plant Acct-P29 (PA)'!R42</f>
        <v>4451717.0500000007</v>
      </c>
      <c r="P39" s="89">
        <f t="shared" si="8"/>
        <v>163.70999999996275</v>
      </c>
    </row>
    <row r="40" spans="1:16">
      <c r="A40" t="s">
        <v>575</v>
      </c>
      <c r="B40" s="52">
        <f>'KY_Cost-Plant Acct-Elec-P14(PA)'!B40+'KY_Cost-Plant Acct-Elec-P14(PA)'!B119</f>
        <v>-1281266.8800000001</v>
      </c>
      <c r="C40" s="52"/>
      <c r="D40" s="52">
        <f>'KY_Cost-Plant Acct-Elec-P14(PA)'!D40+'KY_Cost-Plant Acct-Elec-P14(PA)'!D119</f>
        <v>0</v>
      </c>
      <c r="E40" s="52"/>
      <c r="F40" s="52">
        <f>'KY_Cost-Plant Acct-Elec-P14(PA)'!F40</f>
        <v>0</v>
      </c>
      <c r="G40" s="52"/>
      <c r="H40" s="52">
        <f>'KY_Cost-Plant Acct-Elec-P14(PA)'!H40+'KY_Cost-Plant Acct-Elec-P14(PA)'!H119</f>
        <v>0</v>
      </c>
      <c r="I40" s="52"/>
      <c r="J40" s="52">
        <f t="shared" si="6"/>
        <v>0</v>
      </c>
      <c r="K40" s="52"/>
      <c r="L40" s="182">
        <f t="shared" si="7"/>
        <v>-1281266.8800000001</v>
      </c>
      <c r="N40" s="89">
        <f>'KY_Res by Plant Acct-P29 (PA)'!R43</f>
        <v>1281388.3500000001</v>
      </c>
      <c r="P40" s="89">
        <f t="shared" si="8"/>
        <v>121.46999999997206</v>
      </c>
    </row>
    <row r="41" spans="1:16">
      <c r="A41" t="s">
        <v>576</v>
      </c>
      <c r="B41" s="52">
        <f>'KY_Cost-Plant Acct-Elec-P14(PA)'!B41+'KY_Cost-Plant Acct-Elec-P14(PA)'!B120</f>
        <v>-2014866.1400000001</v>
      </c>
      <c r="C41" s="52"/>
      <c r="D41" s="52">
        <f>'KY_Cost-Plant Acct-Elec-P14(PA)'!D41+'KY_Cost-Plant Acct-Elec-P14(PA)'!D120</f>
        <v>0</v>
      </c>
      <c r="E41" s="52"/>
      <c r="F41" s="52">
        <f>'KY_Cost-Plant Acct-Elec-P14(PA)'!F41</f>
        <v>0</v>
      </c>
      <c r="G41" s="52"/>
      <c r="H41" s="52">
        <f>'KY_Cost-Plant Acct-Elec-P14(PA)'!H41+'KY_Cost-Plant Acct-Elec-P14(PA)'!H120</f>
        <v>0</v>
      </c>
      <c r="I41" s="52"/>
      <c r="J41" s="52">
        <f t="shared" si="6"/>
        <v>0</v>
      </c>
      <c r="K41" s="52"/>
      <c r="L41" s="182">
        <f t="shared" si="7"/>
        <v>-2014866.1400000001</v>
      </c>
      <c r="N41" s="89">
        <f>'KY_Res by Plant Acct-P29 (PA)'!R44</f>
        <v>2014448.6399999999</v>
      </c>
      <c r="P41" s="89">
        <f t="shared" si="8"/>
        <v>-417.50000000023283</v>
      </c>
    </row>
    <row r="42" spans="1:16">
      <c r="A42" t="s">
        <v>577</v>
      </c>
      <c r="B42" s="52">
        <f>'KY_Cost-Plant Acct-Elec-P14(PA)'!B42+'KY_Cost-Plant Acct-Elec-P14(PA)'!B121</f>
        <v>-1656640.16</v>
      </c>
      <c r="C42" s="52"/>
      <c r="D42" s="52">
        <f>'KY_Cost-Plant Acct-Elec-P14(PA)'!D42+'KY_Cost-Plant Acct-Elec-P14(PA)'!D121</f>
        <v>0</v>
      </c>
      <c r="E42" s="52"/>
      <c r="F42" s="52">
        <f>'KY_Cost-Plant Acct-Elec-P14(PA)'!F42</f>
        <v>0</v>
      </c>
      <c r="G42" s="52"/>
      <c r="H42" s="52">
        <f>'KY_Cost-Plant Acct-Elec-P14(PA)'!H42+'KY_Cost-Plant Acct-Elec-P14(PA)'!H121</f>
        <v>0</v>
      </c>
      <c r="I42" s="52"/>
      <c r="J42" s="52">
        <f t="shared" si="6"/>
        <v>0</v>
      </c>
      <c r="K42" s="52"/>
      <c r="L42" s="182">
        <f t="shared" si="7"/>
        <v>-1656640.16</v>
      </c>
      <c r="N42" s="89">
        <f>'KY_Res by Plant Acct-P29 (PA)'!R45</f>
        <v>1656772.48</v>
      </c>
      <c r="P42" s="89">
        <f t="shared" si="8"/>
        <v>132.32000000006519</v>
      </c>
    </row>
    <row r="43" spans="1:16">
      <c r="A43" t="s">
        <v>281</v>
      </c>
      <c r="B43" s="52">
        <f>'KY_Cost-Plant Acct-Elec-P14(PA)'!B43</f>
        <v>-41793.170000000006</v>
      </c>
      <c r="C43" s="52"/>
      <c r="D43" s="52">
        <f>'KY_Cost-Plant Acct-Elec-P14(PA)'!D43+'KY_Cost-Plant Acct-Elec-P14(PA)'!D122</f>
        <v>0</v>
      </c>
      <c r="E43" s="52"/>
      <c r="F43" s="52">
        <f>'KY_Cost-Plant Acct-Elec-P14(PA)'!F43</f>
        <v>0</v>
      </c>
      <c r="G43" s="52"/>
      <c r="H43" s="52">
        <f>'KY_Cost-Plant Acct-Elec-P14(PA)'!H43</f>
        <v>0</v>
      </c>
      <c r="I43" s="52"/>
      <c r="J43" s="52">
        <f t="shared" si="6"/>
        <v>0</v>
      </c>
      <c r="K43" s="52"/>
      <c r="L43" s="182">
        <f t="shared" si="7"/>
        <v>-41793.170000000006</v>
      </c>
      <c r="N43" s="89">
        <f>'KY_Res by Plant Acct-P29 (PA)'!R47+'KY_Res by Plant Acct-P29 (PA)'!R46</f>
        <v>41793.170000000006</v>
      </c>
      <c r="P43" s="89">
        <f t="shared" si="8"/>
        <v>0</v>
      </c>
    </row>
    <row r="44" spans="1:16">
      <c r="A44" t="s">
        <v>282</v>
      </c>
      <c r="B44" s="52">
        <f>'KY_Cost-Plant Acct-Elec-P14(PA)'!B44</f>
        <v>-74686.740000000005</v>
      </c>
      <c r="C44" s="52"/>
      <c r="D44" s="52">
        <f>'KY_Cost-Plant Acct-Elec-P14(PA)'!D44</f>
        <v>0</v>
      </c>
      <c r="E44" s="52"/>
      <c r="F44" s="52">
        <f>'KY_Cost-Plant Acct-Elec-P14(PA)'!F44</f>
        <v>0</v>
      </c>
      <c r="G44" s="52"/>
      <c r="H44" s="52">
        <f>'KY_Cost-Plant Acct-Elec-P14(PA)'!H44</f>
        <v>0</v>
      </c>
      <c r="I44" s="52"/>
      <c r="J44" s="52">
        <f t="shared" si="6"/>
        <v>0</v>
      </c>
      <c r="K44" s="52"/>
      <c r="L44" s="182">
        <f t="shared" si="7"/>
        <v>-74686.740000000005</v>
      </c>
      <c r="N44" s="89">
        <f>'KY_Res by Plant Acct-P29 (PA)'!R48+'KY_Res by Plant Acct-P29 (PA)'!R49</f>
        <v>74686.740000000005</v>
      </c>
      <c r="P44" s="89">
        <f t="shared" si="8"/>
        <v>0</v>
      </c>
    </row>
    <row r="45" spans="1:16">
      <c r="A45" t="s">
        <v>283</v>
      </c>
      <c r="B45" s="48">
        <f>'KY_Cost-Plant Acct-Elec-P14(PA)'!B45</f>
        <v>0</v>
      </c>
      <c r="C45" s="52"/>
      <c r="D45" s="48">
        <f>'KY_Cost-Plant Acct-Elec-P14(PA)'!D45</f>
        <v>0</v>
      </c>
      <c r="E45" s="52"/>
      <c r="F45" s="48">
        <f>'KY_Cost-Plant Acct-Elec-P14(PA)'!F45</f>
        <v>0</v>
      </c>
      <c r="G45" s="52"/>
      <c r="H45" s="48">
        <f>'KY_Cost-Plant Acct-Elec-P14(PA)'!H45</f>
        <v>0</v>
      </c>
      <c r="I45" s="52"/>
      <c r="J45" s="48">
        <f t="shared" si="6"/>
        <v>0</v>
      </c>
      <c r="K45" s="52"/>
      <c r="L45" s="48">
        <f t="shared" si="7"/>
        <v>0</v>
      </c>
      <c r="N45" s="90">
        <f>'KY_Res by Plant Acct-P29 (PA)'!R50</f>
        <v>0</v>
      </c>
      <c r="P45" s="90">
        <f t="shared" si="8"/>
        <v>0</v>
      </c>
    </row>
    <row r="46" spans="1:16">
      <c r="B46" s="52">
        <f>SUM(B38:B45)</f>
        <v>-9521332.4500000011</v>
      </c>
      <c r="C46" s="52"/>
      <c r="D46" s="52">
        <f>SUM(D38:D45)</f>
        <v>0</v>
      </c>
      <c r="E46" s="52"/>
      <c r="F46" s="52">
        <f>SUM(F38:F45)</f>
        <v>526.02</v>
      </c>
      <c r="G46" s="52"/>
      <c r="H46" s="52">
        <f>SUM(H38:H45)</f>
        <v>0</v>
      </c>
      <c r="I46" s="52"/>
      <c r="J46" s="52">
        <f>SUM(J38:J45)</f>
        <v>526.02</v>
      </c>
      <c r="K46" s="52"/>
      <c r="L46" s="52">
        <f>SUM(L38:L45)</f>
        <v>-9520806.4300000016</v>
      </c>
      <c r="N46" s="89">
        <f>SUM(N38:N45)</f>
        <v>9520806.4299999997</v>
      </c>
      <c r="P46" s="89">
        <f>SUM(P38:P45)</f>
        <v>-2.3283064365386963E-10</v>
      </c>
    </row>
    <row r="47" spans="1:16">
      <c r="B47" s="52"/>
      <c r="C47" s="52"/>
      <c r="D47" s="52"/>
      <c r="E47" s="52"/>
      <c r="F47" s="52"/>
      <c r="G47" s="52"/>
      <c r="H47" s="52"/>
      <c r="I47" s="52"/>
      <c r="J47" s="52"/>
      <c r="K47" s="52"/>
      <c r="L47" s="52"/>
    </row>
    <row r="48" spans="1:16">
      <c r="A48" s="3" t="s">
        <v>810</v>
      </c>
      <c r="B48" s="52"/>
      <c r="C48" s="52"/>
      <c r="D48" s="52"/>
      <c r="E48" s="52"/>
      <c r="F48" s="52"/>
      <c r="G48" s="52"/>
      <c r="H48" s="52"/>
      <c r="I48" s="52"/>
      <c r="J48" s="52"/>
      <c r="K48" s="52"/>
      <c r="L48" s="52"/>
    </row>
    <row r="49" spans="1:16">
      <c r="A49" t="s">
        <v>284</v>
      </c>
      <c r="B49" s="52">
        <f>+'KY_Cost-Plant Acct-Elec-P14(PA)'!B49</f>
        <v>0</v>
      </c>
      <c r="C49" s="52"/>
      <c r="D49" s="52">
        <f>+'KY_Cost-Plant Acct-Elec-P14(PA)'!D49</f>
        <v>0</v>
      </c>
      <c r="E49" s="52"/>
      <c r="F49" s="52">
        <f>+'KY_Cost-Plant Acct-Elec-P14(PA)'!F49</f>
        <v>0</v>
      </c>
      <c r="G49" s="52"/>
      <c r="H49" s="52">
        <f>+'KY_Cost-Plant Acct-Elec-P14(PA)'!H49</f>
        <v>0</v>
      </c>
      <c r="I49" s="52"/>
      <c r="J49" s="52">
        <f t="shared" ref="J49:J50" si="9">H49+F49+D49</f>
        <v>0</v>
      </c>
      <c r="K49" s="52"/>
      <c r="L49" s="182">
        <f t="shared" ref="L49:L50" si="10">B49+J49</f>
        <v>0</v>
      </c>
      <c r="N49" s="89">
        <f>'KY_Res by Plant Acct-P29 (PA)'!R327</f>
        <v>0</v>
      </c>
      <c r="P49" s="89">
        <f>L49+N49</f>
        <v>0</v>
      </c>
    </row>
    <row r="50" spans="1:16">
      <c r="A50" t="s">
        <v>285</v>
      </c>
      <c r="B50" s="48">
        <f>+'KY_Cost-Plant Acct-Elec-P14(PA)'!B50</f>
        <v>0</v>
      </c>
      <c r="C50" s="52"/>
      <c r="D50" s="48">
        <f>+'KY_Cost-Plant Acct-Elec-P14(PA)'!D50</f>
        <v>0</v>
      </c>
      <c r="E50" s="52"/>
      <c r="F50" s="48">
        <f>+'KY_Cost-Plant Acct-Elec-P14(PA)'!F50</f>
        <v>0</v>
      </c>
      <c r="G50" s="52"/>
      <c r="H50" s="48">
        <f>+'KY_Cost-Plant Acct-Elec-P14(PA)'!H50</f>
        <v>0</v>
      </c>
      <c r="I50" s="52"/>
      <c r="J50" s="48">
        <f t="shared" si="9"/>
        <v>0</v>
      </c>
      <c r="K50" s="52"/>
      <c r="L50" s="48">
        <f t="shared" si="10"/>
        <v>0</v>
      </c>
      <c r="N50" s="90">
        <f>'KY_Res by Plant Acct-P29 (PA)'!R328</f>
        <v>0</v>
      </c>
      <c r="P50" s="90">
        <f>L50+N50</f>
        <v>0</v>
      </c>
    </row>
    <row r="51" spans="1:16">
      <c r="B51" s="52">
        <f>SUM(B49:B50)</f>
        <v>0</v>
      </c>
      <c r="C51" s="52"/>
      <c r="D51" s="52">
        <f>SUM(D49:D50)</f>
        <v>0</v>
      </c>
      <c r="E51" s="52"/>
      <c r="F51" s="52">
        <f>SUM(F49:F50)</f>
        <v>0</v>
      </c>
      <c r="G51" s="52"/>
      <c r="H51" s="52">
        <f>SUM(H49:H50)</f>
        <v>0</v>
      </c>
      <c r="I51" s="52"/>
      <c r="J51" s="52">
        <f>SUM(J49:J50)</f>
        <v>0</v>
      </c>
      <c r="K51" s="52"/>
      <c r="L51" s="52">
        <f>SUM(L49:L50)</f>
        <v>0</v>
      </c>
      <c r="N51" s="89">
        <f>SUM(N49:N50)</f>
        <v>0</v>
      </c>
      <c r="P51" s="89">
        <f>SUM(P49:P50)</f>
        <v>0</v>
      </c>
    </row>
    <row r="52" spans="1:16">
      <c r="B52" s="52"/>
      <c r="C52" s="52"/>
      <c r="D52" s="52"/>
      <c r="E52" s="52"/>
      <c r="F52" s="52"/>
      <c r="G52" s="52"/>
      <c r="H52" s="52"/>
      <c r="I52" s="52"/>
      <c r="J52" s="52"/>
      <c r="K52" s="52"/>
      <c r="L52" s="52"/>
    </row>
    <row r="53" spans="1:16">
      <c r="A53" s="3" t="s">
        <v>811</v>
      </c>
      <c r="B53" s="182"/>
      <c r="C53" s="182"/>
      <c r="D53" s="182"/>
      <c r="E53" s="182"/>
      <c r="F53" s="182"/>
      <c r="G53" s="182"/>
      <c r="H53" s="182"/>
      <c r="I53" s="182"/>
      <c r="J53" s="182"/>
      <c r="K53" s="182"/>
      <c r="L53" s="182"/>
    </row>
    <row r="54" spans="1:16">
      <c r="A54" t="s">
        <v>286</v>
      </c>
      <c r="B54" s="182">
        <f>'KY_Cost-Plant Acct-Elec-P14(PA)'!B54</f>
        <v>0</v>
      </c>
      <c r="C54" s="182"/>
      <c r="D54" s="182">
        <f>'KY_Cost-Plant Acct-Elec-P14(PA)'!D54</f>
        <v>0</v>
      </c>
      <c r="E54" s="182"/>
      <c r="F54" s="182">
        <f>'KY_Cost-Plant Acct-Elec-P14(PA)'!F54</f>
        <v>0</v>
      </c>
      <c r="G54" s="182"/>
      <c r="H54" s="182">
        <f>'KY_Cost-Plant Acct-Elec-P14(PA)'!H54</f>
        <v>0</v>
      </c>
      <c r="I54" s="182"/>
      <c r="J54" s="182">
        <f t="shared" ref="J54:J62" si="11">H54+F54+D54</f>
        <v>0</v>
      </c>
      <c r="K54" s="182"/>
      <c r="L54" s="182">
        <f t="shared" ref="L54:L62" si="12">B54+J54</f>
        <v>0</v>
      </c>
      <c r="N54" s="89">
        <f>'KY_Res by Plant Acct-P29 (PA)'!R54+'KY_Res by Plant Acct-P29 (PA)'!R55</f>
        <v>0</v>
      </c>
      <c r="P54" s="89">
        <f t="shared" ref="P54:P62" si="13">L54+N54</f>
        <v>0</v>
      </c>
    </row>
    <row r="55" spans="1:16">
      <c r="A55" t="s">
        <v>287</v>
      </c>
      <c r="B55" s="182">
        <f>'KY_Cost-Plant Acct-Elec-P14(PA)'!B55</f>
        <v>-3719097.5700000003</v>
      </c>
      <c r="C55" s="182"/>
      <c r="D55" s="182">
        <f>'KY_Cost-Plant Acct-Elec-P14(PA)'!D55</f>
        <v>0</v>
      </c>
      <c r="E55" s="182"/>
      <c r="F55" s="182">
        <f>'KY_Cost-Plant Acct-Elec-P14(PA)'!F55</f>
        <v>0</v>
      </c>
      <c r="G55" s="182"/>
      <c r="H55" s="182">
        <f>'KY_Cost-Plant Acct-Elec-P14(PA)'!H55</f>
        <v>0</v>
      </c>
      <c r="I55" s="182"/>
      <c r="J55" s="182">
        <f t="shared" si="11"/>
        <v>0</v>
      </c>
      <c r="K55" s="182"/>
      <c r="L55" s="182">
        <f t="shared" si="12"/>
        <v>-3719097.5700000003</v>
      </c>
      <c r="N55" s="89">
        <f>'KY_Res by Plant Acct-P29 (PA)'!R70</f>
        <v>3717682.7900000005</v>
      </c>
      <c r="P55" s="89">
        <f t="shared" si="13"/>
        <v>-1414.7799999997951</v>
      </c>
    </row>
    <row r="56" spans="1:16">
      <c r="A56" t="s">
        <v>288</v>
      </c>
      <c r="B56" s="182">
        <f>'KY_Cost-Plant Acct-Elec-P14(PA)'!B56</f>
        <v>-1908827.0100000002</v>
      </c>
      <c r="C56" s="182"/>
      <c r="D56" s="182">
        <f>'KY_Cost-Plant Acct-Elec-P14(PA)'!D56+'KY_Cost-Plant Acct-Elec-P14(PA)'!D126</f>
        <v>0</v>
      </c>
      <c r="E56" s="182"/>
      <c r="F56" s="182">
        <f>'KY_Cost-Plant Acct-Elec-P14(PA)'!F56</f>
        <v>0</v>
      </c>
      <c r="G56" s="182"/>
      <c r="H56" s="182">
        <f>'KY_Cost-Plant Acct-Elec-P14(PA)'!H56</f>
        <v>0</v>
      </c>
      <c r="I56" s="182"/>
      <c r="J56" s="182">
        <f t="shared" si="11"/>
        <v>0</v>
      </c>
      <c r="K56" s="182"/>
      <c r="L56" s="182">
        <f t="shared" si="12"/>
        <v>-1908827.0100000002</v>
      </c>
      <c r="N56" s="89">
        <f>'KY_Res by Plant Acct-P29 (PA)'!R87</f>
        <v>1908827.01</v>
      </c>
      <c r="P56" s="89">
        <f t="shared" si="13"/>
        <v>0</v>
      </c>
    </row>
    <row r="57" spans="1:16">
      <c r="A57" t="s">
        <v>289</v>
      </c>
      <c r="B57" s="182">
        <f>'KY_Cost-Plant Acct-Elec-P14(PA)'!B57+'KY_Cost-Plant Acct-Elec-P14(PA)'!B127</f>
        <v>-31887984.409999996</v>
      </c>
      <c r="C57" s="182"/>
      <c r="D57" s="182">
        <f>'KY_Cost-Plant Acct-Elec-P14(PA)'!D57+'KY_Cost-Plant Acct-Elec-P14(PA)'!D127</f>
        <v>0</v>
      </c>
      <c r="E57" s="182"/>
      <c r="F57" s="182">
        <f>'KY_Cost-Plant Acct-Elec-P14(PA)'!F57</f>
        <v>194624.59</v>
      </c>
      <c r="G57" s="182"/>
      <c r="H57" s="182">
        <f>'KY_Cost-Plant Acct-Elec-P14(PA)'!H57</f>
        <v>0</v>
      </c>
      <c r="I57" s="182"/>
      <c r="J57" s="182">
        <f t="shared" si="11"/>
        <v>194624.59</v>
      </c>
      <c r="K57" s="182"/>
      <c r="L57" s="182">
        <f t="shared" si="12"/>
        <v>-31693359.819999997</v>
      </c>
      <c r="N57" s="89">
        <f>'KY_Res by Plant Acct-P29 (PA)'!R99</f>
        <v>31693359.819999997</v>
      </c>
      <c r="P57" s="89">
        <f t="shared" si="13"/>
        <v>0</v>
      </c>
    </row>
    <row r="58" spans="1:16">
      <c r="A58" t="s">
        <v>290</v>
      </c>
      <c r="B58" s="182">
        <f>'KY_Cost-Plant Acct-Elec-P14(PA)'!B58+'KY_Cost-Plant Acct-Elec-P14(PA)'!B128</f>
        <v>-14712192.33</v>
      </c>
      <c r="C58" s="182"/>
      <c r="D58" s="182">
        <f>'KY_Cost-Plant Acct-Elec-P14(PA)'!D58+'KY_Cost-Plant Acct-Elec-P14(PA)'!D128</f>
        <v>0</v>
      </c>
      <c r="E58" s="182"/>
      <c r="F58" s="182">
        <f>'KY_Cost-Plant Acct-Elec-P14(PA)'!F58</f>
        <v>0</v>
      </c>
      <c r="G58" s="182"/>
      <c r="H58" s="182">
        <f>'KY_Cost-Plant Acct-Elec-P14(PA)'!H58</f>
        <v>0</v>
      </c>
      <c r="I58" s="182"/>
      <c r="J58" s="182">
        <f t="shared" si="11"/>
        <v>0</v>
      </c>
      <c r="K58" s="182"/>
      <c r="L58" s="182">
        <f t="shared" si="12"/>
        <v>-14712192.33</v>
      </c>
      <c r="N58" s="89">
        <f>'KY_Res by Plant Acct-P29 (PA)'!R115</f>
        <v>14712192.330000002</v>
      </c>
      <c r="P58" s="89">
        <f t="shared" si="13"/>
        <v>0</v>
      </c>
    </row>
    <row r="59" spans="1:16">
      <c r="A59" t="s">
        <v>291</v>
      </c>
      <c r="B59" s="182">
        <f>'KY_Cost-Plant Acct-Elec-P14(PA)'!B59+'KY_Cost-Plant Acct-Elec-P14(PA)'!B129</f>
        <v>-5269689.1400000006</v>
      </c>
      <c r="C59" s="182"/>
      <c r="D59" s="182">
        <f>'KY_Cost-Plant Acct-Elec-P14(PA)'!D59+'KY_Cost-Plant Acct-Elec-P14(PA)'!D129</f>
        <v>0</v>
      </c>
      <c r="E59" s="182"/>
      <c r="F59" s="182">
        <f>'KY_Cost-Plant Acct-Elec-P14(PA)'!F59</f>
        <v>0</v>
      </c>
      <c r="G59" s="182"/>
      <c r="H59" s="182">
        <f>'KY_Cost-Plant Acct-Elec-P14(PA)'!H59</f>
        <v>0</v>
      </c>
      <c r="I59" s="182"/>
      <c r="J59" s="182">
        <f t="shared" si="11"/>
        <v>0</v>
      </c>
      <c r="K59" s="182"/>
      <c r="L59" s="182">
        <f t="shared" si="12"/>
        <v>-5269689.1400000006</v>
      </c>
      <c r="N59" s="89">
        <f>'KY_Res by Plant Acct-P29 (PA)'!R131</f>
        <v>5269689.1400000006</v>
      </c>
      <c r="P59" s="89">
        <f t="shared" si="13"/>
        <v>0</v>
      </c>
    </row>
    <row r="60" spans="1:16">
      <c r="A60" t="s">
        <v>292</v>
      </c>
      <c r="B60" s="182">
        <f>'KY_Cost-Plant Acct-Elec-P14(PA)'!B60</f>
        <v>-1146655.4399999997</v>
      </c>
      <c r="C60" s="182"/>
      <c r="D60" s="182">
        <f>'KY_Cost-Plant Acct-Elec-P14(PA)'!D60+'KY_Cost-Plant Acct-Elec-P14(PA)'!D130</f>
        <v>0</v>
      </c>
      <c r="E60" s="182"/>
      <c r="F60" s="182">
        <f>'KY_Cost-Plant Acct-Elec-P14(PA)'!F60</f>
        <v>0</v>
      </c>
      <c r="G60" s="182"/>
      <c r="H60" s="182">
        <f>'KY_Cost-Plant Acct-Elec-P14(PA)'!H60</f>
        <v>0</v>
      </c>
      <c r="I60" s="182"/>
      <c r="J60" s="182">
        <f t="shared" si="11"/>
        <v>0</v>
      </c>
      <c r="K60" s="182"/>
      <c r="L60" s="182">
        <f t="shared" si="12"/>
        <v>-1146655.4399999997</v>
      </c>
      <c r="N60" s="89">
        <f>'KY_Res by Plant Acct-P29 (PA)'!R145</f>
        <v>1146655.4399999997</v>
      </c>
      <c r="P60" s="89">
        <f t="shared" si="13"/>
        <v>0</v>
      </c>
    </row>
    <row r="61" spans="1:16">
      <c r="A61" t="s">
        <v>293</v>
      </c>
      <c r="B61" s="182">
        <f>'KY_Cost-Plant Acct-Elec-P14(PA)'!B61</f>
        <v>0</v>
      </c>
      <c r="C61" s="182"/>
      <c r="D61" s="182">
        <f>'KY_Cost-Plant Acct-Elec-P14(PA)'!D61</f>
        <v>0</v>
      </c>
      <c r="E61" s="182"/>
      <c r="F61" s="182">
        <f>'KY_Cost-Plant Acct-Elec-P14(PA)'!F61</f>
        <v>0</v>
      </c>
      <c r="G61" s="182"/>
      <c r="H61" s="182">
        <f>'KY_Cost-Plant Acct-Elec-P14(PA)'!H61</f>
        <v>0</v>
      </c>
      <c r="I61" s="182"/>
      <c r="J61" s="182">
        <f t="shared" si="11"/>
        <v>0</v>
      </c>
      <c r="K61" s="182"/>
      <c r="L61" s="182">
        <f t="shared" si="12"/>
        <v>0</v>
      </c>
      <c r="N61" s="89">
        <f>'KY_Res by Plant Acct-P29 (PA)'!R146</f>
        <v>0</v>
      </c>
      <c r="P61" s="89">
        <f t="shared" si="13"/>
        <v>0</v>
      </c>
    </row>
    <row r="62" spans="1:16">
      <c r="A62" t="s">
        <v>294</v>
      </c>
      <c r="B62" s="48">
        <f>'KY_Cost-Plant Acct-Elec-P14(PA)'!B62</f>
        <v>0</v>
      </c>
      <c r="C62" s="182"/>
      <c r="D62" s="48">
        <f>'KY_Cost-Plant Acct-Elec-P14(PA)'!D62</f>
        <v>0</v>
      </c>
      <c r="E62" s="182"/>
      <c r="F62" s="48">
        <f>'KY_Cost-Plant Acct-Elec-P14(PA)'!F62</f>
        <v>0</v>
      </c>
      <c r="G62" s="182"/>
      <c r="H62" s="48">
        <f>'KY_Cost-Plant Acct-Elec-P14(PA)'!H62</f>
        <v>0</v>
      </c>
      <c r="I62" s="182"/>
      <c r="J62" s="48">
        <f t="shared" si="11"/>
        <v>0</v>
      </c>
      <c r="K62" s="52"/>
      <c r="L62" s="48">
        <f t="shared" si="12"/>
        <v>0</v>
      </c>
      <c r="N62" s="90">
        <f>'KY_Res by Plant Acct-P29 (PA)'!R147</f>
        <v>0</v>
      </c>
      <c r="P62" s="90">
        <f t="shared" si="13"/>
        <v>0</v>
      </c>
    </row>
    <row r="63" spans="1:16">
      <c r="B63" s="52">
        <f>SUM(B54:B62)</f>
        <v>-58644445.899999991</v>
      </c>
      <c r="C63" s="52"/>
      <c r="D63" s="52">
        <f>SUM(D54:D62)</f>
        <v>0</v>
      </c>
      <c r="E63" s="52"/>
      <c r="F63" s="52">
        <f>SUM(F54:F62)</f>
        <v>194624.59</v>
      </c>
      <c r="G63" s="52"/>
      <c r="H63" s="52">
        <f>SUM(H54:H62)</f>
        <v>0</v>
      </c>
      <c r="I63" s="52"/>
      <c r="J63" s="52">
        <f>SUM(J54:J62)</f>
        <v>194624.59</v>
      </c>
      <c r="K63" s="52"/>
      <c r="L63" s="52">
        <f>SUM(L54:L62)</f>
        <v>-58449821.309999995</v>
      </c>
      <c r="N63" s="89">
        <f>SUM(N54:N62)</f>
        <v>58448406.530000001</v>
      </c>
      <c r="P63" s="89">
        <f>SUM(P54:P62)</f>
        <v>-1414.7799999997951</v>
      </c>
    </row>
    <row r="64" spans="1:16">
      <c r="B64" s="52"/>
      <c r="C64" s="52"/>
      <c r="D64" s="52"/>
      <c r="E64" s="52"/>
      <c r="F64" s="52"/>
      <c r="G64" s="52"/>
      <c r="H64" s="52"/>
      <c r="I64" s="52"/>
      <c r="J64" s="52"/>
      <c r="K64" s="52"/>
      <c r="L64" s="52"/>
    </row>
    <row r="65" spans="1:16">
      <c r="A65" s="3" t="s">
        <v>812</v>
      </c>
      <c r="B65" s="52"/>
      <c r="C65" s="52"/>
      <c r="D65" s="52"/>
      <c r="E65" s="52"/>
      <c r="F65" s="52"/>
      <c r="G65" s="52"/>
      <c r="H65" s="52"/>
      <c r="I65" s="52"/>
      <c r="J65" s="52"/>
      <c r="K65" s="52"/>
      <c r="L65" s="52"/>
    </row>
    <row r="66" spans="1:16">
      <c r="A66" t="s">
        <v>295</v>
      </c>
      <c r="B66" s="52">
        <f>'KY_Cost-Plant Acct-Elec-P14(PA)'!B66</f>
        <v>0</v>
      </c>
      <c r="C66" s="52"/>
      <c r="D66" s="52">
        <f>'KY_Cost-Plant Acct-Elec-P14(PA)'!D66</f>
        <v>0</v>
      </c>
      <c r="E66" s="52"/>
      <c r="F66" s="52">
        <f>'KY_Cost-Plant Acct-Elec-P14(PA)'!F66</f>
        <v>0</v>
      </c>
      <c r="G66" s="52"/>
      <c r="H66" s="52">
        <f>'KY_Cost-Plant Acct-Elec-P14(PA)'!H66</f>
        <v>0</v>
      </c>
      <c r="I66" s="52"/>
      <c r="J66" s="52">
        <f t="shared" ref="J66:J75" si="14">H66+F66+D66</f>
        <v>0</v>
      </c>
      <c r="K66" s="52"/>
      <c r="L66" s="182">
        <f t="shared" ref="L66:L75" si="15">B66+J66</f>
        <v>0</v>
      </c>
      <c r="N66" s="89">
        <f>'KY_Res by Plant Acct-P29 (PA)'!R153</f>
        <v>0</v>
      </c>
      <c r="P66" s="89">
        <f t="shared" ref="P66:P75" si="16">L66+N66</f>
        <v>0</v>
      </c>
    </row>
    <row r="67" spans="1:16">
      <c r="A67" t="s">
        <v>832</v>
      </c>
      <c r="B67" s="65">
        <f>'KY_Cost-Plant Acct-Elec-P14(PA)'!B68+'KY_Cost-Plant Acct-Elec-P14(PA)'!B133+'Capital Leased Prop P25 (PA)'!B10</f>
        <v>-181726095.94000003</v>
      </c>
      <c r="C67" s="65"/>
      <c r="D67" s="65">
        <f>'KY_Cost-Plant Acct-Elec-P14(PA)'!D68+'KY_Cost-Plant Acct-Elec-P14(PA)'!D133</f>
        <v>0</v>
      </c>
      <c r="E67" s="65"/>
      <c r="F67" s="65">
        <f>'KY_Cost-Plant Acct-Elec-P14(PA)'!F68</f>
        <v>49120.57</v>
      </c>
      <c r="G67" s="65"/>
      <c r="H67" s="65">
        <f>'KY_Cost-Plant Acct-Elec-P14(PA)'!H68+'KY_Cost-Plant Acct-Elec-P14(PA)'!H133</f>
        <v>0</v>
      </c>
      <c r="I67" s="52"/>
      <c r="J67" s="52">
        <f t="shared" si="14"/>
        <v>49120.57</v>
      </c>
      <c r="K67" s="52"/>
      <c r="L67" s="182">
        <f t="shared" si="15"/>
        <v>-181676975.37000003</v>
      </c>
      <c r="N67" s="89">
        <f>'KY_Res by Plant Acct-P29 (PA)'!R180+'KY_Res by Plant Acct-P29 (PA)'!R191</f>
        <v>181679151.56000003</v>
      </c>
      <c r="P67" s="89">
        <f t="shared" si="16"/>
        <v>2176.1899999976158</v>
      </c>
    </row>
    <row r="68" spans="1:16">
      <c r="A68" t="s">
        <v>833</v>
      </c>
      <c r="B68" s="65">
        <f>'KY_Cost-Plant Acct-Elec-P14(PA)'!B69</f>
        <v>-8229798.5499999998</v>
      </c>
      <c r="C68" s="65"/>
      <c r="D68" s="65">
        <f>'KY_Cost-Plant Acct-Elec-P14(PA)'!D69</f>
        <v>0</v>
      </c>
      <c r="E68" s="65"/>
      <c r="F68" s="65">
        <f>'KY_Cost-Plant Acct-Elec-P14(PA)'!F69</f>
        <v>0</v>
      </c>
      <c r="G68" s="65"/>
      <c r="H68" s="65">
        <f>'KY_Cost-Plant Acct-Elec-P14(PA)'!H69</f>
        <v>0</v>
      </c>
      <c r="I68" s="52"/>
      <c r="J68" s="52">
        <f t="shared" si="14"/>
        <v>0</v>
      </c>
      <c r="K68" s="52"/>
      <c r="L68" s="182">
        <f t="shared" si="15"/>
        <v>-8229798.5499999998</v>
      </c>
      <c r="N68" s="89">
        <f>'KY_Res by Plant Acct-P29 (PA)'!R188</f>
        <v>8229798.5499999998</v>
      </c>
      <c r="P68" s="89">
        <f t="shared" si="16"/>
        <v>0</v>
      </c>
    </row>
    <row r="69" spans="1:16">
      <c r="A69" t="s">
        <v>834</v>
      </c>
      <c r="B69" s="65">
        <f>'KY_Cost-Plant Acct-Elec-P14(PA)'!B70+'KY_Cost-Plant Acct-Elec-P14(PA)'!B134</f>
        <v>-586212576.13000011</v>
      </c>
      <c r="C69" s="65"/>
      <c r="D69" s="65">
        <f>'KY_Cost-Plant Acct-Elec-P14(PA)'!D70+'KY_Cost-Plant Acct-Elec-P14(PA)'!D134</f>
        <v>0</v>
      </c>
      <c r="E69" s="65"/>
      <c r="F69" s="65">
        <f>'KY_Cost-Plant Acct-Elec-P14(PA)'!F70</f>
        <v>-230155.0300000002</v>
      </c>
      <c r="G69" s="65"/>
      <c r="H69" s="65">
        <f>'KY_Cost-Plant Acct-Elec-P14(PA)'!H70+'KY_Cost-Plant Acct-Elec-P14(PA)'!H134</f>
        <v>0</v>
      </c>
      <c r="I69" s="52"/>
      <c r="J69" s="52">
        <f t="shared" si="14"/>
        <v>-230155.0300000002</v>
      </c>
      <c r="K69" s="52"/>
      <c r="L69" s="182">
        <f t="shared" si="15"/>
        <v>-586442731.16000009</v>
      </c>
      <c r="N69" s="89">
        <f>'KY_Res by Plant Acct-P29 (PA)'!R234</f>
        <v>586441969.74000013</v>
      </c>
      <c r="P69" s="89">
        <f t="shared" si="16"/>
        <v>-761.41999995708466</v>
      </c>
    </row>
    <row r="70" spans="1:16">
      <c r="A70" t="s">
        <v>835</v>
      </c>
      <c r="B70" s="65">
        <f>'KY_Cost-Plant Acct-Elec-P14(PA)'!B71</f>
        <v>-568669.44999999995</v>
      </c>
      <c r="C70" s="65"/>
      <c r="D70" s="65">
        <f>'KY_Cost-Plant Acct-Elec-P14(PA)'!D71</f>
        <v>0</v>
      </c>
      <c r="E70" s="65"/>
      <c r="F70" s="65">
        <f>'KY_Cost-Plant Acct-Elec-P14(PA)'!F71</f>
        <v>0</v>
      </c>
      <c r="G70" s="65"/>
      <c r="H70" s="65">
        <f>'KY_Cost-Plant Acct-Elec-P14(PA)'!H71</f>
        <v>0</v>
      </c>
      <c r="I70" s="52"/>
      <c r="J70" s="52">
        <f t="shared" si="14"/>
        <v>0</v>
      </c>
      <c r="K70" s="52"/>
      <c r="L70" s="182">
        <f t="shared" si="15"/>
        <v>-568669.44999999995</v>
      </c>
      <c r="N70" s="89">
        <f>'KY_Res by Plant Acct-P29 (PA)'!R237</f>
        <v>568669.44999999995</v>
      </c>
      <c r="P70" s="89">
        <f t="shared" si="16"/>
        <v>0</v>
      </c>
    </row>
    <row r="71" spans="1:16">
      <c r="A71" t="s">
        <v>836</v>
      </c>
      <c r="B71" s="65">
        <f>'KY_Cost-Plant Acct-Elec-P14(PA)'!B72+'KY_Cost-Plant Acct-Elec-P14(PA)'!B135</f>
        <v>-116550878.17999999</v>
      </c>
      <c r="C71" s="65"/>
      <c r="D71" s="65">
        <f>'KY_Cost-Plant Acct-Elec-P14(PA)'!D72+'KY_Cost-Plant Acct-Elec-P14(PA)'!D135</f>
        <v>0</v>
      </c>
      <c r="E71" s="65"/>
      <c r="F71" s="65">
        <f>'KY_Cost-Plant Acct-Elec-P14(PA)'!F72</f>
        <v>133263.56000000006</v>
      </c>
      <c r="G71" s="65"/>
      <c r="H71" s="65">
        <f>'KY_Cost-Plant Acct-Elec-P14(PA)'!H72+'KY_Cost-Plant Acct-Elec-P14(PA)'!H135</f>
        <v>0</v>
      </c>
      <c r="I71" s="52"/>
      <c r="J71" s="52">
        <f t="shared" si="14"/>
        <v>133263.56000000006</v>
      </c>
      <c r="K71" s="52"/>
      <c r="L71" s="182">
        <f t="shared" si="15"/>
        <v>-116417614.61999999</v>
      </c>
      <c r="N71" s="89">
        <f>'KY_Res by Plant Acct-P29 (PA)'!R251</f>
        <v>116417614.62000002</v>
      </c>
      <c r="P71" s="89">
        <f t="shared" si="16"/>
        <v>0</v>
      </c>
    </row>
    <row r="72" spans="1:16">
      <c r="A72" t="s">
        <v>837</v>
      </c>
      <c r="B72" s="65">
        <f>'KY_Cost-Plant Acct-Elec-P14(PA)'!B73+'KY_Cost-Plant Acct-Elec-P14(PA)'!B136</f>
        <v>-109764807.69000001</v>
      </c>
      <c r="C72" s="65"/>
      <c r="D72" s="65">
        <f>'KY_Cost-Plant Acct-Elec-P14(PA)'!D73+'KY_Cost-Plant Acct-Elec-P14(PA)'!D136</f>
        <v>0</v>
      </c>
      <c r="E72" s="65"/>
      <c r="F72" s="65">
        <f>'KY_Cost-Plant Acct-Elec-P14(PA)'!F73</f>
        <v>12536.799999999988</v>
      </c>
      <c r="G72" s="65"/>
      <c r="H72" s="65">
        <f>'KY_Cost-Plant Acct-Elec-P14(PA)'!H73+'KY_Cost-Plant Acct-Elec-P14(PA)'!H136</f>
        <v>0</v>
      </c>
      <c r="I72" s="52"/>
      <c r="J72" s="52">
        <f t="shared" si="14"/>
        <v>12536.799999999988</v>
      </c>
      <c r="K72" s="52"/>
      <c r="L72" s="182">
        <f t="shared" si="15"/>
        <v>-109752270.89000002</v>
      </c>
      <c r="N72" s="89">
        <f>'KY_Res by Plant Acct-P29 (PA)'!R274</f>
        <v>109752270.89</v>
      </c>
      <c r="P72" s="89">
        <f t="shared" si="16"/>
        <v>0</v>
      </c>
    </row>
    <row r="73" spans="1:16">
      <c r="A73" t="s">
        <v>1024</v>
      </c>
      <c r="B73" s="52">
        <f>'KY_Cost-Plant Acct-Elec-P14(PA)'!B74</f>
        <v>0</v>
      </c>
      <c r="C73" s="52"/>
      <c r="D73" s="52">
        <f>'KY_Cost-Plant Acct-Elec-P14(PA)'!D74</f>
        <v>0</v>
      </c>
      <c r="E73" s="52"/>
      <c r="F73" s="52">
        <f>'KY_Cost-Plant Acct-Elec-P14(PA)'!F74</f>
        <v>0</v>
      </c>
      <c r="G73" s="52"/>
      <c r="H73" s="52">
        <f>'KY_Cost-Plant Acct-Elec-P14(PA)'!H74</f>
        <v>0</v>
      </c>
      <c r="I73" s="52"/>
      <c r="J73" s="52">
        <f t="shared" si="14"/>
        <v>0</v>
      </c>
      <c r="K73" s="52"/>
      <c r="L73" s="182">
        <f t="shared" si="15"/>
        <v>0</v>
      </c>
      <c r="N73" s="89">
        <f>'KY_Res by Plant Acct-P29 (PA)'!R283</f>
        <v>0</v>
      </c>
      <c r="P73" s="89">
        <f t="shared" si="16"/>
        <v>0</v>
      </c>
    </row>
    <row r="74" spans="1:16">
      <c r="A74" t="s">
        <v>838</v>
      </c>
      <c r="B74" s="52">
        <f>'KY_Cost-Plant Acct-Elec-P14(PA)'!B75+'KY_Cost-Plant Acct-Elec-P14(PA)'!B137</f>
        <v>-5302444.4000000004</v>
      </c>
      <c r="C74" s="52"/>
      <c r="D74" s="52">
        <f>'KY_Cost-Plant Acct-Elec-P14(PA)'!D75+'KY_Cost-Plant Acct-Elec-P14(PA)'!D137</f>
        <v>0</v>
      </c>
      <c r="E74" s="52"/>
      <c r="F74" s="52">
        <f>'KY_Cost-Plant Acct-Elec-P14(PA)'!F75</f>
        <v>0</v>
      </c>
      <c r="G74" s="52"/>
      <c r="H74" s="52">
        <f>'KY_Cost-Plant Acct-Elec-P14(PA)'!H75+'KY_Cost-Plant Acct-Elec-P14(PA)'!H137</f>
        <v>0</v>
      </c>
      <c r="I74" s="52"/>
      <c r="J74" s="52">
        <f t="shared" si="14"/>
        <v>0</v>
      </c>
      <c r="K74" s="52"/>
      <c r="L74" s="182">
        <f t="shared" si="15"/>
        <v>-5302444.4000000004</v>
      </c>
      <c r="N74" s="89">
        <f>'KY_Res by Plant Acct-P29 (PA)'!R298</f>
        <v>5302444.4000000004</v>
      </c>
      <c r="P74" s="89">
        <f t="shared" si="16"/>
        <v>0</v>
      </c>
    </row>
    <row r="75" spans="1:16">
      <c r="A75" t="s">
        <v>839</v>
      </c>
      <c r="B75" s="48">
        <f>'KY_Cost-Plant Acct-Elec-P14(PA)'!B76</f>
        <v>0</v>
      </c>
      <c r="C75" s="52"/>
      <c r="D75" s="48">
        <f>'KY_Cost-Plant Acct-Elec-P14(PA)'!D76</f>
        <v>0</v>
      </c>
      <c r="E75" s="52"/>
      <c r="F75" s="48">
        <f>'KY_Cost-Plant Acct-Elec-P14(PA)'!F76</f>
        <v>0</v>
      </c>
      <c r="G75" s="52"/>
      <c r="H75" s="48">
        <f>'KY_Cost-Plant Acct-Elec-P14(PA)'!H76</f>
        <v>0</v>
      </c>
      <c r="I75" s="52"/>
      <c r="J75" s="48">
        <f t="shared" si="14"/>
        <v>0</v>
      </c>
      <c r="K75" s="52"/>
      <c r="L75" s="48">
        <f t="shared" si="15"/>
        <v>0</v>
      </c>
      <c r="N75" s="90">
        <f>'KY_Res by Plant Acct-P29 (PA)'!R299</f>
        <v>0</v>
      </c>
      <c r="P75" s="90">
        <f t="shared" si="16"/>
        <v>0</v>
      </c>
    </row>
    <row r="76" spans="1:16">
      <c r="B76" s="52">
        <f>SUM(B66:B75)</f>
        <v>-1008355270.3400002</v>
      </c>
      <c r="C76" s="52"/>
      <c r="D76" s="52">
        <f>SUM(D66:D75)</f>
        <v>0</v>
      </c>
      <c r="E76" s="52"/>
      <c r="F76" s="52">
        <f>SUM(F66:F75)</f>
        <v>-35234.100000000151</v>
      </c>
      <c r="G76" s="52"/>
      <c r="H76" s="52">
        <f>SUM(H66:H75)</f>
        <v>0</v>
      </c>
      <c r="I76" s="52"/>
      <c r="J76" s="52">
        <f>SUM(J66:J75)</f>
        <v>-35234.100000000151</v>
      </c>
      <c r="K76" s="52"/>
      <c r="L76" s="52">
        <f>SUM(L66:L75)</f>
        <v>-1008390504.4400002</v>
      </c>
      <c r="N76" s="89">
        <f>SUM(N66:N75)</f>
        <v>1008391919.2100002</v>
      </c>
      <c r="P76" s="89">
        <f>SUM(P66:P75)</f>
        <v>1414.7700000405312</v>
      </c>
    </row>
    <row r="77" spans="1:16">
      <c r="B77" s="52"/>
      <c r="C77" s="52"/>
      <c r="D77" s="52"/>
      <c r="E77" s="52"/>
      <c r="F77" s="52"/>
      <c r="G77" s="52"/>
      <c r="H77" s="52"/>
      <c r="I77" s="52"/>
      <c r="J77" s="52"/>
      <c r="K77" s="52"/>
      <c r="L77" s="52"/>
    </row>
    <row r="78" spans="1:16">
      <c r="A78" s="3" t="s">
        <v>119</v>
      </c>
      <c r="B78" s="52"/>
      <c r="C78" s="52"/>
      <c r="D78" s="52"/>
      <c r="E78" s="52"/>
      <c r="F78" s="52"/>
      <c r="G78" s="52"/>
      <c r="H78" s="52"/>
      <c r="I78" s="52"/>
      <c r="J78" s="52"/>
      <c r="K78" s="52"/>
      <c r="L78" s="52"/>
    </row>
    <row r="79" spans="1:16">
      <c r="A79" t="s">
        <v>5</v>
      </c>
      <c r="B79" s="52">
        <f>'KY_Cost-Plant Acct-Elec-P14(PA)'!B80</f>
        <v>-1657663.57</v>
      </c>
      <c r="C79" s="52"/>
      <c r="D79" s="52">
        <f>'KY_Cost-Plant Acct-Elec-P14(PA)'!D80</f>
        <v>0</v>
      </c>
      <c r="E79" s="52"/>
      <c r="F79" s="52">
        <f>'KY_Cost-Plant Acct-Elec-P14(PA)'!F80</f>
        <v>0</v>
      </c>
      <c r="G79" s="52"/>
      <c r="H79" s="52">
        <f>'KY_Cost-Plant Acct-Elec-P14(PA)'!H80</f>
        <v>0</v>
      </c>
      <c r="I79" s="52"/>
      <c r="J79" s="52">
        <f t="shared" ref="J79:J90" si="17">H79+F79+D79</f>
        <v>0</v>
      </c>
      <c r="K79" s="52"/>
      <c r="L79" s="182">
        <f t="shared" ref="L79:L90" si="18">B79+J79</f>
        <v>-1657663.57</v>
      </c>
      <c r="N79" s="89">
        <f>'KY_Res by Plant Acct-P29 (PA)'!R303</f>
        <v>1657663.57</v>
      </c>
      <c r="P79" s="89">
        <f t="shared" ref="P79:P90" si="19">L79+N79</f>
        <v>0</v>
      </c>
    </row>
    <row r="80" spans="1:16">
      <c r="A80" t="s">
        <v>6</v>
      </c>
      <c r="B80" s="52">
        <f>'KY_Cost-Plant Acct-Elec-P14(PA)'!B81</f>
        <v>0</v>
      </c>
      <c r="C80" s="52"/>
      <c r="D80" s="52">
        <f>'KY_Cost-Plant Acct-Elec-P14(PA)'!D81</f>
        <v>0</v>
      </c>
      <c r="E80" s="52"/>
      <c r="F80" s="52">
        <f>'KY_Cost-Plant Acct-Elec-P14(PA)'!F81</f>
        <v>0</v>
      </c>
      <c r="G80" s="52"/>
      <c r="H80" s="52">
        <f>'KY_Cost-Plant Acct-Elec-P14(PA)'!H81</f>
        <v>0</v>
      </c>
      <c r="I80" s="52"/>
      <c r="J80" s="52">
        <f t="shared" si="17"/>
        <v>0</v>
      </c>
      <c r="K80" s="52"/>
      <c r="L80" s="182">
        <f t="shared" si="18"/>
        <v>0</v>
      </c>
      <c r="N80" s="89">
        <f>'KY_Res by Plant Acct-P29 (PA)'!R304</f>
        <v>0</v>
      </c>
      <c r="P80" s="89">
        <f t="shared" si="19"/>
        <v>0</v>
      </c>
    </row>
    <row r="81" spans="1:16">
      <c r="A81" t="s">
        <v>7</v>
      </c>
      <c r="B81" s="52">
        <f>'KY_Cost-Plant Acct-Elec-P14(PA)'!B82+'KY_Cost-Plant Acct-Elec-P14(PA)'!B142</f>
        <v>-1045731.1399999999</v>
      </c>
      <c r="C81" s="52"/>
      <c r="D81" s="52">
        <f>'KY_Cost-Plant Acct-Elec-P14(PA)'!D82+'KY_Cost-Plant Acct-Elec-P14(PA)'!D142</f>
        <v>0</v>
      </c>
      <c r="E81" s="52"/>
      <c r="F81" s="52">
        <f>'KY_Cost-Plant Acct-Elec-P14(PA)'!F82</f>
        <v>0</v>
      </c>
      <c r="G81" s="52"/>
      <c r="H81" s="52">
        <f>'KY_Cost-Plant Acct-Elec-P14(PA)'!H82</f>
        <v>0</v>
      </c>
      <c r="I81" s="52"/>
      <c r="J81" s="52">
        <f t="shared" si="17"/>
        <v>0</v>
      </c>
      <c r="K81" s="52"/>
      <c r="L81" s="182">
        <f t="shared" si="18"/>
        <v>-1045731.1399999999</v>
      </c>
      <c r="N81" s="89">
        <f>'KY_Res by Plant Acct-P29 (PA)'!R305+'KY_Res by Plant Acct-P29 (PA)'!R306+'KY_Res by Plant Acct-P29 (PA)'!R307</f>
        <v>1045736.6499999999</v>
      </c>
      <c r="P81" s="89">
        <f t="shared" si="19"/>
        <v>5.5100000000093132</v>
      </c>
    </row>
    <row r="82" spans="1:16">
      <c r="A82" t="s">
        <v>8</v>
      </c>
      <c r="B82" s="52">
        <f>'KY_Cost-Plant Acct-Elec-P14(PA)'!B83+'KY_Cost-Plant Acct-Elec-P14(PA)'!B143</f>
        <v>-62014764.129999995</v>
      </c>
      <c r="C82" s="52"/>
      <c r="D82" s="52">
        <f>'KY_Cost-Plant Acct-Elec-P14(PA)'!D83+'KY_Cost-Plant Acct-Elec-P14(PA)'!D143</f>
        <v>0</v>
      </c>
      <c r="E82" s="52"/>
      <c r="F82" s="52">
        <f>'KY_Cost-Plant Acct-Elec-P14(PA)'!F83</f>
        <v>716300.49</v>
      </c>
      <c r="G82" s="52"/>
      <c r="H82" s="52">
        <f>'KY_Cost-Plant Acct-Elec-P14(PA)'!H83+'KY_Cost-Plant Acct-Elec-P14(PA)'!H143</f>
        <v>0</v>
      </c>
      <c r="I82" s="52"/>
      <c r="J82" s="52">
        <f t="shared" si="17"/>
        <v>716300.49</v>
      </c>
      <c r="K82" s="52"/>
      <c r="L82" s="182">
        <f t="shared" si="18"/>
        <v>-61298463.639999993</v>
      </c>
      <c r="N82" s="89">
        <f>'KY_Res by Plant Acct-P29 (PA)'!R308+'KY_Res by Plant Acct-P29 (PA)'!R309+'KY_Res by Plant Acct-P29 (PA)'!R310</f>
        <v>61298463.639999993</v>
      </c>
      <c r="P82" s="89">
        <f t="shared" si="19"/>
        <v>0</v>
      </c>
    </row>
    <row r="83" spans="1:16">
      <c r="A83" t="s">
        <v>840</v>
      </c>
      <c r="B83" s="52">
        <f>'KY_Cost-Plant Acct-Elec-P14(PA)'!B84</f>
        <v>-5748.1100000000006</v>
      </c>
      <c r="C83" s="52"/>
      <c r="D83" s="52">
        <f>'KY_Cost-Plant Acct-Elec-P14(PA)'!D84</f>
        <v>0</v>
      </c>
      <c r="E83" s="52"/>
      <c r="F83" s="52">
        <f>'KY_Cost-Plant Acct-Elec-P14(PA)'!F84</f>
        <v>0</v>
      </c>
      <c r="G83" s="52"/>
      <c r="H83" s="52">
        <f>'KY_Cost-Plant Acct-Elec-P14(PA)'!H84</f>
        <v>0</v>
      </c>
      <c r="I83" s="52"/>
      <c r="J83" s="52">
        <f t="shared" si="17"/>
        <v>0</v>
      </c>
      <c r="K83" s="52"/>
      <c r="L83" s="182">
        <f t="shared" si="18"/>
        <v>-5748.1100000000006</v>
      </c>
      <c r="N83" s="89">
        <f>'KY_Res by Plant Acct-P29 (PA)'!R311+'KY_Res by Plant Acct-P29 (PA)'!R312</f>
        <v>5748.1100000000006</v>
      </c>
      <c r="P83" s="89">
        <f t="shared" si="19"/>
        <v>0</v>
      </c>
    </row>
    <row r="84" spans="1:16">
      <c r="A84" t="s">
        <v>9</v>
      </c>
      <c r="B84" s="52">
        <f>'KY_Cost-Plant Acct-Elec-P14(PA)'!B85+'KY_Cost-Plant Acct-Elec-P14(PA)'!B144</f>
        <v>-11547037.41</v>
      </c>
      <c r="C84" s="52"/>
      <c r="D84" s="52">
        <f>'KY_Cost-Plant Acct-Elec-P14(PA)'!D85+'KY_Cost-Plant Acct-Elec-P14(PA)'!D144</f>
        <v>0</v>
      </c>
      <c r="E84" s="52"/>
      <c r="F84" s="52">
        <f>'KY_Cost-Plant Acct-Elec-P14(PA)'!F85</f>
        <v>91852.77</v>
      </c>
      <c r="G84" s="52"/>
      <c r="H84" s="52">
        <f>'KY_Cost-Plant Acct-Elec-P14(PA)'!H85+'KY_Cost-Plant Acct-Elec-P14(PA)'!H144</f>
        <v>0</v>
      </c>
      <c r="I84" s="52"/>
      <c r="J84" s="52">
        <f t="shared" si="17"/>
        <v>91852.77</v>
      </c>
      <c r="K84" s="52"/>
      <c r="L84" s="182">
        <f t="shared" si="18"/>
        <v>-11455184.640000001</v>
      </c>
      <c r="N84" s="89">
        <f>'KY_Res by Plant Acct-P29 (PA)'!R313</f>
        <v>11455184.640000001</v>
      </c>
      <c r="P84" s="89">
        <f t="shared" si="19"/>
        <v>0</v>
      </c>
    </row>
    <row r="85" spans="1:16">
      <c r="A85" t="s">
        <v>10</v>
      </c>
      <c r="B85" s="52">
        <f>'KY_Cost-Plant Acct-Elec-P14(PA)'!B86+'KY_Cost-Plant Acct-Elec-P14(PA)'!B145</f>
        <v>-12294608.01</v>
      </c>
      <c r="C85" s="52"/>
      <c r="D85" s="52">
        <f>'KY_Cost-Plant Acct-Elec-P14(PA)'!D86+'KY_Cost-Plant Acct-Elec-P14(PA)'!D145</f>
        <v>0</v>
      </c>
      <c r="E85" s="52"/>
      <c r="F85" s="52">
        <f>'KY_Cost-Plant Acct-Elec-P14(PA)'!F86</f>
        <v>9477.98</v>
      </c>
      <c r="G85" s="52"/>
      <c r="H85" s="52">
        <f>'KY_Cost-Plant Acct-Elec-P14(PA)'!H86+'KY_Cost-Plant Acct-Elec-P14(PA)'!H145</f>
        <v>0</v>
      </c>
      <c r="I85" s="52"/>
      <c r="J85" s="52">
        <f t="shared" si="17"/>
        <v>9477.98</v>
      </c>
      <c r="K85" s="52"/>
      <c r="L85" s="182">
        <f t="shared" si="18"/>
        <v>-12285130.029999999</v>
      </c>
      <c r="N85" s="89">
        <f>'KY_Res by Plant Acct-P29 (PA)'!R314</f>
        <v>12285130.029999999</v>
      </c>
      <c r="P85" s="89">
        <f t="shared" si="19"/>
        <v>0</v>
      </c>
    </row>
    <row r="86" spans="1:16">
      <c r="A86" t="s">
        <v>11</v>
      </c>
      <c r="B86" s="52">
        <f>'KY_Cost-Plant Acct-Elec-P14(PA)'!B87+'KY_Cost-Plant Acct-Elec-P14(PA)'!B146</f>
        <v>-13919695.210000001</v>
      </c>
      <c r="C86" s="52"/>
      <c r="D86" s="52">
        <f>'KY_Cost-Plant Acct-Elec-P14(PA)'!D87+'KY_Cost-Plant Acct-Elec-P14(PA)'!D146</f>
        <v>0</v>
      </c>
      <c r="E86" s="52"/>
      <c r="F86" s="52">
        <f>'KY_Cost-Plant Acct-Elec-P14(PA)'!F87</f>
        <v>22038.629999999997</v>
      </c>
      <c r="G86" s="52"/>
      <c r="H86" s="52">
        <f>'KY_Cost-Plant Acct-Elec-P14(PA)'!H87+'KY_Cost-Plant Acct-Elec-P14(PA)'!H146</f>
        <v>0</v>
      </c>
      <c r="I86" s="52"/>
      <c r="J86" s="52">
        <f t="shared" si="17"/>
        <v>22038.629999999997</v>
      </c>
      <c r="K86" s="52"/>
      <c r="L86" s="182">
        <f t="shared" si="18"/>
        <v>-13897656.58</v>
      </c>
      <c r="N86" s="89">
        <f>'KY_Res by Plant Acct-P29 (PA)'!R315</f>
        <v>13897656.58</v>
      </c>
      <c r="P86" s="89">
        <f t="shared" si="19"/>
        <v>0</v>
      </c>
    </row>
    <row r="87" spans="1:16">
      <c r="A87" t="s">
        <v>841</v>
      </c>
      <c r="B87" s="52">
        <f>'KY_Cost-Plant Acct-Elec-P14(PA)'!B88</f>
        <v>-566038.14</v>
      </c>
      <c r="C87" s="52"/>
      <c r="D87" s="52">
        <f>'KY_Cost-Plant Acct-Elec-P14(PA)'!D88</f>
        <v>0</v>
      </c>
      <c r="E87" s="52"/>
      <c r="F87" s="52">
        <f>'KY_Cost-Plant Acct-Elec-P14(PA)'!F88</f>
        <v>138218.09</v>
      </c>
      <c r="G87" s="52"/>
      <c r="H87" s="52">
        <f>'KY_Cost-Plant Acct-Elec-P14(PA)'!H88</f>
        <v>0</v>
      </c>
      <c r="I87" s="52"/>
      <c r="J87" s="52">
        <f t="shared" si="17"/>
        <v>138218.09</v>
      </c>
      <c r="K87" s="52"/>
      <c r="L87" s="182">
        <f t="shared" si="18"/>
        <v>-427820.05000000005</v>
      </c>
      <c r="N87" s="89">
        <f>'KY_Res by Plant Acct-P29 (PA)'!R316</f>
        <v>427820.05000000005</v>
      </c>
      <c r="P87" s="89">
        <f t="shared" si="19"/>
        <v>0</v>
      </c>
    </row>
    <row r="88" spans="1:16">
      <c r="A88" t="s">
        <v>842</v>
      </c>
      <c r="B88" s="52">
        <f>'KY_Cost-Plant Acct-Elec-P14(PA)'!B89</f>
        <v>-1971326.56</v>
      </c>
      <c r="C88" s="52"/>
      <c r="D88" s="52">
        <f>'KY_Cost-Plant Acct-Elec-P14(PA)'!D89</f>
        <v>0</v>
      </c>
      <c r="E88" s="52"/>
      <c r="F88" s="52">
        <f>'KY_Cost-Plant Acct-Elec-P14(PA)'!F89</f>
        <v>189371.47999999998</v>
      </c>
      <c r="G88" s="52"/>
      <c r="H88" s="52">
        <f>'KY_Cost-Plant Acct-Elec-P14(PA)'!H89</f>
        <v>0</v>
      </c>
      <c r="I88" s="52"/>
      <c r="J88" s="52">
        <f t="shared" si="17"/>
        <v>189371.47999999998</v>
      </c>
      <c r="K88" s="52"/>
      <c r="L88" s="182">
        <f t="shared" si="18"/>
        <v>-1781955.08</v>
      </c>
      <c r="N88" s="89">
        <f>'KY_Res by Plant Acct-P29 (PA)'!R317</f>
        <v>1781500.1300000001</v>
      </c>
      <c r="P88" s="89">
        <f t="shared" si="19"/>
        <v>-454.94999999995343</v>
      </c>
    </row>
    <row r="89" spans="1:16">
      <c r="A89" t="s">
        <v>843</v>
      </c>
      <c r="B89" s="52">
        <f>'KY_Cost-Plant Acct-Elec-P14(PA)'!B90</f>
        <v>0</v>
      </c>
      <c r="C89" s="52"/>
      <c r="D89" s="52">
        <f>'KY_Cost-Plant Acct-Elec-P14(PA)'!D90</f>
        <v>0</v>
      </c>
      <c r="E89" s="52"/>
      <c r="F89" s="52">
        <f>'KY_Cost-Plant Acct-Elec-P14(PA)'!F90</f>
        <v>0</v>
      </c>
      <c r="G89" s="52"/>
      <c r="H89" s="52">
        <f>'KY_Cost-Plant Acct-Elec-P14(PA)'!H90</f>
        <v>0</v>
      </c>
      <c r="I89" s="52"/>
      <c r="J89" s="52">
        <f t="shared" si="17"/>
        <v>0</v>
      </c>
      <c r="K89" s="52"/>
      <c r="L89" s="182">
        <f t="shared" si="18"/>
        <v>0</v>
      </c>
      <c r="N89" s="89">
        <f>'KY_Res by Plant Acct-P29 (PA)'!R318</f>
        <v>0</v>
      </c>
      <c r="P89" s="89">
        <f t="shared" si="19"/>
        <v>0</v>
      </c>
    </row>
    <row r="90" spans="1:16">
      <c r="A90" t="s">
        <v>844</v>
      </c>
      <c r="B90" s="48">
        <f>'KY_Cost-Plant Acct-Elec-P14(PA)'!B91</f>
        <v>0</v>
      </c>
      <c r="C90" s="52"/>
      <c r="D90" s="48">
        <f>'KY_Cost-Plant Acct-Elec-P14(PA)'!D91</f>
        <v>0</v>
      </c>
      <c r="E90" s="52"/>
      <c r="F90" s="48">
        <f>'KY_Cost-Plant Acct-Elec-P14(PA)'!F91</f>
        <v>0</v>
      </c>
      <c r="G90" s="52"/>
      <c r="H90" s="48">
        <f>'KY_Cost-Plant Acct-Elec-P14(PA)'!H91</f>
        <v>0</v>
      </c>
      <c r="I90" s="52"/>
      <c r="J90" s="48">
        <f t="shared" si="17"/>
        <v>0</v>
      </c>
      <c r="K90" s="52"/>
      <c r="L90" s="48">
        <f t="shared" si="18"/>
        <v>0</v>
      </c>
      <c r="N90" s="90">
        <f>'KY_Res by Plant Acct-P29 (PA)'!R319</f>
        <v>0</v>
      </c>
      <c r="P90" s="90">
        <f t="shared" si="19"/>
        <v>0</v>
      </c>
    </row>
    <row r="91" spans="1:16">
      <c r="B91" s="52">
        <f>SUM(B79:B90)</f>
        <v>-105022612.28000002</v>
      </c>
      <c r="C91" s="52"/>
      <c r="D91" s="52">
        <f>SUM(D79:D90)</f>
        <v>0</v>
      </c>
      <c r="E91" s="52"/>
      <c r="F91" s="52">
        <f>SUM(F79:F90)</f>
        <v>1167259.44</v>
      </c>
      <c r="G91" s="52"/>
      <c r="H91" s="52">
        <f>SUM(H79:H90)</f>
        <v>0</v>
      </c>
      <c r="I91" s="52"/>
      <c r="J91" s="52">
        <f>SUM(J79:J90)</f>
        <v>1167259.44</v>
      </c>
      <c r="K91" s="52"/>
      <c r="L91" s="52">
        <f>SUM(L79:L90)</f>
        <v>-103855352.83999999</v>
      </c>
      <c r="N91" s="52">
        <f>SUM(N79:N90)</f>
        <v>103854903.39999998</v>
      </c>
      <c r="P91" s="89">
        <f>SUM(P79:P90)</f>
        <v>-449.43999999994412</v>
      </c>
    </row>
    <row r="92" spans="1:16">
      <c r="B92" s="52"/>
      <c r="C92" s="52"/>
      <c r="D92" s="52"/>
      <c r="E92" s="52"/>
      <c r="F92" s="52"/>
      <c r="G92" s="52"/>
      <c r="H92" s="52"/>
      <c r="I92" s="52"/>
      <c r="J92" s="52"/>
      <c r="K92" s="52"/>
      <c r="L92" s="52"/>
    </row>
    <row r="93" spans="1:16">
      <c r="B93" s="182"/>
      <c r="C93" s="182"/>
      <c r="D93" s="182"/>
      <c r="E93" s="182"/>
      <c r="F93" s="182"/>
      <c r="G93" s="182"/>
      <c r="H93" s="182"/>
      <c r="I93" s="182"/>
      <c r="J93" s="182"/>
      <c r="K93" s="182"/>
      <c r="L93" s="182"/>
    </row>
    <row r="94" spans="1:16">
      <c r="A94" s="3" t="s">
        <v>421</v>
      </c>
      <c r="B94" s="88">
        <f>B91+B76+B63+B51+B46+B35+B26</f>
        <v>-1463867165.3400002</v>
      </c>
      <c r="C94" s="52"/>
      <c r="D94" s="88">
        <f>D91+D76+D63+D51+D46+D35+D26</f>
        <v>-5.6843418860808015E-13</v>
      </c>
      <c r="E94" s="52"/>
      <c r="F94" s="88">
        <f>F91+F76+F63+F51+F46+F35+F26</f>
        <v>1952524.5199999998</v>
      </c>
      <c r="G94" s="52"/>
      <c r="H94" s="88">
        <f>H91+H76+H63+H51+H46+H35+H26</f>
        <v>0</v>
      </c>
      <c r="I94" s="52"/>
      <c r="J94" s="88">
        <f>J91+J76+J63+J51+J46+J35+J26</f>
        <v>1952524.52</v>
      </c>
      <c r="K94" s="52"/>
      <c r="L94" s="88">
        <f>L91+L76+L63+L51+L46+L35+L26</f>
        <v>-1461914640.8200002</v>
      </c>
      <c r="N94" s="88">
        <f>N91+N76+N63+N51+N46+N35+N26</f>
        <v>1461914237.6100001</v>
      </c>
      <c r="P94" s="88">
        <f>P91+P76+P63+P51+P46+P35+P26</f>
        <v>-403.20999995898455</v>
      </c>
    </row>
    <row r="95" spans="1:16">
      <c r="B95" s="182"/>
      <c r="C95" s="182"/>
      <c r="D95" s="182"/>
      <c r="E95" s="182"/>
      <c r="F95" s="182"/>
      <c r="G95" s="182"/>
      <c r="H95" s="182"/>
      <c r="I95" s="182"/>
      <c r="J95" s="182"/>
      <c r="K95" s="182"/>
      <c r="L95" s="182"/>
    </row>
    <row r="96" spans="1:16">
      <c r="B96" s="52"/>
      <c r="C96" s="182"/>
      <c r="D96" s="52"/>
      <c r="E96" s="182"/>
      <c r="F96" s="52"/>
      <c r="G96" s="182"/>
      <c r="H96" s="52"/>
      <c r="I96" s="182"/>
      <c r="J96" s="52"/>
      <c r="K96" s="52"/>
      <c r="L96" s="52"/>
    </row>
    <row r="97" spans="2:12">
      <c r="B97" s="182"/>
      <c r="C97" s="182"/>
      <c r="D97" s="182"/>
      <c r="E97" s="182"/>
      <c r="F97" s="182"/>
      <c r="G97" s="182"/>
      <c r="H97" s="182"/>
      <c r="I97" s="182"/>
      <c r="J97" s="182"/>
      <c r="K97" s="182"/>
      <c r="L97" s="182"/>
    </row>
    <row r="98" spans="2:12">
      <c r="B98" s="182"/>
      <c r="C98" s="182"/>
      <c r="D98" s="182"/>
      <c r="E98" s="182"/>
      <c r="F98" s="182"/>
      <c r="G98" s="182"/>
      <c r="H98" s="182"/>
      <c r="I98" s="182"/>
      <c r="J98" s="182"/>
      <c r="K98" s="182"/>
      <c r="L98" s="182"/>
    </row>
    <row r="99" spans="2:12">
      <c r="B99" s="182"/>
      <c r="C99" s="182"/>
      <c r="D99" s="182"/>
      <c r="E99" s="182"/>
      <c r="F99" s="182"/>
      <c r="G99" s="182"/>
      <c r="H99" s="182"/>
      <c r="I99" s="182"/>
      <c r="J99" s="182"/>
      <c r="K99" s="182"/>
      <c r="L99" s="182"/>
    </row>
    <row r="100" spans="2:12">
      <c r="B100" s="4"/>
      <c r="C100" s="4"/>
      <c r="D100" s="4"/>
      <c r="E100" s="4"/>
      <c r="F100" s="4"/>
      <c r="G100" s="4"/>
      <c r="H100" s="4"/>
      <c r="I100" s="4"/>
      <c r="J100" s="4"/>
      <c r="K100" s="4"/>
      <c r="L100" s="4"/>
    </row>
    <row r="101" spans="2:12">
      <c r="B101" s="4"/>
      <c r="C101" s="4"/>
      <c r="D101" s="4"/>
      <c r="E101" s="4"/>
      <c r="F101" s="4"/>
      <c r="G101" s="4"/>
      <c r="H101" s="4"/>
      <c r="I101" s="4"/>
      <c r="J101" s="4"/>
      <c r="K101" s="4"/>
      <c r="L101" s="4"/>
    </row>
    <row r="102" spans="2:12">
      <c r="B102" s="4"/>
      <c r="C102" s="4"/>
      <c r="D102" s="4"/>
      <c r="E102" s="4"/>
      <c r="F102" s="4"/>
      <c r="G102" s="4"/>
      <c r="H102" s="4"/>
      <c r="I102" s="4"/>
      <c r="J102" s="4"/>
      <c r="K102" s="4"/>
      <c r="L102" s="4"/>
    </row>
    <row r="103" spans="2:12">
      <c r="B103" s="4"/>
      <c r="C103" s="4"/>
      <c r="D103" s="4"/>
      <c r="E103" s="4"/>
      <c r="F103" s="4"/>
      <c r="G103" s="4"/>
      <c r="H103" s="4"/>
      <c r="I103" s="4"/>
      <c r="J103" s="4"/>
      <c r="K103" s="4"/>
      <c r="L103" s="4"/>
    </row>
    <row r="104" spans="2:12">
      <c r="B104" s="4"/>
      <c r="C104" s="4"/>
      <c r="D104" s="4"/>
      <c r="E104" s="4"/>
      <c r="F104" s="4"/>
      <c r="G104" s="4"/>
      <c r="H104" s="4"/>
      <c r="I104" s="4"/>
      <c r="J104" s="4"/>
      <c r="K104" s="4"/>
      <c r="L104" s="4"/>
    </row>
    <row r="105" spans="2:12">
      <c r="B105" s="4"/>
      <c r="C105" s="4"/>
      <c r="D105" s="4"/>
      <c r="E105" s="4"/>
      <c r="F105" s="4"/>
      <c r="G105" s="4"/>
      <c r="H105" s="4"/>
      <c r="I105" s="4"/>
      <c r="J105" s="4"/>
      <c r="K105" s="4"/>
      <c r="L105" s="4"/>
    </row>
    <row r="106" spans="2:12">
      <c r="B106" s="4"/>
      <c r="C106" s="4"/>
      <c r="D106" s="4"/>
      <c r="E106" s="4"/>
      <c r="F106" s="4"/>
      <c r="G106" s="4"/>
      <c r="H106" s="4"/>
      <c r="I106" s="4"/>
      <c r="J106" s="4"/>
      <c r="K106" s="4"/>
      <c r="L106" s="4"/>
    </row>
    <row r="107" spans="2:12">
      <c r="B107" s="4"/>
      <c r="C107" s="4"/>
      <c r="D107" s="4"/>
      <c r="E107" s="4"/>
      <c r="F107" s="4"/>
      <c r="G107" s="4"/>
      <c r="H107" s="4"/>
      <c r="I107" s="4"/>
      <c r="J107" s="4"/>
      <c r="K107" s="4"/>
      <c r="L107" s="4"/>
    </row>
    <row r="108" spans="2:12">
      <c r="B108" s="4"/>
      <c r="C108" s="4"/>
      <c r="D108" s="4"/>
      <c r="E108" s="4"/>
      <c r="F108" s="4"/>
      <c r="G108" s="4"/>
      <c r="H108" s="4"/>
      <c r="I108" s="4"/>
      <c r="J108" s="4"/>
      <c r="K108" s="4"/>
      <c r="L108" s="4"/>
    </row>
    <row r="109" spans="2:12">
      <c r="B109" s="4"/>
      <c r="C109" s="4"/>
      <c r="D109" s="4"/>
      <c r="E109" s="4"/>
      <c r="F109" s="4"/>
      <c r="G109" s="4"/>
      <c r="H109" s="4"/>
      <c r="I109" s="4"/>
      <c r="J109" s="4"/>
      <c r="K109" s="4"/>
      <c r="L109" s="4"/>
    </row>
    <row r="110" spans="2:12">
      <c r="B110" s="4"/>
      <c r="C110" s="4"/>
      <c r="D110" s="4"/>
      <c r="E110" s="4"/>
      <c r="F110" s="4"/>
      <c r="G110" s="4"/>
      <c r="H110" s="4"/>
      <c r="I110" s="4"/>
      <c r="J110" s="4"/>
      <c r="K110" s="4"/>
      <c r="L110" s="4"/>
    </row>
    <row r="111" spans="2:12">
      <c r="B111" s="4"/>
      <c r="C111" s="4"/>
      <c r="D111" s="4"/>
      <c r="E111" s="4"/>
      <c r="F111" s="4"/>
      <c r="G111" s="4"/>
      <c r="H111" s="4"/>
      <c r="I111" s="4"/>
      <c r="J111" s="4"/>
      <c r="K111" s="4"/>
      <c r="L111" s="4"/>
    </row>
    <row r="112" spans="2:12">
      <c r="B112" s="4"/>
      <c r="C112" s="4"/>
      <c r="D112" s="4"/>
      <c r="E112" s="4"/>
      <c r="F112" s="4"/>
      <c r="G112" s="4"/>
      <c r="H112" s="4"/>
      <c r="I112" s="4"/>
      <c r="J112" s="4"/>
      <c r="K112" s="4"/>
      <c r="L112" s="4"/>
    </row>
    <row r="113" spans="2:12">
      <c r="B113" s="4"/>
      <c r="C113" s="4"/>
      <c r="D113" s="4"/>
      <c r="E113" s="4"/>
      <c r="F113" s="4"/>
      <c r="G113" s="4"/>
      <c r="H113" s="4"/>
      <c r="I113" s="4"/>
      <c r="J113" s="4"/>
      <c r="K113" s="4"/>
      <c r="L113" s="4"/>
    </row>
    <row r="114" spans="2:12">
      <c r="B114" s="4"/>
      <c r="C114" s="4"/>
      <c r="D114" s="4"/>
      <c r="E114" s="4"/>
      <c r="F114" s="4"/>
      <c r="G114" s="4"/>
      <c r="H114" s="4"/>
      <c r="I114" s="4"/>
      <c r="J114" s="4"/>
      <c r="K114" s="4"/>
      <c r="L114" s="4"/>
    </row>
    <row r="115" spans="2:12">
      <c r="B115" s="4"/>
      <c r="C115" s="4"/>
      <c r="D115" s="4"/>
      <c r="E115" s="4"/>
      <c r="F115" s="4"/>
      <c r="G115" s="4"/>
      <c r="H115" s="4"/>
      <c r="I115" s="4"/>
      <c r="J115" s="4"/>
      <c r="K115" s="4"/>
      <c r="L115" s="4"/>
    </row>
    <row r="116" spans="2:12">
      <c r="B116" s="4"/>
      <c r="C116" s="4"/>
      <c r="D116" s="4"/>
      <c r="E116" s="4"/>
      <c r="F116" s="4"/>
      <c r="G116" s="4"/>
      <c r="H116" s="4"/>
      <c r="I116" s="4"/>
      <c r="J116" s="4"/>
      <c r="K116" s="4"/>
      <c r="L116" s="4"/>
    </row>
    <row r="117" spans="2:12">
      <c r="B117" s="4"/>
      <c r="C117" s="4"/>
      <c r="D117" s="4"/>
      <c r="E117" s="4"/>
      <c r="F117" s="4"/>
      <c r="G117" s="4"/>
      <c r="H117" s="4"/>
      <c r="I117" s="4"/>
      <c r="J117" s="4"/>
      <c r="K117" s="4"/>
      <c r="L117" s="4"/>
    </row>
    <row r="118" spans="2:12">
      <c r="B118" s="4"/>
      <c r="C118" s="4"/>
      <c r="D118" s="4"/>
      <c r="E118" s="4"/>
      <c r="F118" s="4"/>
      <c r="G118" s="4"/>
      <c r="H118" s="4"/>
      <c r="I118" s="4"/>
      <c r="J118" s="4"/>
      <c r="K118" s="4"/>
      <c r="L118" s="4"/>
    </row>
    <row r="119" spans="2:12">
      <c r="B119" s="4"/>
      <c r="C119" s="4"/>
      <c r="D119" s="4"/>
      <c r="E119" s="4"/>
      <c r="F119" s="4"/>
      <c r="G119" s="4"/>
      <c r="H119" s="4"/>
      <c r="I119" s="4"/>
      <c r="J119" s="4"/>
      <c r="K119" s="4"/>
      <c r="L119" s="4"/>
    </row>
    <row r="120" spans="2:12">
      <c r="B120" s="4"/>
      <c r="C120" s="4"/>
      <c r="D120" s="4"/>
      <c r="E120" s="4"/>
      <c r="F120" s="4"/>
      <c r="G120" s="4"/>
      <c r="H120" s="4"/>
      <c r="I120" s="4"/>
      <c r="J120" s="4"/>
      <c r="K120" s="4"/>
      <c r="L120" s="4"/>
    </row>
    <row r="121" spans="2:12">
      <c r="B121" s="4"/>
      <c r="C121" s="4"/>
      <c r="D121" s="4"/>
      <c r="E121" s="4"/>
      <c r="F121" s="4"/>
      <c r="G121" s="4"/>
      <c r="H121" s="4"/>
      <c r="I121" s="4"/>
      <c r="J121" s="4"/>
      <c r="K121" s="4"/>
      <c r="L121" s="4"/>
    </row>
    <row r="122" spans="2:12">
      <c r="B122" s="4"/>
      <c r="C122" s="4"/>
      <c r="D122" s="4"/>
      <c r="E122" s="4"/>
      <c r="F122" s="4"/>
      <c r="G122" s="4"/>
      <c r="H122" s="4"/>
      <c r="I122" s="4"/>
      <c r="J122" s="4"/>
      <c r="K122" s="4"/>
      <c r="L122" s="4"/>
    </row>
    <row r="123" spans="2:12">
      <c r="B123" s="4"/>
      <c r="C123" s="4"/>
      <c r="D123" s="4"/>
      <c r="E123" s="4"/>
      <c r="F123" s="4"/>
      <c r="G123" s="4"/>
      <c r="H123" s="4"/>
      <c r="I123" s="4"/>
      <c r="J123" s="4"/>
      <c r="K123" s="4"/>
      <c r="L123" s="4"/>
    </row>
    <row r="124" spans="2:12">
      <c r="B124" s="4"/>
      <c r="C124" s="4"/>
      <c r="D124" s="4"/>
      <c r="E124" s="4"/>
      <c r="F124" s="4"/>
      <c r="G124" s="4"/>
      <c r="H124" s="4"/>
      <c r="I124" s="4"/>
      <c r="J124" s="4"/>
      <c r="K124" s="4"/>
      <c r="L124" s="4"/>
    </row>
    <row r="125" spans="2:12">
      <c r="B125" s="4"/>
      <c r="C125" s="4"/>
      <c r="D125" s="4"/>
      <c r="E125" s="4"/>
      <c r="F125" s="4"/>
      <c r="G125" s="4"/>
      <c r="H125" s="4"/>
      <c r="I125" s="4"/>
      <c r="J125" s="4"/>
      <c r="K125" s="4"/>
      <c r="L125" s="4"/>
    </row>
    <row r="126" spans="2:12">
      <c r="B126" s="4"/>
      <c r="C126" s="4"/>
      <c r="D126" s="4"/>
      <c r="E126" s="4"/>
      <c r="F126" s="4"/>
      <c r="G126" s="4"/>
      <c r="H126" s="4"/>
      <c r="I126" s="4"/>
      <c r="J126" s="4"/>
      <c r="K126" s="4"/>
      <c r="L126" s="4"/>
    </row>
    <row r="127" spans="2:12">
      <c r="B127" s="4"/>
      <c r="C127" s="4"/>
      <c r="D127" s="4"/>
      <c r="E127" s="4"/>
      <c r="F127" s="4"/>
      <c r="G127" s="4"/>
      <c r="H127" s="4"/>
      <c r="I127" s="4"/>
      <c r="J127" s="4"/>
      <c r="K127" s="4"/>
      <c r="L127" s="4"/>
    </row>
    <row r="128" spans="2:12">
      <c r="B128" s="4"/>
      <c r="C128" s="4"/>
      <c r="D128" s="4"/>
      <c r="E128" s="4"/>
      <c r="F128" s="4"/>
      <c r="G128" s="4"/>
      <c r="H128" s="4"/>
      <c r="I128" s="4"/>
      <c r="J128" s="4"/>
      <c r="K128" s="4"/>
      <c r="L128" s="4"/>
    </row>
  </sheetData>
  <mergeCells count="3">
    <mergeCell ref="A1:P1"/>
    <mergeCell ref="A2:P2"/>
    <mergeCell ref="A3:P3"/>
  </mergeCells>
  <pageMargins left="0.75" right="0.75" top="1" bottom="1" header="0.5" footer="0.5"/>
  <pageSetup scale="56" fitToHeight="0" orientation="landscape" r:id="rId1"/>
  <headerFooter alignWithMargins="0">
    <oddFooter>&amp;L&amp;Z
&amp;F&amp;C&amp;A&amp;R13.&amp;P</oddFooter>
  </headerFooter>
  <rowBreaks count="1" manualBreakCount="1">
    <brk id="52" max="16383" man="1"/>
  </rowBreaks>
</worksheet>
</file>

<file path=xl/worksheets/sheet133.xml><?xml version="1.0" encoding="utf-8"?>
<worksheet xmlns="http://schemas.openxmlformats.org/spreadsheetml/2006/main" xmlns:r="http://schemas.openxmlformats.org/officeDocument/2006/relationships">
  <sheetPr codeName="Sheet136">
    <tabColor indexed="32"/>
    <pageSetUpPr fitToPage="1"/>
  </sheetPr>
  <dimension ref="A1:N184"/>
  <sheetViews>
    <sheetView zoomScaleNormal="100" workbookViewId="0">
      <pane xSplit="1" ySplit="7" topLeftCell="B8" activePane="bottomRight" state="frozen"/>
      <selection activeCell="C38" sqref="C38"/>
      <selection pane="topRight" activeCell="C38" sqref="C38"/>
      <selection pane="bottomLeft" activeCell="C38" sqref="C38"/>
      <selection pane="bottomRight" activeCell="B8" sqref="B8"/>
    </sheetView>
  </sheetViews>
  <sheetFormatPr defaultRowHeight="12.75"/>
  <cols>
    <col min="1" max="1" width="50.85546875" bestFit="1" customWidth="1"/>
    <col min="2" max="2" width="17.7109375" customWidth="1"/>
    <col min="3" max="3" width="1.7109375" customWidth="1"/>
    <col min="4" max="4" width="17.7109375" customWidth="1"/>
    <col min="5" max="5" width="1.7109375" customWidth="1"/>
    <col min="6" max="6" width="17.7109375" customWidth="1"/>
    <col min="7" max="7" width="1.7109375" customWidth="1"/>
    <col min="8" max="8" width="19.7109375" bestFit="1" customWidth="1"/>
    <col min="9" max="9" width="1.7109375" customWidth="1"/>
    <col min="10" max="10" width="19.7109375" bestFit="1" customWidth="1"/>
    <col min="11" max="11" width="1.7109375" customWidth="1"/>
    <col min="12" max="12" width="19.7109375" bestFit="1" customWidth="1"/>
    <col min="13" max="13" width="12" customWidth="1"/>
    <col min="14" max="14" width="13" customWidth="1"/>
  </cols>
  <sheetData>
    <row r="1" spans="1:12" s="38" customFormat="1" ht="15.75">
      <c r="A1" s="366" t="s">
        <v>134</v>
      </c>
      <c r="B1" s="366"/>
      <c r="C1" s="366"/>
      <c r="D1" s="366"/>
      <c r="E1" s="366"/>
      <c r="F1" s="366"/>
      <c r="G1" s="366"/>
      <c r="H1" s="366"/>
      <c r="I1" s="366"/>
      <c r="J1" s="366"/>
      <c r="K1" s="366"/>
      <c r="L1" s="366"/>
    </row>
    <row r="2" spans="1:12" s="38" customFormat="1" ht="15.75">
      <c r="A2" s="366" t="s">
        <v>1161</v>
      </c>
      <c r="B2" s="366"/>
      <c r="C2" s="366"/>
      <c r="D2" s="366"/>
      <c r="E2" s="366"/>
      <c r="F2" s="366"/>
      <c r="G2" s="366"/>
      <c r="H2" s="366"/>
      <c r="I2" s="366"/>
      <c r="J2" s="366"/>
      <c r="K2" s="366"/>
      <c r="L2" s="366"/>
    </row>
    <row r="3" spans="1:12">
      <c r="A3" s="357" t="str">
        <f>'Summary - Cost - PG 1 (PA)'!A3:N3</f>
        <v>MARCH 2012</v>
      </c>
      <c r="B3" s="357"/>
      <c r="C3" s="357"/>
      <c r="D3" s="357"/>
      <c r="E3" s="357"/>
      <c r="F3" s="357"/>
      <c r="G3" s="357"/>
      <c r="H3" s="357"/>
      <c r="I3" s="357"/>
      <c r="J3" s="357"/>
      <c r="K3" s="357"/>
      <c r="L3" s="357"/>
    </row>
    <row r="4" spans="1:12">
      <c r="A4" s="190"/>
      <c r="B4" s="190"/>
      <c r="C4" s="190"/>
      <c r="D4" s="190"/>
      <c r="E4" s="190"/>
      <c r="F4" s="190"/>
      <c r="G4" s="190"/>
      <c r="H4" s="190"/>
      <c r="I4" s="190"/>
      <c r="J4" s="190"/>
      <c r="K4" s="190"/>
      <c r="L4" s="190"/>
    </row>
    <row r="6" spans="1:12">
      <c r="B6" s="41" t="s">
        <v>25</v>
      </c>
      <c r="D6" s="33"/>
      <c r="F6" s="33"/>
      <c r="H6" s="41" t="s">
        <v>612</v>
      </c>
      <c r="J6" s="33"/>
      <c r="L6" s="41" t="s">
        <v>26</v>
      </c>
    </row>
    <row r="7" spans="1:12" s="10" customFormat="1">
      <c r="B7" s="42" t="s">
        <v>27</v>
      </c>
      <c r="C7"/>
      <c r="D7" s="42" t="s">
        <v>107</v>
      </c>
      <c r="E7"/>
      <c r="F7" s="42" t="s">
        <v>108</v>
      </c>
      <c r="G7"/>
      <c r="H7" s="42" t="s">
        <v>613</v>
      </c>
      <c r="I7"/>
      <c r="J7" s="42" t="s">
        <v>109</v>
      </c>
      <c r="K7"/>
      <c r="L7" s="42" t="s">
        <v>27</v>
      </c>
    </row>
    <row r="8" spans="1:12" s="10" customFormat="1">
      <c r="B8" s="54"/>
      <c r="C8"/>
      <c r="D8" s="54"/>
      <c r="E8"/>
      <c r="F8" s="54"/>
      <c r="G8"/>
      <c r="H8" s="54"/>
      <c r="I8"/>
      <c r="J8" s="54"/>
      <c r="K8"/>
      <c r="L8" s="54"/>
    </row>
    <row r="9" spans="1:12" s="10" customFormat="1">
      <c r="A9" s="12" t="s">
        <v>572</v>
      </c>
      <c r="B9"/>
      <c r="C9"/>
      <c r="D9"/>
      <c r="E9"/>
      <c r="F9"/>
      <c r="G9"/>
      <c r="H9"/>
      <c r="I9"/>
      <c r="J9"/>
      <c r="K9"/>
      <c r="L9"/>
    </row>
    <row r="10" spans="1:12" s="10" customFormat="1">
      <c r="A10" s="12" t="s">
        <v>691</v>
      </c>
      <c r="B10"/>
      <c r="C10"/>
      <c r="D10"/>
      <c r="E10"/>
      <c r="F10"/>
      <c r="G10"/>
      <c r="H10"/>
      <c r="I10"/>
      <c r="J10"/>
      <c r="K10"/>
      <c r="L10"/>
    </row>
    <row r="11" spans="1:12">
      <c r="A11" t="s">
        <v>274</v>
      </c>
      <c r="B11" s="33">
        <v>0</v>
      </c>
      <c r="C11" s="33"/>
      <c r="D11" s="33">
        <v>0</v>
      </c>
      <c r="E11" s="33"/>
      <c r="F11" s="300">
        <v>0</v>
      </c>
      <c r="G11" s="33"/>
      <c r="H11" s="300">
        <v>0</v>
      </c>
      <c r="I11" s="33"/>
      <c r="J11" s="33">
        <f>H11+F11+D11</f>
        <v>0</v>
      </c>
      <c r="K11" s="33"/>
      <c r="L11" s="33">
        <f>B11+J11</f>
        <v>0</v>
      </c>
    </row>
    <row r="12" spans="1:12">
      <c r="A12" t="s">
        <v>275</v>
      </c>
      <c r="B12" s="33">
        <v>-1444458.3800000001</v>
      </c>
      <c r="C12" s="33"/>
      <c r="D12" s="33">
        <v>0</v>
      </c>
      <c r="E12" s="33"/>
      <c r="F12" s="300">
        <v>288.01</v>
      </c>
      <c r="G12" s="33"/>
      <c r="H12" s="300">
        <v>0</v>
      </c>
      <c r="I12" s="33"/>
      <c r="J12" s="33">
        <f t="shared" ref="J12:J91" si="0">H12+F12+D12</f>
        <v>288.01</v>
      </c>
      <c r="K12" s="33"/>
      <c r="L12" s="33">
        <f t="shared" ref="L12:L91" si="1">B12+J12</f>
        <v>-1444170.37</v>
      </c>
    </row>
    <row r="13" spans="1:12">
      <c r="A13" t="s">
        <v>12</v>
      </c>
      <c r="B13" s="33">
        <v>-33466253.899999999</v>
      </c>
      <c r="C13" s="33"/>
      <c r="D13" s="33">
        <v>0</v>
      </c>
      <c r="E13" s="33"/>
      <c r="F13" s="300">
        <f>686.79+365.81+62717.74+3903.03</f>
        <v>67673.37</v>
      </c>
      <c r="G13" s="33"/>
      <c r="H13" s="300">
        <v>0</v>
      </c>
      <c r="I13" s="33"/>
      <c r="J13" s="33">
        <f t="shared" si="0"/>
        <v>67673.37</v>
      </c>
      <c r="K13" s="33"/>
      <c r="L13" s="33">
        <f t="shared" si="1"/>
        <v>-33398580.529999997</v>
      </c>
    </row>
    <row r="14" spans="1:12">
      <c r="A14" t="s">
        <v>276</v>
      </c>
      <c r="B14" s="33">
        <v>-11372591.98</v>
      </c>
      <c r="C14" s="33"/>
      <c r="D14" s="33">
        <v>0</v>
      </c>
      <c r="E14" s="33"/>
      <c r="F14" s="300">
        <f>14658.62+5982.95+108.83+891.91+77.23+18311.2</f>
        <v>40030.740000000005</v>
      </c>
      <c r="G14" s="33"/>
      <c r="H14" s="300">
        <v>0</v>
      </c>
      <c r="I14" s="33"/>
      <c r="J14" s="33">
        <f t="shared" si="0"/>
        <v>40030.740000000005</v>
      </c>
      <c r="K14" s="33"/>
      <c r="L14" s="33">
        <f t="shared" si="1"/>
        <v>-11332561.24</v>
      </c>
    </row>
    <row r="15" spans="1:12">
      <c r="A15" t="s">
        <v>277</v>
      </c>
      <c r="B15" s="33">
        <v>-53741495.779999994</v>
      </c>
      <c r="C15" s="33"/>
      <c r="D15" s="33">
        <v>-24.36</v>
      </c>
      <c r="E15" s="33"/>
      <c r="F15" s="300">
        <f>56953.25+21610.25+770.66+1166.78+1821.03+40844.13</f>
        <v>123166.1</v>
      </c>
      <c r="G15" s="33"/>
      <c r="H15" s="300">
        <v>0</v>
      </c>
      <c r="I15" s="33"/>
      <c r="J15" s="33">
        <f t="shared" si="0"/>
        <v>123141.74</v>
      </c>
      <c r="K15" s="33"/>
      <c r="L15" s="33">
        <f t="shared" si="1"/>
        <v>-53618354.039999992</v>
      </c>
    </row>
    <row r="16" spans="1:12">
      <c r="A16" t="s">
        <v>278</v>
      </c>
      <c r="B16" s="33">
        <v>-23985485.93</v>
      </c>
      <c r="C16" s="33"/>
      <c r="D16" s="33">
        <v>-1032.24</v>
      </c>
      <c r="E16" s="33"/>
      <c r="F16" s="300">
        <f>1459.95+230.69+10300.74</f>
        <v>11991.38</v>
      </c>
      <c r="G16" s="33"/>
      <c r="H16" s="300">
        <v>0</v>
      </c>
      <c r="I16" s="33"/>
      <c r="J16" s="33">
        <f t="shared" si="0"/>
        <v>10959.14</v>
      </c>
      <c r="K16" s="33"/>
      <c r="L16" s="33">
        <f t="shared" si="1"/>
        <v>-23974526.789999999</v>
      </c>
    </row>
    <row r="17" spans="1:12">
      <c r="A17" t="s">
        <v>279</v>
      </c>
      <c r="B17" s="33">
        <v>-36164907.420000002</v>
      </c>
      <c r="C17" s="33"/>
      <c r="D17" s="33">
        <v>-8161.24</v>
      </c>
      <c r="E17" s="33"/>
      <c r="F17" s="300">
        <f>28656.98+35859.65+25376.82</f>
        <v>89893.450000000012</v>
      </c>
      <c r="G17" s="33"/>
      <c r="H17" s="300">
        <v>0</v>
      </c>
      <c r="I17" s="33"/>
      <c r="J17" s="33">
        <f t="shared" si="0"/>
        <v>81732.210000000006</v>
      </c>
      <c r="K17" s="33"/>
      <c r="L17" s="33">
        <f t="shared" si="1"/>
        <v>-36083175.210000001</v>
      </c>
    </row>
    <row r="18" spans="1:12">
      <c r="A18" t="s">
        <v>280</v>
      </c>
      <c r="B18" s="33">
        <v>-55448344.360000007</v>
      </c>
      <c r="C18" s="33"/>
      <c r="D18" s="33">
        <v>0</v>
      </c>
      <c r="E18" s="33"/>
      <c r="F18" s="300">
        <f>72.07+30546.86+45.98</f>
        <v>30664.91</v>
      </c>
      <c r="G18" s="33"/>
      <c r="H18" s="300">
        <v>0</v>
      </c>
      <c r="I18" s="33"/>
      <c r="J18" s="33">
        <f t="shared" si="0"/>
        <v>30664.91</v>
      </c>
      <c r="K18" s="33"/>
      <c r="L18" s="33">
        <f t="shared" si="1"/>
        <v>-55417679.45000001</v>
      </c>
    </row>
    <row r="19" spans="1:12">
      <c r="A19" t="s">
        <v>308</v>
      </c>
      <c r="B19" s="33">
        <v>-1949769.96</v>
      </c>
      <c r="C19" s="33"/>
      <c r="D19" s="33">
        <v>0</v>
      </c>
      <c r="E19" s="33"/>
      <c r="F19" s="300">
        <f>7602.35+4445.78+10198.69</f>
        <v>22246.82</v>
      </c>
      <c r="G19" s="33"/>
      <c r="H19" s="300">
        <v>0</v>
      </c>
      <c r="I19" s="33"/>
      <c r="J19" s="33">
        <f t="shared" si="0"/>
        <v>22246.82</v>
      </c>
      <c r="K19" s="33"/>
      <c r="L19" s="33">
        <f t="shared" si="1"/>
        <v>-1927523.14</v>
      </c>
    </row>
    <row r="20" spans="1:12">
      <c r="A20" t="s">
        <v>309</v>
      </c>
      <c r="B20" s="33">
        <v>-6888518.79</v>
      </c>
      <c r="C20" s="33"/>
      <c r="D20" s="33">
        <v>0</v>
      </c>
      <c r="E20" s="33"/>
      <c r="F20" s="300">
        <f>7022.9+722.08</f>
        <v>7744.98</v>
      </c>
      <c r="G20" s="33"/>
      <c r="H20" s="300">
        <v>0</v>
      </c>
      <c r="I20" s="33"/>
      <c r="J20" s="33">
        <f t="shared" si="0"/>
        <v>7744.98</v>
      </c>
      <c r="K20" s="33"/>
      <c r="L20" s="33">
        <f t="shared" si="1"/>
        <v>-6880773.8099999996</v>
      </c>
    </row>
    <row r="21" spans="1:12">
      <c r="A21" t="s">
        <v>310</v>
      </c>
      <c r="B21" s="33">
        <v>-15937025.810000001</v>
      </c>
      <c r="C21" s="33"/>
      <c r="D21" s="33">
        <v>0</v>
      </c>
      <c r="E21" s="33"/>
      <c r="F21" s="300">
        <v>0</v>
      </c>
      <c r="G21" s="33"/>
      <c r="H21" s="300">
        <v>0</v>
      </c>
      <c r="I21" s="33"/>
      <c r="J21" s="33">
        <f t="shared" si="0"/>
        <v>0</v>
      </c>
      <c r="K21" s="33"/>
      <c r="L21" s="33">
        <f t="shared" si="1"/>
        <v>-15937025.810000001</v>
      </c>
    </row>
    <row r="22" spans="1:12">
      <c r="A22" t="s">
        <v>311</v>
      </c>
      <c r="B22" s="33">
        <v>-12798090.4</v>
      </c>
      <c r="C22" s="33"/>
      <c r="D22" s="33">
        <f>-192.83-263.04</f>
        <v>-455.87</v>
      </c>
      <c r="E22" s="33"/>
      <c r="F22" s="300">
        <f>1855.58+151490.6</f>
        <v>153346.18</v>
      </c>
      <c r="G22" s="33"/>
      <c r="H22" s="300">
        <v>0</v>
      </c>
      <c r="I22" s="33"/>
      <c r="J22" s="33">
        <f t="shared" si="0"/>
        <v>152890.31</v>
      </c>
      <c r="K22" s="33"/>
      <c r="L22" s="33">
        <f t="shared" si="1"/>
        <v>-12645200.09</v>
      </c>
    </row>
    <row r="23" spans="1:12">
      <c r="A23" t="s">
        <v>312</v>
      </c>
      <c r="B23" s="33">
        <v>-18283151.800000001</v>
      </c>
      <c r="C23" s="33"/>
      <c r="D23" s="33">
        <v>-31.15</v>
      </c>
      <c r="E23" s="33"/>
      <c r="F23" s="300">
        <f>1683.56+202.14+37207.29</f>
        <v>39092.99</v>
      </c>
      <c r="G23" s="33"/>
      <c r="H23" s="300">
        <v>0</v>
      </c>
      <c r="I23" s="33"/>
      <c r="J23" s="33">
        <f t="shared" si="0"/>
        <v>39061.839999999997</v>
      </c>
      <c r="K23" s="33"/>
      <c r="L23" s="33">
        <f t="shared" si="1"/>
        <v>-18244089.960000001</v>
      </c>
    </row>
    <row r="24" spans="1:12">
      <c r="A24" t="s">
        <v>313</v>
      </c>
      <c r="B24" s="33">
        <v>0</v>
      </c>
      <c r="C24" s="33"/>
      <c r="D24" s="33">
        <v>0</v>
      </c>
      <c r="E24" s="33"/>
      <c r="F24" s="300">
        <v>0</v>
      </c>
      <c r="G24" s="33"/>
      <c r="H24" s="300">
        <v>0</v>
      </c>
      <c r="I24" s="33"/>
      <c r="J24" s="33">
        <f t="shared" si="0"/>
        <v>0</v>
      </c>
      <c r="K24" s="33"/>
      <c r="L24" s="33">
        <f t="shared" si="1"/>
        <v>0</v>
      </c>
    </row>
    <row r="25" spans="1:12">
      <c r="A25" t="s">
        <v>314</v>
      </c>
      <c r="B25" s="35">
        <v>0</v>
      </c>
      <c r="C25" s="37"/>
      <c r="D25" s="35">
        <v>0</v>
      </c>
      <c r="E25" s="37"/>
      <c r="F25" s="35">
        <v>0</v>
      </c>
      <c r="G25" s="37"/>
      <c r="H25" s="35">
        <v>0</v>
      </c>
      <c r="I25" s="37"/>
      <c r="J25" s="35">
        <f t="shared" si="0"/>
        <v>0</v>
      </c>
      <c r="K25" s="37"/>
      <c r="L25" s="35">
        <f t="shared" si="1"/>
        <v>0</v>
      </c>
    </row>
    <row r="26" spans="1:12">
      <c r="B26" s="37">
        <f>SUM(B11:B25)</f>
        <v>-271480094.50999999</v>
      </c>
      <c r="C26" s="37"/>
      <c r="D26" s="37">
        <f>SUM(D11:D25)</f>
        <v>-9704.86</v>
      </c>
      <c r="E26" s="37"/>
      <c r="F26" s="37">
        <f>SUM(F11:F25)</f>
        <v>586138.92999999993</v>
      </c>
      <c r="G26" s="37"/>
      <c r="H26" s="37">
        <f>SUM(H11:H25)</f>
        <v>0</v>
      </c>
      <c r="I26" s="37"/>
      <c r="J26" s="37">
        <f>SUM(J11:J25)</f>
        <v>576434.06999999995</v>
      </c>
      <c r="K26" s="37"/>
      <c r="L26" s="37">
        <f>SUM(L11:L25)</f>
        <v>-270903660.44</v>
      </c>
    </row>
    <row r="27" spans="1:12">
      <c r="B27" s="37"/>
      <c r="C27" s="37"/>
      <c r="D27" s="37"/>
      <c r="E27" s="37"/>
      <c r="F27" s="37"/>
      <c r="G27" s="37"/>
      <c r="H27" s="37"/>
      <c r="I27" s="37"/>
      <c r="J27" s="37"/>
      <c r="K27" s="37"/>
      <c r="L27" s="37"/>
    </row>
    <row r="28" spans="1:12">
      <c r="A28" s="12" t="s">
        <v>808</v>
      </c>
      <c r="B28" s="37"/>
      <c r="C28" s="37"/>
      <c r="D28" s="37"/>
      <c r="E28" s="37"/>
      <c r="F28" s="37"/>
      <c r="G28" s="37"/>
      <c r="H28" s="37"/>
      <c r="I28" s="37"/>
      <c r="J28" s="37"/>
      <c r="K28" s="37"/>
      <c r="L28" s="37"/>
    </row>
    <row r="29" spans="1:12">
      <c r="A29" t="s">
        <v>315</v>
      </c>
      <c r="B29" s="37">
        <v>-6981474.3900000006</v>
      </c>
      <c r="C29" s="37"/>
      <c r="D29" s="37">
        <v>0</v>
      </c>
      <c r="E29" s="37"/>
      <c r="F29" s="37">
        <v>39209.64</v>
      </c>
      <c r="G29" s="37"/>
      <c r="H29" s="37">
        <v>0</v>
      </c>
      <c r="I29" s="37"/>
      <c r="J29" s="37">
        <f t="shared" si="0"/>
        <v>39209.64</v>
      </c>
      <c r="K29" s="37"/>
      <c r="L29" s="37">
        <f t="shared" si="1"/>
        <v>-6942264.7500000009</v>
      </c>
    </row>
    <row r="30" spans="1:12">
      <c r="A30" t="s">
        <v>316</v>
      </c>
      <c r="B30" s="37">
        <v>-253776.4</v>
      </c>
      <c r="C30" s="37"/>
      <c r="D30" s="37">
        <v>0</v>
      </c>
      <c r="E30" s="37"/>
      <c r="F30" s="37">
        <v>0</v>
      </c>
      <c r="G30" s="37"/>
      <c r="H30" s="37">
        <v>0</v>
      </c>
      <c r="I30" s="37"/>
      <c r="J30" s="37">
        <f t="shared" si="0"/>
        <v>0</v>
      </c>
      <c r="K30" s="37"/>
      <c r="L30" s="37">
        <f t="shared" si="1"/>
        <v>-253776.4</v>
      </c>
    </row>
    <row r="31" spans="1:12">
      <c r="A31" t="s">
        <v>317</v>
      </c>
      <c r="B31" s="37">
        <v>-1385213.31</v>
      </c>
      <c r="C31" s="37"/>
      <c r="D31" s="37">
        <v>0</v>
      </c>
      <c r="E31" s="37"/>
      <c r="F31" s="37">
        <v>0</v>
      </c>
      <c r="G31" s="37"/>
      <c r="H31" s="37">
        <v>0</v>
      </c>
      <c r="I31" s="37"/>
      <c r="J31" s="37">
        <f t="shared" si="0"/>
        <v>0</v>
      </c>
      <c r="K31" s="37"/>
      <c r="L31" s="37">
        <f t="shared" si="1"/>
        <v>-1385213.31</v>
      </c>
    </row>
    <row r="32" spans="1:12">
      <c r="A32" t="s">
        <v>318</v>
      </c>
      <c r="B32" s="37">
        <v>-21504.75</v>
      </c>
      <c r="C32" s="37"/>
      <c r="D32" s="37">
        <v>0</v>
      </c>
      <c r="E32" s="37"/>
      <c r="F32" s="37">
        <v>0</v>
      </c>
      <c r="G32" s="37"/>
      <c r="H32" s="37">
        <v>0</v>
      </c>
      <c r="I32" s="37"/>
      <c r="J32" s="37">
        <f t="shared" si="0"/>
        <v>0</v>
      </c>
      <c r="K32" s="37"/>
      <c r="L32" s="37">
        <f t="shared" si="1"/>
        <v>-21504.75</v>
      </c>
    </row>
    <row r="33" spans="1:12">
      <c r="A33" t="s">
        <v>319</v>
      </c>
      <c r="B33" s="37">
        <v>-2156793.02</v>
      </c>
      <c r="C33" s="37"/>
      <c r="D33" s="37">
        <v>0</v>
      </c>
      <c r="E33" s="37"/>
      <c r="F33" s="37">
        <v>0</v>
      </c>
      <c r="G33" s="37"/>
      <c r="H33" s="37">
        <v>0</v>
      </c>
      <c r="I33" s="37"/>
      <c r="J33" s="37">
        <f t="shared" si="0"/>
        <v>0</v>
      </c>
      <c r="K33" s="37"/>
      <c r="L33" s="37">
        <f t="shared" si="1"/>
        <v>-2156793.02</v>
      </c>
    </row>
    <row r="34" spans="1:12">
      <c r="A34" t="s">
        <v>320</v>
      </c>
      <c r="B34" s="35">
        <v>-26510.82</v>
      </c>
      <c r="C34" s="37"/>
      <c r="D34" s="35">
        <v>0</v>
      </c>
      <c r="E34" s="37"/>
      <c r="F34" s="35">
        <v>0</v>
      </c>
      <c r="G34" s="37"/>
      <c r="H34" s="35">
        <v>0</v>
      </c>
      <c r="I34" s="37"/>
      <c r="J34" s="35">
        <f t="shared" si="0"/>
        <v>0</v>
      </c>
      <c r="K34" s="37"/>
      <c r="L34" s="35">
        <f t="shared" si="1"/>
        <v>-26510.82</v>
      </c>
    </row>
    <row r="35" spans="1:12">
      <c r="B35" s="37">
        <f>SUM(B29:B34)</f>
        <v>-10825272.690000001</v>
      </c>
      <c r="C35" s="37"/>
      <c r="D35" s="37">
        <f>SUM(D29:D34)</f>
        <v>0</v>
      </c>
      <c r="E35" s="37"/>
      <c r="F35" s="37">
        <f>SUM(F29:F34)</f>
        <v>39209.64</v>
      </c>
      <c r="G35" s="37"/>
      <c r="H35" s="37">
        <f>SUM(H29:H34)</f>
        <v>0</v>
      </c>
      <c r="I35" s="37"/>
      <c r="J35" s="37">
        <f>SUM(J29:J34)</f>
        <v>39209.64</v>
      </c>
      <c r="K35" s="37"/>
      <c r="L35" s="37">
        <f>SUM(L29:L34)</f>
        <v>-10786063.050000001</v>
      </c>
    </row>
    <row r="36" spans="1:12">
      <c r="B36" s="37"/>
      <c r="C36" s="37"/>
      <c r="D36" s="37"/>
      <c r="E36" s="37"/>
      <c r="F36" s="37"/>
      <c r="G36" s="37"/>
      <c r="H36" s="37"/>
      <c r="I36" s="37"/>
      <c r="J36" s="37"/>
      <c r="K36" s="37"/>
      <c r="L36" s="37"/>
    </row>
    <row r="37" spans="1:12">
      <c r="A37" s="12" t="s">
        <v>809</v>
      </c>
      <c r="B37" s="37"/>
      <c r="C37" s="37"/>
      <c r="D37" s="37"/>
      <c r="E37" s="37"/>
      <c r="F37" s="37"/>
      <c r="G37" s="37"/>
      <c r="H37" s="37"/>
      <c r="I37" s="37"/>
      <c r="J37" s="37"/>
      <c r="K37" s="37"/>
      <c r="L37" s="37"/>
    </row>
    <row r="38" spans="1:12">
      <c r="A38" t="s">
        <v>321</v>
      </c>
      <c r="B38" s="37">
        <v>0</v>
      </c>
      <c r="C38" s="37"/>
      <c r="D38" s="37">
        <v>0</v>
      </c>
      <c r="E38" s="37"/>
      <c r="F38" s="37">
        <v>0</v>
      </c>
      <c r="G38" s="37"/>
      <c r="H38" s="37">
        <v>0</v>
      </c>
      <c r="I38" s="37"/>
      <c r="J38" s="37">
        <f t="shared" si="0"/>
        <v>0</v>
      </c>
      <c r="K38" s="37"/>
      <c r="L38" s="37">
        <f t="shared" si="1"/>
        <v>0</v>
      </c>
    </row>
    <row r="39" spans="1:12">
      <c r="A39" t="s">
        <v>574</v>
      </c>
      <c r="B39" s="37">
        <v>-4452079.3600000003</v>
      </c>
      <c r="C39" s="37"/>
      <c r="D39" s="37">
        <v>0</v>
      </c>
      <c r="E39" s="37"/>
      <c r="F39" s="37">
        <v>526.02</v>
      </c>
      <c r="G39" s="37"/>
      <c r="H39" s="37">
        <v>0</v>
      </c>
      <c r="I39" s="37"/>
      <c r="J39" s="37">
        <f t="shared" si="0"/>
        <v>526.02</v>
      </c>
      <c r="K39" s="37"/>
      <c r="L39" s="37">
        <f t="shared" si="1"/>
        <v>-4451553.3400000008</v>
      </c>
    </row>
    <row r="40" spans="1:12">
      <c r="A40" t="s">
        <v>575</v>
      </c>
      <c r="B40" s="37">
        <v>-1281266.8800000001</v>
      </c>
      <c r="C40" s="37"/>
      <c r="D40" s="37">
        <v>0</v>
      </c>
      <c r="E40" s="37"/>
      <c r="F40" s="37">
        <v>0</v>
      </c>
      <c r="G40" s="37"/>
      <c r="H40" s="37">
        <v>0</v>
      </c>
      <c r="I40" s="37"/>
      <c r="J40" s="37">
        <f t="shared" si="0"/>
        <v>0</v>
      </c>
      <c r="K40" s="37"/>
      <c r="L40" s="37">
        <f t="shared" si="1"/>
        <v>-1281266.8800000001</v>
      </c>
    </row>
    <row r="41" spans="1:12">
      <c r="A41" t="s">
        <v>576</v>
      </c>
      <c r="B41" s="37">
        <v>-2014866.1400000001</v>
      </c>
      <c r="C41" s="37"/>
      <c r="D41" s="37">
        <v>0</v>
      </c>
      <c r="E41" s="37"/>
      <c r="F41" s="37">
        <v>0</v>
      </c>
      <c r="G41" s="37"/>
      <c r="H41" s="37">
        <v>0</v>
      </c>
      <c r="I41" s="37"/>
      <c r="J41" s="37">
        <f t="shared" si="0"/>
        <v>0</v>
      </c>
      <c r="K41" s="37"/>
      <c r="L41" s="37">
        <f t="shared" si="1"/>
        <v>-2014866.1400000001</v>
      </c>
    </row>
    <row r="42" spans="1:12">
      <c r="A42" t="s">
        <v>577</v>
      </c>
      <c r="B42" s="37">
        <v>-1656640.16</v>
      </c>
      <c r="C42" s="37"/>
      <c r="D42" s="37">
        <v>0</v>
      </c>
      <c r="E42" s="37"/>
      <c r="F42" s="37">
        <v>0</v>
      </c>
      <c r="G42" s="37"/>
      <c r="H42" s="37">
        <v>0</v>
      </c>
      <c r="I42" s="37"/>
      <c r="J42" s="37">
        <f t="shared" si="0"/>
        <v>0</v>
      </c>
      <c r="K42" s="37"/>
      <c r="L42" s="37">
        <f t="shared" si="1"/>
        <v>-1656640.16</v>
      </c>
    </row>
    <row r="43" spans="1:12">
      <c r="A43" t="s">
        <v>281</v>
      </c>
      <c r="B43" s="37">
        <v>-41793.170000000006</v>
      </c>
      <c r="C43" s="37"/>
      <c r="D43" s="37">
        <v>0</v>
      </c>
      <c r="E43" s="37"/>
      <c r="F43" s="37">
        <v>0</v>
      </c>
      <c r="G43" s="37"/>
      <c r="H43" s="37">
        <v>0</v>
      </c>
      <c r="I43" s="37"/>
      <c r="J43" s="37">
        <f t="shared" si="0"/>
        <v>0</v>
      </c>
      <c r="K43" s="37"/>
      <c r="L43" s="37">
        <f t="shared" si="1"/>
        <v>-41793.170000000006</v>
      </c>
    </row>
    <row r="44" spans="1:12">
      <c r="A44" t="s">
        <v>282</v>
      </c>
      <c r="B44" s="37">
        <v>-74686.740000000005</v>
      </c>
      <c r="C44" s="37"/>
      <c r="D44" s="37">
        <v>0</v>
      </c>
      <c r="E44" s="37"/>
      <c r="F44" s="37">
        <v>0</v>
      </c>
      <c r="G44" s="37"/>
      <c r="H44" s="37">
        <v>0</v>
      </c>
      <c r="I44" s="37"/>
      <c r="J44" s="37">
        <f t="shared" si="0"/>
        <v>0</v>
      </c>
      <c r="K44" s="37"/>
      <c r="L44" s="37">
        <f t="shared" si="1"/>
        <v>-74686.740000000005</v>
      </c>
    </row>
    <row r="45" spans="1:12">
      <c r="A45" t="s">
        <v>283</v>
      </c>
      <c r="B45" s="35">
        <v>0</v>
      </c>
      <c r="C45" s="37"/>
      <c r="D45" s="35">
        <v>0</v>
      </c>
      <c r="E45" s="37"/>
      <c r="F45" s="35">
        <v>0</v>
      </c>
      <c r="G45" s="37"/>
      <c r="H45" s="35">
        <v>0</v>
      </c>
      <c r="I45" s="37"/>
      <c r="J45" s="35">
        <f t="shared" si="0"/>
        <v>0</v>
      </c>
      <c r="K45" s="37"/>
      <c r="L45" s="35">
        <f t="shared" si="1"/>
        <v>0</v>
      </c>
    </row>
    <row r="46" spans="1:12">
      <c r="B46" s="37">
        <f>SUM(B38:B45)</f>
        <v>-9521332.4500000011</v>
      </c>
      <c r="C46" s="37"/>
      <c r="D46" s="37">
        <f>SUM(D38:D45)</f>
        <v>0</v>
      </c>
      <c r="E46" s="37"/>
      <c r="F46" s="37">
        <f>SUM(F38:F45)</f>
        <v>526.02</v>
      </c>
      <c r="G46" s="37"/>
      <c r="H46" s="37">
        <f>SUM(H38:H45)</f>
        <v>0</v>
      </c>
      <c r="I46" s="37"/>
      <c r="J46" s="37">
        <f>SUM(J38:J45)</f>
        <v>526.02</v>
      </c>
      <c r="K46" s="37"/>
      <c r="L46" s="37">
        <f>SUM(L38:L45)</f>
        <v>-9520806.4300000016</v>
      </c>
    </row>
    <row r="47" spans="1:12">
      <c r="B47" s="37"/>
      <c r="C47" s="37"/>
      <c r="D47" s="37"/>
      <c r="E47" s="37"/>
      <c r="F47" s="37"/>
      <c r="G47" s="37"/>
      <c r="H47" s="37"/>
      <c r="I47" s="37"/>
      <c r="J47" s="37"/>
      <c r="K47" s="37"/>
      <c r="L47" s="37"/>
    </row>
    <row r="48" spans="1:12">
      <c r="A48" s="3" t="s">
        <v>810</v>
      </c>
      <c r="B48" s="37"/>
      <c r="C48" s="37"/>
      <c r="D48" s="37"/>
      <c r="E48" s="37"/>
      <c r="F48" s="37"/>
      <c r="G48" s="37"/>
      <c r="H48" s="37"/>
      <c r="I48" s="37"/>
      <c r="J48" s="37"/>
      <c r="K48" s="37"/>
      <c r="L48" s="37"/>
    </row>
    <row r="49" spans="1:12">
      <c r="A49" t="s">
        <v>284</v>
      </c>
      <c r="B49" s="37">
        <v>0</v>
      </c>
      <c r="C49" s="37"/>
      <c r="D49" s="37">
        <v>0</v>
      </c>
      <c r="E49" s="37"/>
      <c r="F49" s="37">
        <v>0</v>
      </c>
      <c r="G49" s="37"/>
      <c r="H49" s="37">
        <v>0</v>
      </c>
      <c r="I49" s="37"/>
      <c r="J49" s="37">
        <f t="shared" si="0"/>
        <v>0</v>
      </c>
      <c r="K49" s="37"/>
      <c r="L49" s="37">
        <f t="shared" si="1"/>
        <v>0</v>
      </c>
    </row>
    <row r="50" spans="1:12">
      <c r="A50" t="s">
        <v>285</v>
      </c>
      <c r="B50" s="35">
        <v>0</v>
      </c>
      <c r="C50" s="37"/>
      <c r="D50" s="35">
        <v>0</v>
      </c>
      <c r="E50" s="37"/>
      <c r="F50" s="35">
        <v>0</v>
      </c>
      <c r="G50" s="37"/>
      <c r="H50" s="35">
        <v>0</v>
      </c>
      <c r="I50" s="37"/>
      <c r="J50" s="35">
        <f t="shared" si="0"/>
        <v>0</v>
      </c>
      <c r="K50" s="37"/>
      <c r="L50" s="35">
        <f t="shared" si="1"/>
        <v>0</v>
      </c>
    </row>
    <row r="51" spans="1:12">
      <c r="B51" s="37">
        <f>SUM(B49:B50)</f>
        <v>0</v>
      </c>
      <c r="C51" s="37"/>
      <c r="D51" s="37">
        <f>SUM(D49:D50)</f>
        <v>0</v>
      </c>
      <c r="E51" s="37"/>
      <c r="F51" s="37">
        <f>SUM(F49:F50)</f>
        <v>0</v>
      </c>
      <c r="G51" s="37"/>
      <c r="H51" s="37">
        <f>SUM(H49:H50)</f>
        <v>0</v>
      </c>
      <c r="I51" s="37"/>
      <c r="J51" s="37">
        <f>SUM(J49:J50)</f>
        <v>0</v>
      </c>
      <c r="K51" s="37"/>
      <c r="L51" s="37">
        <f>SUM(L49:L50)</f>
        <v>0</v>
      </c>
    </row>
    <row r="52" spans="1:12">
      <c r="B52" s="37"/>
      <c r="C52" s="37"/>
      <c r="D52" s="37"/>
      <c r="E52" s="37"/>
      <c r="F52" s="37"/>
      <c r="G52" s="37"/>
      <c r="H52" s="37"/>
      <c r="I52" s="37"/>
      <c r="J52" s="37"/>
      <c r="K52" s="37"/>
      <c r="L52" s="37"/>
    </row>
    <row r="53" spans="1:12">
      <c r="A53" s="3" t="s">
        <v>811</v>
      </c>
      <c r="B53" s="33"/>
      <c r="C53" s="33"/>
      <c r="D53" s="33"/>
      <c r="E53" s="33"/>
      <c r="F53" s="33"/>
      <c r="G53" s="33"/>
      <c r="H53" s="33"/>
      <c r="I53" s="33"/>
      <c r="J53" s="33"/>
      <c r="K53" s="33"/>
      <c r="L53" s="33"/>
    </row>
    <row r="54" spans="1:12">
      <c r="A54" t="s">
        <v>286</v>
      </c>
      <c r="B54" s="33">
        <v>0</v>
      </c>
      <c r="C54" s="33"/>
      <c r="D54" s="33">
        <v>0</v>
      </c>
      <c r="E54" s="33"/>
      <c r="F54" s="300">
        <v>0</v>
      </c>
      <c r="G54" s="33"/>
      <c r="H54" s="300">
        <v>0</v>
      </c>
      <c r="I54" s="33"/>
      <c r="J54" s="33">
        <f t="shared" si="0"/>
        <v>0</v>
      </c>
      <c r="K54" s="33"/>
      <c r="L54" s="33">
        <f t="shared" si="1"/>
        <v>0</v>
      </c>
    </row>
    <row r="55" spans="1:12">
      <c r="A55" t="s">
        <v>287</v>
      </c>
      <c r="B55" s="33">
        <v>-3719097.5700000003</v>
      </c>
      <c r="C55" s="33"/>
      <c r="D55" s="33">
        <v>0</v>
      </c>
      <c r="E55" s="33"/>
      <c r="F55" s="300">
        <v>0</v>
      </c>
      <c r="G55" s="33"/>
      <c r="H55" s="300">
        <v>0</v>
      </c>
      <c r="I55" s="33"/>
      <c r="J55" s="33">
        <f t="shared" si="0"/>
        <v>0</v>
      </c>
      <c r="K55" s="33"/>
      <c r="L55" s="33">
        <f t="shared" si="1"/>
        <v>-3719097.5700000003</v>
      </c>
    </row>
    <row r="56" spans="1:12">
      <c r="A56" t="s">
        <v>288</v>
      </c>
      <c r="B56" s="33">
        <v>-1908827.0100000002</v>
      </c>
      <c r="C56" s="33"/>
      <c r="D56" s="33">
        <v>0</v>
      </c>
      <c r="E56" s="33"/>
      <c r="F56" s="300">
        <v>0</v>
      </c>
      <c r="G56" s="33"/>
      <c r="H56" s="300">
        <v>0</v>
      </c>
      <c r="I56" s="33"/>
      <c r="J56" s="33">
        <f t="shared" si="0"/>
        <v>0</v>
      </c>
      <c r="K56" s="33"/>
      <c r="L56" s="33">
        <f t="shared" si="1"/>
        <v>-1908827.0100000002</v>
      </c>
    </row>
    <row r="57" spans="1:12">
      <c r="A57" t="s">
        <v>289</v>
      </c>
      <c r="B57" s="33">
        <v>-31887984.409999996</v>
      </c>
      <c r="C57" s="33"/>
      <c r="D57" s="33">
        <v>0</v>
      </c>
      <c r="E57" s="33"/>
      <c r="F57" s="300">
        <v>194624.59</v>
      </c>
      <c r="G57" s="33"/>
      <c r="H57" s="300">
        <v>0</v>
      </c>
      <c r="I57" s="33"/>
      <c r="J57" s="33">
        <f t="shared" si="0"/>
        <v>194624.59</v>
      </c>
      <c r="K57" s="33"/>
      <c r="L57" s="33">
        <f t="shared" si="1"/>
        <v>-31693359.819999997</v>
      </c>
    </row>
    <row r="58" spans="1:12">
      <c r="A58" t="s">
        <v>290</v>
      </c>
      <c r="B58" s="33">
        <v>-14712192.33</v>
      </c>
      <c r="C58" s="33"/>
      <c r="D58" s="33">
        <v>0</v>
      </c>
      <c r="E58" s="33"/>
      <c r="F58" s="300">
        <v>0</v>
      </c>
      <c r="G58" s="33"/>
      <c r="H58" s="300">
        <v>0</v>
      </c>
      <c r="I58" s="33"/>
      <c r="J58" s="33">
        <f t="shared" si="0"/>
        <v>0</v>
      </c>
      <c r="K58" s="33"/>
      <c r="L58" s="33">
        <f t="shared" si="1"/>
        <v>-14712192.33</v>
      </c>
    </row>
    <row r="59" spans="1:12">
      <c r="A59" t="s">
        <v>291</v>
      </c>
      <c r="B59" s="33">
        <v>-5269689.1400000006</v>
      </c>
      <c r="C59" s="33"/>
      <c r="D59" s="33">
        <v>0</v>
      </c>
      <c r="E59" s="33"/>
      <c r="F59" s="300">
        <v>0</v>
      </c>
      <c r="G59" s="33"/>
      <c r="H59" s="300">
        <v>0</v>
      </c>
      <c r="I59" s="33"/>
      <c r="J59" s="33">
        <f t="shared" si="0"/>
        <v>0</v>
      </c>
      <c r="K59" s="33"/>
      <c r="L59" s="33">
        <f t="shared" si="1"/>
        <v>-5269689.1400000006</v>
      </c>
    </row>
    <row r="60" spans="1:12">
      <c r="A60" t="s">
        <v>292</v>
      </c>
      <c r="B60" s="33">
        <v>-1146655.4399999997</v>
      </c>
      <c r="C60" s="33"/>
      <c r="D60" s="33">
        <v>0</v>
      </c>
      <c r="E60" s="33"/>
      <c r="F60" s="300">
        <v>0</v>
      </c>
      <c r="G60" s="33"/>
      <c r="H60" s="300">
        <v>0</v>
      </c>
      <c r="I60" s="33"/>
      <c r="J60" s="33">
        <f t="shared" si="0"/>
        <v>0</v>
      </c>
      <c r="K60" s="33"/>
      <c r="L60" s="33">
        <f t="shared" si="1"/>
        <v>-1146655.4399999997</v>
      </c>
    </row>
    <row r="61" spans="1:12">
      <c r="A61" t="s">
        <v>293</v>
      </c>
      <c r="B61" s="33">
        <v>0</v>
      </c>
      <c r="C61" s="33"/>
      <c r="D61" s="33">
        <v>0</v>
      </c>
      <c r="E61" s="33"/>
      <c r="F61" s="300">
        <v>0</v>
      </c>
      <c r="G61" s="33"/>
      <c r="H61" s="300">
        <v>0</v>
      </c>
      <c r="I61" s="33"/>
      <c r="J61" s="33">
        <f t="shared" si="0"/>
        <v>0</v>
      </c>
      <c r="K61" s="33"/>
      <c r="L61" s="33">
        <f t="shared" si="1"/>
        <v>0</v>
      </c>
    </row>
    <row r="62" spans="1:12">
      <c r="A62" t="s">
        <v>294</v>
      </c>
      <c r="B62" s="35">
        <v>0</v>
      </c>
      <c r="C62" s="33"/>
      <c r="D62" s="35">
        <v>0</v>
      </c>
      <c r="E62" s="33"/>
      <c r="F62" s="35">
        <v>0</v>
      </c>
      <c r="G62" s="33"/>
      <c r="H62" s="35">
        <v>0</v>
      </c>
      <c r="I62" s="33"/>
      <c r="J62" s="35">
        <f t="shared" si="0"/>
        <v>0</v>
      </c>
      <c r="K62" s="33"/>
      <c r="L62" s="35">
        <f t="shared" si="1"/>
        <v>0</v>
      </c>
    </row>
    <row r="63" spans="1:12">
      <c r="B63" s="37">
        <f>SUM(B54:B62)</f>
        <v>-58644445.899999991</v>
      </c>
      <c r="C63" s="37"/>
      <c r="D63" s="37">
        <f>SUM(D54:D62)</f>
        <v>0</v>
      </c>
      <c r="E63" s="37"/>
      <c r="F63" s="37">
        <f>SUM(F54:F62)</f>
        <v>194624.59</v>
      </c>
      <c r="G63" s="37"/>
      <c r="H63" s="37">
        <f>SUM(H54:H62)</f>
        <v>0</v>
      </c>
      <c r="I63" s="37"/>
      <c r="J63" s="37">
        <f>SUM(J54:J62)</f>
        <v>194624.59</v>
      </c>
      <c r="K63" s="37"/>
      <c r="L63" s="37">
        <f>SUM(L54:L62)</f>
        <v>-58449821.309999995</v>
      </c>
    </row>
    <row r="64" spans="1:12">
      <c r="B64" s="37"/>
      <c r="C64" s="37"/>
      <c r="D64" s="37"/>
      <c r="E64" s="37"/>
      <c r="F64" s="37"/>
      <c r="G64" s="37"/>
      <c r="H64" s="37"/>
      <c r="I64" s="37"/>
      <c r="J64" s="37"/>
      <c r="K64" s="37"/>
      <c r="L64" s="37"/>
    </row>
    <row r="65" spans="1:12">
      <c r="A65" s="3" t="s">
        <v>812</v>
      </c>
      <c r="B65" s="37"/>
      <c r="C65" s="37"/>
      <c r="D65" s="37"/>
      <c r="E65" s="37"/>
      <c r="F65" s="37"/>
      <c r="G65" s="37"/>
      <c r="H65" s="37"/>
      <c r="I65" s="37"/>
      <c r="J65" s="37"/>
      <c r="K65" s="37"/>
      <c r="L65" s="37"/>
    </row>
    <row r="66" spans="1:12">
      <c r="A66" t="s">
        <v>295</v>
      </c>
      <c r="B66" s="37">
        <v>0</v>
      </c>
      <c r="C66" s="37"/>
      <c r="D66" s="37">
        <v>0</v>
      </c>
      <c r="E66" s="37"/>
      <c r="F66" s="37">
        <v>0</v>
      </c>
      <c r="G66" s="37"/>
      <c r="H66" s="37">
        <v>0</v>
      </c>
      <c r="I66" s="37"/>
      <c r="J66" s="37">
        <f t="shared" si="0"/>
        <v>0</v>
      </c>
      <c r="K66" s="37"/>
      <c r="L66" s="37">
        <f t="shared" si="1"/>
        <v>0</v>
      </c>
    </row>
    <row r="67" spans="1:12">
      <c r="A67" s="179" t="s">
        <v>1431</v>
      </c>
      <c r="B67" s="37">
        <v>0</v>
      </c>
      <c r="C67" s="37"/>
      <c r="D67" s="37">
        <v>0</v>
      </c>
      <c r="E67" s="37"/>
      <c r="F67" s="37">
        <v>0</v>
      </c>
      <c r="G67" s="37"/>
      <c r="H67" s="37">
        <v>0</v>
      </c>
      <c r="I67" s="37"/>
      <c r="J67" s="37">
        <f t="shared" ref="J67" si="2">H67+F67+D67</f>
        <v>0</v>
      </c>
      <c r="K67" s="37"/>
      <c r="L67" s="37">
        <f t="shared" ref="L67" si="3">B67+J67</f>
        <v>0</v>
      </c>
    </row>
    <row r="68" spans="1:12">
      <c r="A68" t="s">
        <v>832</v>
      </c>
      <c r="B68" s="37">
        <v>-181726095.94000003</v>
      </c>
      <c r="C68" s="37"/>
      <c r="D68" s="37">
        <v>0</v>
      </c>
      <c r="E68" s="37"/>
      <c r="F68" s="37">
        <f>46333.37+2787.2</f>
        <v>49120.57</v>
      </c>
      <c r="G68" s="37"/>
      <c r="H68" s="37">
        <v>0</v>
      </c>
      <c r="I68" s="37"/>
      <c r="J68" s="37">
        <f t="shared" si="0"/>
        <v>49120.57</v>
      </c>
      <c r="K68" s="37"/>
      <c r="L68" s="37">
        <f t="shared" si="1"/>
        <v>-181676975.37000003</v>
      </c>
    </row>
    <row r="69" spans="1:12">
      <c r="A69" t="s">
        <v>833</v>
      </c>
      <c r="B69" s="37">
        <v>-8229798.5499999998</v>
      </c>
      <c r="C69" s="37"/>
      <c r="D69" s="37">
        <v>0</v>
      </c>
      <c r="E69" s="37"/>
      <c r="F69" s="37">
        <v>0</v>
      </c>
      <c r="G69" s="37"/>
      <c r="H69" s="37">
        <v>0</v>
      </c>
      <c r="I69" s="37"/>
      <c r="J69" s="37">
        <f t="shared" si="0"/>
        <v>0</v>
      </c>
      <c r="K69" s="37"/>
      <c r="L69" s="37">
        <f t="shared" si="1"/>
        <v>-8229798.5499999998</v>
      </c>
    </row>
    <row r="70" spans="1:12">
      <c r="A70" t="s">
        <v>834</v>
      </c>
      <c r="B70" s="37">
        <v>-586194103.17000008</v>
      </c>
      <c r="C70" s="37"/>
      <c r="D70" s="37">
        <v>0</v>
      </c>
      <c r="E70" s="37"/>
      <c r="F70" s="37">
        <f>62164.91+1890791.39-1752601.98-83846.25-768733.14+422070.04</f>
        <v>-230155.0300000002</v>
      </c>
      <c r="G70" s="37"/>
      <c r="H70" s="37">
        <v>0</v>
      </c>
      <c r="I70" s="37"/>
      <c r="J70" s="37">
        <f t="shared" si="0"/>
        <v>-230155.0300000002</v>
      </c>
      <c r="K70" s="37"/>
      <c r="L70" s="37">
        <f t="shared" si="1"/>
        <v>-586424258.20000005</v>
      </c>
    </row>
    <row r="71" spans="1:12">
      <c r="A71" t="s">
        <v>835</v>
      </c>
      <c r="B71" s="37">
        <v>-568669.44999999995</v>
      </c>
      <c r="C71" s="37"/>
      <c r="D71" s="37">
        <v>0</v>
      </c>
      <c r="E71" s="37"/>
      <c r="F71" s="37">
        <v>0</v>
      </c>
      <c r="G71" s="37"/>
      <c r="H71" s="37">
        <v>0</v>
      </c>
      <c r="I71" s="37"/>
      <c r="J71" s="37">
        <f t="shared" si="0"/>
        <v>0</v>
      </c>
      <c r="K71" s="37"/>
      <c r="L71" s="37">
        <f t="shared" si="1"/>
        <v>-568669.44999999995</v>
      </c>
    </row>
    <row r="72" spans="1:12" s="10" customFormat="1">
      <c r="A72" s="10" t="s">
        <v>836</v>
      </c>
      <c r="B72" s="27">
        <v>-116550878.17999999</v>
      </c>
      <c r="C72" s="27"/>
      <c r="D72" s="27">
        <v>0</v>
      </c>
      <c r="E72" s="27"/>
      <c r="F72" s="27">
        <f>33860.26+1003936.42-820564.37-83968.75</f>
        <v>133263.56000000006</v>
      </c>
      <c r="G72" s="27"/>
      <c r="H72" s="27">
        <v>0</v>
      </c>
      <c r="I72" s="27"/>
      <c r="J72" s="27">
        <f t="shared" si="0"/>
        <v>133263.56000000006</v>
      </c>
      <c r="K72" s="27"/>
      <c r="L72" s="27">
        <f t="shared" si="1"/>
        <v>-116417614.61999999</v>
      </c>
    </row>
    <row r="73" spans="1:12">
      <c r="A73" t="s">
        <v>837</v>
      </c>
      <c r="B73" s="37">
        <v>-109748429.26000001</v>
      </c>
      <c r="C73" s="37"/>
      <c r="D73" s="37">
        <v>-16378.43</v>
      </c>
      <c r="E73" s="37"/>
      <c r="F73" s="37">
        <f>167865.12-126392.63-43217.62+14281.93</f>
        <v>12536.799999999988</v>
      </c>
      <c r="G73" s="37"/>
      <c r="H73" s="37">
        <v>0</v>
      </c>
      <c r="I73" s="37"/>
      <c r="J73" s="37">
        <f t="shared" si="0"/>
        <v>-3841.6300000000119</v>
      </c>
      <c r="K73" s="37"/>
      <c r="L73" s="37">
        <f t="shared" si="1"/>
        <v>-109752270.89</v>
      </c>
    </row>
    <row r="74" spans="1:12">
      <c r="A74" t="s">
        <v>1024</v>
      </c>
      <c r="B74" s="37">
        <v>0</v>
      </c>
      <c r="C74" s="37"/>
      <c r="D74" s="37">
        <v>0</v>
      </c>
      <c r="E74" s="37"/>
      <c r="F74" s="37">
        <v>0</v>
      </c>
      <c r="G74" s="37"/>
      <c r="H74" s="37">
        <v>0</v>
      </c>
      <c r="I74" s="37"/>
      <c r="J74" s="37">
        <f t="shared" si="0"/>
        <v>0</v>
      </c>
      <c r="K74" s="37"/>
      <c r="L74" s="37">
        <f t="shared" si="1"/>
        <v>0</v>
      </c>
    </row>
    <row r="75" spans="1:12">
      <c r="A75" t="s">
        <v>838</v>
      </c>
      <c r="B75" s="37">
        <v>-5302444.4000000004</v>
      </c>
      <c r="C75" s="37"/>
      <c r="D75" s="37">
        <v>0</v>
      </c>
      <c r="E75" s="37"/>
      <c r="F75" s="37">
        <v>0</v>
      </c>
      <c r="G75" s="37"/>
      <c r="H75" s="37">
        <v>0</v>
      </c>
      <c r="I75" s="37"/>
      <c r="J75" s="37">
        <f t="shared" si="0"/>
        <v>0</v>
      </c>
      <c r="K75" s="37"/>
      <c r="L75" s="37">
        <f t="shared" si="1"/>
        <v>-5302444.4000000004</v>
      </c>
    </row>
    <row r="76" spans="1:12">
      <c r="A76" t="s">
        <v>839</v>
      </c>
      <c r="B76" s="35">
        <v>0</v>
      </c>
      <c r="C76" s="37"/>
      <c r="D76" s="35">
        <v>0</v>
      </c>
      <c r="E76" s="37"/>
      <c r="F76" s="35">
        <v>0</v>
      </c>
      <c r="G76" s="37"/>
      <c r="H76" s="35">
        <v>0</v>
      </c>
      <c r="I76" s="37"/>
      <c r="J76" s="35">
        <f t="shared" si="0"/>
        <v>0</v>
      </c>
      <c r="K76" s="37"/>
      <c r="L76" s="35">
        <f t="shared" si="1"/>
        <v>0</v>
      </c>
    </row>
    <row r="77" spans="1:12">
      <c r="B77" s="37">
        <f>SUM(B66:B76)</f>
        <v>-1008320418.95</v>
      </c>
      <c r="C77" s="37"/>
      <c r="D77" s="37">
        <f>SUM(D66:D76)</f>
        <v>-16378.43</v>
      </c>
      <c r="E77" s="37"/>
      <c r="F77" s="37">
        <f>SUM(F66:F76)</f>
        <v>-35234.100000000151</v>
      </c>
      <c r="G77" s="37"/>
      <c r="H77" s="37">
        <f>SUM(H66:H76)</f>
        <v>0</v>
      </c>
      <c r="I77" s="37"/>
      <c r="J77" s="37">
        <f>SUM(J66:J76)</f>
        <v>-51612.530000000152</v>
      </c>
      <c r="K77" s="37"/>
      <c r="L77" s="37">
        <f>SUM(L66:L76)</f>
        <v>-1008372031.4800001</v>
      </c>
    </row>
    <row r="78" spans="1:12">
      <c r="B78" s="37"/>
      <c r="C78" s="37"/>
      <c r="D78" s="37"/>
      <c r="E78" s="37"/>
      <c r="F78" s="37"/>
      <c r="G78" s="37"/>
      <c r="H78" s="37"/>
      <c r="I78" s="37"/>
      <c r="J78" s="37"/>
      <c r="K78" s="37"/>
      <c r="L78" s="37"/>
    </row>
    <row r="79" spans="1:12">
      <c r="A79" s="3" t="s">
        <v>119</v>
      </c>
      <c r="B79" s="37"/>
      <c r="C79" s="37"/>
      <c r="D79" s="37"/>
      <c r="E79" s="37"/>
      <c r="F79" s="37"/>
      <c r="G79" s="37"/>
      <c r="H79" s="37"/>
      <c r="I79" s="37"/>
      <c r="J79" s="37"/>
      <c r="K79" s="37"/>
      <c r="L79" s="37"/>
    </row>
    <row r="80" spans="1:12">
      <c r="A80" t="s">
        <v>5</v>
      </c>
      <c r="B80" s="37">
        <v>-1657663.57</v>
      </c>
      <c r="C80" s="37"/>
      <c r="D80" s="37">
        <v>0</v>
      </c>
      <c r="E80" s="37"/>
      <c r="F80" s="37">
        <v>0</v>
      </c>
      <c r="G80" s="37"/>
      <c r="H80" s="37">
        <v>0</v>
      </c>
      <c r="I80" s="37"/>
      <c r="J80" s="37">
        <f t="shared" si="0"/>
        <v>0</v>
      </c>
      <c r="K80" s="37"/>
      <c r="L80" s="37">
        <f t="shared" si="1"/>
        <v>-1657663.57</v>
      </c>
    </row>
    <row r="81" spans="1:12">
      <c r="A81" t="s">
        <v>6</v>
      </c>
      <c r="B81" s="37">
        <v>0</v>
      </c>
      <c r="C81" s="37"/>
      <c r="D81" s="37">
        <v>0</v>
      </c>
      <c r="E81" s="37"/>
      <c r="F81" s="37">
        <v>0</v>
      </c>
      <c r="G81" s="37"/>
      <c r="H81" s="37">
        <v>0</v>
      </c>
      <c r="I81" s="37"/>
      <c r="J81" s="37">
        <f t="shared" si="0"/>
        <v>0</v>
      </c>
      <c r="K81" s="37"/>
      <c r="L81" s="37">
        <f t="shared" si="1"/>
        <v>0</v>
      </c>
    </row>
    <row r="82" spans="1:12">
      <c r="A82" t="s">
        <v>7</v>
      </c>
      <c r="B82" s="37">
        <v>-1045731.1399999999</v>
      </c>
      <c r="C82" s="37"/>
      <c r="D82" s="37">
        <v>0</v>
      </c>
      <c r="E82" s="37"/>
      <c r="F82" s="37">
        <v>0</v>
      </c>
      <c r="G82" s="37"/>
      <c r="H82" s="37">
        <v>0</v>
      </c>
      <c r="I82" s="37"/>
      <c r="J82" s="37">
        <f t="shared" si="0"/>
        <v>0</v>
      </c>
      <c r="K82" s="37"/>
      <c r="L82" s="37">
        <f t="shared" si="1"/>
        <v>-1045731.1399999999</v>
      </c>
    </row>
    <row r="83" spans="1:12">
      <c r="A83" t="s">
        <v>8</v>
      </c>
      <c r="B83" s="37">
        <v>-61983195.399999999</v>
      </c>
      <c r="C83" s="37"/>
      <c r="D83" s="37">
        <v>0</v>
      </c>
      <c r="E83" s="37"/>
      <c r="F83" s="37">
        <f>76823.57+559008.89+45495.28+34972.75</f>
        <v>716300.49</v>
      </c>
      <c r="G83" s="37"/>
      <c r="H83" s="37">
        <v>0</v>
      </c>
      <c r="I83" s="37"/>
      <c r="J83" s="37">
        <f t="shared" si="0"/>
        <v>716300.49</v>
      </c>
      <c r="K83" s="37"/>
      <c r="L83" s="37">
        <f t="shared" si="1"/>
        <v>-61266894.909999996</v>
      </c>
    </row>
    <row r="84" spans="1:12">
      <c r="A84" t="s">
        <v>840</v>
      </c>
      <c r="B84" s="37">
        <v>-5748.1100000000006</v>
      </c>
      <c r="C84" s="37"/>
      <c r="D84" s="37">
        <v>0</v>
      </c>
      <c r="E84" s="37"/>
      <c r="F84" s="37">
        <v>0</v>
      </c>
      <c r="G84" s="37"/>
      <c r="H84" s="37">
        <v>0</v>
      </c>
      <c r="I84" s="37"/>
      <c r="J84" s="37">
        <f t="shared" si="0"/>
        <v>0</v>
      </c>
      <c r="K84" s="37"/>
      <c r="L84" s="37">
        <f t="shared" si="1"/>
        <v>-5748.1100000000006</v>
      </c>
    </row>
    <row r="85" spans="1:12">
      <c r="A85" t="s">
        <v>9</v>
      </c>
      <c r="B85" s="37">
        <v>-11479930.439999999</v>
      </c>
      <c r="C85" s="37"/>
      <c r="D85" s="37">
        <v>0</v>
      </c>
      <c r="E85" s="37"/>
      <c r="F85" s="37">
        <f>81903.47+9949.3</f>
        <v>91852.77</v>
      </c>
      <c r="G85" s="37"/>
      <c r="H85" s="37">
        <v>0</v>
      </c>
      <c r="I85" s="37"/>
      <c r="J85" s="37">
        <f t="shared" si="0"/>
        <v>91852.77</v>
      </c>
      <c r="K85" s="37"/>
      <c r="L85" s="37">
        <f t="shared" si="1"/>
        <v>-11388077.67</v>
      </c>
    </row>
    <row r="86" spans="1:12">
      <c r="A86" t="s">
        <v>10</v>
      </c>
      <c r="B86" s="37">
        <v>-12239413.1</v>
      </c>
      <c r="C86" s="37"/>
      <c r="D86" s="37">
        <v>0</v>
      </c>
      <c r="E86" s="37"/>
      <c r="F86" s="37">
        <f>6727.08+1726.22+1024.68</f>
        <v>9477.98</v>
      </c>
      <c r="G86" s="37"/>
      <c r="H86" s="37">
        <v>0</v>
      </c>
      <c r="I86" s="37"/>
      <c r="J86" s="37">
        <f t="shared" si="0"/>
        <v>9477.98</v>
      </c>
      <c r="K86" s="37"/>
      <c r="L86" s="37">
        <f t="shared" si="1"/>
        <v>-12229935.119999999</v>
      </c>
    </row>
    <row r="87" spans="1:12">
      <c r="A87" t="s">
        <v>11</v>
      </c>
      <c r="B87" s="37">
        <v>-13888010.15</v>
      </c>
      <c r="C87" s="37"/>
      <c r="D87" s="37">
        <v>0</v>
      </c>
      <c r="E87" s="37"/>
      <c r="F87" s="37">
        <f>6434.37+12971.73+2573.16+59.37</f>
        <v>22038.629999999997</v>
      </c>
      <c r="G87" s="37"/>
      <c r="H87" s="37">
        <v>0</v>
      </c>
      <c r="I87" s="37"/>
      <c r="J87" s="37">
        <f t="shared" si="0"/>
        <v>22038.629999999997</v>
      </c>
      <c r="K87" s="37"/>
      <c r="L87" s="37">
        <f t="shared" si="1"/>
        <v>-13865971.52</v>
      </c>
    </row>
    <row r="88" spans="1:12">
      <c r="A88" t="s">
        <v>841</v>
      </c>
      <c r="B88" s="37">
        <v>-566038.14</v>
      </c>
      <c r="C88" s="37"/>
      <c r="D88" s="37">
        <v>0</v>
      </c>
      <c r="E88" s="37"/>
      <c r="F88" s="37">
        <v>138218.09</v>
      </c>
      <c r="G88" s="37"/>
      <c r="H88" s="37">
        <v>0</v>
      </c>
      <c r="I88" s="37"/>
      <c r="J88" s="37">
        <f t="shared" si="0"/>
        <v>138218.09</v>
      </c>
      <c r="K88" s="37"/>
      <c r="L88" s="37">
        <f t="shared" si="1"/>
        <v>-427820.05000000005</v>
      </c>
    </row>
    <row r="89" spans="1:12">
      <c r="A89" t="s">
        <v>842</v>
      </c>
      <c r="B89" s="37">
        <v>-1971326.56</v>
      </c>
      <c r="C89" s="37"/>
      <c r="D89" s="37">
        <v>0</v>
      </c>
      <c r="E89" s="37"/>
      <c r="F89" s="37">
        <f>15862.39+173509.09</f>
        <v>189371.47999999998</v>
      </c>
      <c r="G89" s="37"/>
      <c r="H89" s="37">
        <v>0</v>
      </c>
      <c r="I89" s="37"/>
      <c r="J89" s="37">
        <f t="shared" si="0"/>
        <v>189371.47999999998</v>
      </c>
      <c r="K89" s="37"/>
      <c r="L89" s="37">
        <f t="shared" si="1"/>
        <v>-1781955.08</v>
      </c>
    </row>
    <row r="90" spans="1:12">
      <c r="A90" t="s">
        <v>843</v>
      </c>
      <c r="B90" s="37">
        <v>0</v>
      </c>
      <c r="C90" s="37"/>
      <c r="D90" s="37">
        <v>0</v>
      </c>
      <c r="E90" s="37"/>
      <c r="F90" s="37">
        <v>0</v>
      </c>
      <c r="G90" s="37"/>
      <c r="H90" s="37">
        <v>0</v>
      </c>
      <c r="I90" s="37"/>
      <c r="J90" s="37">
        <f t="shared" si="0"/>
        <v>0</v>
      </c>
      <c r="K90" s="37"/>
      <c r="L90" s="37">
        <f t="shared" si="1"/>
        <v>0</v>
      </c>
    </row>
    <row r="91" spans="1:12">
      <c r="A91" t="s">
        <v>844</v>
      </c>
      <c r="B91" s="35">
        <v>0</v>
      </c>
      <c r="C91" s="37"/>
      <c r="D91" s="35">
        <v>0</v>
      </c>
      <c r="E91" s="37"/>
      <c r="F91" s="35">
        <v>0</v>
      </c>
      <c r="G91" s="37"/>
      <c r="H91" s="35">
        <v>0</v>
      </c>
      <c r="I91" s="37"/>
      <c r="J91" s="35">
        <f t="shared" si="0"/>
        <v>0</v>
      </c>
      <c r="K91" s="37"/>
      <c r="L91" s="35">
        <f t="shared" si="1"/>
        <v>0</v>
      </c>
    </row>
    <row r="92" spans="1:12">
      <c r="B92" s="37">
        <f>SUM(B80:B91)</f>
        <v>-104837056.61</v>
      </c>
      <c r="C92" s="37"/>
      <c r="D92" s="37">
        <f>SUM(D80:D91)</f>
        <v>0</v>
      </c>
      <c r="E92" s="37"/>
      <c r="F92" s="37">
        <f>SUM(F80:F91)</f>
        <v>1167259.44</v>
      </c>
      <c r="G92" s="37"/>
      <c r="H92" s="37">
        <f>SUM(H80:H91)</f>
        <v>0</v>
      </c>
      <c r="I92" s="37"/>
      <c r="J92" s="37">
        <f>SUM(J80:J91)</f>
        <v>1167259.44</v>
      </c>
      <c r="K92" s="37"/>
      <c r="L92" s="37">
        <f>SUM(L80:L91)</f>
        <v>-103669797.16999999</v>
      </c>
    </row>
    <row r="93" spans="1:12">
      <c r="B93" s="37"/>
      <c r="C93" s="37"/>
      <c r="D93" s="37"/>
      <c r="E93" s="37"/>
      <c r="F93" s="37"/>
      <c r="G93" s="37"/>
      <c r="H93" s="37"/>
      <c r="I93" s="37"/>
      <c r="J93" s="37"/>
      <c r="K93" s="37"/>
      <c r="L93" s="37"/>
    </row>
    <row r="94" spans="1:12">
      <c r="B94" s="33"/>
      <c r="C94" s="33"/>
      <c r="D94" s="33"/>
      <c r="E94" s="33"/>
      <c r="F94" s="33"/>
      <c r="G94" s="33"/>
      <c r="H94" s="33"/>
      <c r="I94" s="33"/>
      <c r="J94" s="33"/>
      <c r="K94" s="33"/>
      <c r="L94" s="33"/>
    </row>
    <row r="95" spans="1:12">
      <c r="A95" s="3" t="s">
        <v>688</v>
      </c>
      <c r="B95" s="34">
        <f>B92+B77+B63+B51+B46+B35+B26</f>
        <v>-1463628621.1100001</v>
      </c>
      <c r="C95" s="37"/>
      <c r="D95" s="34">
        <f>D92+D77+D63+D51+D46+D35+D26</f>
        <v>-26083.29</v>
      </c>
      <c r="E95" s="37"/>
      <c r="F95" s="34">
        <f>F92+F77+F63+F51+F46+F35+F26</f>
        <v>1952524.5199999998</v>
      </c>
      <c r="G95" s="37"/>
      <c r="H95" s="34">
        <f>H92+H77+H63+H51+H46+H35+H26</f>
        <v>0</v>
      </c>
      <c r="I95" s="37"/>
      <c r="J95" s="34">
        <f>J92+J77+J63+J51+J46+J35+J26</f>
        <v>1926441.2299999995</v>
      </c>
      <c r="K95" s="37"/>
      <c r="L95" s="34">
        <f>L92+L77+L63+L51+L46+L35+L26</f>
        <v>-1461702179.8800001</v>
      </c>
    </row>
    <row r="96" spans="1:12" s="10" customFormat="1">
      <c r="B96" s="24"/>
      <c r="C96" s="24"/>
      <c r="D96" s="24"/>
      <c r="E96" s="24"/>
      <c r="F96" s="24"/>
      <c r="G96" s="24"/>
      <c r="H96" s="24"/>
      <c r="I96" s="24"/>
      <c r="J96" s="24"/>
      <c r="K96" s="24"/>
      <c r="L96" s="24"/>
    </row>
    <row r="97" spans="1:14" s="10" customFormat="1">
      <c r="A97" s="12" t="s">
        <v>689</v>
      </c>
      <c r="B97" s="24"/>
      <c r="C97" s="24"/>
      <c r="D97" s="24"/>
      <c r="E97" s="24"/>
      <c r="F97" s="24"/>
      <c r="G97" s="24"/>
      <c r="H97" s="24"/>
      <c r="I97" s="24"/>
      <c r="J97" s="24"/>
      <c r="K97" s="24"/>
      <c r="L97" s="24"/>
    </row>
    <row r="98" spans="1:14" s="10" customFormat="1">
      <c r="A98" s="12" t="s">
        <v>691</v>
      </c>
      <c r="B98" s="24"/>
      <c r="C98" s="24"/>
      <c r="D98" s="24"/>
      <c r="E98" s="24"/>
      <c r="F98" s="24"/>
      <c r="G98" s="24"/>
      <c r="H98" s="24"/>
      <c r="I98" s="24"/>
      <c r="J98" s="24"/>
      <c r="K98" s="24"/>
      <c r="L98" s="24"/>
    </row>
    <row r="99" spans="1:14" s="10" customFormat="1">
      <c r="A99" s="10" t="s">
        <v>275</v>
      </c>
      <c r="B99" s="24">
        <v>0</v>
      </c>
      <c r="C99" s="24"/>
      <c r="D99" s="24">
        <v>0</v>
      </c>
      <c r="E99" s="24"/>
      <c r="F99" s="24">
        <v>0</v>
      </c>
      <c r="G99" s="24"/>
      <c r="H99" s="24">
        <v>0</v>
      </c>
      <c r="I99" s="24"/>
      <c r="J99" s="24">
        <f>D99+F99+H99</f>
        <v>0</v>
      </c>
      <c r="K99" s="24"/>
      <c r="L99" s="24">
        <f>J99+B99</f>
        <v>0</v>
      </c>
    </row>
    <row r="100" spans="1:14" s="10" customFormat="1">
      <c r="A100" s="10" t="s">
        <v>12</v>
      </c>
      <c r="B100" s="24">
        <v>-572.15999999999985</v>
      </c>
      <c r="C100" s="24"/>
      <c r="D100" s="24">
        <v>0</v>
      </c>
      <c r="E100" s="24"/>
      <c r="F100" s="24">
        <v>0</v>
      </c>
      <c r="G100" s="24"/>
      <c r="H100" s="24">
        <v>0</v>
      </c>
      <c r="I100" s="24"/>
      <c r="J100" s="24">
        <f t="shared" ref="J100:J109" si="4">D100+F100+H100</f>
        <v>0</v>
      </c>
      <c r="K100" s="24"/>
      <c r="L100" s="24">
        <f t="shared" ref="L100:L109" si="5">J100+B100</f>
        <v>-572.15999999999985</v>
      </c>
    </row>
    <row r="101" spans="1:14" s="10" customFormat="1">
      <c r="A101" s="10" t="s">
        <v>276</v>
      </c>
      <c r="B101" s="24">
        <v>-1180.6199999999999</v>
      </c>
      <c r="C101" s="24"/>
      <c r="D101" s="24">
        <v>0</v>
      </c>
      <c r="E101" s="24"/>
      <c r="F101" s="24">
        <v>0</v>
      </c>
      <c r="G101" s="24"/>
      <c r="H101" s="24">
        <v>0</v>
      </c>
      <c r="I101" s="24"/>
      <c r="J101" s="24">
        <f t="shared" si="4"/>
        <v>0</v>
      </c>
      <c r="K101" s="24"/>
      <c r="L101" s="24">
        <f t="shared" si="5"/>
        <v>-1180.6199999999999</v>
      </c>
      <c r="N101" s="72"/>
    </row>
    <row r="102" spans="1:14" s="10" customFormat="1">
      <c r="A102" s="10" t="s">
        <v>277</v>
      </c>
      <c r="B102" s="24">
        <v>-92.040000000001783</v>
      </c>
      <c r="C102" s="24"/>
      <c r="D102" s="24">
        <v>46.73</v>
      </c>
      <c r="E102" s="24"/>
      <c r="F102" s="24">
        <v>0</v>
      </c>
      <c r="G102" s="24"/>
      <c r="H102" s="24">
        <v>0</v>
      </c>
      <c r="I102" s="24"/>
      <c r="J102" s="24">
        <f t="shared" si="4"/>
        <v>46.73</v>
      </c>
      <c r="K102" s="24"/>
      <c r="L102" s="24">
        <f t="shared" si="5"/>
        <v>-45.310000000001786</v>
      </c>
      <c r="N102" s="72"/>
    </row>
    <row r="103" spans="1:14" s="10" customFormat="1">
      <c r="A103" s="10" t="s">
        <v>278</v>
      </c>
      <c r="B103" s="24">
        <v>-652.1200000000008</v>
      </c>
      <c r="C103" s="24"/>
      <c r="D103" s="24">
        <v>34.340000000000003</v>
      </c>
      <c r="E103" s="24"/>
      <c r="F103" s="24">
        <v>0</v>
      </c>
      <c r="G103" s="24"/>
      <c r="H103" s="24">
        <v>0</v>
      </c>
      <c r="I103" s="24"/>
      <c r="J103" s="24">
        <f t="shared" si="4"/>
        <v>34.340000000000003</v>
      </c>
      <c r="K103" s="24"/>
      <c r="L103" s="24">
        <f t="shared" si="5"/>
        <v>-617.78000000000077</v>
      </c>
    </row>
    <row r="104" spans="1:14" s="10" customFormat="1">
      <c r="A104" s="10" t="s">
        <v>279</v>
      </c>
      <c r="B104" s="24">
        <v>-14975.07</v>
      </c>
      <c r="C104" s="24"/>
      <c r="D104" s="24">
        <v>9196.5499999999993</v>
      </c>
      <c r="E104" s="24"/>
      <c r="F104" s="24">
        <v>0</v>
      </c>
      <c r="G104" s="24"/>
      <c r="H104" s="24">
        <v>0</v>
      </c>
      <c r="I104" s="24"/>
      <c r="J104" s="24">
        <f t="shared" si="4"/>
        <v>9196.5499999999993</v>
      </c>
      <c r="K104" s="24"/>
      <c r="L104" s="24">
        <f t="shared" si="5"/>
        <v>-5778.52</v>
      </c>
    </row>
    <row r="105" spans="1:14" s="10" customFormat="1">
      <c r="A105" s="10" t="s">
        <v>280</v>
      </c>
      <c r="B105" s="24">
        <v>-94.610000000000582</v>
      </c>
      <c r="C105" s="24"/>
      <c r="D105" s="24">
        <v>14.21</v>
      </c>
      <c r="E105" s="24"/>
      <c r="F105" s="24">
        <v>0</v>
      </c>
      <c r="G105" s="24"/>
      <c r="H105" s="24">
        <v>0</v>
      </c>
      <c r="I105" s="24"/>
      <c r="J105" s="24">
        <f t="shared" si="4"/>
        <v>14.21</v>
      </c>
      <c r="K105" s="24"/>
      <c r="L105" s="24">
        <f t="shared" si="5"/>
        <v>-80.400000000000574</v>
      </c>
    </row>
    <row r="106" spans="1:14" s="10" customFormat="1">
      <c r="A106" s="10" t="s">
        <v>308</v>
      </c>
      <c r="B106" s="24">
        <v>-187.43000000000029</v>
      </c>
      <c r="C106" s="24"/>
      <c r="D106" s="24">
        <v>69.08</v>
      </c>
      <c r="E106" s="24"/>
      <c r="F106" s="24">
        <v>0</v>
      </c>
      <c r="G106" s="24"/>
      <c r="H106" s="24">
        <v>0</v>
      </c>
      <c r="I106" s="24"/>
      <c r="J106" s="24">
        <f t="shared" si="4"/>
        <v>69.08</v>
      </c>
      <c r="K106" s="24"/>
      <c r="L106" s="24">
        <f t="shared" si="5"/>
        <v>-118.35000000000029</v>
      </c>
    </row>
    <row r="107" spans="1:14" s="10" customFormat="1">
      <c r="A107" s="10" t="s">
        <v>310</v>
      </c>
      <c r="B107" s="24">
        <v>0</v>
      </c>
      <c r="C107" s="24"/>
      <c r="D107" s="24">
        <v>0</v>
      </c>
      <c r="E107" s="24"/>
      <c r="F107" s="24">
        <v>0</v>
      </c>
      <c r="G107" s="24"/>
      <c r="H107" s="24">
        <v>0</v>
      </c>
      <c r="I107" s="24"/>
      <c r="J107" s="24">
        <f t="shared" si="4"/>
        <v>0</v>
      </c>
      <c r="K107" s="24"/>
      <c r="L107" s="24">
        <f t="shared" si="5"/>
        <v>0</v>
      </c>
    </row>
    <row r="108" spans="1:14" s="10" customFormat="1">
      <c r="A108" s="10" t="s">
        <v>311</v>
      </c>
      <c r="B108" s="24">
        <v>334.92999999999847</v>
      </c>
      <c r="C108" s="24"/>
      <c r="D108" s="24">
        <f>294.19-668.29</f>
        <v>-374.09999999999997</v>
      </c>
      <c r="E108" s="24"/>
      <c r="F108" s="24">
        <v>0</v>
      </c>
      <c r="G108" s="24"/>
      <c r="H108" s="24">
        <v>0</v>
      </c>
      <c r="I108" s="24"/>
      <c r="J108" s="24">
        <f t="shared" si="4"/>
        <v>-374.09999999999997</v>
      </c>
      <c r="K108" s="24"/>
      <c r="L108" s="24">
        <f t="shared" si="5"/>
        <v>-39.170000000001494</v>
      </c>
    </row>
    <row r="109" spans="1:14" s="10" customFormat="1">
      <c r="A109" s="10" t="s">
        <v>312</v>
      </c>
      <c r="B109" s="28">
        <v>-718.05000000000018</v>
      </c>
      <c r="C109" s="27"/>
      <c r="D109" s="28">
        <f>49.76+668.29</f>
        <v>718.05</v>
      </c>
      <c r="E109" s="27"/>
      <c r="F109" s="28">
        <v>0</v>
      </c>
      <c r="G109" s="27"/>
      <c r="H109" s="28">
        <v>0</v>
      </c>
      <c r="I109" s="27"/>
      <c r="J109" s="28">
        <f t="shared" si="4"/>
        <v>718.05</v>
      </c>
      <c r="K109" s="27"/>
      <c r="L109" s="28">
        <f t="shared" si="5"/>
        <v>0</v>
      </c>
      <c r="M109" s="71"/>
    </row>
    <row r="110" spans="1:14" s="10" customFormat="1">
      <c r="B110" s="27">
        <f>SUM(B99:B109)</f>
        <v>-18137.170000000002</v>
      </c>
      <c r="C110" s="27"/>
      <c r="D110" s="27">
        <f>SUM(D99:D109)</f>
        <v>9704.8599999999969</v>
      </c>
      <c r="E110" s="27"/>
      <c r="F110" s="27">
        <f>SUM(F99:F109)</f>
        <v>0</v>
      </c>
      <c r="G110" s="27"/>
      <c r="H110" s="27">
        <f>SUM(H99:H109)</f>
        <v>0</v>
      </c>
      <c r="I110" s="27"/>
      <c r="J110" s="27">
        <f>SUM(J99:J109)</f>
        <v>9704.8599999999969</v>
      </c>
      <c r="K110" s="27"/>
      <c r="L110" s="27">
        <f>SUM(L99:L109)</f>
        <v>-8432.3100000000068</v>
      </c>
      <c r="M110" s="71"/>
    </row>
    <row r="111" spans="1:14" s="10" customFormat="1">
      <c r="B111" s="27"/>
      <c r="C111" s="27"/>
      <c r="D111" s="27"/>
      <c r="E111" s="27"/>
      <c r="F111" s="27"/>
      <c r="G111" s="27"/>
      <c r="H111" s="27"/>
      <c r="I111" s="27"/>
      <c r="J111" s="27"/>
      <c r="K111" s="27"/>
      <c r="L111" s="27"/>
      <c r="M111" s="71"/>
    </row>
    <row r="112" spans="1:14" s="10" customFormat="1">
      <c r="A112" s="12" t="s">
        <v>813</v>
      </c>
      <c r="B112" s="27"/>
      <c r="C112" s="27"/>
      <c r="D112" s="27"/>
      <c r="E112" s="27"/>
      <c r="F112" s="27"/>
      <c r="G112" s="27"/>
      <c r="H112" s="27"/>
      <c r="I112" s="27"/>
      <c r="J112" s="27"/>
      <c r="K112" s="27"/>
      <c r="L112" s="27"/>
      <c r="M112" s="71"/>
    </row>
    <row r="113" spans="1:13" s="10" customFormat="1">
      <c r="A113" s="10" t="s">
        <v>316</v>
      </c>
      <c r="B113" s="27">
        <v>0</v>
      </c>
      <c r="C113" s="27"/>
      <c r="D113" s="27">
        <v>0</v>
      </c>
      <c r="E113" s="27"/>
      <c r="F113" s="27">
        <v>0</v>
      </c>
      <c r="G113" s="27"/>
      <c r="H113" s="27">
        <v>0</v>
      </c>
      <c r="I113" s="27"/>
      <c r="J113" s="27">
        <f>D113+F113+H113</f>
        <v>0</v>
      </c>
      <c r="K113" s="27"/>
      <c r="L113" s="27">
        <f>J113+B113</f>
        <v>0</v>
      </c>
      <c r="M113" s="71"/>
    </row>
    <row r="114" spans="1:13" s="10" customFormat="1">
      <c r="A114" s="10" t="s">
        <v>973</v>
      </c>
      <c r="B114" s="28">
        <v>0</v>
      </c>
      <c r="C114" s="27"/>
      <c r="D114" s="28">
        <v>0</v>
      </c>
      <c r="E114" s="27"/>
      <c r="F114" s="28">
        <v>0</v>
      </c>
      <c r="G114" s="27"/>
      <c r="H114" s="28">
        <v>0</v>
      </c>
      <c r="I114" s="27"/>
      <c r="J114" s="28">
        <f>D114+F114+H114</f>
        <v>0</v>
      </c>
      <c r="K114" s="27"/>
      <c r="L114" s="28">
        <f>J114+B114</f>
        <v>0</v>
      </c>
      <c r="M114" s="71"/>
    </row>
    <row r="115" spans="1:13" s="10" customFormat="1">
      <c r="B115" s="27">
        <f>SUM(B113:B114)</f>
        <v>0</v>
      </c>
      <c r="C115" s="27"/>
      <c r="D115" s="27">
        <f>SUM(D113:D114)</f>
        <v>0</v>
      </c>
      <c r="E115" s="27"/>
      <c r="F115" s="27">
        <f>SUM(F113:F114)</f>
        <v>0</v>
      </c>
      <c r="G115" s="27"/>
      <c r="H115" s="27">
        <f>SUM(H113:H114)</f>
        <v>0</v>
      </c>
      <c r="I115" s="27"/>
      <c r="J115" s="27">
        <f>SUM(J113:J114)</f>
        <v>0</v>
      </c>
      <c r="K115" s="27"/>
      <c r="L115" s="27">
        <f>SUM(L113:L114)</f>
        <v>0</v>
      </c>
      <c r="M115" s="71"/>
    </row>
    <row r="116" spans="1:13" s="10" customFormat="1">
      <c r="B116" s="27"/>
      <c r="C116" s="27"/>
      <c r="D116" s="27"/>
      <c r="E116" s="27"/>
      <c r="F116" s="27"/>
      <c r="G116" s="27"/>
      <c r="H116" s="27"/>
      <c r="I116" s="27"/>
      <c r="J116" s="27"/>
      <c r="K116" s="27"/>
      <c r="L116" s="27"/>
      <c r="M116" s="71"/>
    </row>
    <row r="117" spans="1:13" s="10" customFormat="1">
      <c r="A117" s="12" t="s">
        <v>809</v>
      </c>
      <c r="B117" s="27"/>
      <c r="C117" s="27"/>
      <c r="D117" s="27"/>
      <c r="E117" s="27"/>
      <c r="F117" s="27"/>
      <c r="G117" s="27"/>
      <c r="H117" s="27"/>
      <c r="I117" s="27"/>
      <c r="J117" s="27"/>
      <c r="K117" s="27"/>
      <c r="L117" s="27"/>
      <c r="M117" s="71"/>
    </row>
    <row r="118" spans="1:13" s="10" customFormat="1">
      <c r="A118" s="10" t="s">
        <v>574</v>
      </c>
      <c r="B118" s="27">
        <v>0</v>
      </c>
      <c r="C118" s="27"/>
      <c r="D118" s="27">
        <v>0</v>
      </c>
      <c r="E118" s="27"/>
      <c r="F118" s="27">
        <v>0</v>
      </c>
      <c r="G118" s="27"/>
      <c r="H118" s="27">
        <v>0</v>
      </c>
      <c r="I118" s="27"/>
      <c r="J118" s="27">
        <f>D118+F118+H118</f>
        <v>0</v>
      </c>
      <c r="K118" s="27"/>
      <c r="L118" s="27">
        <f>J118+B118</f>
        <v>0</v>
      </c>
      <c r="M118" s="71"/>
    </row>
    <row r="119" spans="1:13" s="10" customFormat="1">
      <c r="A119" s="10" t="s">
        <v>575</v>
      </c>
      <c r="B119" s="27">
        <v>0</v>
      </c>
      <c r="C119" s="27"/>
      <c r="D119" s="27">
        <v>0</v>
      </c>
      <c r="E119" s="27"/>
      <c r="F119" s="27">
        <v>0</v>
      </c>
      <c r="G119" s="27"/>
      <c r="H119" s="27">
        <v>0</v>
      </c>
      <c r="I119" s="27"/>
      <c r="J119" s="27">
        <f>D119+F119+H119</f>
        <v>0</v>
      </c>
      <c r="K119" s="27"/>
      <c r="L119" s="27">
        <f>J119+B119</f>
        <v>0</v>
      </c>
      <c r="M119" s="71"/>
    </row>
    <row r="120" spans="1:13" s="10" customFormat="1">
      <c r="A120" s="10" t="s">
        <v>576</v>
      </c>
      <c r="B120" s="27">
        <v>0</v>
      </c>
      <c r="C120" s="27"/>
      <c r="D120" s="27">
        <v>0</v>
      </c>
      <c r="E120" s="27"/>
      <c r="F120" s="27">
        <v>0</v>
      </c>
      <c r="G120" s="27"/>
      <c r="H120" s="27">
        <v>0</v>
      </c>
      <c r="I120" s="27"/>
      <c r="J120" s="27">
        <f>D120+F120+H120</f>
        <v>0</v>
      </c>
      <c r="K120" s="27"/>
      <c r="L120" s="27">
        <f>J120+B120</f>
        <v>0</v>
      </c>
      <c r="M120" s="71"/>
    </row>
    <row r="121" spans="1:13" s="10" customFormat="1">
      <c r="A121" s="10" t="s">
        <v>577</v>
      </c>
      <c r="B121" s="27">
        <v>0</v>
      </c>
      <c r="C121" s="27"/>
      <c r="D121" s="27">
        <v>0</v>
      </c>
      <c r="E121" s="27"/>
      <c r="F121" s="27">
        <v>0</v>
      </c>
      <c r="G121" s="27"/>
      <c r="H121" s="27">
        <v>0</v>
      </c>
      <c r="I121" s="27"/>
      <c r="J121" s="27">
        <f>D121+F121+H121</f>
        <v>0</v>
      </c>
      <c r="K121" s="27"/>
      <c r="L121" s="27">
        <f>J121+B121</f>
        <v>0</v>
      </c>
      <c r="M121" s="71"/>
    </row>
    <row r="122" spans="1:13" s="10" customFormat="1">
      <c r="A122" s="10" t="s">
        <v>281</v>
      </c>
      <c r="B122" s="28">
        <v>0</v>
      </c>
      <c r="C122" s="27"/>
      <c r="D122" s="28">
        <v>0</v>
      </c>
      <c r="E122" s="27"/>
      <c r="F122" s="28">
        <v>0</v>
      </c>
      <c r="G122" s="27"/>
      <c r="H122" s="28">
        <v>0</v>
      </c>
      <c r="I122" s="27"/>
      <c r="J122" s="28">
        <f>D122+F122+H122</f>
        <v>0</v>
      </c>
      <c r="K122" s="27"/>
      <c r="L122" s="28">
        <f>J122+B122</f>
        <v>0</v>
      </c>
      <c r="M122" s="71"/>
    </row>
    <row r="123" spans="1:13" s="10" customFormat="1">
      <c r="B123" s="27">
        <f>SUM(B118:B122)</f>
        <v>0</v>
      </c>
      <c r="C123" s="27"/>
      <c r="D123" s="27">
        <f>SUM(D118:D122)</f>
        <v>0</v>
      </c>
      <c r="E123" s="27"/>
      <c r="F123" s="27">
        <f>SUM(F118:F122)</f>
        <v>0</v>
      </c>
      <c r="G123" s="27"/>
      <c r="H123" s="27">
        <f>SUM(H118:H122)</f>
        <v>0</v>
      </c>
      <c r="I123" s="27"/>
      <c r="J123" s="27">
        <f>SUM(J118:J122)</f>
        <v>0</v>
      </c>
      <c r="K123" s="27"/>
      <c r="L123" s="27">
        <f>SUM(L118:L122)</f>
        <v>0</v>
      </c>
      <c r="M123" s="71"/>
    </row>
    <row r="124" spans="1:13" s="10" customFormat="1">
      <c r="B124" s="27"/>
      <c r="C124" s="27"/>
      <c r="D124" s="27"/>
      <c r="E124" s="27"/>
      <c r="F124" s="27"/>
      <c r="G124" s="27"/>
      <c r="H124" s="27"/>
      <c r="I124" s="27"/>
      <c r="J124" s="27"/>
      <c r="K124" s="27"/>
      <c r="L124" s="27"/>
      <c r="M124" s="71"/>
    </row>
    <row r="125" spans="1:13" s="10" customFormat="1">
      <c r="A125" s="12" t="s">
        <v>811</v>
      </c>
      <c r="B125" s="27"/>
      <c r="C125" s="27"/>
      <c r="D125" s="27"/>
      <c r="E125" s="27"/>
      <c r="F125" s="27"/>
      <c r="G125" s="27"/>
      <c r="H125" s="27"/>
      <c r="I125" s="27"/>
      <c r="J125" s="27"/>
      <c r="K125" s="27"/>
      <c r="L125" s="27"/>
      <c r="M125" s="71"/>
    </row>
    <row r="126" spans="1:13" s="10" customFormat="1">
      <c r="A126" s="10" t="s">
        <v>288</v>
      </c>
      <c r="B126" s="27">
        <v>0</v>
      </c>
      <c r="C126" s="27"/>
      <c r="D126" s="27">
        <v>0</v>
      </c>
      <c r="E126" s="27"/>
      <c r="F126" s="27">
        <v>0</v>
      </c>
      <c r="G126" s="27"/>
      <c r="H126" s="27">
        <v>0</v>
      </c>
      <c r="I126" s="27"/>
      <c r="J126" s="27">
        <f>D126+F126+H126</f>
        <v>0</v>
      </c>
      <c r="K126" s="27"/>
      <c r="L126" s="27">
        <f>J126+B126</f>
        <v>0</v>
      </c>
      <c r="M126" s="71"/>
    </row>
    <row r="127" spans="1:13" s="10" customFormat="1">
      <c r="A127" s="10" t="s">
        <v>289</v>
      </c>
      <c r="B127" s="27">
        <v>0</v>
      </c>
      <c r="C127" s="27"/>
      <c r="D127" s="27">
        <v>0</v>
      </c>
      <c r="E127" s="27"/>
      <c r="F127" s="27">
        <v>0</v>
      </c>
      <c r="G127" s="27"/>
      <c r="H127" s="27">
        <v>0</v>
      </c>
      <c r="I127" s="27"/>
      <c r="J127" s="27">
        <f>D127+F127+H127</f>
        <v>0</v>
      </c>
      <c r="K127" s="27"/>
      <c r="L127" s="27">
        <f>J127+B127</f>
        <v>0</v>
      </c>
      <c r="M127" s="71"/>
    </row>
    <row r="128" spans="1:13" s="10" customFormat="1">
      <c r="A128" s="10" t="s">
        <v>290</v>
      </c>
      <c r="B128" s="27">
        <v>0</v>
      </c>
      <c r="C128" s="27"/>
      <c r="D128" s="27">
        <v>0</v>
      </c>
      <c r="E128" s="27"/>
      <c r="F128" s="27">
        <v>0</v>
      </c>
      <c r="G128" s="27"/>
      <c r="H128" s="27">
        <v>0</v>
      </c>
      <c r="I128" s="27"/>
      <c r="J128" s="27">
        <f>D128+F128+H128</f>
        <v>0</v>
      </c>
      <c r="K128" s="27"/>
      <c r="L128" s="27">
        <f>J128+B128</f>
        <v>0</v>
      </c>
      <c r="M128" s="71"/>
    </row>
    <row r="129" spans="1:13" s="10" customFormat="1">
      <c r="A129" s="10" t="s">
        <v>975</v>
      </c>
      <c r="B129" s="27">
        <v>0</v>
      </c>
      <c r="C129" s="27"/>
      <c r="D129" s="27">
        <v>0</v>
      </c>
      <c r="E129" s="27"/>
      <c r="F129" s="27">
        <v>0</v>
      </c>
      <c r="G129" s="27"/>
      <c r="H129" s="27">
        <v>0</v>
      </c>
      <c r="I129" s="27"/>
      <c r="J129" s="27">
        <f>D129+F129+H129</f>
        <v>0</v>
      </c>
      <c r="K129" s="27"/>
      <c r="L129" s="27">
        <f>J129+B129</f>
        <v>0</v>
      </c>
      <c r="M129" s="71"/>
    </row>
    <row r="130" spans="1:13" s="10" customFormat="1">
      <c r="A130" s="10" t="s">
        <v>82</v>
      </c>
      <c r="B130" s="28">
        <v>0</v>
      </c>
      <c r="C130" s="27"/>
      <c r="D130" s="28">
        <v>0</v>
      </c>
      <c r="E130" s="27"/>
      <c r="F130" s="28">
        <v>0</v>
      </c>
      <c r="G130" s="27"/>
      <c r="H130" s="28">
        <v>0</v>
      </c>
      <c r="I130" s="27"/>
      <c r="J130" s="28">
        <f>D130+F130+H130</f>
        <v>0</v>
      </c>
      <c r="K130" s="27"/>
      <c r="L130" s="28">
        <f>J130+B130</f>
        <v>0</v>
      </c>
      <c r="M130" s="71"/>
    </row>
    <row r="131" spans="1:13" s="10" customFormat="1">
      <c r="B131" s="27">
        <f>SUM(B126:B130)</f>
        <v>0</v>
      </c>
      <c r="C131" s="27"/>
      <c r="D131" s="27">
        <f>SUM(D126:D130)</f>
        <v>0</v>
      </c>
      <c r="E131" s="27"/>
      <c r="F131" s="27">
        <f>SUM(F126:F130)</f>
        <v>0</v>
      </c>
      <c r="G131" s="27"/>
      <c r="H131" s="27">
        <f>SUM(H126:H130)</f>
        <v>0</v>
      </c>
      <c r="I131" s="27"/>
      <c r="J131" s="27">
        <f>SUM(J126:J130)</f>
        <v>0</v>
      </c>
      <c r="K131" s="27"/>
      <c r="L131" s="27">
        <f>SUM(L126:L130)</f>
        <v>0</v>
      </c>
      <c r="M131" s="71"/>
    </row>
    <row r="132" spans="1:13" s="10" customFormat="1">
      <c r="A132" s="12" t="s">
        <v>812</v>
      </c>
      <c r="B132" s="27"/>
      <c r="C132" s="27"/>
      <c r="D132" s="27"/>
      <c r="E132" s="27"/>
      <c r="F132" s="27"/>
      <c r="G132" s="27"/>
      <c r="H132" s="27"/>
      <c r="I132" s="27"/>
      <c r="J132" s="27"/>
      <c r="K132" s="27"/>
      <c r="L132" s="27"/>
      <c r="M132" s="71"/>
    </row>
    <row r="133" spans="1:13" s="10" customFormat="1">
      <c r="A133" s="10" t="s">
        <v>832</v>
      </c>
      <c r="B133" s="27">
        <v>0</v>
      </c>
      <c r="C133" s="27"/>
      <c r="D133" s="27">
        <v>0</v>
      </c>
      <c r="E133" s="27"/>
      <c r="F133" s="27">
        <v>0</v>
      </c>
      <c r="G133" s="27"/>
      <c r="H133" s="27">
        <v>0</v>
      </c>
      <c r="I133" s="27"/>
      <c r="J133" s="27">
        <f>D133+F133+H133</f>
        <v>0</v>
      </c>
      <c r="K133" s="27"/>
      <c r="L133" s="27">
        <f>J133+B133</f>
        <v>0</v>
      </c>
      <c r="M133" s="71"/>
    </row>
    <row r="134" spans="1:13" s="10" customFormat="1">
      <c r="A134" s="10" t="s">
        <v>834</v>
      </c>
      <c r="B134" s="27">
        <v>-18472.959999999992</v>
      </c>
      <c r="C134" s="27"/>
      <c r="D134" s="27">
        <v>0</v>
      </c>
      <c r="E134" s="27"/>
      <c r="F134" s="27">
        <v>0</v>
      </c>
      <c r="G134" s="27"/>
      <c r="H134" s="27">
        <v>0</v>
      </c>
      <c r="I134" s="27"/>
      <c r="J134" s="27">
        <f>D134+F134+H134</f>
        <v>0</v>
      </c>
      <c r="K134" s="27"/>
      <c r="L134" s="27">
        <f>J134+B134</f>
        <v>-18472.959999999992</v>
      </c>
      <c r="M134" s="71"/>
    </row>
    <row r="135" spans="1:13" s="10" customFormat="1">
      <c r="A135" s="10" t="s">
        <v>836</v>
      </c>
      <c r="B135" s="27">
        <v>0</v>
      </c>
      <c r="C135" s="27"/>
      <c r="D135" s="27">
        <v>0</v>
      </c>
      <c r="E135" s="27"/>
      <c r="F135" s="27">
        <v>0</v>
      </c>
      <c r="G135" s="27"/>
      <c r="H135" s="27">
        <v>0</v>
      </c>
      <c r="I135" s="27"/>
      <c r="J135" s="27">
        <f>D135+F135+H135</f>
        <v>0</v>
      </c>
      <c r="K135" s="27"/>
      <c r="L135" s="27">
        <f>J135+B135</f>
        <v>0</v>
      </c>
      <c r="M135" s="71"/>
    </row>
    <row r="136" spans="1:13" s="10" customFormat="1">
      <c r="A136" s="10" t="s">
        <v>837</v>
      </c>
      <c r="B136" s="27">
        <v>-16378.430000000002</v>
      </c>
      <c r="C136" s="27"/>
      <c r="D136" s="27">
        <v>16378.43</v>
      </c>
      <c r="E136" s="27"/>
      <c r="F136" s="27">
        <v>0</v>
      </c>
      <c r="G136" s="27"/>
      <c r="H136" s="27">
        <v>0</v>
      </c>
      <c r="I136" s="27"/>
      <c r="J136" s="27">
        <f>D136+F136+H136</f>
        <v>16378.43</v>
      </c>
      <c r="K136" s="27"/>
      <c r="L136" s="27">
        <f>J136+B136</f>
        <v>0</v>
      </c>
      <c r="M136" s="71"/>
    </row>
    <row r="137" spans="1:13" s="10" customFormat="1">
      <c r="A137" s="10" t="s">
        <v>838</v>
      </c>
      <c r="B137" s="28">
        <v>0</v>
      </c>
      <c r="C137" s="27"/>
      <c r="D137" s="28">
        <v>0</v>
      </c>
      <c r="E137" s="27"/>
      <c r="F137" s="28">
        <v>0</v>
      </c>
      <c r="G137" s="27"/>
      <c r="H137" s="28">
        <v>0</v>
      </c>
      <c r="I137" s="27"/>
      <c r="J137" s="28">
        <f>D137+F137+H137</f>
        <v>0</v>
      </c>
      <c r="K137" s="27"/>
      <c r="L137" s="28">
        <f>J137+B137</f>
        <v>0</v>
      </c>
      <c r="M137" s="71"/>
    </row>
    <row r="138" spans="1:13" s="10" customFormat="1">
      <c r="B138" s="27">
        <f>SUM(B133:B137)</f>
        <v>-34851.389999999992</v>
      </c>
      <c r="C138" s="27"/>
      <c r="D138" s="27">
        <f>SUM(D133:D137)</f>
        <v>16378.43</v>
      </c>
      <c r="E138" s="27"/>
      <c r="F138" s="27">
        <f>SUM(F133:F137)</f>
        <v>0</v>
      </c>
      <c r="G138" s="27"/>
      <c r="H138" s="27">
        <f>SUM(H133:H137)</f>
        <v>0</v>
      </c>
      <c r="I138" s="27"/>
      <c r="J138" s="27">
        <f>SUM(J133:J137)</f>
        <v>16378.43</v>
      </c>
      <c r="K138" s="27"/>
      <c r="L138" s="27">
        <f>SUM(L133:L137)</f>
        <v>-18472.959999999992</v>
      </c>
      <c r="M138" s="71"/>
    </row>
    <row r="139" spans="1:13" s="10" customFormat="1">
      <c r="B139" s="27"/>
      <c r="C139" s="27"/>
      <c r="D139" s="27"/>
      <c r="E139" s="27"/>
      <c r="F139" s="27"/>
      <c r="G139" s="27"/>
      <c r="H139" s="27"/>
      <c r="I139" s="27"/>
      <c r="J139" s="27"/>
      <c r="K139" s="27"/>
      <c r="L139" s="27"/>
      <c r="M139" s="71"/>
    </row>
    <row r="140" spans="1:13" s="10" customFormat="1">
      <c r="A140" s="12" t="s">
        <v>814</v>
      </c>
      <c r="B140" s="27"/>
      <c r="C140" s="27"/>
      <c r="D140" s="27"/>
      <c r="E140" s="27"/>
      <c r="F140" s="27"/>
      <c r="G140" s="27"/>
      <c r="H140" s="27"/>
      <c r="I140" s="27"/>
      <c r="J140" s="27"/>
      <c r="K140" s="27"/>
      <c r="L140" s="27"/>
      <c r="M140" s="71"/>
    </row>
    <row r="141" spans="1:13" s="10" customFormat="1">
      <c r="A141" s="10" t="s">
        <v>6</v>
      </c>
      <c r="B141" s="27">
        <v>0</v>
      </c>
      <c r="C141" s="27"/>
      <c r="D141" s="27">
        <v>0</v>
      </c>
      <c r="E141" s="27"/>
      <c r="F141" s="27">
        <v>0</v>
      </c>
      <c r="G141" s="27"/>
      <c r="H141" s="27">
        <v>0</v>
      </c>
      <c r="I141" s="27"/>
      <c r="J141" s="27">
        <f t="shared" ref="J141:J146" si="6">D141+F141+H141</f>
        <v>0</v>
      </c>
      <c r="K141" s="27"/>
      <c r="L141" s="27">
        <f t="shared" ref="L141:L146" si="7">J141+B141</f>
        <v>0</v>
      </c>
      <c r="M141" s="71"/>
    </row>
    <row r="142" spans="1:13" s="10" customFormat="1">
      <c r="A142" s="10" t="s">
        <v>7</v>
      </c>
      <c r="B142" s="27">
        <v>0</v>
      </c>
      <c r="C142" s="27"/>
      <c r="D142" s="27">
        <v>0</v>
      </c>
      <c r="E142" s="27"/>
      <c r="F142" s="27">
        <v>0</v>
      </c>
      <c r="G142" s="27"/>
      <c r="H142" s="27">
        <v>0</v>
      </c>
      <c r="I142" s="27"/>
      <c r="J142" s="27">
        <f t="shared" si="6"/>
        <v>0</v>
      </c>
      <c r="K142" s="27"/>
      <c r="L142" s="27">
        <f t="shared" si="7"/>
        <v>0</v>
      </c>
      <c r="M142" s="71"/>
    </row>
    <row r="143" spans="1:13" s="10" customFormat="1">
      <c r="A143" s="10" t="s">
        <v>8</v>
      </c>
      <c r="B143" s="27">
        <v>-31568.730000000003</v>
      </c>
      <c r="C143" s="27"/>
      <c r="D143" s="27">
        <v>0</v>
      </c>
      <c r="E143" s="27"/>
      <c r="F143" s="27">
        <v>0</v>
      </c>
      <c r="G143" s="27"/>
      <c r="H143" s="27">
        <v>0</v>
      </c>
      <c r="I143" s="27"/>
      <c r="J143" s="27">
        <f t="shared" si="6"/>
        <v>0</v>
      </c>
      <c r="K143" s="27"/>
      <c r="L143" s="27">
        <f t="shared" si="7"/>
        <v>-31568.730000000003</v>
      </c>
      <c r="M143" s="71"/>
    </row>
    <row r="144" spans="1:13" s="10" customFormat="1">
      <c r="A144" s="10" t="s">
        <v>9</v>
      </c>
      <c r="B144" s="27">
        <v>-67106.97</v>
      </c>
      <c r="C144" s="27"/>
      <c r="D144" s="27">
        <v>0</v>
      </c>
      <c r="E144" s="27"/>
      <c r="F144" s="27">
        <v>0</v>
      </c>
      <c r="G144" s="27"/>
      <c r="H144" s="27">
        <v>0</v>
      </c>
      <c r="I144" s="27"/>
      <c r="J144" s="27">
        <f t="shared" si="6"/>
        <v>0</v>
      </c>
      <c r="K144" s="27"/>
      <c r="L144" s="27">
        <f t="shared" si="7"/>
        <v>-67106.97</v>
      </c>
      <c r="M144" s="71"/>
    </row>
    <row r="145" spans="1:13" s="10" customFormat="1">
      <c r="A145" s="10" t="s">
        <v>10</v>
      </c>
      <c r="B145" s="27">
        <v>-55194.91</v>
      </c>
      <c r="C145" s="27"/>
      <c r="D145" s="27">
        <v>0</v>
      </c>
      <c r="E145" s="27"/>
      <c r="F145" s="27">
        <v>0</v>
      </c>
      <c r="G145" s="27"/>
      <c r="H145" s="27">
        <v>0</v>
      </c>
      <c r="I145" s="27"/>
      <c r="J145" s="27">
        <f t="shared" si="6"/>
        <v>0</v>
      </c>
      <c r="K145" s="27"/>
      <c r="L145" s="27">
        <f t="shared" si="7"/>
        <v>-55194.91</v>
      </c>
      <c r="M145" s="71"/>
    </row>
    <row r="146" spans="1:13" s="10" customFormat="1">
      <c r="A146" s="10" t="s">
        <v>11</v>
      </c>
      <c r="B146" s="28">
        <v>-31685.06</v>
      </c>
      <c r="C146" s="27"/>
      <c r="D146" s="28">
        <v>0</v>
      </c>
      <c r="E146" s="27"/>
      <c r="F146" s="28">
        <v>0</v>
      </c>
      <c r="G146" s="27"/>
      <c r="H146" s="28">
        <v>0</v>
      </c>
      <c r="I146" s="27"/>
      <c r="J146" s="28">
        <f t="shared" si="6"/>
        <v>0</v>
      </c>
      <c r="K146" s="27"/>
      <c r="L146" s="28">
        <f t="shared" si="7"/>
        <v>-31685.06</v>
      </c>
      <c r="M146" s="71"/>
    </row>
    <row r="147" spans="1:13" s="10" customFormat="1">
      <c r="B147" s="27">
        <f>SUM(B141:B146)</f>
        <v>-185555.67</v>
      </c>
      <c r="C147" s="27"/>
      <c r="D147" s="27">
        <f>SUM(D141:D146)</f>
        <v>0</v>
      </c>
      <c r="E147" s="27"/>
      <c r="F147" s="27">
        <f>SUM(F141:F146)</f>
        <v>0</v>
      </c>
      <c r="G147" s="27"/>
      <c r="H147" s="27">
        <f>SUM(H143:H146)</f>
        <v>0</v>
      </c>
      <c r="I147" s="27"/>
      <c r="J147" s="27">
        <f>SUM(J141:J146)</f>
        <v>0</v>
      </c>
      <c r="K147" s="27"/>
      <c r="L147" s="27">
        <f>SUM(L141:L146)</f>
        <v>-185555.67</v>
      </c>
      <c r="M147" s="71"/>
    </row>
    <row r="148" spans="1:13" s="10" customFormat="1">
      <c r="B148" s="27"/>
      <c r="C148" s="27"/>
      <c r="D148" s="27"/>
      <c r="E148" s="27"/>
      <c r="F148" s="27"/>
      <c r="G148" s="27"/>
      <c r="H148" s="27"/>
      <c r="I148" s="27"/>
      <c r="J148" s="27"/>
      <c r="K148" s="27"/>
      <c r="L148" s="27"/>
      <c r="M148" s="71"/>
    </row>
    <row r="149" spans="1:13" s="10" customFormat="1">
      <c r="B149" s="24"/>
      <c r="C149" s="24"/>
      <c r="D149" s="24"/>
      <c r="E149" s="24"/>
      <c r="F149" s="24"/>
      <c r="G149" s="24"/>
      <c r="H149" s="24"/>
      <c r="I149" s="24"/>
      <c r="J149" s="24"/>
      <c r="K149" s="24"/>
      <c r="L149" s="24"/>
    </row>
    <row r="150" spans="1:13" s="10" customFormat="1">
      <c r="A150" s="12" t="s">
        <v>690</v>
      </c>
      <c r="B150" s="25">
        <f>B147+B138+B115+B110+B131+B123</f>
        <v>-238544.23</v>
      </c>
      <c r="C150" s="27"/>
      <c r="D150" s="25">
        <f>D147+D138+D115+D110+D131+D123</f>
        <v>26083.289999999997</v>
      </c>
      <c r="E150" s="27"/>
      <c r="F150" s="25">
        <f>F147+F138+F115+F110+F131+F123</f>
        <v>0</v>
      </c>
      <c r="G150" s="27"/>
      <c r="H150" s="25">
        <f>H147+H138+H115+H110+H131+H123</f>
        <v>0</v>
      </c>
      <c r="I150" s="27"/>
      <c r="J150" s="25">
        <f>J147+J138+J115+J110+J131+J123</f>
        <v>26083.289999999997</v>
      </c>
      <c r="K150" s="27"/>
      <c r="L150" s="25">
        <f>L147+L138+L115+L110+L131+L123</f>
        <v>-212460.94</v>
      </c>
    </row>
    <row r="151" spans="1:13" s="10" customFormat="1">
      <c r="B151" s="27"/>
      <c r="C151" s="24"/>
      <c r="D151" s="27"/>
      <c r="E151" s="24"/>
      <c r="F151" s="27"/>
      <c r="G151" s="24"/>
      <c r="H151" s="27"/>
      <c r="I151" s="24"/>
      <c r="J151" s="27"/>
      <c r="K151" s="24"/>
      <c r="L151" s="27"/>
    </row>
    <row r="152" spans="1:13" s="10" customFormat="1">
      <c r="B152" s="24"/>
      <c r="C152" s="24"/>
      <c r="D152" s="24"/>
      <c r="E152" s="24"/>
      <c r="F152" s="24"/>
      <c r="G152" s="24"/>
      <c r="H152" s="24"/>
      <c r="I152" s="24"/>
      <c r="J152" s="24"/>
      <c r="K152" s="24"/>
      <c r="L152" s="24"/>
    </row>
    <row r="153" spans="1:13" ht="13.5" thickBot="1">
      <c r="A153" s="3" t="s">
        <v>762</v>
      </c>
      <c r="B153" s="44">
        <f>B150+B95</f>
        <v>-1463867165.3400002</v>
      </c>
      <c r="C153" s="33"/>
      <c r="D153" s="44">
        <f>D150+D95</f>
        <v>0</v>
      </c>
      <c r="E153" s="33"/>
      <c r="F153" s="44">
        <f>F150+F95</f>
        <v>1952524.5199999998</v>
      </c>
      <c r="G153" s="33"/>
      <c r="H153" s="44">
        <f>H150+H95</f>
        <v>0</v>
      </c>
      <c r="I153" s="33"/>
      <c r="J153" s="44">
        <f>J150+J95</f>
        <v>1952524.5199999996</v>
      </c>
      <c r="K153" s="33"/>
      <c r="L153" s="44">
        <f>L150+L95</f>
        <v>-1461914640.8200002</v>
      </c>
    </row>
    <row r="154" spans="1:13" ht="13.5" thickTop="1">
      <c r="B154" s="33"/>
      <c r="C154" s="33"/>
      <c r="D154" s="33"/>
      <c r="E154" s="33"/>
      <c r="F154" s="33"/>
      <c r="G154" s="33"/>
      <c r="H154" s="33"/>
      <c r="I154" s="33"/>
      <c r="J154" s="33"/>
      <c r="K154" s="33"/>
      <c r="L154" s="33"/>
    </row>
    <row r="155" spans="1:13">
      <c r="B155" s="33"/>
      <c r="C155" s="33"/>
      <c r="D155" s="33"/>
      <c r="E155" s="33"/>
      <c r="F155" s="33"/>
      <c r="G155" s="33"/>
      <c r="H155" s="33"/>
      <c r="I155" s="33"/>
      <c r="J155" s="33"/>
      <c r="K155" s="33"/>
      <c r="L155" s="33"/>
    </row>
    <row r="156" spans="1:13">
      <c r="B156" s="1"/>
      <c r="C156" s="1"/>
      <c r="D156" s="1"/>
      <c r="E156" s="1"/>
      <c r="F156" s="1"/>
      <c r="G156" s="1"/>
      <c r="H156" s="1"/>
      <c r="I156" s="1"/>
      <c r="J156" s="1"/>
      <c r="K156" s="1"/>
      <c r="L156" s="1"/>
    </row>
    <row r="157" spans="1:13">
      <c r="B157" s="1"/>
      <c r="C157" s="1"/>
      <c r="D157" s="1"/>
      <c r="E157" s="1"/>
      <c r="F157" s="1"/>
      <c r="G157" s="1"/>
      <c r="H157" s="1"/>
      <c r="I157" s="1"/>
      <c r="J157" s="1"/>
      <c r="K157" s="1"/>
      <c r="L157" s="1"/>
    </row>
    <row r="158" spans="1:13">
      <c r="B158" s="1"/>
      <c r="C158" s="1"/>
      <c r="D158" s="1"/>
      <c r="E158" s="1"/>
      <c r="F158" s="1"/>
      <c r="G158" s="1"/>
      <c r="H158" s="1"/>
      <c r="I158" s="1"/>
      <c r="J158" s="1"/>
      <c r="K158" s="1"/>
      <c r="L158" s="1"/>
    </row>
    <row r="159" spans="1:13">
      <c r="B159" s="1"/>
      <c r="C159" s="1"/>
      <c r="D159" s="1"/>
      <c r="E159" s="1"/>
      <c r="F159" s="1"/>
      <c r="G159" s="1"/>
      <c r="H159" s="1"/>
      <c r="I159" s="1"/>
      <c r="J159" s="1"/>
      <c r="K159" s="1"/>
      <c r="L159" s="1"/>
    </row>
    <row r="160" spans="1:13">
      <c r="B160" s="1"/>
      <c r="C160" s="1"/>
      <c r="D160" s="1"/>
      <c r="E160" s="1"/>
      <c r="F160" s="1"/>
      <c r="G160" s="1"/>
      <c r="H160" s="1"/>
      <c r="I160" s="1"/>
      <c r="J160" s="1"/>
      <c r="K160" s="1"/>
      <c r="L160" s="1"/>
    </row>
    <row r="161" spans="2:12">
      <c r="B161" s="1"/>
      <c r="C161" s="1"/>
      <c r="D161" s="1"/>
      <c r="E161" s="1"/>
      <c r="F161" s="1"/>
      <c r="G161" s="1"/>
      <c r="H161" s="1"/>
      <c r="I161" s="1"/>
      <c r="J161" s="1"/>
      <c r="K161" s="1"/>
      <c r="L161" s="1"/>
    </row>
    <row r="162" spans="2:12">
      <c r="B162" s="1"/>
      <c r="C162" s="1"/>
      <c r="D162" s="1"/>
      <c r="E162" s="1"/>
      <c r="F162" s="1"/>
      <c r="G162" s="1"/>
      <c r="H162" s="1"/>
      <c r="I162" s="1"/>
      <c r="J162" s="1"/>
      <c r="K162" s="1"/>
      <c r="L162" s="1"/>
    </row>
    <row r="163" spans="2:12">
      <c r="B163" s="1"/>
      <c r="C163" s="1"/>
      <c r="D163" s="1"/>
      <c r="E163" s="1"/>
      <c r="F163" s="1"/>
      <c r="G163" s="1"/>
      <c r="H163" s="1"/>
      <c r="I163" s="1"/>
      <c r="J163" s="1"/>
      <c r="K163" s="1"/>
      <c r="L163" s="1"/>
    </row>
    <row r="164" spans="2:12">
      <c r="B164" s="1"/>
      <c r="C164" s="1"/>
      <c r="D164" s="1"/>
      <c r="E164" s="1"/>
      <c r="F164" s="1"/>
      <c r="G164" s="1"/>
      <c r="H164" s="1"/>
      <c r="I164" s="1"/>
      <c r="J164" s="1"/>
      <c r="K164" s="1"/>
      <c r="L164" s="1"/>
    </row>
    <row r="165" spans="2:12">
      <c r="B165" s="1"/>
      <c r="C165" s="1"/>
      <c r="D165" s="1"/>
      <c r="E165" s="1"/>
      <c r="F165" s="1"/>
      <c r="G165" s="1"/>
      <c r="H165" s="1"/>
      <c r="I165" s="1"/>
      <c r="J165" s="1"/>
      <c r="K165" s="1"/>
      <c r="L165" s="1"/>
    </row>
    <row r="166" spans="2:12">
      <c r="B166" s="1"/>
      <c r="C166" s="1"/>
      <c r="D166" s="1"/>
      <c r="E166" s="1"/>
      <c r="F166" s="1"/>
      <c r="G166" s="1"/>
      <c r="H166" s="1"/>
      <c r="I166" s="1"/>
      <c r="J166" s="1"/>
      <c r="K166" s="1"/>
      <c r="L166" s="1"/>
    </row>
    <row r="167" spans="2:12">
      <c r="B167" s="1"/>
      <c r="C167" s="1"/>
      <c r="D167" s="1"/>
      <c r="E167" s="1"/>
      <c r="F167" s="1"/>
      <c r="G167" s="1"/>
      <c r="H167" s="1"/>
      <c r="I167" s="1"/>
      <c r="J167" s="1"/>
      <c r="K167" s="1"/>
      <c r="L167" s="1"/>
    </row>
    <row r="168" spans="2:12">
      <c r="B168" s="1"/>
      <c r="C168" s="1"/>
      <c r="D168" s="1"/>
      <c r="E168" s="1"/>
      <c r="F168" s="1"/>
      <c r="G168" s="1"/>
      <c r="H168" s="1"/>
      <c r="I168" s="1"/>
      <c r="J168" s="1"/>
      <c r="K168" s="1"/>
      <c r="L168" s="1"/>
    </row>
    <row r="169" spans="2:12">
      <c r="B169" s="1"/>
      <c r="C169" s="1"/>
      <c r="D169" s="1"/>
      <c r="E169" s="1"/>
      <c r="F169" s="1"/>
      <c r="G169" s="1"/>
      <c r="H169" s="1"/>
      <c r="I169" s="1"/>
      <c r="J169" s="1"/>
      <c r="K169" s="1"/>
      <c r="L169" s="1"/>
    </row>
    <row r="170" spans="2:12">
      <c r="B170" s="1"/>
      <c r="C170" s="1"/>
      <c r="D170" s="1"/>
      <c r="E170" s="1"/>
      <c r="F170" s="1"/>
      <c r="G170" s="1"/>
      <c r="H170" s="1"/>
      <c r="I170" s="1"/>
      <c r="J170" s="1"/>
      <c r="K170" s="1"/>
      <c r="L170" s="1"/>
    </row>
    <row r="171" spans="2:12">
      <c r="B171" s="1"/>
      <c r="C171" s="1"/>
      <c r="D171" s="1"/>
      <c r="E171" s="1"/>
      <c r="F171" s="1"/>
      <c r="G171" s="1"/>
      <c r="H171" s="1"/>
      <c r="I171" s="1"/>
      <c r="J171" s="1"/>
      <c r="K171" s="1"/>
      <c r="L171" s="1"/>
    </row>
    <row r="172" spans="2:12">
      <c r="B172" s="1"/>
      <c r="C172" s="1"/>
      <c r="D172" s="1"/>
      <c r="E172" s="1"/>
      <c r="F172" s="1"/>
      <c r="G172" s="1"/>
      <c r="H172" s="1"/>
      <c r="I172" s="1"/>
      <c r="J172" s="1"/>
      <c r="K172" s="1"/>
      <c r="L172" s="1"/>
    </row>
    <row r="173" spans="2:12">
      <c r="B173" s="1"/>
      <c r="C173" s="1"/>
      <c r="D173" s="1"/>
      <c r="E173" s="1"/>
      <c r="F173" s="1"/>
      <c r="G173" s="1"/>
      <c r="H173" s="1"/>
      <c r="I173" s="1"/>
      <c r="J173" s="1"/>
      <c r="K173" s="1"/>
      <c r="L173" s="1"/>
    </row>
    <row r="174" spans="2:12">
      <c r="B174" s="1"/>
      <c r="C174" s="1"/>
      <c r="D174" s="1"/>
      <c r="E174" s="1"/>
      <c r="F174" s="1"/>
      <c r="G174" s="1"/>
      <c r="H174" s="1"/>
      <c r="I174" s="1"/>
      <c r="J174" s="1"/>
      <c r="K174" s="1"/>
      <c r="L174" s="1"/>
    </row>
    <row r="175" spans="2:12">
      <c r="B175" s="1"/>
      <c r="C175" s="1"/>
      <c r="D175" s="1"/>
      <c r="E175" s="1"/>
      <c r="F175" s="1"/>
      <c r="G175" s="1"/>
      <c r="H175" s="1"/>
      <c r="I175" s="1"/>
      <c r="J175" s="1"/>
      <c r="K175" s="1"/>
      <c r="L175" s="1"/>
    </row>
    <row r="176" spans="2:12">
      <c r="B176" s="1"/>
      <c r="C176" s="1"/>
      <c r="D176" s="1"/>
      <c r="E176" s="1"/>
      <c r="F176" s="1"/>
      <c r="G176" s="1"/>
      <c r="H176" s="1"/>
      <c r="I176" s="1"/>
      <c r="J176" s="1"/>
      <c r="K176" s="1"/>
      <c r="L176" s="1"/>
    </row>
    <row r="177" spans="2:12">
      <c r="B177" s="1"/>
      <c r="C177" s="1"/>
      <c r="D177" s="1"/>
      <c r="E177" s="1"/>
      <c r="F177" s="1"/>
      <c r="G177" s="1"/>
      <c r="H177" s="1"/>
      <c r="I177" s="1"/>
      <c r="J177" s="1"/>
      <c r="K177" s="1"/>
      <c r="L177" s="1"/>
    </row>
    <row r="178" spans="2:12">
      <c r="B178" s="1"/>
      <c r="C178" s="1"/>
      <c r="D178" s="1"/>
      <c r="E178" s="1"/>
      <c r="F178" s="1"/>
      <c r="G178" s="1"/>
      <c r="H178" s="1"/>
      <c r="I178" s="1"/>
      <c r="J178" s="1"/>
      <c r="K178" s="1"/>
      <c r="L178" s="1"/>
    </row>
    <row r="179" spans="2:12">
      <c r="B179" s="1"/>
      <c r="C179" s="1"/>
      <c r="D179" s="1"/>
      <c r="E179" s="1"/>
      <c r="F179" s="1"/>
      <c r="G179" s="1"/>
      <c r="H179" s="1"/>
      <c r="I179" s="1"/>
      <c r="J179" s="1"/>
      <c r="K179" s="1"/>
      <c r="L179" s="1"/>
    </row>
    <row r="180" spans="2:12">
      <c r="B180" s="1"/>
      <c r="C180" s="1"/>
      <c r="D180" s="1"/>
      <c r="E180" s="1"/>
      <c r="F180" s="1"/>
      <c r="G180" s="1"/>
      <c r="H180" s="1"/>
      <c r="I180" s="1"/>
      <c r="J180" s="1"/>
      <c r="K180" s="1"/>
      <c r="L180" s="1"/>
    </row>
    <row r="181" spans="2:12">
      <c r="B181" s="1"/>
      <c r="C181" s="1"/>
      <c r="D181" s="1"/>
      <c r="E181" s="1"/>
      <c r="F181" s="1"/>
      <c r="G181" s="1"/>
      <c r="H181" s="1"/>
      <c r="I181" s="1"/>
      <c r="J181" s="1"/>
      <c r="K181" s="1"/>
      <c r="L181" s="1"/>
    </row>
    <row r="182" spans="2:12">
      <c r="B182" s="1"/>
      <c r="C182" s="1"/>
      <c r="D182" s="1"/>
      <c r="E182" s="1"/>
      <c r="F182" s="1"/>
      <c r="G182" s="1"/>
      <c r="H182" s="1"/>
      <c r="I182" s="1"/>
      <c r="J182" s="1"/>
      <c r="K182" s="1"/>
      <c r="L182" s="1"/>
    </row>
    <row r="183" spans="2:12">
      <c r="B183" s="1"/>
      <c r="C183" s="1"/>
      <c r="D183" s="1"/>
      <c r="E183" s="1"/>
      <c r="F183" s="1"/>
      <c r="G183" s="1"/>
      <c r="H183" s="1"/>
      <c r="I183" s="1"/>
      <c r="J183" s="1"/>
      <c r="K183" s="1"/>
      <c r="L183" s="1"/>
    </row>
    <row r="184" spans="2:12">
      <c r="B184" s="1"/>
      <c r="C184" s="1"/>
      <c r="D184" s="1"/>
      <c r="E184" s="1"/>
      <c r="F184" s="1"/>
      <c r="G184" s="1"/>
      <c r="H184" s="1"/>
      <c r="I184" s="1"/>
      <c r="J184" s="1"/>
      <c r="K184" s="1"/>
      <c r="L184" s="1"/>
    </row>
  </sheetData>
  <mergeCells count="3">
    <mergeCell ref="A1:L1"/>
    <mergeCell ref="A2:L2"/>
    <mergeCell ref="A3:L3"/>
  </mergeCells>
  <pageMargins left="0.75" right="0.75" top="0.75" bottom="0.75" header="0.5" footer="0.5"/>
  <pageSetup scale="72" fitToHeight="0" orientation="landscape" r:id="rId1"/>
  <headerFooter alignWithMargins="0">
    <oddFooter>&amp;L&amp;Z
&amp;F&amp;C&amp;A&amp;R14.&amp;P</oddFooter>
  </headerFooter>
  <rowBreaks count="1" manualBreakCount="1">
    <brk id="52" max="16383" man="1"/>
  </rowBreaks>
</worksheet>
</file>

<file path=xl/worksheets/sheet134.xml><?xml version="1.0" encoding="utf-8"?>
<worksheet xmlns="http://schemas.openxmlformats.org/spreadsheetml/2006/main" xmlns:r="http://schemas.openxmlformats.org/officeDocument/2006/relationships">
  <sheetPr codeName="Sheet137">
    <pageSetUpPr fitToPage="1"/>
  </sheetPr>
  <dimension ref="A1:Q32"/>
  <sheetViews>
    <sheetView zoomScale="90" zoomScaleNormal="90" workbookViewId="0">
      <selection sqref="A1:P1"/>
    </sheetView>
  </sheetViews>
  <sheetFormatPr defaultRowHeight="12.75"/>
  <cols>
    <col min="1" max="1" width="43.85546875" bestFit="1" customWidth="1"/>
    <col min="2" max="2" width="17.7109375" customWidth="1"/>
    <col min="3" max="3" width="1.7109375" customWidth="1"/>
    <col min="4" max="4" width="17.7109375" customWidth="1"/>
    <col min="5" max="5" width="1.7109375" customWidth="1"/>
    <col min="6" max="6" width="17.7109375" customWidth="1"/>
    <col min="7" max="7" width="1.7109375" customWidth="1"/>
    <col min="8" max="8" width="17.7109375" customWidth="1"/>
    <col min="9" max="9" width="1.7109375" customWidth="1"/>
    <col min="10" max="10" width="17.7109375" customWidth="1"/>
    <col min="11" max="11" width="1.7109375" customWidth="1"/>
    <col min="12" max="12" width="17.7109375" customWidth="1"/>
    <col min="13" max="13" width="1.5703125" customWidth="1"/>
    <col min="14" max="14" width="16.140625" customWidth="1"/>
    <col min="15" max="15" width="1.28515625" customWidth="1"/>
    <col min="16" max="16" width="23.140625" bestFit="1" customWidth="1"/>
  </cols>
  <sheetData>
    <row r="1" spans="1:17" s="38" customFormat="1" ht="15.75">
      <c r="A1" s="366" t="s">
        <v>134</v>
      </c>
      <c r="B1" s="366"/>
      <c r="C1" s="366"/>
      <c r="D1" s="366"/>
      <c r="E1" s="366"/>
      <c r="F1" s="366"/>
      <c r="G1" s="366"/>
      <c r="H1" s="366"/>
      <c r="I1" s="366"/>
      <c r="J1" s="366"/>
      <c r="K1" s="366"/>
      <c r="L1" s="366"/>
      <c r="M1" s="366"/>
      <c r="N1" s="366"/>
      <c r="O1" s="366"/>
      <c r="P1" s="366"/>
    </row>
    <row r="2" spans="1:17" s="38" customFormat="1" ht="15.75">
      <c r="A2" s="366" t="s">
        <v>1162</v>
      </c>
      <c r="B2" s="366"/>
      <c r="C2" s="366"/>
      <c r="D2" s="366"/>
      <c r="E2" s="366"/>
      <c r="F2" s="366"/>
      <c r="G2" s="366"/>
      <c r="H2" s="366"/>
      <c r="I2" s="366"/>
      <c r="J2" s="366"/>
      <c r="K2" s="366"/>
      <c r="L2" s="366"/>
      <c r="M2" s="366"/>
      <c r="N2" s="366"/>
      <c r="O2" s="366"/>
      <c r="P2" s="366"/>
      <c r="Q2" s="366"/>
    </row>
    <row r="3" spans="1:17">
      <c r="A3" s="357" t="str">
        <f>'Summary - Cost - PG 1 (PA)'!A3:N3</f>
        <v>MARCH 2012</v>
      </c>
      <c r="B3" s="357"/>
      <c r="C3" s="357"/>
      <c r="D3" s="357"/>
      <c r="E3" s="357"/>
      <c r="F3" s="357"/>
      <c r="G3" s="357"/>
      <c r="H3" s="357"/>
      <c r="I3" s="357"/>
      <c r="J3" s="357"/>
      <c r="K3" s="357"/>
      <c r="L3" s="357"/>
      <c r="M3" s="357"/>
      <c r="N3" s="357"/>
      <c r="O3" s="357"/>
      <c r="P3" s="357"/>
    </row>
    <row r="4" spans="1:17">
      <c r="A4" s="190"/>
      <c r="B4" s="190"/>
      <c r="C4" s="190"/>
      <c r="D4" s="190"/>
      <c r="E4" s="190"/>
      <c r="F4" s="190"/>
      <c r="G4" s="190"/>
      <c r="H4" s="190"/>
      <c r="I4" s="190"/>
      <c r="J4" s="190"/>
      <c r="K4" s="190"/>
      <c r="L4" s="190"/>
      <c r="M4" s="190"/>
    </row>
    <row r="6" spans="1:17">
      <c r="B6" s="41" t="s">
        <v>25</v>
      </c>
      <c r="D6" s="182"/>
      <c r="F6" s="182"/>
      <c r="H6" s="41" t="s">
        <v>612</v>
      </c>
      <c r="J6" s="182"/>
      <c r="L6" s="41" t="s">
        <v>26</v>
      </c>
      <c r="M6" s="41"/>
      <c r="P6" s="3" t="s">
        <v>422</v>
      </c>
    </row>
    <row r="7" spans="1:17" s="10" customFormat="1">
      <c r="B7" s="42" t="s">
        <v>27</v>
      </c>
      <c r="C7"/>
      <c r="D7" s="42" t="s">
        <v>107</v>
      </c>
      <c r="E7"/>
      <c r="F7" s="42" t="s">
        <v>108</v>
      </c>
      <c r="G7"/>
      <c r="H7" s="42" t="s">
        <v>613</v>
      </c>
      <c r="I7"/>
      <c r="J7" s="42" t="s">
        <v>109</v>
      </c>
      <c r="K7"/>
      <c r="L7" s="42" t="s">
        <v>27</v>
      </c>
      <c r="M7" s="54"/>
      <c r="N7" s="42" t="s">
        <v>46</v>
      </c>
      <c r="P7" s="42" t="s">
        <v>419</v>
      </c>
    </row>
    <row r="8" spans="1:17" s="10" customFormat="1">
      <c r="A8" s="12" t="s">
        <v>1260</v>
      </c>
      <c r="B8" s="54"/>
      <c r="C8"/>
      <c r="D8" s="54"/>
      <c r="E8"/>
      <c r="F8" s="54"/>
      <c r="G8"/>
      <c r="H8" s="54"/>
      <c r="I8"/>
      <c r="J8" s="54"/>
      <c r="K8"/>
      <c r="L8" s="54"/>
      <c r="M8" s="54"/>
    </row>
    <row r="9" spans="1:17" s="10" customFormat="1">
      <c r="A9" s="12" t="s">
        <v>420</v>
      </c>
      <c r="B9"/>
      <c r="C9"/>
      <c r="D9"/>
      <c r="E9"/>
      <c r="F9"/>
      <c r="G9"/>
      <c r="H9"/>
      <c r="I9"/>
      <c r="J9"/>
      <c r="K9"/>
      <c r="L9"/>
      <c r="M9"/>
    </row>
    <row r="10" spans="1:17" s="10" customFormat="1">
      <c r="A10" s="3" t="s">
        <v>113</v>
      </c>
      <c r="B10"/>
      <c r="C10"/>
      <c r="D10"/>
      <c r="E10"/>
      <c r="F10"/>
      <c r="G10"/>
      <c r="H10"/>
      <c r="I10"/>
      <c r="J10"/>
      <c r="K10"/>
      <c r="L10"/>
      <c r="M10"/>
    </row>
    <row r="11" spans="1:17" s="10" customFormat="1">
      <c r="A11" t="s">
        <v>12</v>
      </c>
      <c r="B11" s="90">
        <f>'IN_Cost-Plant Acct-Elec-P16(PA)'!B26</f>
        <v>0</v>
      </c>
      <c r="C11"/>
      <c r="D11" s="90">
        <f>'IN_Cost-Plant Acct-Elec-P16(PA)'!D26</f>
        <v>0</v>
      </c>
      <c r="E11"/>
      <c r="F11" s="90">
        <f>'IN_Cost-Plant Acct-Elec-P16(PA)'!F26</f>
        <v>0</v>
      </c>
      <c r="G11"/>
      <c r="H11" s="90">
        <f>'IN_Cost-Plant Acct-Elec-P16(PA)'!H26</f>
        <v>0</v>
      </c>
      <c r="I11"/>
      <c r="J11" s="48">
        <f>H11+F11+D11</f>
        <v>0</v>
      </c>
      <c r="K11"/>
      <c r="L11" s="48">
        <f>J11+B11</f>
        <v>0</v>
      </c>
      <c r="M11"/>
      <c r="N11" s="93">
        <f>'IN_Res by Plant Acct-P30 (PA)'!R10</f>
        <v>0</v>
      </c>
      <c r="P11" s="93">
        <f>L11+N11</f>
        <v>0</v>
      </c>
    </row>
    <row r="12" spans="1:17" s="10" customFormat="1">
      <c r="A12" s="12"/>
      <c r="B12" s="89">
        <f>SUM(B11)</f>
        <v>0</v>
      </c>
      <c r="C12"/>
      <c r="D12" s="89">
        <f>SUM(D11)</f>
        <v>0</v>
      </c>
      <c r="E12"/>
      <c r="F12" s="89">
        <f>SUM(F11)</f>
        <v>0</v>
      </c>
      <c r="G12"/>
      <c r="H12" s="89">
        <f>SUM(H11)</f>
        <v>0</v>
      </c>
      <c r="I12"/>
      <c r="J12" s="89">
        <f>SUM(J11)</f>
        <v>0</v>
      </c>
      <c r="K12"/>
      <c r="L12" s="89">
        <f>SUM(L11)</f>
        <v>0</v>
      </c>
      <c r="M12"/>
      <c r="N12" s="89">
        <f>SUM(N11)</f>
        <v>0</v>
      </c>
      <c r="P12" s="89">
        <f>SUM(P11)</f>
        <v>0</v>
      </c>
    </row>
    <row r="13" spans="1:17" s="10" customFormat="1">
      <c r="A13" s="12"/>
      <c r="B13"/>
      <c r="C13"/>
      <c r="D13"/>
      <c r="E13"/>
      <c r="F13"/>
      <c r="G13"/>
      <c r="H13"/>
      <c r="I13"/>
      <c r="J13"/>
      <c r="K13"/>
      <c r="L13"/>
      <c r="M13"/>
    </row>
    <row r="14" spans="1:17">
      <c r="A14" s="3" t="s">
        <v>119</v>
      </c>
    </row>
    <row r="15" spans="1:17">
      <c r="A15" t="s">
        <v>5</v>
      </c>
      <c r="B15" s="182">
        <f>'IN_Cost-Plant Acct-Elec-P16(PA)'!B11</f>
        <v>-258382.43</v>
      </c>
      <c r="C15" s="182"/>
      <c r="D15" s="182">
        <f>'IN_Cost-Plant Acct-Elec-P16(PA)'!D11</f>
        <v>0</v>
      </c>
      <c r="E15" s="182"/>
      <c r="F15" s="182">
        <f>'IN_Cost-Plant Acct-Elec-P16(PA)'!F11</f>
        <v>0</v>
      </c>
      <c r="G15" s="182"/>
      <c r="H15" s="182">
        <f>'IN_Cost-Plant Acct-Elec-P16(PA)'!H11</f>
        <v>0</v>
      </c>
      <c r="I15" s="182"/>
      <c r="J15" s="182">
        <f t="shared" ref="J15:J21" si="0">H15+F15+D15</f>
        <v>0</v>
      </c>
      <c r="K15" s="182"/>
      <c r="L15" s="182">
        <f t="shared" ref="L15:L21" si="1">J15+B15</f>
        <v>-258382.43</v>
      </c>
      <c r="M15" s="182"/>
      <c r="N15" s="182">
        <f>'IN_Res by Plant Acct-P30 (PA)'!R15</f>
        <v>258382.43</v>
      </c>
      <c r="P15" s="89">
        <f>L15+N15</f>
        <v>0</v>
      </c>
    </row>
    <row r="16" spans="1:17">
      <c r="A16" t="s">
        <v>6</v>
      </c>
      <c r="B16" s="182">
        <f>'IN_Cost-Plant Acct-Elec-P16(PA)'!B12</f>
        <v>0</v>
      </c>
      <c r="C16" s="182"/>
      <c r="D16" s="182">
        <f>'IN_Cost-Plant Acct-Elec-P16(PA)'!D12</f>
        <v>0</v>
      </c>
      <c r="E16" s="182"/>
      <c r="F16" s="182">
        <f>'IN_Cost-Plant Acct-Elec-P16(PA)'!F12</f>
        <v>0</v>
      </c>
      <c r="G16" s="182"/>
      <c r="H16" s="182">
        <f>'IN_Cost-Plant Acct-Elec-P16(PA)'!H12</f>
        <v>0</v>
      </c>
      <c r="I16" s="182"/>
      <c r="J16" s="182">
        <f t="shared" si="0"/>
        <v>0</v>
      </c>
      <c r="K16" s="182"/>
      <c r="L16" s="182">
        <f t="shared" si="1"/>
        <v>0</v>
      </c>
      <c r="M16" s="182"/>
      <c r="N16" s="182">
        <f>'IN_Res by Plant Acct-P30 (PA)'!R16</f>
        <v>0</v>
      </c>
      <c r="P16" s="89">
        <f t="shared" ref="P16:P21" si="2">L16+N16</f>
        <v>0</v>
      </c>
    </row>
    <row r="17" spans="1:16">
      <c r="A17" t="s">
        <v>7</v>
      </c>
      <c r="B17" s="182">
        <f>'IN_Cost-Plant Acct-Elec-P16(PA)'!B13</f>
        <v>-195615.7</v>
      </c>
      <c r="C17" s="182"/>
      <c r="D17" s="182">
        <f>'IN_Cost-Plant Acct-Elec-P16(PA)'!D13</f>
        <v>0</v>
      </c>
      <c r="E17" s="182"/>
      <c r="F17" s="182">
        <f>'IN_Cost-Plant Acct-Elec-P16(PA)'!F13</f>
        <v>0</v>
      </c>
      <c r="G17" s="182"/>
      <c r="H17" s="182">
        <f>'IN_Cost-Plant Acct-Elec-P16(PA)'!H13</f>
        <v>0</v>
      </c>
      <c r="I17" s="182"/>
      <c r="J17" s="182">
        <f t="shared" si="0"/>
        <v>0</v>
      </c>
      <c r="K17" s="182"/>
      <c r="L17" s="182">
        <f t="shared" si="1"/>
        <v>-195615.7</v>
      </c>
      <c r="M17" s="182"/>
      <c r="N17" s="182">
        <f>'IN_Res by Plant Acct-P30 (PA)'!R17</f>
        <v>195615.7</v>
      </c>
      <c r="P17" s="89">
        <f t="shared" si="2"/>
        <v>0</v>
      </c>
    </row>
    <row r="18" spans="1:16">
      <c r="A18" t="s">
        <v>8</v>
      </c>
      <c r="B18" s="182">
        <f>'IN_Cost-Plant Acct-Elec-P16(PA)'!B14</f>
        <v>-7075009.6200000001</v>
      </c>
      <c r="C18" s="182"/>
      <c r="D18" s="182">
        <f>'IN_Cost-Plant Acct-Elec-P16(PA)'!D14</f>
        <v>0</v>
      </c>
      <c r="E18" s="182"/>
      <c r="F18" s="182">
        <f>'IN_Cost-Plant Acct-Elec-P16(PA)'!F14</f>
        <v>0</v>
      </c>
      <c r="G18" s="182"/>
      <c r="H18" s="182">
        <f>'IN_Cost-Plant Acct-Elec-P16(PA)'!H14</f>
        <v>0</v>
      </c>
      <c r="I18" s="182"/>
      <c r="J18" s="182">
        <f t="shared" si="0"/>
        <v>0</v>
      </c>
      <c r="K18" s="182"/>
      <c r="L18" s="182">
        <f t="shared" si="1"/>
        <v>-7075009.6200000001</v>
      </c>
      <c r="M18" s="182"/>
      <c r="N18" s="182">
        <f>'IN_Res by Plant Acct-P30 (PA)'!R18</f>
        <v>7075009.6200000001</v>
      </c>
      <c r="P18" s="89">
        <f t="shared" si="2"/>
        <v>0</v>
      </c>
    </row>
    <row r="19" spans="1:16">
      <c r="A19" t="s">
        <v>9</v>
      </c>
      <c r="B19" s="182">
        <f>'IN_Cost-Plant Acct-Elec-P16(PA)'!B15+'IN_Cost-Plant Acct-Elec-P16(PA)'!B30</f>
        <v>-2815712.13</v>
      </c>
      <c r="C19" s="182"/>
      <c r="D19" s="182">
        <f>'IN_Cost-Plant Acct-Elec-P16(PA)'!D30</f>
        <v>0</v>
      </c>
      <c r="E19" s="182"/>
      <c r="F19" s="182">
        <f>'IN_Cost-Plant Acct-Elec-P16(PA)'!F15</f>
        <v>0</v>
      </c>
      <c r="G19" s="182"/>
      <c r="H19" s="182">
        <f>'IN_Cost-Plant Acct-Elec-P16(PA)'!H15</f>
        <v>0</v>
      </c>
      <c r="I19" s="182"/>
      <c r="J19" s="182">
        <f t="shared" si="0"/>
        <v>0</v>
      </c>
      <c r="K19" s="182"/>
      <c r="L19" s="182">
        <f t="shared" si="1"/>
        <v>-2815712.13</v>
      </c>
      <c r="M19" s="182"/>
      <c r="N19" s="182">
        <f>'IN_Res by Plant Acct-P30 (PA)'!R19</f>
        <v>2815712.13</v>
      </c>
      <c r="P19" s="89">
        <f t="shared" si="2"/>
        <v>0</v>
      </c>
    </row>
    <row r="20" spans="1:16">
      <c r="A20" t="s">
        <v>10</v>
      </c>
      <c r="B20" s="182">
        <f>'IN_Cost-Plant Acct-Elec-P16(PA)'!B16</f>
        <v>-662778.22</v>
      </c>
      <c r="C20" s="182"/>
      <c r="D20" s="182">
        <f>'IN_Cost-Plant Acct-Elec-P16(PA)'!D16</f>
        <v>0</v>
      </c>
      <c r="E20" s="182"/>
      <c r="F20" s="182">
        <f>'IN_Cost-Plant Acct-Elec-P16(PA)'!F16</f>
        <v>0</v>
      </c>
      <c r="G20" s="182"/>
      <c r="H20" s="182">
        <f>'IN_Cost-Plant Acct-Elec-P16(PA)'!H16</f>
        <v>0</v>
      </c>
      <c r="I20" s="182"/>
      <c r="J20" s="182">
        <f t="shared" si="0"/>
        <v>0</v>
      </c>
      <c r="K20" s="182"/>
      <c r="L20" s="182">
        <f t="shared" si="1"/>
        <v>-662778.22</v>
      </c>
      <c r="M20" s="182"/>
      <c r="N20" s="182">
        <f>'IN_Res by Plant Acct-P30 (PA)'!R20</f>
        <v>662778.22</v>
      </c>
      <c r="P20" s="89">
        <f t="shared" si="2"/>
        <v>0</v>
      </c>
    </row>
    <row r="21" spans="1:16">
      <c r="A21" t="s">
        <v>11</v>
      </c>
      <c r="B21" s="48">
        <f>'IN_Cost-Plant Acct-Elec-P16(PA)'!B17</f>
        <v>-1548653.72</v>
      </c>
      <c r="C21" s="52"/>
      <c r="D21" s="48">
        <f>'IN_Cost-Plant Acct-Elec-P16(PA)'!D17</f>
        <v>0</v>
      </c>
      <c r="E21" s="52"/>
      <c r="F21" s="48">
        <f>'IN_Cost-Plant Acct-Elec-P16(PA)'!F17</f>
        <v>0</v>
      </c>
      <c r="G21" s="52"/>
      <c r="H21" s="48">
        <f>'IN_Cost-Plant Acct-Elec-P16(PA)'!H17</f>
        <v>0</v>
      </c>
      <c r="I21" s="52"/>
      <c r="J21" s="48">
        <f t="shared" si="0"/>
        <v>0</v>
      </c>
      <c r="K21" s="52"/>
      <c r="L21" s="48">
        <f t="shared" si="1"/>
        <v>-1548653.72</v>
      </c>
      <c r="M21" s="52"/>
      <c r="N21" s="48">
        <f>'IN_Res by Plant Acct-P30 (PA)'!R21</f>
        <v>1548653.72</v>
      </c>
      <c r="P21" s="90">
        <f t="shared" si="2"/>
        <v>0</v>
      </c>
    </row>
    <row r="22" spans="1:16">
      <c r="B22" s="52">
        <f>SUM(B15:B21)</f>
        <v>-12556151.82</v>
      </c>
      <c r="C22" s="52"/>
      <c r="D22" s="52">
        <f>SUM(D15:D21)</f>
        <v>0</v>
      </c>
      <c r="E22" s="52"/>
      <c r="F22" s="52">
        <f>SUM(F15:F21)</f>
        <v>0</v>
      </c>
      <c r="G22" s="52"/>
      <c r="H22" s="52">
        <f>SUM(H15:H21)</f>
        <v>0</v>
      </c>
      <c r="I22" s="52"/>
      <c r="J22" s="52">
        <f>SUM(J15:J21)</f>
        <v>0</v>
      </c>
      <c r="K22" s="52"/>
      <c r="L22" s="52">
        <f>SUM(L15:L21)</f>
        <v>-12556151.82</v>
      </c>
      <c r="M22" s="52"/>
      <c r="N22" s="52">
        <f>SUM(N15:N21)</f>
        <v>12556151.82</v>
      </c>
      <c r="P22" s="52">
        <f>SUM(P15:P21)</f>
        <v>0</v>
      </c>
    </row>
    <row r="23" spans="1:16">
      <c r="B23" s="52"/>
      <c r="C23" s="52"/>
      <c r="D23" s="52"/>
      <c r="E23" s="52"/>
      <c r="F23" s="52"/>
      <c r="G23" s="52"/>
      <c r="H23" s="52"/>
      <c r="I23" s="52"/>
      <c r="J23" s="52"/>
      <c r="K23" s="52"/>
      <c r="L23" s="52"/>
      <c r="M23" s="52"/>
      <c r="N23" s="52"/>
    </row>
    <row r="24" spans="1:16">
      <c r="B24" s="52"/>
      <c r="C24" s="52"/>
      <c r="D24" s="52"/>
      <c r="E24" s="52"/>
      <c r="F24" s="52"/>
      <c r="G24" s="52"/>
      <c r="H24" s="52"/>
      <c r="I24" s="52"/>
      <c r="J24" s="52"/>
      <c r="K24" s="52"/>
      <c r="L24" s="52"/>
      <c r="M24" s="52"/>
      <c r="N24" s="52"/>
    </row>
    <row r="25" spans="1:16" ht="13.5" thickBot="1">
      <c r="A25" s="3" t="s">
        <v>682</v>
      </c>
      <c r="B25" s="46">
        <f>B22+B12</f>
        <v>-12556151.82</v>
      </c>
      <c r="C25" s="55"/>
      <c r="D25" s="46">
        <f>D22+D12</f>
        <v>0</v>
      </c>
      <c r="E25" s="55"/>
      <c r="F25" s="46">
        <f>F22+F12</f>
        <v>0</v>
      </c>
      <c r="G25" s="55"/>
      <c r="H25" s="46">
        <f>H22+H12</f>
        <v>0</v>
      </c>
      <c r="I25" s="55"/>
      <c r="J25" s="46">
        <f>J22+J12</f>
        <v>0</v>
      </c>
      <c r="K25" s="55"/>
      <c r="L25" s="46">
        <f>L22+L12</f>
        <v>-12556151.82</v>
      </c>
      <c r="M25" s="52"/>
      <c r="N25" s="46">
        <f>N22+N12</f>
        <v>12556151.82</v>
      </c>
      <c r="P25" s="46">
        <f>P22+P12</f>
        <v>0</v>
      </c>
    </row>
    <row r="26" spans="1:16" ht="13.5" thickTop="1">
      <c r="A26" s="3"/>
      <c r="B26" s="52"/>
      <c r="C26" s="55"/>
      <c r="D26" s="52"/>
      <c r="E26" s="55"/>
      <c r="F26" s="52"/>
      <c r="G26" s="55"/>
      <c r="H26" s="52"/>
      <c r="I26" s="55"/>
      <c r="J26" s="52"/>
      <c r="K26" s="55"/>
      <c r="L26" s="52"/>
      <c r="M26" s="52"/>
      <c r="N26" s="55"/>
    </row>
    <row r="27" spans="1:16">
      <c r="B27" s="52"/>
      <c r="C27" s="52"/>
      <c r="D27" s="52"/>
      <c r="E27" s="52"/>
      <c r="F27" s="52"/>
      <c r="G27" s="52"/>
      <c r="H27" s="52"/>
      <c r="I27" s="52"/>
      <c r="J27" s="52"/>
      <c r="K27" s="52"/>
      <c r="L27" s="52"/>
      <c r="M27" s="52"/>
      <c r="N27" s="52"/>
    </row>
    <row r="28" spans="1:16">
      <c r="B28" s="182"/>
      <c r="C28" s="182"/>
      <c r="D28" s="182"/>
      <c r="E28" s="182"/>
      <c r="F28" s="182"/>
      <c r="G28" s="182"/>
      <c r="H28" s="182"/>
      <c r="I28" s="182"/>
      <c r="J28" s="182"/>
      <c r="K28" s="182"/>
      <c r="L28" s="182"/>
      <c r="M28" s="182"/>
      <c r="N28" s="182"/>
    </row>
    <row r="29" spans="1:16">
      <c r="B29" s="4"/>
      <c r="C29" s="4"/>
      <c r="D29" s="4"/>
      <c r="E29" s="4"/>
      <c r="F29" s="4"/>
      <c r="G29" s="4"/>
      <c r="H29" s="4"/>
      <c r="I29" s="4"/>
      <c r="J29" s="4"/>
      <c r="K29" s="4"/>
    </row>
    <row r="30" spans="1:16">
      <c r="B30" s="4"/>
      <c r="C30" s="4"/>
      <c r="D30" s="4"/>
      <c r="E30" s="4"/>
      <c r="F30" s="4"/>
      <c r="G30" s="4"/>
      <c r="H30" s="4"/>
      <c r="I30" s="4"/>
      <c r="J30" s="4"/>
      <c r="K30" s="4"/>
    </row>
    <row r="31" spans="1:16">
      <c r="B31" s="4"/>
      <c r="C31" s="4"/>
      <c r="D31" s="4"/>
      <c r="E31" s="4"/>
      <c r="F31" s="4"/>
      <c r="G31" s="4"/>
      <c r="H31" s="4"/>
      <c r="I31" s="4"/>
      <c r="J31" s="4"/>
      <c r="K31" s="4"/>
    </row>
    <row r="32" spans="1:16">
      <c r="B32" s="4"/>
      <c r="C32" s="4"/>
      <c r="D32" s="4"/>
      <c r="E32" s="4"/>
      <c r="F32" s="4"/>
      <c r="G32" s="4"/>
      <c r="H32" s="4"/>
      <c r="I32" s="4"/>
      <c r="J32" s="4"/>
      <c r="K32" s="4"/>
    </row>
  </sheetData>
  <mergeCells count="3">
    <mergeCell ref="A1:P1"/>
    <mergeCell ref="A2:Q2"/>
    <mergeCell ref="A3:P3"/>
  </mergeCells>
  <pageMargins left="0.75" right="0.75" top="1" bottom="1" header="0.5" footer="0.5"/>
  <pageSetup scale="58" fitToHeight="2" orientation="landscape" r:id="rId1"/>
  <headerFooter alignWithMargins="0">
    <oddFooter>&amp;L&amp;Z
&amp;F&amp;C&amp;A&amp;R15.&amp;P</oddFooter>
  </headerFooter>
</worksheet>
</file>

<file path=xl/worksheets/sheet135.xml><?xml version="1.0" encoding="utf-8"?>
<worksheet xmlns="http://schemas.openxmlformats.org/spreadsheetml/2006/main" xmlns:r="http://schemas.openxmlformats.org/officeDocument/2006/relationships">
  <sheetPr codeName="Sheet138">
    <tabColor indexed="33"/>
    <pageSetUpPr fitToPage="1"/>
  </sheetPr>
  <dimension ref="A1:M41"/>
  <sheetViews>
    <sheetView zoomScaleNormal="100" workbookViewId="0">
      <selection sqref="A1:L1"/>
    </sheetView>
  </sheetViews>
  <sheetFormatPr defaultRowHeight="12.75"/>
  <cols>
    <col min="1" max="1" width="43.85546875" bestFit="1" customWidth="1"/>
    <col min="2" max="2" width="17.7109375" customWidth="1"/>
    <col min="3" max="3" width="1.7109375" customWidth="1"/>
    <col min="4" max="4" width="17.7109375" customWidth="1"/>
    <col min="5" max="5" width="1.7109375" customWidth="1"/>
    <col min="6" max="6" width="17.7109375" customWidth="1"/>
    <col min="7" max="7" width="1.7109375" customWidth="1"/>
    <col min="8" max="8" width="17.7109375" customWidth="1"/>
    <col min="9" max="9" width="1.7109375" customWidth="1"/>
    <col min="10" max="10" width="17.7109375" customWidth="1"/>
    <col min="11" max="11" width="1.7109375" customWidth="1"/>
    <col min="12" max="12" width="17.7109375" customWidth="1"/>
  </cols>
  <sheetData>
    <row r="1" spans="1:13" s="38" customFormat="1" ht="15.75">
      <c r="A1" s="366" t="s">
        <v>134</v>
      </c>
      <c r="B1" s="366"/>
      <c r="C1" s="366"/>
      <c r="D1" s="366"/>
      <c r="E1" s="366"/>
      <c r="F1" s="366"/>
      <c r="G1" s="366"/>
      <c r="H1" s="366"/>
      <c r="I1" s="366"/>
      <c r="J1" s="366"/>
      <c r="K1" s="366"/>
      <c r="L1" s="366"/>
    </row>
    <row r="2" spans="1:13" s="38" customFormat="1" ht="15.75">
      <c r="A2" s="366" t="s">
        <v>1163</v>
      </c>
      <c r="B2" s="366"/>
      <c r="C2" s="366"/>
      <c r="D2" s="366"/>
      <c r="E2" s="366"/>
      <c r="F2" s="366"/>
      <c r="G2" s="366"/>
      <c r="H2" s="366"/>
      <c r="I2" s="366"/>
      <c r="J2" s="366"/>
      <c r="K2" s="366"/>
      <c r="L2" s="366"/>
    </row>
    <row r="3" spans="1:13">
      <c r="A3" s="357" t="str">
        <f>'Summary - Cost - PG 1 (PA)'!A3:N3</f>
        <v>MARCH 2012</v>
      </c>
      <c r="B3" s="357"/>
      <c r="C3" s="357"/>
      <c r="D3" s="357"/>
      <c r="E3" s="357"/>
      <c r="F3" s="357"/>
      <c r="G3" s="357"/>
      <c r="H3" s="357"/>
      <c r="I3" s="357"/>
      <c r="J3" s="357"/>
      <c r="K3" s="357"/>
      <c r="L3" s="357"/>
    </row>
    <row r="4" spans="1:13">
      <c r="A4" s="190"/>
      <c r="B4" s="190"/>
      <c r="C4" s="190"/>
      <c r="D4" s="190"/>
      <c r="E4" s="190"/>
      <c r="F4" s="190"/>
      <c r="G4" s="190"/>
      <c r="H4" s="190"/>
      <c r="I4" s="190"/>
      <c r="J4" s="190"/>
      <c r="K4" s="190"/>
      <c r="L4" s="190"/>
    </row>
    <row r="6" spans="1:13">
      <c r="B6" s="41" t="s">
        <v>25</v>
      </c>
      <c r="D6" s="33"/>
      <c r="F6" s="33"/>
      <c r="H6" s="41" t="s">
        <v>612</v>
      </c>
      <c r="J6" s="33"/>
      <c r="L6" s="41" t="s">
        <v>26</v>
      </c>
    </row>
    <row r="7" spans="1:13" s="10" customFormat="1">
      <c r="B7" s="42" t="s">
        <v>27</v>
      </c>
      <c r="C7"/>
      <c r="D7" s="42" t="s">
        <v>107</v>
      </c>
      <c r="E7"/>
      <c r="F7" s="42" t="s">
        <v>108</v>
      </c>
      <c r="G7"/>
      <c r="H7" s="42" t="s">
        <v>613</v>
      </c>
      <c r="I7"/>
      <c r="J7" s="42" t="s">
        <v>109</v>
      </c>
      <c r="K7"/>
      <c r="L7" s="42" t="s">
        <v>27</v>
      </c>
    </row>
    <row r="8" spans="1:13" s="10" customFormat="1">
      <c r="B8" s="54"/>
      <c r="C8"/>
      <c r="D8" s="54"/>
      <c r="E8"/>
      <c r="F8" s="54"/>
      <c r="G8"/>
      <c r="H8" s="54"/>
      <c r="I8"/>
      <c r="J8" s="54"/>
      <c r="K8"/>
      <c r="L8" s="54"/>
    </row>
    <row r="9" spans="1:13" s="10" customFormat="1">
      <c r="A9" s="12" t="s">
        <v>806</v>
      </c>
      <c r="B9"/>
      <c r="C9"/>
      <c r="D9"/>
      <c r="E9"/>
      <c r="F9"/>
      <c r="G9"/>
      <c r="H9"/>
      <c r="I9"/>
      <c r="J9"/>
      <c r="K9"/>
      <c r="L9"/>
    </row>
    <row r="10" spans="1:13">
      <c r="A10" s="3" t="s">
        <v>119</v>
      </c>
    </row>
    <row r="11" spans="1:13">
      <c r="A11" t="s">
        <v>5</v>
      </c>
      <c r="B11" s="33">
        <v>-258382.43</v>
      </c>
      <c r="C11" s="33"/>
      <c r="D11" s="33">
        <v>0</v>
      </c>
      <c r="E11" s="33"/>
      <c r="F11" s="300">
        <v>0</v>
      </c>
      <c r="G11" s="33"/>
      <c r="H11" s="300">
        <v>0</v>
      </c>
      <c r="I11" s="33"/>
      <c r="J11" s="33">
        <f>H11+F11+D11</f>
        <v>0</v>
      </c>
      <c r="K11" s="33"/>
      <c r="L11" s="33">
        <f>J11+B11</f>
        <v>-258382.43</v>
      </c>
      <c r="M11" s="33"/>
    </row>
    <row r="12" spans="1:13">
      <c r="A12" t="s">
        <v>6</v>
      </c>
      <c r="B12" s="33">
        <v>0</v>
      </c>
      <c r="C12" s="33"/>
      <c r="D12" s="33">
        <v>0</v>
      </c>
      <c r="E12" s="33"/>
      <c r="F12" s="300">
        <v>0</v>
      </c>
      <c r="G12" s="33"/>
      <c r="H12" s="300">
        <v>0</v>
      </c>
      <c r="I12" s="33"/>
      <c r="J12" s="33">
        <f t="shared" ref="J12:J17" si="0">H12+F12+D12</f>
        <v>0</v>
      </c>
      <c r="K12" s="33"/>
      <c r="L12" s="33">
        <f t="shared" ref="L12:L17" si="1">J12+B12</f>
        <v>0</v>
      </c>
      <c r="M12" s="33"/>
    </row>
    <row r="13" spans="1:13">
      <c r="A13" t="s">
        <v>7</v>
      </c>
      <c r="B13" s="33">
        <v>-195615.7</v>
      </c>
      <c r="C13" s="33"/>
      <c r="D13" s="33">
        <v>0</v>
      </c>
      <c r="E13" s="33"/>
      <c r="F13" s="300">
        <v>0</v>
      </c>
      <c r="G13" s="33"/>
      <c r="H13" s="300">
        <v>0</v>
      </c>
      <c r="I13" s="33"/>
      <c r="J13" s="33">
        <f t="shared" si="0"/>
        <v>0</v>
      </c>
      <c r="K13" s="33"/>
      <c r="L13" s="33">
        <f t="shared" si="1"/>
        <v>-195615.7</v>
      </c>
      <c r="M13" s="33"/>
    </row>
    <row r="14" spans="1:13">
      <c r="A14" t="s">
        <v>8</v>
      </c>
      <c r="B14" s="33">
        <v>-7075009.6200000001</v>
      </c>
      <c r="C14" s="33"/>
      <c r="D14" s="33">
        <v>0</v>
      </c>
      <c r="E14" s="33"/>
      <c r="F14" s="300">
        <v>0</v>
      </c>
      <c r="G14" s="33"/>
      <c r="H14" s="300">
        <v>0</v>
      </c>
      <c r="I14" s="33"/>
      <c r="J14" s="33">
        <f t="shared" si="0"/>
        <v>0</v>
      </c>
      <c r="K14" s="33"/>
      <c r="L14" s="33">
        <f t="shared" si="1"/>
        <v>-7075009.6200000001</v>
      </c>
      <c r="M14" s="33"/>
    </row>
    <row r="15" spans="1:13">
      <c r="A15" t="s">
        <v>9</v>
      </c>
      <c r="B15" s="33">
        <v>-2815712.13</v>
      </c>
      <c r="C15" s="33"/>
      <c r="D15" s="33">
        <v>0</v>
      </c>
      <c r="E15" s="33"/>
      <c r="F15" s="300">
        <v>0</v>
      </c>
      <c r="G15" s="33"/>
      <c r="H15" s="300">
        <v>0</v>
      </c>
      <c r="I15" s="33"/>
      <c r="J15" s="33">
        <f t="shared" si="0"/>
        <v>0</v>
      </c>
      <c r="K15" s="33"/>
      <c r="L15" s="33">
        <f t="shared" si="1"/>
        <v>-2815712.13</v>
      </c>
      <c r="M15" s="33"/>
    </row>
    <row r="16" spans="1:13">
      <c r="A16" t="s">
        <v>10</v>
      </c>
      <c r="B16" s="33">
        <v>-662778.22</v>
      </c>
      <c r="C16" s="33"/>
      <c r="D16" s="33">
        <v>0</v>
      </c>
      <c r="E16" s="33"/>
      <c r="F16" s="300">
        <v>0</v>
      </c>
      <c r="G16" s="33"/>
      <c r="H16" s="300">
        <v>0</v>
      </c>
      <c r="I16" s="33"/>
      <c r="J16" s="33">
        <f t="shared" si="0"/>
        <v>0</v>
      </c>
      <c r="K16" s="33"/>
      <c r="L16" s="33">
        <f t="shared" si="1"/>
        <v>-662778.22</v>
      </c>
      <c r="M16" s="33"/>
    </row>
    <row r="17" spans="1:13">
      <c r="A17" t="s">
        <v>11</v>
      </c>
      <c r="B17" s="35">
        <v>-1548653.72</v>
      </c>
      <c r="C17" s="37"/>
      <c r="D17" s="35">
        <v>0</v>
      </c>
      <c r="E17" s="37"/>
      <c r="F17" s="35">
        <v>0</v>
      </c>
      <c r="G17" s="37"/>
      <c r="H17" s="35">
        <v>0</v>
      </c>
      <c r="I17" s="37"/>
      <c r="J17" s="35">
        <f t="shared" si="0"/>
        <v>0</v>
      </c>
      <c r="K17" s="37"/>
      <c r="L17" s="35">
        <f t="shared" si="1"/>
        <v>-1548653.72</v>
      </c>
      <c r="M17" s="37"/>
    </row>
    <row r="18" spans="1:13">
      <c r="B18" s="37">
        <f>SUM(B11:B17)</f>
        <v>-12556151.82</v>
      </c>
      <c r="C18" s="37"/>
      <c r="D18" s="37">
        <f>SUM(D11:D17)</f>
        <v>0</v>
      </c>
      <c r="E18" s="37"/>
      <c r="F18" s="37">
        <f>SUM(F11:F17)</f>
        <v>0</v>
      </c>
      <c r="G18" s="37"/>
      <c r="H18" s="37">
        <f>SUM(H11:H17)</f>
        <v>0</v>
      </c>
      <c r="I18" s="37"/>
      <c r="J18" s="37">
        <f>SUM(J11:J17)</f>
        <v>0</v>
      </c>
      <c r="K18" s="37"/>
      <c r="L18" s="37">
        <f>SUM(L11:L17)</f>
        <v>-12556151.82</v>
      </c>
      <c r="M18" s="37"/>
    </row>
    <row r="19" spans="1:13">
      <c r="B19" s="37"/>
      <c r="C19" s="37"/>
      <c r="D19" s="37"/>
      <c r="E19" s="37"/>
      <c r="F19" s="37"/>
      <c r="G19" s="37"/>
      <c r="H19" s="37"/>
      <c r="I19" s="37"/>
      <c r="J19" s="37"/>
      <c r="K19" s="37"/>
      <c r="L19" s="37"/>
      <c r="M19" s="37"/>
    </row>
    <row r="20" spans="1:13">
      <c r="B20" s="37"/>
      <c r="C20" s="37"/>
      <c r="D20" s="37"/>
      <c r="E20" s="37"/>
      <c r="F20" s="37"/>
      <c r="G20" s="37"/>
      <c r="H20" s="37"/>
      <c r="I20" s="37"/>
      <c r="J20" s="37"/>
      <c r="K20" s="37"/>
      <c r="L20" s="37"/>
      <c r="M20" s="37"/>
    </row>
    <row r="21" spans="1:13">
      <c r="A21" s="3" t="s">
        <v>603</v>
      </c>
      <c r="B21" s="34">
        <f>B18</f>
        <v>-12556151.82</v>
      </c>
      <c r="C21" s="6"/>
      <c r="D21" s="34">
        <f>D18</f>
        <v>0</v>
      </c>
      <c r="E21" s="6"/>
      <c r="F21" s="34">
        <f>F18</f>
        <v>0</v>
      </c>
      <c r="G21" s="6"/>
      <c r="H21" s="34">
        <f>H18</f>
        <v>0</v>
      </c>
      <c r="I21" s="6"/>
      <c r="J21" s="34">
        <f>J18</f>
        <v>0</v>
      </c>
      <c r="K21" s="6"/>
      <c r="L21" s="34">
        <f>L18</f>
        <v>-12556151.82</v>
      </c>
      <c r="M21" s="6"/>
    </row>
    <row r="22" spans="1:13">
      <c r="A22" s="3"/>
      <c r="B22" s="37"/>
      <c r="C22" s="6"/>
      <c r="D22" s="37"/>
      <c r="E22" s="6"/>
      <c r="F22" s="37"/>
      <c r="G22" s="6"/>
      <c r="H22" s="37"/>
      <c r="I22" s="6"/>
      <c r="J22" s="37"/>
      <c r="K22" s="6"/>
      <c r="L22" s="37"/>
      <c r="M22" s="6"/>
    </row>
    <row r="23" spans="1:13" s="250" customFormat="1" hidden="1">
      <c r="B23" s="251"/>
      <c r="C23" s="251"/>
      <c r="D23" s="251"/>
      <c r="E23" s="251"/>
      <c r="F23" s="251"/>
      <c r="G23" s="251"/>
      <c r="H23" s="251"/>
      <c r="I23" s="251"/>
      <c r="J23" s="251"/>
      <c r="K23" s="251"/>
      <c r="L23" s="251"/>
      <c r="M23" s="251"/>
    </row>
    <row r="24" spans="1:13" s="250" customFormat="1" hidden="1">
      <c r="A24" s="219" t="s">
        <v>573</v>
      </c>
      <c r="B24" s="251"/>
      <c r="C24" s="251"/>
      <c r="D24" s="251"/>
      <c r="E24" s="251"/>
      <c r="F24" s="251"/>
      <c r="G24" s="251"/>
      <c r="H24" s="251"/>
      <c r="I24" s="251"/>
      <c r="J24" s="251"/>
      <c r="K24" s="251"/>
      <c r="L24" s="251"/>
      <c r="M24" s="251"/>
    </row>
    <row r="25" spans="1:13" s="250" customFormat="1" hidden="1">
      <c r="A25" s="219" t="s">
        <v>113</v>
      </c>
      <c r="B25" s="251"/>
      <c r="C25" s="251"/>
      <c r="D25" s="251"/>
      <c r="E25" s="251"/>
      <c r="F25" s="251"/>
      <c r="G25" s="251"/>
      <c r="H25" s="251"/>
      <c r="I25" s="251"/>
      <c r="J25" s="251"/>
      <c r="K25" s="251"/>
      <c r="L25" s="251"/>
      <c r="M25" s="251"/>
    </row>
    <row r="26" spans="1:13" s="250" customFormat="1" hidden="1">
      <c r="A26" s="250" t="s">
        <v>12</v>
      </c>
      <c r="B26" s="253">
        <v>0</v>
      </c>
      <c r="C26" s="251"/>
      <c r="D26" s="253">
        <v>0</v>
      </c>
      <c r="E26" s="251"/>
      <c r="F26" s="253">
        <v>0</v>
      </c>
      <c r="G26" s="251"/>
      <c r="H26" s="253"/>
      <c r="I26" s="251"/>
      <c r="J26" s="253">
        <f>H26+F26+D26</f>
        <v>0</v>
      </c>
      <c r="K26" s="251"/>
      <c r="L26" s="253">
        <f>J26+B26</f>
        <v>0</v>
      </c>
      <c r="M26" s="251"/>
    </row>
    <row r="27" spans="1:13" s="250" customFormat="1" hidden="1">
      <c r="B27" s="251">
        <f>SUM(B26:B26)</f>
        <v>0</v>
      </c>
      <c r="C27" s="251"/>
      <c r="D27" s="251">
        <f>SUM(D26:D26)</f>
        <v>0</v>
      </c>
      <c r="E27" s="251"/>
      <c r="F27" s="251">
        <f>SUM(F26:F26)</f>
        <v>0</v>
      </c>
      <c r="G27" s="251"/>
      <c r="H27" s="251">
        <f>SUM(H26:H26)</f>
        <v>0</v>
      </c>
      <c r="I27" s="251"/>
      <c r="J27" s="251">
        <f>SUM(J26:J26)</f>
        <v>0</v>
      </c>
      <c r="K27" s="251"/>
      <c r="L27" s="251">
        <f>SUM(L26:L26)</f>
        <v>0</v>
      </c>
      <c r="M27" s="251"/>
    </row>
    <row r="28" spans="1:13" s="250" customFormat="1" hidden="1">
      <c r="B28" s="251"/>
      <c r="C28" s="251"/>
      <c r="D28" s="251"/>
      <c r="E28" s="251"/>
      <c r="F28" s="251"/>
      <c r="G28" s="251"/>
      <c r="H28" s="251"/>
      <c r="I28" s="251"/>
      <c r="J28" s="251"/>
      <c r="K28" s="251"/>
      <c r="L28" s="251"/>
      <c r="M28" s="251"/>
    </row>
    <row r="29" spans="1:13" s="250" customFormat="1" hidden="1">
      <c r="A29" s="219" t="s">
        <v>119</v>
      </c>
      <c r="B29" s="251"/>
      <c r="C29" s="251"/>
      <c r="D29" s="251"/>
      <c r="E29" s="251"/>
      <c r="F29" s="251"/>
      <c r="G29" s="251"/>
      <c r="H29" s="251"/>
      <c r="I29" s="251"/>
      <c r="J29" s="251"/>
      <c r="K29" s="251"/>
      <c r="L29" s="251"/>
      <c r="M29" s="251"/>
    </row>
    <row r="30" spans="1:13" s="250" customFormat="1" hidden="1">
      <c r="A30" s="250" t="s">
        <v>9</v>
      </c>
      <c r="B30" s="253">
        <v>0</v>
      </c>
      <c r="C30" s="251"/>
      <c r="D30" s="253">
        <v>0</v>
      </c>
      <c r="E30" s="251"/>
      <c r="F30" s="253">
        <v>0</v>
      </c>
      <c r="G30" s="251"/>
      <c r="H30" s="253"/>
      <c r="I30" s="251"/>
      <c r="J30" s="253">
        <f>H30+F30+D30</f>
        <v>0</v>
      </c>
      <c r="K30" s="251"/>
      <c r="L30" s="253">
        <f>J30+B30</f>
        <v>0</v>
      </c>
      <c r="M30" s="251"/>
    </row>
    <row r="31" spans="1:13" s="250" customFormat="1" hidden="1">
      <c r="B31" s="251">
        <f>SUM(B30:B30)</f>
        <v>0</v>
      </c>
      <c r="C31" s="251"/>
      <c r="D31" s="251">
        <f>SUM(D30:D30)</f>
        <v>0</v>
      </c>
      <c r="E31" s="251"/>
      <c r="F31" s="251">
        <f>SUM(F30:F30)</f>
        <v>0</v>
      </c>
      <c r="G31" s="251"/>
      <c r="H31" s="251">
        <f>SUM(H30:H30)</f>
        <v>0</v>
      </c>
      <c r="I31" s="251"/>
      <c r="J31" s="251">
        <f>SUM(J30:J30)</f>
        <v>0</v>
      </c>
      <c r="K31" s="251"/>
      <c r="L31" s="251">
        <f>SUM(L30:L30)</f>
        <v>0</v>
      </c>
      <c r="M31" s="251"/>
    </row>
    <row r="32" spans="1:13" s="250" customFormat="1" hidden="1">
      <c r="B32" s="251"/>
      <c r="C32" s="251"/>
      <c r="D32" s="251"/>
      <c r="E32" s="251"/>
      <c r="F32" s="251"/>
      <c r="G32" s="251"/>
      <c r="H32" s="251"/>
      <c r="I32" s="251"/>
      <c r="J32" s="251"/>
      <c r="K32" s="251"/>
      <c r="L32" s="251"/>
      <c r="M32" s="251"/>
    </row>
    <row r="33" spans="1:13" s="250" customFormat="1" hidden="1">
      <c r="B33" s="251"/>
      <c r="C33" s="251"/>
      <c r="D33" s="251"/>
      <c r="E33" s="251"/>
      <c r="F33" s="251"/>
      <c r="G33" s="251"/>
      <c r="H33" s="251"/>
      <c r="I33" s="251"/>
      <c r="J33" s="251"/>
      <c r="K33" s="251"/>
      <c r="L33" s="251"/>
      <c r="M33" s="251"/>
    </row>
    <row r="34" spans="1:13" s="250" customFormat="1" hidden="1">
      <c r="A34" s="219" t="s">
        <v>604</v>
      </c>
      <c r="B34" s="254">
        <f>B27+B31</f>
        <v>0</v>
      </c>
      <c r="C34" s="252"/>
      <c r="D34" s="254">
        <f>D27+D31</f>
        <v>0</v>
      </c>
      <c r="E34" s="252"/>
      <c r="F34" s="254">
        <f>F27+F31</f>
        <v>0</v>
      </c>
      <c r="G34" s="252"/>
      <c r="H34" s="254">
        <f>H27+H31</f>
        <v>0</v>
      </c>
      <c r="I34" s="252"/>
      <c r="J34" s="254">
        <f>J27+J31</f>
        <v>0</v>
      </c>
      <c r="K34" s="252"/>
      <c r="L34" s="254">
        <f>L27+L31</f>
        <v>0</v>
      </c>
      <c r="M34" s="252"/>
    </row>
    <row r="35" spans="1:13" s="250" customFormat="1" hidden="1">
      <c r="B35" s="251"/>
      <c r="C35" s="251"/>
      <c r="D35" s="251"/>
      <c r="E35" s="251"/>
      <c r="F35" s="251"/>
      <c r="G35" s="251"/>
      <c r="H35" s="251"/>
      <c r="I35" s="251"/>
      <c r="J35" s="251"/>
      <c r="K35" s="251"/>
      <c r="L35" s="251"/>
      <c r="M35" s="251"/>
    </row>
    <row r="36" spans="1:13">
      <c r="B36" s="33"/>
      <c r="C36" s="33"/>
      <c r="D36" s="33"/>
      <c r="E36" s="33"/>
      <c r="F36" s="33"/>
      <c r="G36" s="33"/>
      <c r="H36" s="33"/>
      <c r="I36" s="33"/>
      <c r="J36" s="33"/>
      <c r="K36" s="33"/>
      <c r="L36" s="33"/>
      <c r="M36" s="33"/>
    </row>
    <row r="37" spans="1:13" ht="13.5" thickBot="1">
      <c r="A37" s="3" t="s">
        <v>682</v>
      </c>
      <c r="B37" s="44">
        <f>B21+B34</f>
        <v>-12556151.82</v>
      </c>
      <c r="C37" s="33"/>
      <c r="D37" s="44">
        <f>D21+D34</f>
        <v>0</v>
      </c>
      <c r="E37" s="33"/>
      <c r="F37" s="44">
        <f>F21+F34</f>
        <v>0</v>
      </c>
      <c r="G37" s="33"/>
      <c r="H37" s="44">
        <f>H21+H34</f>
        <v>0</v>
      </c>
      <c r="I37" s="33"/>
      <c r="J37" s="44">
        <f>J21+J34</f>
        <v>0</v>
      </c>
      <c r="K37" s="33"/>
      <c r="L37" s="44">
        <f>L21+L34</f>
        <v>-12556151.82</v>
      </c>
      <c r="M37" s="33"/>
    </row>
    <row r="38" spans="1:13" ht="13.5" thickTop="1">
      <c r="B38" s="1"/>
      <c r="C38" s="1"/>
      <c r="D38" s="1"/>
      <c r="E38" s="1"/>
      <c r="F38" s="1"/>
      <c r="G38" s="1"/>
      <c r="H38" s="1"/>
      <c r="I38" s="1"/>
      <c r="J38" s="1"/>
      <c r="K38" s="1"/>
    </row>
    <row r="39" spans="1:13">
      <c r="B39" s="1"/>
      <c r="C39" s="1"/>
      <c r="D39" s="1"/>
      <c r="E39" s="1"/>
      <c r="F39" s="1"/>
      <c r="G39" s="1"/>
      <c r="H39" s="1"/>
      <c r="I39" s="1"/>
      <c r="J39" s="1"/>
      <c r="K39" s="1"/>
    </row>
    <row r="40" spans="1:13">
      <c r="B40" s="1"/>
      <c r="C40" s="1"/>
      <c r="D40" s="1"/>
      <c r="E40" s="1"/>
      <c r="F40" s="1"/>
      <c r="G40" s="1"/>
      <c r="H40" s="1"/>
      <c r="I40" s="1"/>
      <c r="J40" s="1"/>
      <c r="K40" s="1"/>
    </row>
    <row r="41" spans="1:13">
      <c r="B41" s="1"/>
      <c r="C41" s="1"/>
      <c r="D41" s="1"/>
      <c r="E41" s="1"/>
      <c r="F41" s="1"/>
      <c r="G41" s="1"/>
      <c r="H41" s="1"/>
      <c r="I41" s="1"/>
      <c r="J41" s="1"/>
      <c r="K41" s="1"/>
    </row>
  </sheetData>
  <mergeCells count="3">
    <mergeCell ref="A1:L1"/>
    <mergeCell ref="A2:L2"/>
    <mergeCell ref="A3:L3"/>
  </mergeCells>
  <pageMargins left="0.75" right="0.75" top="1" bottom="1" header="0.5" footer="0.5"/>
  <pageSetup scale="77" fitToHeight="2" orientation="landscape" r:id="rId1"/>
  <headerFooter alignWithMargins="0">
    <oddFooter>&amp;L&amp;Z
&amp;F&amp;C&amp;A&amp;R16.&amp;P</oddFooter>
  </headerFooter>
</worksheet>
</file>

<file path=xl/worksheets/sheet136.xml><?xml version="1.0" encoding="utf-8"?>
<worksheet xmlns="http://schemas.openxmlformats.org/spreadsheetml/2006/main" xmlns:r="http://schemas.openxmlformats.org/officeDocument/2006/relationships">
  <sheetPr codeName="Sheet139"/>
  <dimension ref="A1:P109"/>
  <sheetViews>
    <sheetView zoomScale="90" zoomScaleNormal="90" workbookViewId="0">
      <selection sqref="A1:P1"/>
    </sheetView>
  </sheetViews>
  <sheetFormatPr defaultRowHeight="12.75"/>
  <cols>
    <col min="1" max="1" width="45.7109375" bestFit="1" customWidth="1"/>
    <col min="2" max="2" width="17.7109375" customWidth="1"/>
    <col min="3" max="3" width="1.7109375" customWidth="1"/>
    <col min="4" max="4" width="17.7109375" customWidth="1"/>
    <col min="5" max="5" width="1.7109375" customWidth="1"/>
    <col min="6" max="6" width="17.7109375" customWidth="1"/>
    <col min="7" max="7" width="1.7109375" customWidth="1"/>
    <col min="8" max="8" width="17.7109375" customWidth="1"/>
    <col min="9" max="9" width="1.7109375" customWidth="1"/>
    <col min="10" max="10" width="17.7109375" customWidth="1"/>
    <col min="11" max="11" width="1.7109375" customWidth="1"/>
    <col min="12" max="12" width="17.7109375" customWidth="1"/>
    <col min="13" max="13" width="1.85546875" customWidth="1"/>
    <col min="14" max="14" width="16.42578125" customWidth="1"/>
    <col min="15" max="15" width="1.7109375" customWidth="1"/>
    <col min="16" max="16" width="23.140625" bestFit="1" customWidth="1"/>
  </cols>
  <sheetData>
    <row r="1" spans="1:16" s="38" customFormat="1" ht="15.75">
      <c r="A1" s="366" t="s">
        <v>134</v>
      </c>
      <c r="B1" s="366"/>
      <c r="C1" s="366"/>
      <c r="D1" s="366"/>
      <c r="E1" s="366"/>
      <c r="F1" s="366"/>
      <c r="G1" s="366"/>
      <c r="H1" s="366"/>
      <c r="I1" s="366"/>
      <c r="J1" s="366"/>
      <c r="K1" s="366"/>
      <c r="L1" s="366"/>
      <c r="M1" s="366"/>
      <c r="N1" s="366"/>
      <c r="O1" s="366"/>
      <c r="P1" s="366"/>
    </row>
    <row r="2" spans="1:16" s="38" customFormat="1" ht="15.75">
      <c r="A2" s="367" t="s">
        <v>1164</v>
      </c>
      <c r="B2" s="366"/>
      <c r="C2" s="366"/>
      <c r="D2" s="366"/>
      <c r="E2" s="366"/>
      <c r="F2" s="366"/>
      <c r="G2" s="366"/>
      <c r="H2" s="366"/>
      <c r="I2" s="366"/>
      <c r="J2" s="366"/>
      <c r="K2" s="366"/>
      <c r="L2" s="366"/>
      <c r="M2" s="366"/>
      <c r="N2" s="366"/>
      <c r="O2" s="366"/>
      <c r="P2" s="366"/>
    </row>
    <row r="3" spans="1:16">
      <c r="A3" s="357" t="str">
        <f>'Summary - Cost - PG 1 (PA)'!A3:N3</f>
        <v>MARCH 2012</v>
      </c>
      <c r="B3" s="357"/>
      <c r="C3" s="357"/>
      <c r="D3" s="357"/>
      <c r="E3" s="357"/>
      <c r="F3" s="357"/>
      <c r="G3" s="357"/>
      <c r="H3" s="357"/>
      <c r="I3" s="357"/>
      <c r="J3" s="357"/>
      <c r="K3" s="357"/>
      <c r="L3" s="357"/>
      <c r="M3" s="357"/>
      <c r="N3" s="357"/>
      <c r="O3" s="357"/>
      <c r="P3" s="357"/>
    </row>
    <row r="4" spans="1:16">
      <c r="A4" s="190"/>
      <c r="B4" s="190"/>
      <c r="C4" s="190"/>
      <c r="D4" s="190"/>
      <c r="E4" s="190"/>
      <c r="F4" s="190"/>
      <c r="G4" s="190"/>
      <c r="H4" s="190"/>
      <c r="I4" s="190"/>
      <c r="J4" s="190"/>
      <c r="K4" s="190"/>
      <c r="L4" s="190"/>
    </row>
    <row r="6" spans="1:16">
      <c r="B6" s="41" t="s">
        <v>25</v>
      </c>
      <c r="D6" s="182"/>
      <c r="F6" s="182"/>
      <c r="H6" s="41" t="s">
        <v>612</v>
      </c>
      <c r="J6" s="182"/>
      <c r="L6" s="41" t="s">
        <v>26</v>
      </c>
      <c r="P6" s="29" t="s">
        <v>422</v>
      </c>
    </row>
    <row r="7" spans="1:16" s="10" customFormat="1">
      <c r="A7" s="12" t="s">
        <v>371</v>
      </c>
      <c r="B7" s="42" t="s">
        <v>27</v>
      </c>
      <c r="C7"/>
      <c r="D7" s="42" t="s">
        <v>107</v>
      </c>
      <c r="E7"/>
      <c r="F7" s="42" t="s">
        <v>108</v>
      </c>
      <c r="G7"/>
      <c r="H7" s="42" t="s">
        <v>613</v>
      </c>
      <c r="I7"/>
      <c r="J7" s="42" t="s">
        <v>109</v>
      </c>
      <c r="K7"/>
      <c r="L7" s="42" t="s">
        <v>27</v>
      </c>
      <c r="N7" s="42" t="s">
        <v>46</v>
      </c>
      <c r="P7" s="42" t="s">
        <v>419</v>
      </c>
    </row>
    <row r="8" spans="1:16" s="10" customFormat="1">
      <c r="A8" s="12" t="s">
        <v>296</v>
      </c>
      <c r="B8" s="54"/>
      <c r="C8"/>
      <c r="D8" s="54"/>
      <c r="E8"/>
      <c r="F8" s="54"/>
      <c r="G8"/>
      <c r="H8" s="54"/>
      <c r="I8"/>
      <c r="J8" s="54"/>
      <c r="K8"/>
      <c r="L8" s="54"/>
    </row>
    <row r="9" spans="1:16" s="10" customFormat="1">
      <c r="A9" s="12" t="s">
        <v>420</v>
      </c>
      <c r="B9" s="54"/>
      <c r="C9"/>
      <c r="D9" s="54"/>
      <c r="E9"/>
      <c r="F9" s="54"/>
      <c r="G9"/>
      <c r="H9" s="54"/>
      <c r="I9"/>
      <c r="J9" s="54"/>
      <c r="K9"/>
      <c r="L9" s="54"/>
    </row>
    <row r="10" spans="1:16">
      <c r="A10" s="3" t="s">
        <v>121</v>
      </c>
    </row>
    <row r="11" spans="1:16">
      <c r="A11" t="s">
        <v>848</v>
      </c>
      <c r="B11" s="182">
        <f>'KY_Cost-Plant Acct-Gas-P20 (PA)'!B11</f>
        <v>0</v>
      </c>
      <c r="C11" s="182"/>
      <c r="D11" s="182">
        <f>'KY_Cost-Plant Acct-Gas-P20 (PA)'!D11</f>
        <v>0</v>
      </c>
      <c r="E11" s="182"/>
      <c r="F11" s="182">
        <f>'KY_Cost-Plant Acct-Gas-P20 (PA)'!F11</f>
        <v>0</v>
      </c>
      <c r="G11" s="182"/>
      <c r="H11" s="182">
        <f>'KY_Cost-Plant Acct-Gas-P20 (PA)'!H11</f>
        <v>0</v>
      </c>
      <c r="I11" s="182"/>
      <c r="J11" s="182">
        <f t="shared" ref="J11:J24" si="0">H11+F11+D11</f>
        <v>0</v>
      </c>
      <c r="K11" s="182"/>
      <c r="L11" s="182">
        <f t="shared" ref="L11:L24" si="1">J11+B11</f>
        <v>0</v>
      </c>
      <c r="M11" s="4"/>
      <c r="N11" s="89">
        <f>'KY_Res by Plant Acct-P29 (PA)'!R337</f>
        <v>0</v>
      </c>
      <c r="P11" s="89">
        <f t="shared" ref="P11:P24" si="2">L11+N11</f>
        <v>0</v>
      </c>
    </row>
    <row r="12" spans="1:16">
      <c r="A12" t="s">
        <v>849</v>
      </c>
      <c r="B12" s="182">
        <f>'KY_Cost-Plant Acct-Gas-P20 (PA)'!B12</f>
        <v>-77375.47</v>
      </c>
      <c r="C12" s="182"/>
      <c r="D12" s="182">
        <f>'KY_Cost-Plant Acct-Gas-P20 (PA)'!D12</f>
        <v>0</v>
      </c>
      <c r="E12" s="182"/>
      <c r="F12" s="182">
        <f>'KY_Cost-Plant Acct-Gas-P20 (PA)'!F12</f>
        <v>0</v>
      </c>
      <c r="G12" s="182"/>
      <c r="H12" s="182">
        <f>'KY_Cost-Plant Acct-Gas-P20 (PA)'!H12</f>
        <v>0</v>
      </c>
      <c r="I12" s="182"/>
      <c r="J12" s="182">
        <f t="shared" si="0"/>
        <v>0</v>
      </c>
      <c r="K12" s="182"/>
      <c r="L12" s="182">
        <f t="shared" si="1"/>
        <v>-77375.47</v>
      </c>
      <c r="M12" s="4"/>
      <c r="N12" s="89">
        <f>'KY_Res by Plant Acct-P29 (PA)'!R338</f>
        <v>77375.47</v>
      </c>
      <c r="P12" s="89">
        <f t="shared" si="2"/>
        <v>0</v>
      </c>
    </row>
    <row r="13" spans="1:16">
      <c r="A13" t="s">
        <v>850</v>
      </c>
      <c r="B13" s="182">
        <f>'KY_Cost-Plant Acct-Gas-P20 (PA)'!B13+'KY_Cost-Plant Acct-Gas-P20 (PA)'!B73</f>
        <v>-93393.220000000016</v>
      </c>
      <c r="C13" s="182"/>
      <c r="D13" s="182">
        <f>'KY_Cost-Plant Acct-Gas-P20 (PA)'!D13+'KY_Cost-Plant Acct-Gas-P20 (PA)'!D73</f>
        <v>0</v>
      </c>
      <c r="E13" s="182"/>
      <c r="F13" s="182">
        <f>'KY_Cost-Plant Acct-Gas-P20 (PA)'!F13</f>
        <v>0</v>
      </c>
      <c r="G13" s="182"/>
      <c r="H13" s="182">
        <f>'KY_Cost-Plant Acct-Gas-P20 (PA)'!H13+'KY_Cost-Plant Acct-Gas-P20 (PA)'!H73</f>
        <v>0</v>
      </c>
      <c r="I13" s="182"/>
      <c r="J13" s="182">
        <f t="shared" si="0"/>
        <v>0</v>
      </c>
      <c r="K13" s="182"/>
      <c r="L13" s="182">
        <f t="shared" si="1"/>
        <v>-93393.220000000016</v>
      </c>
      <c r="M13" s="4"/>
      <c r="N13" s="89">
        <f>'KY_Res by Plant Acct-P29 (PA)'!R339</f>
        <v>93393.220000000016</v>
      </c>
      <c r="P13" s="89">
        <f t="shared" si="2"/>
        <v>0</v>
      </c>
    </row>
    <row r="14" spans="1:16">
      <c r="A14" t="s">
        <v>71</v>
      </c>
      <c r="B14" s="182">
        <f>'KY_Cost-Plant Acct-Gas-P20 (PA)'!B14</f>
        <v>-124116.45999999999</v>
      </c>
      <c r="C14" s="182"/>
      <c r="D14" s="182">
        <f>'KY_Cost-Plant Acct-Gas-P20 (PA)'!D14+'KY_Cost-Plant Acct-Gas-P20 (PA)'!D74</f>
        <v>0</v>
      </c>
      <c r="E14" s="182"/>
      <c r="F14" s="182">
        <f>'KY_Cost-Plant Acct-Gas-P20 (PA)'!F14</f>
        <v>0</v>
      </c>
      <c r="G14" s="182"/>
      <c r="H14" s="182">
        <f>'KY_Cost-Plant Acct-Gas-P20 (PA)'!H14+'KY_Cost-Plant Acct-Gas-P20 (PA)'!H74</f>
        <v>0</v>
      </c>
      <c r="I14" s="182"/>
      <c r="J14" s="182">
        <f t="shared" si="0"/>
        <v>0</v>
      </c>
      <c r="K14" s="182"/>
      <c r="L14" s="182">
        <f t="shared" si="1"/>
        <v>-124116.45999999999</v>
      </c>
      <c r="M14" s="4"/>
      <c r="N14" s="89">
        <f>'KY_Res by Plant Acct-P29 (PA)'!R340</f>
        <v>124116.45999999999</v>
      </c>
      <c r="P14" s="89">
        <f t="shared" si="2"/>
        <v>0</v>
      </c>
    </row>
    <row r="15" spans="1:16">
      <c r="A15" t="s">
        <v>72</v>
      </c>
      <c r="B15" s="182">
        <f>'KY_Cost-Plant Acct-Gas-P20 (PA)'!B15+'KY_Cost-Plant Acct-Gas-P20 (PA)'!B75</f>
        <v>-85344407.420000002</v>
      </c>
      <c r="C15" s="182"/>
      <c r="D15" s="182">
        <f>'KY_Cost-Plant Acct-Gas-P20 (PA)'!D15+'KY_Cost-Plant Acct-Gas-P20 (PA)'!D75</f>
        <v>0</v>
      </c>
      <c r="E15" s="182"/>
      <c r="F15" s="182">
        <f>'KY_Cost-Plant Acct-Gas-P20 (PA)'!F15</f>
        <v>13155.16</v>
      </c>
      <c r="G15" s="182"/>
      <c r="H15" s="182">
        <f>'KY_Cost-Plant Acct-Gas-P20 (PA)'!H15+'KY_Cost-Plant Acct-Gas-P20 (PA)'!H75</f>
        <v>0</v>
      </c>
      <c r="I15" s="182"/>
      <c r="J15" s="182">
        <f t="shared" si="0"/>
        <v>13155.16</v>
      </c>
      <c r="K15" s="182"/>
      <c r="L15" s="182">
        <f t="shared" si="1"/>
        <v>-85331252.260000005</v>
      </c>
      <c r="M15" s="4"/>
      <c r="N15" s="89">
        <f>'KY_Res by Plant Acct-P29 (PA)'!R341</f>
        <v>85351563.189999998</v>
      </c>
      <c r="P15" s="89">
        <f t="shared" si="2"/>
        <v>20310.929999992251</v>
      </c>
    </row>
    <row r="16" spans="1:16">
      <c r="A16" t="s">
        <v>73</v>
      </c>
      <c r="B16" s="182">
        <f>'KY_Cost-Plant Acct-Gas-P20 (PA)'!B16+'KY_Cost-Plant Acct-Gas-P20 (PA)'!B76</f>
        <v>-2297888.37</v>
      </c>
      <c r="C16" s="182"/>
      <c r="D16" s="182">
        <f>'KY_Cost-Plant Acct-Gas-P20 (PA)'!D16+'KY_Cost-Plant Acct-Gas-P20 (PA)'!D76</f>
        <v>0</v>
      </c>
      <c r="E16" s="182"/>
      <c r="F16" s="182">
        <f>'KY_Cost-Plant Acct-Gas-P20 (PA)'!F16</f>
        <v>788.87</v>
      </c>
      <c r="G16" s="182"/>
      <c r="H16" s="182">
        <f>'KY_Cost-Plant Acct-Gas-P20 (PA)'!H16</f>
        <v>0</v>
      </c>
      <c r="I16" s="182"/>
      <c r="J16" s="182">
        <f t="shared" si="0"/>
        <v>788.87</v>
      </c>
      <c r="K16" s="182"/>
      <c r="L16" s="182">
        <f t="shared" si="1"/>
        <v>-2297099.5</v>
      </c>
      <c r="M16" s="4"/>
      <c r="N16" s="89">
        <f>'KY_Res by Plant Acct-P29 (PA)'!R342</f>
        <v>2296950.71</v>
      </c>
      <c r="P16" s="89">
        <f t="shared" si="2"/>
        <v>-148.79000000003725</v>
      </c>
    </row>
    <row r="17" spans="1:16">
      <c r="A17" t="s">
        <v>74</v>
      </c>
      <c r="B17" s="182">
        <f>'KY_Cost-Plant Acct-Gas-P20 (PA)'!B17+'KY_Cost-Plant Acct-Gas-P20 (PA)'!B77</f>
        <v>-1642351.21</v>
      </c>
      <c r="C17" s="182"/>
      <c r="D17" s="182">
        <f>'KY_Cost-Plant Acct-Gas-P20 (PA)'!D17+'KY_Cost-Plant Acct-Gas-P20 (PA)'!D77</f>
        <v>0</v>
      </c>
      <c r="E17" s="182"/>
      <c r="F17" s="182">
        <f>'KY_Cost-Plant Acct-Gas-P20 (PA)'!F17</f>
        <v>0</v>
      </c>
      <c r="G17" s="182"/>
      <c r="H17" s="182">
        <f>'KY_Cost-Plant Acct-Gas-P20 (PA)'!H17+'KY_Cost-Plant Acct-Gas-P20 (PA)'!H77</f>
        <v>0</v>
      </c>
      <c r="I17" s="182"/>
      <c r="J17" s="182">
        <f t="shared" si="0"/>
        <v>0</v>
      </c>
      <c r="K17" s="182"/>
      <c r="L17" s="182">
        <f t="shared" si="1"/>
        <v>-1642351.21</v>
      </c>
      <c r="M17" s="4"/>
      <c r="N17" s="89">
        <f>'KY_Res by Plant Acct-P29 (PA)'!R343</f>
        <v>1642351.21</v>
      </c>
      <c r="P17" s="89">
        <f t="shared" si="2"/>
        <v>0</v>
      </c>
    </row>
    <row r="18" spans="1:16">
      <c r="A18" t="s">
        <v>75</v>
      </c>
      <c r="B18" s="182">
        <f>'KY_Cost-Plant Acct-Gas-P20 (PA)'!B18+'KY_Cost-Plant Acct-Gas-P20 (PA)'!B78</f>
        <v>-28011733.890000001</v>
      </c>
      <c r="C18" s="182"/>
      <c r="D18" s="182">
        <f>'KY_Cost-Plant Acct-Gas-P20 (PA)'!D18+'KY_Cost-Plant Acct-Gas-P20 (PA)'!D78</f>
        <v>0</v>
      </c>
      <c r="E18" s="182"/>
      <c r="F18" s="182">
        <f>'KY_Cost-Plant Acct-Gas-P20 (PA)'!F18</f>
        <v>542.04999999999995</v>
      </c>
      <c r="G18" s="182"/>
      <c r="H18" s="182">
        <f>'KY_Cost-Plant Acct-Gas-P20 (PA)'!H18+'KY_Cost-Plant Acct-Gas-P20 (PA)'!H78</f>
        <v>0</v>
      </c>
      <c r="I18" s="182"/>
      <c r="J18" s="182">
        <f t="shared" si="0"/>
        <v>542.04999999999995</v>
      </c>
      <c r="K18" s="182"/>
      <c r="L18" s="182">
        <f t="shared" si="1"/>
        <v>-28011191.84</v>
      </c>
      <c r="M18" s="4"/>
      <c r="N18" s="89">
        <f>'KY_Res by Plant Acct-P29 (PA)'!R344</f>
        <v>27931023.509999998</v>
      </c>
      <c r="P18" s="89">
        <f t="shared" si="2"/>
        <v>-80168.330000001937</v>
      </c>
    </row>
    <row r="19" spans="1:16">
      <c r="A19" t="s">
        <v>76</v>
      </c>
      <c r="B19" s="182">
        <f>'KY_Cost-Plant Acct-Gas-P20 (PA)'!B19+'KY_Cost-Plant Acct-Gas-P20 (PA)'!B79</f>
        <v>-4889631.58</v>
      </c>
      <c r="C19" s="182"/>
      <c r="D19" s="182">
        <f>'KY_Cost-Plant Acct-Gas-P20 (PA)'!D19+'KY_Cost-Plant Acct-Gas-P20 (PA)'!D79</f>
        <v>0</v>
      </c>
      <c r="E19" s="182"/>
      <c r="F19" s="182">
        <f>'KY_Cost-Plant Acct-Gas-P20 (PA)'!F19</f>
        <v>0</v>
      </c>
      <c r="G19" s="182"/>
      <c r="H19" s="182">
        <f>'KY_Cost-Plant Acct-Gas-P20 (PA)'!H19</f>
        <v>0</v>
      </c>
      <c r="I19" s="182"/>
      <c r="J19" s="182">
        <f t="shared" si="0"/>
        <v>0</v>
      </c>
      <c r="K19" s="182"/>
      <c r="L19" s="182">
        <f t="shared" si="1"/>
        <v>-4889631.58</v>
      </c>
      <c r="M19" s="4"/>
      <c r="N19" s="89">
        <f>'KY_Res by Plant Acct-P29 (PA)'!R345</f>
        <v>4889631.58</v>
      </c>
      <c r="P19" s="89">
        <f t="shared" si="2"/>
        <v>0</v>
      </c>
    </row>
    <row r="20" spans="1:16">
      <c r="A20" t="s">
        <v>77</v>
      </c>
      <c r="B20" s="182">
        <f>'KY_Cost-Plant Acct-Gas-P20 (PA)'!B20+'KY_Cost-Plant Acct-Gas-P20 (PA)'!B80</f>
        <v>-592016.72</v>
      </c>
      <c r="C20" s="182"/>
      <c r="D20" s="182">
        <f>'KY_Cost-Plant Acct-Gas-P20 (PA)'!D20+'KY_Cost-Plant Acct-Gas-P20 (PA)'!D80</f>
        <v>0</v>
      </c>
      <c r="E20" s="182"/>
      <c r="F20" s="182">
        <f>'KY_Cost-Plant Acct-Gas-P20 (PA)'!F20</f>
        <v>0</v>
      </c>
      <c r="G20" s="182"/>
      <c r="H20" s="182">
        <f>'KY_Cost-Plant Acct-Gas-P20 (PA)'!H20+'KY_Cost-Plant Acct-Gas-P20 (PA)'!H80</f>
        <v>0</v>
      </c>
      <c r="I20" s="182"/>
      <c r="J20" s="182">
        <f t="shared" si="0"/>
        <v>0</v>
      </c>
      <c r="K20" s="182"/>
      <c r="L20" s="182">
        <f t="shared" si="1"/>
        <v>-592016.72</v>
      </c>
      <c r="M20" s="4"/>
      <c r="N20" s="89">
        <f>'KY_Res by Plant Acct-P29 (PA)'!R346</f>
        <v>651298.02</v>
      </c>
      <c r="P20" s="89">
        <f t="shared" si="2"/>
        <v>59281.300000000047</v>
      </c>
    </row>
    <row r="21" spans="1:16">
      <c r="A21" t="s">
        <v>78</v>
      </c>
      <c r="B21" s="182">
        <f>'KY_Cost-Plant Acct-Gas-P20 (PA)'!B21+'KY_Cost-Plant Acct-Gas-P20 (PA)'!B81</f>
        <v>-121845.75</v>
      </c>
      <c r="C21" s="182"/>
      <c r="D21" s="182">
        <f>'KY_Cost-Plant Acct-Gas-P20 (PA)'!D21+'KY_Cost-Plant Acct-Gas-P20 (PA)'!D81</f>
        <v>0</v>
      </c>
      <c r="E21" s="182"/>
      <c r="F21" s="182">
        <f>'KY_Cost-Plant Acct-Gas-P20 (PA)'!F21</f>
        <v>0</v>
      </c>
      <c r="G21" s="182"/>
      <c r="H21" s="182">
        <f>'KY_Cost-Plant Acct-Gas-P20 (PA)'!H21+'KY_Cost-Plant Acct-Gas-P20 (PA)'!H81</f>
        <v>0</v>
      </c>
      <c r="I21" s="182"/>
      <c r="J21" s="182">
        <f t="shared" si="0"/>
        <v>0</v>
      </c>
      <c r="K21" s="182"/>
      <c r="L21" s="182">
        <f t="shared" si="1"/>
        <v>-121845.75</v>
      </c>
      <c r="M21" s="4"/>
      <c r="N21" s="89">
        <f>'KY_Res by Plant Acct-P29 (PA)'!R347</f>
        <v>121906.19</v>
      </c>
      <c r="P21" s="89">
        <f t="shared" si="2"/>
        <v>60.440000000002328</v>
      </c>
    </row>
    <row r="22" spans="1:16">
      <c r="A22" t="s">
        <v>79</v>
      </c>
      <c r="B22" s="182">
        <f>'KY_Cost-Plant Acct-Gas-P20 (PA)'!B22</f>
        <v>-686.5</v>
      </c>
      <c r="C22" s="52"/>
      <c r="D22" s="182">
        <f>'KY_Cost-Plant Acct-Gas-P20 (PA)'!D22+'KY_Cost-Plant Acct-Gas-P20 (PA)'!D82</f>
        <v>0</v>
      </c>
      <c r="E22" s="52"/>
      <c r="F22" s="182">
        <f>'KY_Cost-Plant Acct-Gas-P20 (PA)'!F22</f>
        <v>0</v>
      </c>
      <c r="G22" s="52"/>
      <c r="H22" s="182">
        <f>'KY_Cost-Plant Acct-Gas-P20 (PA)'!H22+'KY_Cost-Plant Acct-Gas-P20 (PA)'!H82</f>
        <v>0</v>
      </c>
      <c r="I22" s="52"/>
      <c r="J22" s="52">
        <f t="shared" si="0"/>
        <v>0</v>
      </c>
      <c r="K22" s="52"/>
      <c r="L22" s="52">
        <f t="shared" si="1"/>
        <v>-686.5</v>
      </c>
      <c r="M22" s="55"/>
      <c r="N22" s="89">
        <f>'KY_Res by Plant Acct-P29 (PA)'!R348</f>
        <v>686.5</v>
      </c>
      <c r="O22" s="7"/>
      <c r="P22" s="89">
        <f t="shared" si="2"/>
        <v>0</v>
      </c>
    </row>
    <row r="23" spans="1:16">
      <c r="A23" t="s">
        <v>80</v>
      </c>
      <c r="B23" s="182">
        <f>'KY_Cost-Plant Acct-Gas-P20 (PA)'!B23</f>
        <v>0</v>
      </c>
      <c r="C23" s="52"/>
      <c r="D23" s="182">
        <f>'KY_Cost-Plant Acct-Gas-P20 (PA)'!D23</f>
        <v>0</v>
      </c>
      <c r="E23" s="52"/>
      <c r="F23" s="182">
        <f>'KY_Cost-Plant Acct-Gas-P20 (PA)'!F23</f>
        <v>0</v>
      </c>
      <c r="G23" s="52"/>
      <c r="H23" s="182">
        <f>'KY_Cost-Plant Acct-Gas-P20 (PA)'!H23</f>
        <v>0</v>
      </c>
      <c r="I23" s="52"/>
      <c r="J23" s="52">
        <f t="shared" si="0"/>
        <v>0</v>
      </c>
      <c r="K23" s="52"/>
      <c r="L23" s="52">
        <f t="shared" si="1"/>
        <v>0</v>
      </c>
      <c r="M23" s="55"/>
      <c r="N23" s="89">
        <f>'KY_Res by Plant Acct-P29 (PA)'!R349</f>
        <v>0</v>
      </c>
      <c r="O23" s="7"/>
      <c r="P23" s="89">
        <f t="shared" si="2"/>
        <v>0</v>
      </c>
    </row>
    <row r="24" spans="1:16">
      <c r="A24" t="s">
        <v>898</v>
      </c>
      <c r="B24" s="48">
        <f>'KY_Cost-Plant Acct-Gas-P20 (PA)'!B24</f>
        <v>0</v>
      </c>
      <c r="C24" s="52"/>
      <c r="D24" s="48">
        <f>'KY_Cost-Plant Acct-Gas-P20 (PA)'!D24</f>
        <v>0</v>
      </c>
      <c r="E24" s="52"/>
      <c r="F24" s="48">
        <f>'KY_Cost-Plant Acct-Gas-P20 (PA)'!F24</f>
        <v>0</v>
      </c>
      <c r="G24" s="52"/>
      <c r="H24" s="48">
        <f>'KY_Cost-Plant Acct-Gas-P20 (PA)'!H24</f>
        <v>0</v>
      </c>
      <c r="I24" s="52"/>
      <c r="J24" s="48">
        <f t="shared" si="0"/>
        <v>0</v>
      </c>
      <c r="K24" s="52"/>
      <c r="L24" s="48">
        <f t="shared" si="1"/>
        <v>0</v>
      </c>
      <c r="M24" s="55"/>
      <c r="N24" s="90">
        <f>'KY_Res by Plant Acct-P29 (PA)'!R350</f>
        <v>0</v>
      </c>
      <c r="O24" s="7"/>
      <c r="P24" s="90">
        <f t="shared" si="2"/>
        <v>0</v>
      </c>
    </row>
    <row r="25" spans="1:16">
      <c r="B25" s="52">
        <f>SUM(B11:B24)</f>
        <v>-123195446.59</v>
      </c>
      <c r="C25" s="52"/>
      <c r="D25" s="52">
        <f>SUM(D11:D24)</f>
        <v>0</v>
      </c>
      <c r="E25" s="52"/>
      <c r="F25" s="52">
        <f>SUM(F11:F24)</f>
        <v>14486.08</v>
      </c>
      <c r="G25" s="52"/>
      <c r="H25" s="52">
        <f>SUM(H11:H24)</f>
        <v>0</v>
      </c>
      <c r="I25" s="52"/>
      <c r="J25" s="52">
        <f>SUM(J11:J24)</f>
        <v>14486.08</v>
      </c>
      <c r="K25" s="52"/>
      <c r="L25" s="52">
        <f>SUM(L11:L24)</f>
        <v>-123180960.51000001</v>
      </c>
      <c r="M25" s="55"/>
      <c r="N25" s="83">
        <f>SUM(N11:N24)</f>
        <v>123180296.05999997</v>
      </c>
      <c r="O25" s="7"/>
      <c r="P25" s="83">
        <f>SUM(P11:P24)</f>
        <v>-664.45000000967411</v>
      </c>
    </row>
    <row r="26" spans="1:16">
      <c r="B26" s="182"/>
      <c r="C26" s="182"/>
      <c r="D26" s="182"/>
      <c r="E26" s="182"/>
      <c r="F26" s="182"/>
      <c r="G26" s="182"/>
      <c r="H26" s="182"/>
      <c r="I26" s="182"/>
      <c r="J26" s="182"/>
      <c r="K26" s="182"/>
      <c r="L26" s="182"/>
      <c r="M26" s="4"/>
    </row>
    <row r="27" spans="1:16">
      <c r="A27" s="3" t="s">
        <v>122</v>
      </c>
      <c r="B27" s="182"/>
      <c r="C27" s="182"/>
      <c r="D27" s="182"/>
      <c r="E27" s="182"/>
      <c r="F27" s="182"/>
      <c r="G27" s="182"/>
      <c r="H27" s="182"/>
      <c r="I27" s="182"/>
      <c r="J27" s="182"/>
      <c r="K27" s="182"/>
      <c r="L27" s="182"/>
      <c r="M27" s="4"/>
    </row>
    <row r="28" spans="1:16">
      <c r="A28" t="s">
        <v>899</v>
      </c>
      <c r="B28" s="182">
        <f>'KY_Cost-Plant Acct-Gas-P20 (PA)'!B28+'KY_Cost-Plant Acct-Gas-P20 (PA)'!B86</f>
        <v>-992001.17999999993</v>
      </c>
      <c r="C28" s="182"/>
      <c r="D28" s="182">
        <f>'KY_Cost-Plant Acct-Gas-P20 (PA)'!D28+'KY_Cost-Plant Acct-Gas-P20 (PA)'!D86</f>
        <v>0</v>
      </c>
      <c r="E28" s="182"/>
      <c r="F28" s="182">
        <f>'KY_Cost-Plant Acct-Gas-P20 (PA)'!F28</f>
        <v>0</v>
      </c>
      <c r="G28" s="182"/>
      <c r="H28" s="182">
        <f>'KY_Cost-Plant Acct-Gas-P20 (PA)'!H28</f>
        <v>0</v>
      </c>
      <c r="I28" s="182"/>
      <c r="J28" s="182">
        <f t="shared" ref="J28:J33" si="3">H28+F28+D28</f>
        <v>0</v>
      </c>
      <c r="K28" s="182"/>
      <c r="L28" s="182">
        <f t="shared" ref="L28:L33" si="4">J28+B28</f>
        <v>-992001.17999999993</v>
      </c>
      <c r="M28" s="4"/>
      <c r="N28" s="89">
        <f>'KY_Res by Plant Acct-P29 (PA)'!R354</f>
        <v>992001.17999999993</v>
      </c>
      <c r="P28" s="89">
        <f t="shared" ref="P28:P33" si="5">L28+N28</f>
        <v>0</v>
      </c>
    </row>
    <row r="29" spans="1:16">
      <c r="A29" t="s">
        <v>900</v>
      </c>
      <c r="B29" s="182">
        <f>'KY_Cost-Plant Acct-Gas-P20 (PA)'!B29+'KY_Cost-Plant Acct-Gas-P20 (PA)'!B87</f>
        <v>-201767.27000000002</v>
      </c>
      <c r="C29" s="182"/>
      <c r="D29" s="182">
        <f>'KY_Cost-Plant Acct-Gas-P20 (PA)'!D29+'KY_Cost-Plant Acct-Gas-P20 (PA)'!D87</f>
        <v>0</v>
      </c>
      <c r="E29" s="182"/>
      <c r="F29" s="182">
        <f>'KY_Cost-Plant Acct-Gas-P20 (PA)'!F29</f>
        <v>0</v>
      </c>
      <c r="G29" s="182"/>
      <c r="H29" s="182">
        <f>'KY_Cost-Plant Acct-Gas-P20 (PA)'!H29</f>
        <v>0</v>
      </c>
      <c r="I29" s="182"/>
      <c r="J29" s="182">
        <f t="shared" si="3"/>
        <v>0</v>
      </c>
      <c r="K29" s="182"/>
      <c r="L29" s="182">
        <f t="shared" si="4"/>
        <v>-201767.27000000002</v>
      </c>
      <c r="M29" s="4"/>
      <c r="N29" s="89">
        <f>'KY_Res by Plant Acct-P29 (PA)'!R355</f>
        <v>197861.31</v>
      </c>
      <c r="P29" s="89">
        <f t="shared" si="5"/>
        <v>-3905.960000000021</v>
      </c>
    </row>
    <row r="30" spans="1:16">
      <c r="A30" t="s">
        <v>901</v>
      </c>
      <c r="B30" s="182">
        <f>'KY_Cost-Plant Acct-Gas-P20 (PA)'!B30+'KY_Cost-Plant Acct-Gas-P20 (PA)'!B88</f>
        <v>-1545530.0100000002</v>
      </c>
      <c r="C30" s="182"/>
      <c r="D30" s="182">
        <f>'KY_Cost-Plant Acct-Gas-P20 (PA)'!D30+'KY_Cost-Plant Acct-Gas-P20 (PA)'!D88</f>
        <v>0</v>
      </c>
      <c r="E30" s="182"/>
      <c r="F30" s="182">
        <f>'KY_Cost-Plant Acct-Gas-P20 (PA)'!F30</f>
        <v>0</v>
      </c>
      <c r="G30" s="182"/>
      <c r="H30" s="182">
        <f>'KY_Cost-Plant Acct-Gas-P20 (PA)'!H30+'KY_Cost-Plant Acct-Gas-P20 (PA)'!H88</f>
        <v>0</v>
      </c>
      <c r="I30" s="182"/>
      <c r="J30" s="182">
        <f t="shared" si="3"/>
        <v>0</v>
      </c>
      <c r="K30" s="182"/>
      <c r="L30" s="182">
        <f t="shared" si="4"/>
        <v>-1545530.0100000002</v>
      </c>
      <c r="M30" s="4"/>
      <c r="N30" s="89">
        <f>'KY_Res by Plant Acct-P29 (PA)'!R356</f>
        <v>1544705.11</v>
      </c>
      <c r="P30" s="89">
        <f t="shared" si="5"/>
        <v>-824.9000000001397</v>
      </c>
    </row>
    <row r="31" spans="1:16">
      <c r="A31" t="s">
        <v>995</v>
      </c>
      <c r="B31" s="182">
        <f>'KY_Cost-Plant Acct-Gas-P20 (PA)'!B31+'KY_Cost-Plant Acct-Gas-P20 (PA)'!B89</f>
        <v>-6890.71</v>
      </c>
      <c r="C31" s="182"/>
      <c r="D31" s="182">
        <f>'KY_Cost-Plant Acct-Gas-P20 (PA)'!D31+'KY_Cost-Plant Acct-Gas-P20 (PA)'!D89</f>
        <v>0</v>
      </c>
      <c r="E31" s="182"/>
      <c r="F31" s="182">
        <f>'KY_Cost-Plant Acct-Gas-P20 (PA)'!F31</f>
        <v>0</v>
      </c>
      <c r="G31" s="182"/>
      <c r="H31" s="182">
        <f>'KY_Cost-Plant Acct-Gas-P20 (PA)'!H31</f>
        <v>0</v>
      </c>
      <c r="I31" s="182"/>
      <c r="J31" s="182">
        <f t="shared" si="3"/>
        <v>0</v>
      </c>
      <c r="K31" s="182"/>
      <c r="L31" s="182">
        <f t="shared" si="4"/>
        <v>-6890.71</v>
      </c>
      <c r="M31" s="4"/>
      <c r="N31" s="89">
        <f>'KY_Res by Plant Acct-P29 (PA)'!R357</f>
        <v>6890.71</v>
      </c>
      <c r="P31" s="89">
        <f t="shared" si="5"/>
        <v>0</v>
      </c>
    </row>
    <row r="32" spans="1:16">
      <c r="A32" t="s">
        <v>996</v>
      </c>
      <c r="B32" s="182">
        <f>'KY_Cost-Plant Acct-Gas-P20 (PA)'!B32+'KY_Cost-Plant Acct-Gas-P20 (PA)'!B90</f>
        <v>-1937639.12</v>
      </c>
      <c r="C32" s="52"/>
      <c r="D32" s="182">
        <f>'KY_Cost-Plant Acct-Gas-P20 (PA)'!D32+'KY_Cost-Plant Acct-Gas-P20 (PA)'!D90</f>
        <v>0</v>
      </c>
      <c r="E32" s="52"/>
      <c r="F32" s="182">
        <f>'KY_Cost-Plant Acct-Gas-P20 (PA)'!F32</f>
        <v>0</v>
      </c>
      <c r="G32" s="52"/>
      <c r="H32" s="182">
        <f>'KY_Cost-Plant Acct-Gas-P20 (PA)'!H32</f>
        <v>0</v>
      </c>
      <c r="I32" s="52"/>
      <c r="J32" s="52">
        <f t="shared" si="3"/>
        <v>0</v>
      </c>
      <c r="K32" s="52"/>
      <c r="L32" s="52">
        <f t="shared" si="4"/>
        <v>-1937639.12</v>
      </c>
      <c r="M32" s="55"/>
      <c r="N32" s="89">
        <f>'KY_Res by Plant Acct-P29 (PA)'!R358</f>
        <v>1937639.12</v>
      </c>
      <c r="P32" s="89">
        <f t="shared" si="5"/>
        <v>0</v>
      </c>
    </row>
    <row r="33" spans="1:16">
      <c r="A33" t="s">
        <v>997</v>
      </c>
      <c r="B33" s="48">
        <f>'KY_Cost-Plant Acct-Gas-P20 (PA)'!B33+'KY_Cost-Plant Acct-Gas-P20 (PA)'!B91</f>
        <v>-35252.800000000003</v>
      </c>
      <c r="C33" s="52"/>
      <c r="D33" s="48">
        <f>'KY_Cost-Plant Acct-Gas-P20 (PA)'!D33+'KY_Cost-Plant Acct-Gas-P20 (PA)'!D91</f>
        <v>0</v>
      </c>
      <c r="E33" s="52"/>
      <c r="F33" s="48">
        <f>'KY_Cost-Plant Acct-Gas-P20 (PA)'!F33</f>
        <v>0</v>
      </c>
      <c r="G33" s="52"/>
      <c r="H33" s="48">
        <f>'KY_Cost-Plant Acct-Gas-P20 (PA)'!H33</f>
        <v>0</v>
      </c>
      <c r="I33" s="52"/>
      <c r="J33" s="48">
        <f t="shared" si="3"/>
        <v>0</v>
      </c>
      <c r="K33" s="52"/>
      <c r="L33" s="48">
        <f t="shared" si="4"/>
        <v>-35252.800000000003</v>
      </c>
      <c r="M33" s="55"/>
      <c r="N33" s="90">
        <f>'KY_Res by Plant Acct-P29 (PA)'!R359</f>
        <v>35252.800000000003</v>
      </c>
      <c r="P33" s="90">
        <f t="shared" si="5"/>
        <v>0</v>
      </c>
    </row>
    <row r="34" spans="1:16">
      <c r="B34" s="52">
        <f>SUM(B28:B33)</f>
        <v>-4719081.09</v>
      </c>
      <c r="C34" s="52"/>
      <c r="D34" s="52">
        <f>SUM(D28:D33)</f>
        <v>0</v>
      </c>
      <c r="E34" s="52"/>
      <c r="F34" s="52">
        <f>SUM(F28:F33)</f>
        <v>0</v>
      </c>
      <c r="G34" s="52"/>
      <c r="H34" s="52">
        <f>SUM(H28:H33)</f>
        <v>0</v>
      </c>
      <c r="I34" s="52"/>
      <c r="J34" s="52">
        <f>SUM(J28:J33)</f>
        <v>0</v>
      </c>
      <c r="K34" s="52"/>
      <c r="L34" s="52">
        <f>SUM(L28:L33)</f>
        <v>-4719081.09</v>
      </c>
      <c r="M34" s="55"/>
      <c r="N34" s="89">
        <f>SUM(N28:N33)</f>
        <v>4714350.2299999995</v>
      </c>
      <c r="P34" s="89">
        <f>SUM(P28:P33)</f>
        <v>-4730.8600000001607</v>
      </c>
    </row>
    <row r="35" spans="1:16">
      <c r="B35" s="52"/>
      <c r="C35" s="52"/>
      <c r="D35" s="52"/>
      <c r="E35" s="52"/>
      <c r="F35" s="52"/>
      <c r="G35" s="52"/>
      <c r="H35" s="52"/>
      <c r="I35" s="52"/>
      <c r="J35" s="52"/>
      <c r="K35" s="52"/>
      <c r="L35" s="52"/>
      <c r="M35" s="55"/>
    </row>
    <row r="36" spans="1:16">
      <c r="A36" s="3" t="s">
        <v>123</v>
      </c>
      <c r="B36" s="52"/>
      <c r="C36" s="52"/>
      <c r="D36" s="52"/>
      <c r="E36" s="52"/>
      <c r="F36" s="52"/>
      <c r="G36" s="52"/>
      <c r="H36" s="52"/>
      <c r="I36" s="52"/>
      <c r="J36" s="52"/>
      <c r="K36" s="52"/>
      <c r="L36" s="52"/>
      <c r="M36" s="55"/>
    </row>
    <row r="37" spans="1:16">
      <c r="A37" t="s">
        <v>998</v>
      </c>
      <c r="B37" s="48">
        <f>'KY_Cost-Plant Acct-Gas-P20 (PA)'!B37</f>
        <v>-119.15999999999997</v>
      </c>
      <c r="C37" s="52"/>
      <c r="D37" s="48">
        <f>'KY_Cost-Plant Acct-Gas-P20 (PA)'!D37</f>
        <v>0</v>
      </c>
      <c r="E37" s="52"/>
      <c r="F37" s="48">
        <f>'KY_Cost-Plant Acct-Gas-P20 (PA)'!F37</f>
        <v>0</v>
      </c>
      <c r="G37" s="52"/>
      <c r="H37" s="48">
        <f>'KY_Cost-Plant Acct-Gas-P20 (PA)'!H37</f>
        <v>0</v>
      </c>
      <c r="I37" s="52"/>
      <c r="J37" s="48">
        <f>H37+F37+D37</f>
        <v>0</v>
      </c>
      <c r="K37" s="52"/>
      <c r="L37" s="48">
        <f>J37+B37</f>
        <v>-119.15999999999997</v>
      </c>
      <c r="M37" s="55"/>
      <c r="N37" s="90">
        <f>'KY_Res by Plant Acct-P29 (PA)'!R395</f>
        <v>119.15999999999997</v>
      </c>
      <c r="P37" s="90">
        <f>L37+N37</f>
        <v>0</v>
      </c>
    </row>
    <row r="38" spans="1:16">
      <c r="B38" s="52">
        <f>SUM(B37)</f>
        <v>-119.15999999999997</v>
      </c>
      <c r="C38" s="52"/>
      <c r="D38" s="52">
        <f>SUM(D37)</f>
        <v>0</v>
      </c>
      <c r="E38" s="52"/>
      <c r="F38" s="52">
        <f>SUM(F37)</f>
        <v>0</v>
      </c>
      <c r="G38" s="52"/>
      <c r="H38" s="52">
        <f>SUM(H37)</f>
        <v>0</v>
      </c>
      <c r="I38" s="52"/>
      <c r="J38" s="52">
        <f>SUM(J37)</f>
        <v>0</v>
      </c>
      <c r="K38" s="52"/>
      <c r="L38" s="52">
        <f>SUM(L37)</f>
        <v>-119.15999999999997</v>
      </c>
      <c r="M38" s="55"/>
      <c r="N38" s="89">
        <f>SUM(N37)</f>
        <v>119.15999999999997</v>
      </c>
      <c r="P38" s="89">
        <f>SUM(P37)</f>
        <v>0</v>
      </c>
    </row>
    <row r="39" spans="1:16">
      <c r="B39" s="52"/>
      <c r="C39" s="52"/>
      <c r="D39" s="52"/>
      <c r="E39" s="52"/>
      <c r="F39" s="52"/>
      <c r="G39" s="52"/>
      <c r="H39" s="52"/>
      <c r="I39" s="52"/>
      <c r="J39" s="52"/>
      <c r="K39" s="52"/>
      <c r="L39" s="52"/>
      <c r="M39" s="55"/>
    </row>
    <row r="40" spans="1:16">
      <c r="A40" s="3" t="s">
        <v>124</v>
      </c>
      <c r="B40" s="52"/>
      <c r="C40" s="52"/>
      <c r="D40" s="52"/>
      <c r="E40" s="52"/>
      <c r="F40" s="52"/>
      <c r="G40" s="52"/>
      <c r="H40" s="52"/>
      <c r="I40" s="52"/>
      <c r="J40" s="52"/>
      <c r="K40" s="52"/>
      <c r="L40" s="52"/>
      <c r="M40" s="55"/>
    </row>
    <row r="41" spans="1:16">
      <c r="A41" t="s">
        <v>13</v>
      </c>
      <c r="B41" s="52">
        <f>'KY_Cost-Plant Acct-Gas-P20 (PA)'!B41+'IN_Total PIS_Gas_NBV-P21 (PA)'!B11</f>
        <v>0</v>
      </c>
      <c r="C41" s="52"/>
      <c r="D41" s="52">
        <f>'KY_Cost-Plant Acct-Gas-P20 (PA)'!D41+'IN_Total PIS_Gas_NBV-P21 (PA)'!D11</f>
        <v>0</v>
      </c>
      <c r="E41" s="52"/>
      <c r="F41" s="52">
        <f>'KY_Cost-Plant Acct-Gas-P20 (PA)'!F41+'IN_Total PIS_Gas_NBV-P21 (PA)'!F11</f>
        <v>0</v>
      </c>
      <c r="G41" s="52"/>
      <c r="H41" s="52">
        <f>'KY_Cost-Plant Acct-Gas-P20 (PA)'!H41+'IN_Total PIS_Gas_NBV-P21 (PA)'!H11</f>
        <v>0</v>
      </c>
      <c r="I41" s="52"/>
      <c r="J41" s="52">
        <f t="shared" ref="J41:J58" si="6">H41+F41+D41</f>
        <v>0</v>
      </c>
      <c r="K41" s="52"/>
      <c r="L41" s="52">
        <f t="shared" ref="L41:L58" si="7">J41+B41</f>
        <v>0</v>
      </c>
      <c r="M41" s="55"/>
      <c r="N41" s="89">
        <f>'KY_Res by Plant Acct-P29 (PA)'!R364+'IN_Total PIS_Gas_NBV-P21 (PA)'!N11</f>
        <v>0</v>
      </c>
      <c r="P41" s="89">
        <f t="shared" ref="P41:P58" si="8">L41+N41</f>
        <v>0</v>
      </c>
    </row>
    <row r="42" spans="1:16">
      <c r="A42" t="s">
        <v>559</v>
      </c>
      <c r="B42" s="52">
        <f>'KY_Cost-Plant Acct-Gas-P20 (PA)'!B42</f>
        <v>-70451.45</v>
      </c>
      <c r="C42" s="52"/>
      <c r="D42" s="52">
        <f>'KY_Cost-Plant Acct-Gas-P20 (PA)'!D42</f>
        <v>0</v>
      </c>
      <c r="E42" s="52"/>
      <c r="F42" s="52">
        <f>'KY_Cost-Plant Acct-Gas-P20 (PA)'!F42</f>
        <v>0</v>
      </c>
      <c r="G42" s="52"/>
      <c r="H42" s="52">
        <f>'KY_Cost-Plant Acct-Gas-P20 (PA)'!H42</f>
        <v>0</v>
      </c>
      <c r="I42" s="52"/>
      <c r="J42" s="52">
        <f t="shared" si="6"/>
        <v>0</v>
      </c>
      <c r="K42" s="52"/>
      <c r="L42" s="52">
        <f t="shared" si="7"/>
        <v>-70451.45</v>
      </c>
      <c r="M42" s="55"/>
      <c r="N42" s="89">
        <f>'KY_Res by Plant Acct-P29 (PA)'!R365</f>
        <v>70451.45</v>
      </c>
      <c r="P42" s="89">
        <f t="shared" si="8"/>
        <v>0</v>
      </c>
    </row>
    <row r="43" spans="1:16">
      <c r="A43" t="s">
        <v>560</v>
      </c>
      <c r="B43" s="52">
        <f>'KY_Cost-Plant Acct-Gas-P20 (PA)'!B43+'KY_Cost-Plant Acct-Gas-P20 (PA)'!B95</f>
        <v>-809470.3600000001</v>
      </c>
      <c r="C43" s="52"/>
      <c r="D43" s="52">
        <f>'KY_Cost-Plant Acct-Gas-P20 (PA)'!D43+'KY_Cost-Plant Acct-Gas-P20 (PA)'!D95</f>
        <v>0</v>
      </c>
      <c r="E43" s="52"/>
      <c r="F43" s="52">
        <f>'KY_Cost-Plant Acct-Gas-P20 (PA)'!F43</f>
        <v>0</v>
      </c>
      <c r="G43" s="52"/>
      <c r="H43" s="52">
        <f>'KY_Cost-Plant Acct-Gas-P20 (PA)'!H43+'KY_Cost-Plant Acct-Gas-P20 (PA)'!H95</f>
        <v>0</v>
      </c>
      <c r="I43" s="52"/>
      <c r="J43" s="52">
        <f t="shared" si="6"/>
        <v>0</v>
      </c>
      <c r="K43" s="52"/>
      <c r="L43" s="52">
        <f t="shared" si="7"/>
        <v>-809470.3600000001</v>
      </c>
      <c r="M43" s="55"/>
      <c r="N43" s="89">
        <f>'KY_Res by Plant Acct-P29 (PA)'!R366</f>
        <v>809869.75000000012</v>
      </c>
      <c r="P43" s="89">
        <f t="shared" si="8"/>
        <v>399.39000000001397</v>
      </c>
    </row>
    <row r="44" spans="1:16">
      <c r="A44" t="s">
        <v>561</v>
      </c>
      <c r="B44" s="52">
        <f>'KY_Cost-Plant Acct-Gas-P20 (PA)'!B44</f>
        <v>-13017.57</v>
      </c>
      <c r="C44" s="52"/>
      <c r="D44" s="52">
        <f>'KY_Cost-Plant Acct-Gas-P20 (PA)'!D44</f>
        <v>0</v>
      </c>
      <c r="E44" s="52"/>
      <c r="F44" s="52">
        <f>'KY_Cost-Plant Acct-Gas-P20 (PA)'!F44</f>
        <v>0</v>
      </c>
      <c r="G44" s="52"/>
      <c r="H44" s="52">
        <f>'KY_Cost-Plant Acct-Gas-P20 (PA)'!H44</f>
        <v>0</v>
      </c>
      <c r="I44" s="52"/>
      <c r="J44" s="52">
        <f t="shared" si="6"/>
        <v>0</v>
      </c>
      <c r="K44" s="52"/>
      <c r="L44" s="52">
        <f t="shared" si="7"/>
        <v>-13017.57</v>
      </c>
      <c r="M44" s="55"/>
      <c r="N44" s="89">
        <f>'KY_Res by Plant Acct-P29 (PA)'!R367</f>
        <v>13017.57</v>
      </c>
      <c r="P44" s="89">
        <f t="shared" si="8"/>
        <v>0</v>
      </c>
    </row>
    <row r="45" spans="1:16">
      <c r="A45" t="s">
        <v>14</v>
      </c>
      <c r="B45" s="52">
        <f>'KY_Cost-Plant Acct-Gas-P20 (PA)'!B45+'IN_Total PIS_Gas_NBV-P21 (PA)'!B12+'KY_Cost-Plant Acct-Gas-P20 (PA)'!B96</f>
        <v>-749781.54</v>
      </c>
      <c r="C45" s="52"/>
      <c r="D45" s="52">
        <f>'KY_Cost-Plant Acct-Gas-P20 (PA)'!D45+'IN_Cost-Plant Acct-Gas-P22 (PA)'!D12+'KY_Cost-Plant Acct-Gas-P20 (PA)'!D96</f>
        <v>0</v>
      </c>
      <c r="E45" s="52"/>
      <c r="F45" s="52">
        <f>'KY_Cost-Plant Acct-Gas-P20 (PA)'!F45+'IN_Total PIS_Gas_NBV-P21 (PA)'!F12</f>
        <v>0</v>
      </c>
      <c r="G45" s="52"/>
      <c r="H45" s="52">
        <f>'KY_Cost-Plant Acct-Gas-P20 (PA)'!H45+'IN_Total PIS_Gas_NBV-P21 (PA)'!H12+'KY_Cost-Plant Acct-Gas-P20 (PA)'!H96</f>
        <v>0</v>
      </c>
      <c r="I45" s="52"/>
      <c r="J45" s="52">
        <f t="shared" si="6"/>
        <v>0</v>
      </c>
      <c r="K45" s="52"/>
      <c r="L45" s="52">
        <f t="shared" si="7"/>
        <v>-749781.54</v>
      </c>
      <c r="M45" s="55"/>
      <c r="N45" s="89">
        <f>'KY_Res by Plant Acct-P29 (PA)'!R368+'IN_Total PIS_Gas_NBV-P21 (PA)'!N12</f>
        <v>749781.54</v>
      </c>
      <c r="P45" s="89">
        <f t="shared" si="8"/>
        <v>0</v>
      </c>
    </row>
    <row r="46" spans="1:16">
      <c r="A46" t="s">
        <v>562</v>
      </c>
      <c r="B46" s="52">
        <f>'KY_Cost-Plant Acct-Gas-P20 (PA)'!B46</f>
        <v>-569589.96</v>
      </c>
      <c r="C46" s="52"/>
      <c r="D46" s="52">
        <f>'KY_Cost-Plant Acct-Gas-P20 (PA)'!D46</f>
        <v>0</v>
      </c>
      <c r="E46" s="52"/>
      <c r="F46" s="52">
        <f>'KY_Cost-Plant Acct-Gas-P20 (PA)'!F46</f>
        <v>0</v>
      </c>
      <c r="G46" s="52"/>
      <c r="H46" s="52">
        <f>'KY_Cost-Plant Acct-Gas-P20 (PA)'!H46</f>
        <v>0</v>
      </c>
      <c r="I46" s="52"/>
      <c r="J46" s="52">
        <f t="shared" si="6"/>
        <v>0</v>
      </c>
      <c r="K46" s="52"/>
      <c r="L46" s="52">
        <f t="shared" si="7"/>
        <v>-569589.96</v>
      </c>
      <c r="M46" s="55"/>
      <c r="N46" s="89">
        <f>'KY_Res by Plant Acct-P29 (PA)'!R369</f>
        <v>569589.96</v>
      </c>
      <c r="P46" s="89">
        <f t="shared" si="8"/>
        <v>0</v>
      </c>
    </row>
    <row r="47" spans="1:16">
      <c r="A47" t="s">
        <v>563</v>
      </c>
      <c r="B47" s="52">
        <f>'KY_Cost-Plant Acct-Gas-P20 (PA)'!B47</f>
        <v>-452027.32</v>
      </c>
      <c r="C47" s="52"/>
      <c r="D47" s="52">
        <f>'KY_Cost-Plant Acct-Gas-P20 (PA)'!D47</f>
        <v>0</v>
      </c>
      <c r="E47" s="52"/>
      <c r="F47" s="52">
        <f>'KY_Cost-Plant Acct-Gas-P20 (PA)'!F47</f>
        <v>0</v>
      </c>
      <c r="G47" s="52"/>
      <c r="H47" s="52">
        <f>'KY_Cost-Plant Acct-Gas-P20 (PA)'!H47</f>
        <v>0</v>
      </c>
      <c r="I47" s="52"/>
      <c r="J47" s="52">
        <f t="shared" si="6"/>
        <v>0</v>
      </c>
      <c r="K47" s="52"/>
      <c r="L47" s="52">
        <f t="shared" si="7"/>
        <v>-452027.32</v>
      </c>
      <c r="M47" s="55"/>
      <c r="N47" s="89">
        <f>'KY_Res by Plant Acct-P29 (PA)'!R370</f>
        <v>452027.32</v>
      </c>
      <c r="P47" s="89">
        <f t="shared" si="8"/>
        <v>0</v>
      </c>
    </row>
    <row r="48" spans="1:16">
      <c r="A48" t="s">
        <v>564</v>
      </c>
      <c r="B48" s="52">
        <f>'KY_Cost-Plant Acct-Gas-P20 (PA)'!B48</f>
        <v>-7668812.0300000003</v>
      </c>
      <c r="C48" s="52"/>
      <c r="D48" s="52">
        <f>'KY_Cost-Plant Acct-Gas-P20 (PA)'!D48</f>
        <v>0</v>
      </c>
      <c r="E48" s="52"/>
      <c r="F48" s="52">
        <f>'KY_Cost-Plant Acct-Gas-P20 (PA)'!F48</f>
        <v>0</v>
      </c>
      <c r="G48" s="52"/>
      <c r="H48" s="52">
        <f>'KY_Cost-Plant Acct-Gas-P20 (PA)'!H48</f>
        <v>0</v>
      </c>
      <c r="I48" s="52"/>
      <c r="J48" s="52">
        <f t="shared" si="6"/>
        <v>0</v>
      </c>
      <c r="K48" s="52"/>
      <c r="L48" s="52">
        <f t="shared" si="7"/>
        <v>-7668812.0300000003</v>
      </c>
      <c r="M48" s="55"/>
      <c r="N48" s="89">
        <f>'KY_Res by Plant Acct-P29 (PA)'!R371</f>
        <v>7668812.0300000003</v>
      </c>
      <c r="P48" s="89">
        <f t="shared" si="8"/>
        <v>0</v>
      </c>
    </row>
    <row r="49" spans="1:16">
      <c r="A49" t="s">
        <v>15</v>
      </c>
      <c r="B49" s="52">
        <f>'KY_Cost-Plant Acct-Gas-P20 (PA)'!B49+'IN_Total PIS_Gas_NBV-P21 (PA)'!B13</f>
        <v>-2272736.19</v>
      </c>
      <c r="C49" s="52"/>
      <c r="D49" s="52">
        <f>'KY_Cost-Plant Acct-Gas-P20 (PA)'!D49+'IN_Total PIS_Gas_NBV-P21 (PA)'!D13</f>
        <v>0</v>
      </c>
      <c r="E49" s="52"/>
      <c r="F49" s="52">
        <f>'KY_Cost-Plant Acct-Gas-P20 (PA)'!F49+'IN_Total PIS_Gas_NBV-P21 (PA)'!F13</f>
        <v>0</v>
      </c>
      <c r="G49" s="52"/>
      <c r="H49" s="52">
        <f>'KY_Cost-Plant Acct-Gas-P20 (PA)'!H49+'IN_Total PIS_Gas_NBV-P21 (PA)'!H13</f>
        <v>0</v>
      </c>
      <c r="I49" s="52"/>
      <c r="J49" s="52">
        <f t="shared" si="6"/>
        <v>0</v>
      </c>
      <c r="K49" s="52"/>
      <c r="L49" s="52">
        <f t="shared" si="7"/>
        <v>-2272736.19</v>
      </c>
      <c r="M49" s="55"/>
      <c r="N49" s="89">
        <f>'KY_Res by Plant Acct-P29 (PA)'!R372+'IN_Total PIS_Gas_NBV-P21 (PA)'!N13</f>
        <v>2272736.19</v>
      </c>
      <c r="P49" s="89">
        <f t="shared" si="8"/>
        <v>0</v>
      </c>
    </row>
    <row r="50" spans="1:16">
      <c r="A50" t="s">
        <v>1093</v>
      </c>
      <c r="B50" s="52">
        <f>'KY_Cost-Plant Acct-Gas-P20 (PA)'!B50+'KY_Cost-Plant Acct-Gas-P20 (PA)'!B97+'IN_Total PIS_Gas_NBV-P21 (PA)'!B14</f>
        <v>-1534457.6099999999</v>
      </c>
      <c r="C50" s="52"/>
      <c r="D50" s="52">
        <f>'KY_Cost-Plant Acct-Gas-P20 (PA)'!D50+'KY_Cost-Plant Acct-Gas-P20 (PA)'!D97+'IN_Cost-Plant Acct-Gas-P22 (PA)'!D14+'IN_Cost-Plant Acct-Gas-P22 (PA)'!D26</f>
        <v>0</v>
      </c>
      <c r="E50" s="52"/>
      <c r="F50" s="52">
        <f>'KY_Cost-Plant Acct-Gas-P20 (PA)'!F50+'KY_Cost-Plant Acct-Gas-P20 (PA)'!F97+'IN_Total PIS_Gas_NBV-P21 (PA)'!F14+'IN_Cost-Plant Acct-Gas-P22 (PA)'!F26</f>
        <v>0</v>
      </c>
      <c r="G50" s="52"/>
      <c r="H50" s="52">
        <f>'KY_Cost-Plant Acct-Gas-P20 (PA)'!H50+'IN_Total PIS_Gas_NBV-P21 (PA)'!H14+'KY_Cost-Plant Acct-Gas-P20 (PA)'!H97</f>
        <v>0</v>
      </c>
      <c r="I50" s="52"/>
      <c r="J50" s="52">
        <f t="shared" si="6"/>
        <v>0</v>
      </c>
      <c r="K50" s="52"/>
      <c r="L50" s="52">
        <f t="shared" si="7"/>
        <v>-1534457.6099999999</v>
      </c>
      <c r="M50" s="55"/>
      <c r="N50" s="89">
        <f>'KY_Res by Plant Acct-P29 (PA)'!R373+'IN_Total PIS_Gas_NBV-P21 (PA)'!N14</f>
        <v>1585915.7</v>
      </c>
      <c r="P50" s="89">
        <f t="shared" si="8"/>
        <v>51458.090000000084</v>
      </c>
    </row>
    <row r="51" spans="1:16">
      <c r="A51" t="s">
        <v>1092</v>
      </c>
      <c r="B51" s="52">
        <f>'KY_Cost-Plant Acct-Gas-P20 (PA)'!B51+'KY_Cost-Plant Acct-Gas-P20 (PA)'!B98+'IN_Total PIS_Gas_NBV-P21 (PA)'!B15</f>
        <v>-916798.2</v>
      </c>
      <c r="C51" s="52"/>
      <c r="D51" s="52">
        <f>'KY_Cost-Plant Acct-Gas-P20 (PA)'!D98+'KY_Cost-Plant Acct-Gas-P20 (PA)'!D51+'IN_Cost-Plant Acct-Gas-P22 (PA)'!D15+'IN_Cost-Plant Acct-Gas-P22 (PA)'!D27</f>
        <v>0</v>
      </c>
      <c r="E51" s="52"/>
      <c r="F51" s="52">
        <f>'KY_Cost-Plant Acct-Gas-P20 (PA)'!F51+'IN_Cost-Plant Acct-Gas-P22 (PA)'!F15</f>
        <v>0</v>
      </c>
      <c r="G51" s="52"/>
      <c r="H51" s="52">
        <f>'KY_Cost-Plant Acct-Gas-P20 (PA)'!H51+'IN_Cost-Plant Acct-Gas-P22 (PA)'!H15+'KY_Cost-Plant Acct-Gas-P20 (PA)'!H98</f>
        <v>0</v>
      </c>
      <c r="I51" s="52"/>
      <c r="J51" s="52">
        <f t="shared" si="6"/>
        <v>0</v>
      </c>
      <c r="K51" s="52"/>
      <c r="L51" s="52">
        <f t="shared" si="7"/>
        <v>-916798.2</v>
      </c>
      <c r="M51" s="55"/>
      <c r="N51" s="89">
        <f>'KY_Res by Plant Acct-P29 (PA)'!R374+'IN_Res by Plant Acct-P30 (PA)'!R32</f>
        <v>870070.97</v>
      </c>
      <c r="P51" s="89">
        <f t="shared" si="8"/>
        <v>-46727.229999999981</v>
      </c>
    </row>
    <row r="52" spans="1:16">
      <c r="A52" t="s">
        <v>16</v>
      </c>
      <c r="B52" s="52">
        <f>'KY_Cost-Plant Acct-Gas-P20 (PA)'!B52+'KY_Cost-Plant Acct-Gas-P20 (PA)'!B99+'IN_Total PIS_Gas_NBV-P21 (PA)'!B16</f>
        <v>-6551271.169999999</v>
      </c>
      <c r="C52" s="52"/>
      <c r="D52" s="52">
        <f>'KY_Cost-Plant Acct-Gas-P20 (PA)'!D52+'KY_Cost-Plant Acct-Gas-P20 (PA)'!D99+'IN_Total PIS_Gas_NBV-P21 (PA)'!D16</f>
        <v>0</v>
      </c>
      <c r="E52" s="52"/>
      <c r="F52" s="52">
        <f>'KY_Cost-Plant Acct-Gas-P20 (PA)'!F52+'IN_Total PIS_Gas_NBV-P21 (PA)'!F16</f>
        <v>16719.38</v>
      </c>
      <c r="G52" s="52"/>
      <c r="H52" s="52">
        <f>'KY_Cost-Plant Acct-Gas-P20 (PA)'!H52+'IN_Total PIS_Gas_NBV-P21 (PA)'!H16</f>
        <v>0</v>
      </c>
      <c r="I52" s="52"/>
      <c r="J52" s="52">
        <f t="shared" si="6"/>
        <v>16719.38</v>
      </c>
      <c r="K52" s="52"/>
      <c r="L52" s="52">
        <f t="shared" si="7"/>
        <v>-6534551.7899999991</v>
      </c>
      <c r="M52" s="55"/>
      <c r="N52" s="89">
        <f>'KY_Res by Plant Acct-P29 (PA)'!R375+'IN_Total PIS_Gas_NBV-P21 (PA)'!N16</f>
        <v>6534551.7899999991</v>
      </c>
      <c r="P52" s="89">
        <f t="shared" si="8"/>
        <v>0</v>
      </c>
    </row>
    <row r="53" spans="1:16">
      <c r="A53" t="s">
        <v>565</v>
      </c>
      <c r="B53" s="52">
        <f>'KY_Cost-Plant Acct-Gas-P20 (PA)'!B53+'KY_Cost-Plant Acct-Gas-P20 (PA)'!B100+'IN_Cost-Plant Acct-Gas-P22 (PA)'!B17</f>
        <v>-5081034.6199999992</v>
      </c>
      <c r="C53" s="52"/>
      <c r="D53" s="52">
        <f>'KY_Cost-Plant Acct-Gas-P20 (PA)'!D53+'KY_Cost-Plant Acct-Gas-P20 (PA)'!D100+'IN_Cost-Plant Acct-Gas-P22 (PA)'!D17</f>
        <v>0</v>
      </c>
      <c r="E53" s="52"/>
      <c r="F53" s="52">
        <f>'KY_Cost-Plant Acct-Gas-P20 (PA)'!F53</f>
        <v>15058.01</v>
      </c>
      <c r="G53" s="52"/>
      <c r="H53" s="52">
        <f>'KY_Cost-Plant Acct-Gas-P20 (PA)'!H53+'IN_Cost-Plant Acct-Gas-P22 (PA)'!H17+'KY_Cost-Plant Acct-Gas-P20 (PA)'!H100</f>
        <v>1342.41</v>
      </c>
      <c r="I53" s="52"/>
      <c r="J53" s="52">
        <f t="shared" si="6"/>
        <v>16400.420000000002</v>
      </c>
      <c r="K53" s="52"/>
      <c r="L53" s="52">
        <f t="shared" si="7"/>
        <v>-5064634.1999999993</v>
      </c>
      <c r="M53" s="55"/>
      <c r="N53" s="89">
        <f>'KY_Res by Plant Acct-P29 (PA)'!R376+'IN_Res by Plant Acct-P30 (PA)'!R34</f>
        <v>5064753.84</v>
      </c>
      <c r="P53" s="89">
        <f t="shared" si="8"/>
        <v>119.64000000059605</v>
      </c>
    </row>
    <row r="54" spans="1:16">
      <c r="A54" t="s">
        <v>566</v>
      </c>
      <c r="B54" s="52">
        <f>'KY_Cost-Plant Acct-Gas-P20 (PA)'!B54+'KY_Cost-Plant Acct-Gas-P20 (PA)'!B101</f>
        <v>-280222.42</v>
      </c>
      <c r="C54" s="52"/>
      <c r="D54" s="52">
        <f>'KY_Cost-Plant Acct-Gas-P20 (PA)'!D54+'KY_Cost-Plant Acct-Gas-P20 (PA)'!D101</f>
        <v>0</v>
      </c>
      <c r="E54" s="52"/>
      <c r="F54" s="52">
        <f>'KY_Cost-Plant Acct-Gas-P20 (PA)'!F54</f>
        <v>0</v>
      </c>
      <c r="G54" s="52"/>
      <c r="H54" s="52">
        <f>'KY_Cost-Plant Acct-Gas-P20 (PA)'!H54+'KY_Cost-Plant Acct-Gas-P20 (PA)'!H101</f>
        <v>0</v>
      </c>
      <c r="I54" s="52"/>
      <c r="J54" s="52">
        <f t="shared" si="6"/>
        <v>0</v>
      </c>
      <c r="K54" s="52"/>
      <c r="L54" s="52">
        <f t="shared" si="7"/>
        <v>-280222.42</v>
      </c>
      <c r="M54" s="55"/>
      <c r="N54" s="89">
        <f>'KY_Res by Plant Acct-P29 (PA)'!R377</f>
        <v>280222.42</v>
      </c>
      <c r="P54" s="89">
        <f t="shared" si="8"/>
        <v>0</v>
      </c>
    </row>
    <row r="55" spans="1:16">
      <c r="A55" t="s">
        <v>567</v>
      </c>
      <c r="B55" s="52">
        <f>'KY_Cost-Plant Acct-Gas-P20 (PA)'!B55+'KY_Cost-Plant Acct-Gas-P20 (PA)'!B102</f>
        <v>-4102207.99</v>
      </c>
      <c r="C55" s="52"/>
      <c r="D55" s="52">
        <f>'KY_Cost-Plant Acct-Gas-P20 (PA)'!D55+'KY_Cost-Plant Acct-Gas-P20 (PA)'!D102</f>
        <v>0</v>
      </c>
      <c r="E55" s="52"/>
      <c r="F55" s="52">
        <f>'KY_Cost-Plant Acct-Gas-P20 (PA)'!F55</f>
        <v>7288.86</v>
      </c>
      <c r="G55" s="52"/>
      <c r="H55" s="52">
        <f>'KY_Cost-Plant Acct-Gas-P20 (PA)'!H55+'KY_Cost-Plant Acct-Gas-P20 (PA)'!H102</f>
        <v>-1342.41</v>
      </c>
      <c r="I55" s="52"/>
      <c r="J55" s="52">
        <f t="shared" si="6"/>
        <v>5946.45</v>
      </c>
      <c r="K55" s="52"/>
      <c r="L55" s="52">
        <f t="shared" si="7"/>
        <v>-4096261.54</v>
      </c>
      <c r="M55" s="55"/>
      <c r="N55" s="89">
        <f>'KY_Res by Plant Acct-P29 (PA)'!R378</f>
        <v>4095862.1500000008</v>
      </c>
      <c r="P55" s="89">
        <f t="shared" si="8"/>
        <v>-399.38999999919906</v>
      </c>
    </row>
    <row r="56" spans="1:16">
      <c r="A56" t="s">
        <v>17</v>
      </c>
      <c r="B56" s="52">
        <f>'KY_Cost-Plant Acct-Gas-P20 (PA)'!B56+'IN_Total PIS_Gas_NBV-P21 (PA)'!B18</f>
        <v>-392725.98999999993</v>
      </c>
      <c r="C56" s="52"/>
      <c r="D56" s="52">
        <f>'KY_Cost-Plant Acct-Gas-P20 (PA)'!D56+'IN_Total PIS_Gas_NBV-P21 (PA)'!D18</f>
        <v>0</v>
      </c>
      <c r="E56" s="52"/>
      <c r="F56" s="52">
        <f>'KY_Cost-Plant Acct-Gas-P20 (PA)'!F56+'IN_Total PIS_Gas_NBV-P21 (PA)'!F18</f>
        <v>0</v>
      </c>
      <c r="G56" s="52"/>
      <c r="H56" s="52">
        <f>'KY_Cost-Plant Acct-Gas-P20 (PA)'!H56+'IN_Total PIS_Gas_NBV-P21 (PA)'!H18</f>
        <v>0</v>
      </c>
      <c r="I56" s="52"/>
      <c r="J56" s="52">
        <f t="shared" si="6"/>
        <v>0</v>
      </c>
      <c r="K56" s="52"/>
      <c r="L56" s="52">
        <f t="shared" si="7"/>
        <v>-392725.98999999993</v>
      </c>
      <c r="M56" s="55"/>
      <c r="N56" s="89">
        <f>'KY_Res by Plant Acct-P29 (PA)'!R379+'IN_Total PIS_Gas_NBV-P21 (PA)'!N18</f>
        <v>392725.98999999993</v>
      </c>
      <c r="P56" s="89">
        <f t="shared" si="8"/>
        <v>0</v>
      </c>
    </row>
    <row r="57" spans="1:16">
      <c r="A57" t="s">
        <v>568</v>
      </c>
      <c r="B57" s="52">
        <f>'KY_Cost-Plant Acct-Gas-P20 (PA)'!B57</f>
        <v>0</v>
      </c>
      <c r="C57" s="52"/>
      <c r="D57" s="52">
        <f>'KY_Cost-Plant Acct-Gas-P20 (PA)'!D57</f>
        <v>0</v>
      </c>
      <c r="E57" s="52"/>
      <c r="F57" s="52">
        <f>'KY_Cost-Plant Acct-Gas-P20 (PA)'!F57</f>
        <v>0</v>
      </c>
      <c r="G57" s="52"/>
      <c r="H57" s="52">
        <f>'KY_Cost-Plant Acct-Gas-P20 (PA)'!H57</f>
        <v>0</v>
      </c>
      <c r="I57" s="52"/>
      <c r="J57" s="52">
        <f t="shared" si="6"/>
        <v>0</v>
      </c>
      <c r="K57" s="52"/>
      <c r="L57" s="52">
        <f t="shared" si="7"/>
        <v>0</v>
      </c>
      <c r="M57" s="55"/>
      <c r="N57" s="89">
        <f>'KY_Res by Plant Acct-P29 (PA)'!R380</f>
        <v>0</v>
      </c>
      <c r="P57" s="89">
        <f t="shared" si="8"/>
        <v>0</v>
      </c>
    </row>
    <row r="58" spans="1:16">
      <c r="A58" t="s">
        <v>569</v>
      </c>
      <c r="B58" s="48">
        <f>'KY_Cost-Plant Acct-Gas-P20 (PA)'!B58</f>
        <v>0</v>
      </c>
      <c r="C58" s="52"/>
      <c r="D58" s="48">
        <f>'KY_Cost-Plant Acct-Gas-P20 (PA)'!D58</f>
        <v>0</v>
      </c>
      <c r="E58" s="52"/>
      <c r="F58" s="48">
        <f>'KY_Cost-Plant Acct-Gas-P20 (PA)'!F58</f>
        <v>0</v>
      </c>
      <c r="G58" s="52"/>
      <c r="H58" s="48">
        <f>'KY_Cost-Plant Acct-Gas-P20 (PA)'!H58</f>
        <v>0</v>
      </c>
      <c r="I58" s="52"/>
      <c r="J58" s="48">
        <f t="shared" si="6"/>
        <v>0</v>
      </c>
      <c r="K58" s="52"/>
      <c r="L58" s="48">
        <f t="shared" si="7"/>
        <v>0</v>
      </c>
      <c r="M58" s="55"/>
      <c r="N58" s="90">
        <f>'KY_Res by Plant Acct-P29 (PA)'!R381</f>
        <v>0</v>
      </c>
      <c r="P58" s="90">
        <f t="shared" si="8"/>
        <v>0</v>
      </c>
    </row>
    <row r="59" spans="1:16">
      <c r="B59" s="52">
        <f>SUM(B41:B58)</f>
        <v>-31464604.419999998</v>
      </c>
      <c r="C59" s="52"/>
      <c r="D59" s="52">
        <f>SUM(D41:D58)</f>
        <v>0</v>
      </c>
      <c r="E59" s="52"/>
      <c r="F59" s="52">
        <f>SUM(F41:F58)</f>
        <v>39066.25</v>
      </c>
      <c r="G59" s="52"/>
      <c r="H59" s="52">
        <f>SUM(H41:H58)</f>
        <v>0</v>
      </c>
      <c r="I59" s="52"/>
      <c r="J59" s="52">
        <f>SUM(J41:J58)</f>
        <v>39066.25</v>
      </c>
      <c r="K59" s="52"/>
      <c r="L59" s="52">
        <f>SUM(L41:L58)</f>
        <v>-31425538.169999994</v>
      </c>
      <c r="M59" s="55"/>
      <c r="N59" s="89">
        <f>SUM(N41:N58)</f>
        <v>31430388.670000002</v>
      </c>
      <c r="P59" s="89">
        <f>SUM(P41:P58)</f>
        <v>4850.5000000015134</v>
      </c>
    </row>
    <row r="60" spans="1:16">
      <c r="B60" s="182"/>
      <c r="C60" s="182"/>
      <c r="D60" s="182"/>
      <c r="E60" s="182"/>
      <c r="F60" s="182"/>
      <c r="G60" s="182"/>
      <c r="H60" s="182"/>
      <c r="I60" s="182"/>
      <c r="J60" s="182"/>
      <c r="K60" s="182"/>
      <c r="L60" s="182"/>
      <c r="M60" s="4"/>
    </row>
    <row r="61" spans="1:16">
      <c r="A61" s="3" t="s">
        <v>125</v>
      </c>
      <c r="B61" s="182"/>
      <c r="C61" s="182"/>
      <c r="D61" s="182"/>
      <c r="E61" s="182"/>
      <c r="F61" s="182"/>
      <c r="G61" s="182"/>
      <c r="H61" s="182"/>
      <c r="I61" s="182"/>
      <c r="J61" s="182"/>
      <c r="K61" s="182"/>
      <c r="L61" s="182"/>
      <c r="M61" s="4"/>
    </row>
    <row r="62" spans="1:16">
      <c r="A62" t="s">
        <v>570</v>
      </c>
      <c r="B62" s="182">
        <f>'KY_Cost-Plant Acct-Gas-P20 (PA)'!B62</f>
        <v>-208142.37</v>
      </c>
      <c r="C62" s="182"/>
      <c r="D62" s="182">
        <f>'KY_Cost-Plant Acct-Gas-P20 (PA)'!D62</f>
        <v>0</v>
      </c>
      <c r="E62" s="182"/>
      <c r="F62" s="182">
        <f>'KY_Cost-Plant Acct-Gas-P20 (PA)'!F62</f>
        <v>0</v>
      </c>
      <c r="G62" s="182"/>
      <c r="H62" s="182">
        <f>'KY_Cost-Plant Acct-Gas-P20 (PA)'!H62</f>
        <v>0</v>
      </c>
      <c r="I62" s="182"/>
      <c r="J62" s="182">
        <f>H62+F62+D62</f>
        <v>0</v>
      </c>
      <c r="K62" s="182"/>
      <c r="L62" s="182">
        <f>J62+B62</f>
        <v>-208142.37</v>
      </c>
      <c r="M62" s="4"/>
      <c r="N62" s="89">
        <f>'KY_Res by Plant Acct-P29 (PA)'!R385</f>
        <v>208142.37</v>
      </c>
      <c r="P62" s="89">
        <f>L62+N62</f>
        <v>0</v>
      </c>
    </row>
    <row r="63" spans="1:16">
      <c r="A63" t="s">
        <v>571</v>
      </c>
      <c r="B63" s="182">
        <f>'KY_Cost-Plant Acct-Gas-P20 (PA)'!B63+'KY_Cost-Plant Acct-Gas-P20 (PA)'!B106</f>
        <v>-9218471.7699999996</v>
      </c>
      <c r="C63" s="182"/>
      <c r="D63" s="182">
        <f>'KY_Cost-Plant Acct-Gas-P20 (PA)'!D63+'KY_Cost-Plant Acct-Gas-P20 (PA)'!D106</f>
        <v>0</v>
      </c>
      <c r="E63" s="182"/>
      <c r="F63" s="182">
        <f>'KY_Cost-Plant Acct-Gas-P20 (PA)'!F63</f>
        <v>698.24</v>
      </c>
      <c r="G63" s="182"/>
      <c r="H63" s="182">
        <f>'KY_Cost-Plant Acct-Gas-P20 (PA)'!H63</f>
        <v>0</v>
      </c>
      <c r="I63" s="182"/>
      <c r="J63" s="182">
        <f>H63+F63+D63</f>
        <v>698.24</v>
      </c>
      <c r="K63" s="182"/>
      <c r="L63" s="182">
        <f>J63+B63</f>
        <v>-9217773.5299999993</v>
      </c>
      <c r="M63" s="4"/>
      <c r="N63" s="89">
        <f>'KY_Res by Plant Acct-P29 (PA)'!R386</f>
        <v>9217773.5299999993</v>
      </c>
      <c r="P63" s="89">
        <f>L63+N63</f>
        <v>0</v>
      </c>
    </row>
    <row r="64" spans="1:16">
      <c r="A64" t="s">
        <v>570</v>
      </c>
      <c r="B64" s="48">
        <f>'KY_Cost-Plant Acct-Gas-P20 (PA)'!B64</f>
        <v>0</v>
      </c>
      <c r="C64" s="182"/>
      <c r="D64" s="48">
        <f>'KY_Cost-Plant Acct-Gas-P20 (PA)'!D64</f>
        <v>0</v>
      </c>
      <c r="E64" s="182"/>
      <c r="F64" s="48">
        <f>'KY_Cost-Plant Acct-Gas-P20 (PA)'!F64</f>
        <v>0</v>
      </c>
      <c r="G64" s="182"/>
      <c r="H64" s="48">
        <f>'KY_Cost-Plant Acct-Gas-P20 (PA)'!H64</f>
        <v>0</v>
      </c>
      <c r="I64" s="182"/>
      <c r="J64" s="48">
        <f>H64+F64+D64</f>
        <v>0</v>
      </c>
      <c r="K64" s="182"/>
      <c r="L64" s="48">
        <f>J64+B64</f>
        <v>0</v>
      </c>
      <c r="M64" s="4"/>
      <c r="N64" s="90">
        <f>'KY_Res by Plant Acct-P29 (PA)'!R387</f>
        <v>0</v>
      </c>
      <c r="P64" s="90">
        <f>L64+N64</f>
        <v>0</v>
      </c>
    </row>
    <row r="65" spans="1:16">
      <c r="B65" s="52">
        <f>SUM(B62:B64)</f>
        <v>-9426614.1399999987</v>
      </c>
      <c r="C65" s="52"/>
      <c r="D65" s="52">
        <f>SUM(D62:D64)</f>
        <v>0</v>
      </c>
      <c r="E65" s="52"/>
      <c r="F65" s="52">
        <f>SUM(F62:F64)</f>
        <v>698.24</v>
      </c>
      <c r="G65" s="52"/>
      <c r="H65" s="52">
        <f>SUM(H62:H64)</f>
        <v>0</v>
      </c>
      <c r="I65" s="52"/>
      <c r="J65" s="52">
        <f>SUM(J62:J64)</f>
        <v>698.24</v>
      </c>
      <c r="K65" s="52"/>
      <c r="L65" s="52">
        <f>SUM(L62:L64)</f>
        <v>-9425915.8999999985</v>
      </c>
      <c r="M65" s="55"/>
      <c r="N65" s="52">
        <f>SUM(N62:N64)</f>
        <v>9425915.8999999985</v>
      </c>
      <c r="P65" s="52">
        <f>SUM(P62:P64)</f>
        <v>0</v>
      </c>
    </row>
    <row r="66" spans="1:16">
      <c r="B66" s="52"/>
      <c r="C66" s="52"/>
      <c r="D66" s="52"/>
      <c r="E66" s="52"/>
      <c r="F66" s="52"/>
      <c r="G66" s="52"/>
      <c r="H66" s="52"/>
      <c r="I66" s="52"/>
      <c r="J66" s="52"/>
      <c r="K66" s="52"/>
      <c r="L66" s="52"/>
      <c r="M66" s="55"/>
    </row>
    <row r="67" spans="1:16">
      <c r="B67" s="52"/>
      <c r="C67" s="52"/>
      <c r="D67" s="52"/>
      <c r="E67" s="52"/>
      <c r="F67" s="52"/>
      <c r="G67" s="52"/>
      <c r="H67" s="52"/>
      <c r="I67" s="52"/>
      <c r="J67" s="52"/>
      <c r="K67" s="52"/>
      <c r="L67" s="52"/>
      <c r="M67" s="4"/>
    </row>
    <row r="68" spans="1:16" ht="13.5" thickBot="1">
      <c r="A68" s="3" t="s">
        <v>204</v>
      </c>
      <c r="B68" s="46">
        <f>B65+B59+B38+B34+B25</f>
        <v>-168805865.39999998</v>
      </c>
      <c r="C68" s="52"/>
      <c r="D68" s="46">
        <f>D65+D59+D38+D34+D25</f>
        <v>0</v>
      </c>
      <c r="E68" s="52"/>
      <c r="F68" s="46">
        <f>F65+F59+F38+F34+F25</f>
        <v>54250.57</v>
      </c>
      <c r="G68" s="52"/>
      <c r="H68" s="46">
        <f>H65+H59+H38+H34+H25</f>
        <v>0</v>
      </c>
      <c r="I68" s="52"/>
      <c r="J68" s="46">
        <f>J65+J59+J38+J34+J25</f>
        <v>54250.57</v>
      </c>
      <c r="K68" s="52"/>
      <c r="L68" s="46">
        <f>L65+L59+L38+L34+L25</f>
        <v>-168751614.82999998</v>
      </c>
      <c r="M68" s="4"/>
      <c r="N68" s="46">
        <f>N65+N59+N38+N34+N25</f>
        <v>168751070.01999998</v>
      </c>
      <c r="P68" s="46">
        <f>P65+P59+P38+P34+P25</f>
        <v>-544.81000000832137</v>
      </c>
    </row>
    <row r="69" spans="1:16" ht="13.5" thickTop="1">
      <c r="B69" s="52"/>
      <c r="C69" s="52"/>
      <c r="D69" s="52"/>
      <c r="E69" s="52"/>
      <c r="F69" s="52"/>
      <c r="G69" s="52"/>
      <c r="H69" s="52"/>
      <c r="I69" s="52"/>
      <c r="J69" s="52"/>
      <c r="K69" s="52"/>
      <c r="L69" s="52"/>
      <c r="M69" s="4"/>
    </row>
    <row r="70" spans="1:16">
      <c r="B70" s="182"/>
      <c r="C70" s="182"/>
      <c r="D70" s="182"/>
      <c r="E70" s="182"/>
      <c r="F70" s="182"/>
      <c r="G70" s="182"/>
      <c r="H70" s="182"/>
      <c r="I70" s="182"/>
      <c r="J70" s="182"/>
      <c r="K70" s="182"/>
      <c r="L70" s="182"/>
      <c r="M70" s="4"/>
    </row>
    <row r="71" spans="1:16">
      <c r="B71" s="182"/>
      <c r="C71" s="182"/>
      <c r="D71" s="182"/>
      <c r="E71" s="182"/>
      <c r="F71" s="182"/>
      <c r="G71" s="182"/>
      <c r="H71" s="182"/>
      <c r="I71" s="182"/>
      <c r="J71" s="182"/>
      <c r="K71" s="182"/>
      <c r="L71" s="182"/>
      <c r="M71" s="4"/>
    </row>
    <row r="72" spans="1:16">
      <c r="B72" s="182"/>
      <c r="C72" s="182"/>
      <c r="D72" s="182"/>
      <c r="E72" s="182"/>
      <c r="F72" s="182"/>
      <c r="G72" s="182"/>
      <c r="H72" s="182"/>
      <c r="I72" s="182"/>
      <c r="J72" s="182"/>
      <c r="K72" s="182"/>
      <c r="L72" s="182"/>
      <c r="M72" s="4"/>
    </row>
    <row r="73" spans="1:16">
      <c r="B73" s="182"/>
      <c r="C73" s="182"/>
      <c r="D73" s="182"/>
      <c r="E73" s="182"/>
      <c r="F73" s="182"/>
      <c r="G73" s="182"/>
      <c r="H73" s="182"/>
      <c r="I73" s="182"/>
      <c r="J73" s="182"/>
      <c r="K73" s="182"/>
      <c r="L73" s="182"/>
      <c r="M73" s="4"/>
    </row>
    <row r="74" spans="1:16">
      <c r="B74" s="182"/>
      <c r="C74" s="182"/>
      <c r="D74" s="182"/>
      <c r="E74" s="182"/>
      <c r="F74" s="182"/>
      <c r="G74" s="182"/>
      <c r="H74" s="182"/>
      <c r="I74" s="182"/>
      <c r="J74" s="182"/>
      <c r="K74" s="182"/>
      <c r="L74" s="182"/>
      <c r="M74" s="4"/>
    </row>
    <row r="75" spans="1:16">
      <c r="B75" s="4"/>
      <c r="C75" s="4"/>
      <c r="D75" s="4"/>
      <c r="E75" s="4"/>
      <c r="F75" s="4"/>
      <c r="G75" s="4"/>
      <c r="H75" s="4"/>
      <c r="I75" s="4"/>
      <c r="J75" s="4"/>
      <c r="K75" s="4"/>
      <c r="L75" s="4"/>
      <c r="M75" s="4"/>
    </row>
    <row r="76" spans="1:16">
      <c r="B76" s="4"/>
      <c r="C76" s="4"/>
      <c r="D76" s="4"/>
      <c r="E76" s="4"/>
      <c r="F76" s="4"/>
      <c r="G76" s="4"/>
      <c r="H76" s="4"/>
      <c r="I76" s="4"/>
      <c r="J76" s="4"/>
      <c r="K76" s="4"/>
      <c r="L76" s="4"/>
      <c r="M76" s="4"/>
    </row>
    <row r="77" spans="1:16">
      <c r="B77" s="4"/>
      <c r="C77" s="4"/>
      <c r="D77" s="4"/>
      <c r="E77" s="4"/>
      <c r="F77" s="4"/>
      <c r="G77" s="4"/>
      <c r="H77" s="4"/>
      <c r="I77" s="4"/>
      <c r="J77" s="4"/>
      <c r="K77" s="4"/>
      <c r="L77" s="4"/>
      <c r="M77" s="4"/>
    </row>
    <row r="78" spans="1:16">
      <c r="B78" s="4"/>
      <c r="C78" s="4"/>
      <c r="D78" s="4"/>
      <c r="E78" s="4"/>
      <c r="F78" s="4"/>
      <c r="G78" s="4"/>
      <c r="H78" s="4"/>
      <c r="I78" s="4"/>
      <c r="J78" s="4"/>
      <c r="K78" s="4"/>
      <c r="L78" s="4"/>
      <c r="M78" s="4"/>
    </row>
    <row r="79" spans="1:16">
      <c r="B79" s="4"/>
      <c r="C79" s="4"/>
      <c r="D79" s="4"/>
      <c r="E79" s="4"/>
      <c r="F79" s="4"/>
      <c r="G79" s="4"/>
      <c r="H79" s="4"/>
      <c r="I79" s="4"/>
      <c r="J79" s="4"/>
      <c r="K79" s="4"/>
      <c r="L79" s="4"/>
      <c r="M79" s="4"/>
    </row>
    <row r="80" spans="1:16">
      <c r="B80" s="4"/>
      <c r="C80" s="4"/>
      <c r="D80" s="4"/>
      <c r="E80" s="4"/>
      <c r="F80" s="4"/>
      <c r="G80" s="4"/>
      <c r="H80" s="4"/>
      <c r="I80" s="4"/>
      <c r="J80" s="4"/>
      <c r="K80" s="4"/>
      <c r="L80" s="4"/>
      <c r="M80" s="4"/>
    </row>
    <row r="81" spans="2:13">
      <c r="B81" s="4"/>
      <c r="C81" s="4"/>
      <c r="D81" s="4"/>
      <c r="E81" s="4"/>
      <c r="F81" s="4"/>
      <c r="G81" s="4"/>
      <c r="H81" s="4"/>
      <c r="I81" s="4"/>
      <c r="J81" s="4"/>
      <c r="K81" s="4"/>
      <c r="L81" s="4"/>
      <c r="M81" s="4"/>
    </row>
    <row r="82" spans="2:13">
      <c r="B82" s="4"/>
      <c r="C82" s="4"/>
      <c r="D82" s="4"/>
      <c r="E82" s="4"/>
      <c r="F82" s="4"/>
      <c r="G82" s="4"/>
      <c r="H82" s="4"/>
      <c r="I82" s="4"/>
      <c r="J82" s="4"/>
      <c r="K82" s="4"/>
      <c r="L82" s="4"/>
      <c r="M82" s="4"/>
    </row>
    <row r="83" spans="2:13">
      <c r="B83" s="4"/>
      <c r="C83" s="4"/>
      <c r="D83" s="4"/>
      <c r="E83" s="4"/>
      <c r="F83" s="4"/>
      <c r="G83" s="4"/>
      <c r="H83" s="4"/>
      <c r="I83" s="4"/>
      <c r="J83" s="4"/>
      <c r="K83" s="4"/>
      <c r="L83" s="4"/>
      <c r="M83" s="4"/>
    </row>
    <row r="84" spans="2:13">
      <c r="B84" s="4"/>
      <c r="C84" s="4"/>
      <c r="D84" s="4"/>
      <c r="E84" s="4"/>
      <c r="F84" s="4"/>
      <c r="G84" s="4"/>
      <c r="H84" s="4"/>
      <c r="I84" s="4"/>
      <c r="J84" s="4"/>
      <c r="K84" s="4"/>
      <c r="L84" s="4"/>
      <c r="M84" s="4"/>
    </row>
    <row r="85" spans="2:13">
      <c r="B85" s="4"/>
      <c r="C85" s="4"/>
      <c r="D85" s="4"/>
      <c r="E85" s="4"/>
      <c r="F85" s="4"/>
      <c r="G85" s="4"/>
      <c r="H85" s="4"/>
      <c r="I85" s="4"/>
      <c r="J85" s="4"/>
      <c r="K85" s="4"/>
      <c r="L85" s="4"/>
      <c r="M85" s="4"/>
    </row>
    <row r="86" spans="2:13">
      <c r="B86" s="4"/>
      <c r="C86" s="4"/>
      <c r="D86" s="4"/>
      <c r="E86" s="4"/>
      <c r="F86" s="4"/>
      <c r="G86" s="4"/>
      <c r="H86" s="4"/>
      <c r="I86" s="4"/>
      <c r="J86" s="4"/>
      <c r="K86" s="4"/>
      <c r="L86" s="4"/>
      <c r="M86" s="4"/>
    </row>
    <row r="87" spans="2:13">
      <c r="B87" s="4"/>
      <c r="C87" s="4"/>
      <c r="D87" s="4"/>
      <c r="E87" s="4"/>
      <c r="F87" s="4"/>
      <c r="G87" s="4"/>
      <c r="H87" s="4"/>
      <c r="I87" s="4"/>
      <c r="J87" s="4"/>
      <c r="K87" s="4"/>
      <c r="L87" s="4"/>
      <c r="M87" s="4"/>
    </row>
    <row r="88" spans="2:13">
      <c r="B88" s="4"/>
      <c r="C88" s="4"/>
      <c r="D88" s="4"/>
      <c r="E88" s="4"/>
      <c r="F88" s="4"/>
      <c r="G88" s="4"/>
      <c r="H88" s="4"/>
      <c r="I88" s="4"/>
      <c r="J88" s="4"/>
      <c r="K88" s="4"/>
      <c r="L88" s="4"/>
      <c r="M88" s="4"/>
    </row>
    <row r="89" spans="2:13">
      <c r="B89" s="4"/>
      <c r="C89" s="4"/>
      <c r="D89" s="4"/>
      <c r="E89" s="4"/>
      <c r="F89" s="4"/>
      <c r="G89" s="4"/>
      <c r="H89" s="4"/>
      <c r="I89" s="4"/>
      <c r="J89" s="4"/>
      <c r="K89" s="4"/>
      <c r="L89" s="4"/>
      <c r="M89" s="4"/>
    </row>
    <row r="90" spans="2:13">
      <c r="B90" s="4"/>
      <c r="C90" s="4"/>
      <c r="D90" s="4"/>
      <c r="E90" s="4"/>
      <c r="F90" s="4"/>
      <c r="G90" s="4"/>
      <c r="H90" s="4"/>
      <c r="I90" s="4"/>
      <c r="J90" s="4"/>
      <c r="K90" s="4"/>
      <c r="L90" s="4"/>
      <c r="M90" s="4"/>
    </row>
    <row r="91" spans="2:13">
      <c r="B91" s="4"/>
      <c r="C91" s="4"/>
      <c r="D91" s="4"/>
      <c r="E91" s="4"/>
      <c r="F91" s="4"/>
      <c r="G91" s="4"/>
      <c r="H91" s="4"/>
      <c r="I91" s="4"/>
      <c r="J91" s="4"/>
      <c r="K91" s="4"/>
      <c r="L91" s="4"/>
      <c r="M91" s="4"/>
    </row>
    <row r="92" spans="2:13">
      <c r="B92" s="4"/>
      <c r="C92" s="4"/>
      <c r="D92" s="4"/>
      <c r="E92" s="4"/>
      <c r="F92" s="4"/>
      <c r="G92" s="4"/>
      <c r="H92" s="4"/>
      <c r="I92" s="4"/>
      <c r="J92" s="4"/>
      <c r="K92" s="4"/>
      <c r="L92" s="4"/>
      <c r="M92" s="4"/>
    </row>
    <row r="93" spans="2:13">
      <c r="B93" s="4"/>
      <c r="C93" s="4"/>
      <c r="D93" s="4"/>
      <c r="E93" s="4"/>
      <c r="F93" s="4"/>
      <c r="G93" s="4"/>
      <c r="H93" s="4"/>
      <c r="I93" s="4"/>
      <c r="J93" s="4"/>
      <c r="K93" s="4"/>
      <c r="L93" s="4"/>
      <c r="M93" s="4"/>
    </row>
    <row r="94" spans="2:13">
      <c r="B94" s="4"/>
      <c r="C94" s="4"/>
      <c r="D94" s="4"/>
      <c r="E94" s="4"/>
      <c r="F94" s="4"/>
      <c r="G94" s="4"/>
      <c r="H94" s="4"/>
      <c r="I94" s="4"/>
      <c r="J94" s="4"/>
      <c r="K94" s="4"/>
      <c r="L94" s="4"/>
      <c r="M94" s="4"/>
    </row>
    <row r="95" spans="2:13">
      <c r="B95" s="4"/>
      <c r="C95" s="4"/>
      <c r="D95" s="4"/>
      <c r="E95" s="4"/>
      <c r="F95" s="4"/>
      <c r="G95" s="4"/>
      <c r="H95" s="4"/>
      <c r="I95" s="4"/>
      <c r="J95" s="4"/>
      <c r="K95" s="4"/>
      <c r="L95" s="4"/>
      <c r="M95" s="4"/>
    </row>
    <row r="96" spans="2:13">
      <c r="B96" s="4"/>
      <c r="C96" s="4"/>
      <c r="D96" s="4"/>
      <c r="E96" s="4"/>
      <c r="F96" s="4"/>
      <c r="G96" s="4"/>
      <c r="H96" s="4"/>
      <c r="I96" s="4"/>
      <c r="J96" s="4"/>
      <c r="K96" s="4"/>
      <c r="L96" s="4"/>
      <c r="M96" s="4"/>
    </row>
    <row r="97" spans="2:13">
      <c r="B97" s="4"/>
      <c r="C97" s="4"/>
      <c r="D97" s="4"/>
      <c r="E97" s="4"/>
      <c r="F97" s="4"/>
      <c r="G97" s="4"/>
      <c r="H97" s="4"/>
      <c r="I97" s="4"/>
      <c r="J97" s="4"/>
      <c r="K97" s="4"/>
      <c r="L97" s="4"/>
      <c r="M97" s="4"/>
    </row>
    <row r="98" spans="2:13">
      <c r="B98" s="4"/>
      <c r="C98" s="4"/>
      <c r="D98" s="4"/>
      <c r="E98" s="4"/>
      <c r="F98" s="4"/>
      <c r="G98" s="4"/>
      <c r="H98" s="4"/>
      <c r="I98" s="4"/>
      <c r="J98" s="4"/>
      <c r="K98" s="4"/>
      <c r="L98" s="4"/>
      <c r="M98" s="4"/>
    </row>
    <row r="99" spans="2:13">
      <c r="B99" s="4"/>
      <c r="C99" s="4"/>
      <c r="D99" s="4"/>
      <c r="E99" s="4"/>
      <c r="F99" s="4"/>
      <c r="G99" s="4"/>
      <c r="H99" s="4"/>
      <c r="I99" s="4"/>
      <c r="J99" s="4"/>
      <c r="K99" s="4"/>
      <c r="L99" s="4"/>
      <c r="M99" s="4"/>
    </row>
    <row r="100" spans="2:13">
      <c r="B100" s="4"/>
      <c r="C100" s="4"/>
      <c r="D100" s="4"/>
      <c r="E100" s="4"/>
      <c r="F100" s="4"/>
      <c r="G100" s="4"/>
      <c r="H100" s="4"/>
      <c r="I100" s="4"/>
      <c r="J100" s="4"/>
      <c r="K100" s="4"/>
      <c r="L100" s="4"/>
      <c r="M100" s="4"/>
    </row>
    <row r="101" spans="2:13">
      <c r="B101" s="4"/>
      <c r="C101" s="4"/>
      <c r="D101" s="4"/>
      <c r="E101" s="4"/>
      <c r="F101" s="4"/>
      <c r="G101" s="4"/>
      <c r="H101" s="4"/>
      <c r="I101" s="4"/>
      <c r="J101" s="4"/>
      <c r="K101" s="4"/>
      <c r="L101" s="4"/>
      <c r="M101" s="4"/>
    </row>
    <row r="102" spans="2:13">
      <c r="B102" s="4"/>
      <c r="C102" s="4"/>
      <c r="D102" s="4"/>
      <c r="E102" s="4"/>
      <c r="F102" s="4"/>
      <c r="G102" s="4"/>
      <c r="H102" s="4"/>
      <c r="I102" s="4"/>
      <c r="J102" s="4"/>
      <c r="K102" s="4"/>
      <c r="L102" s="4"/>
      <c r="M102" s="4"/>
    </row>
    <row r="103" spans="2:13">
      <c r="B103" s="4"/>
      <c r="C103" s="4"/>
      <c r="D103" s="4"/>
      <c r="E103" s="4"/>
      <c r="F103" s="4"/>
      <c r="G103" s="4"/>
      <c r="H103" s="4"/>
      <c r="I103" s="4"/>
      <c r="J103" s="4"/>
      <c r="K103" s="4"/>
      <c r="L103" s="4"/>
      <c r="M103" s="4"/>
    </row>
    <row r="104" spans="2:13">
      <c r="B104" s="4"/>
      <c r="C104" s="4"/>
      <c r="D104" s="4"/>
      <c r="E104" s="4"/>
      <c r="F104" s="4"/>
      <c r="G104" s="4"/>
      <c r="H104" s="4"/>
      <c r="I104" s="4"/>
      <c r="J104" s="4"/>
      <c r="K104" s="4"/>
      <c r="L104" s="4"/>
      <c r="M104" s="4"/>
    </row>
    <row r="105" spans="2:13">
      <c r="B105" s="4"/>
      <c r="C105" s="4"/>
      <c r="D105" s="4"/>
      <c r="E105" s="4"/>
      <c r="F105" s="4"/>
      <c r="G105" s="4"/>
      <c r="H105" s="4"/>
      <c r="I105" s="4"/>
      <c r="J105" s="4"/>
      <c r="K105" s="4"/>
      <c r="L105" s="4"/>
      <c r="M105" s="4"/>
    </row>
    <row r="106" spans="2:13">
      <c r="B106" s="4"/>
      <c r="C106" s="4"/>
      <c r="D106" s="4"/>
      <c r="E106" s="4"/>
      <c r="F106" s="4"/>
      <c r="G106" s="4"/>
      <c r="H106" s="4"/>
      <c r="I106" s="4"/>
      <c r="J106" s="4"/>
      <c r="K106" s="4"/>
      <c r="L106" s="4"/>
      <c r="M106" s="4"/>
    </row>
    <row r="107" spans="2:13">
      <c r="B107" s="4"/>
      <c r="C107" s="4"/>
      <c r="D107" s="4"/>
      <c r="E107" s="4"/>
      <c r="F107" s="4"/>
      <c r="G107" s="4"/>
      <c r="H107" s="4"/>
      <c r="I107" s="4"/>
      <c r="J107" s="4"/>
      <c r="K107" s="4"/>
      <c r="L107" s="4"/>
      <c r="M107" s="4"/>
    </row>
    <row r="108" spans="2:13">
      <c r="B108" s="4"/>
      <c r="C108" s="4"/>
      <c r="D108" s="4"/>
      <c r="E108" s="4"/>
      <c r="F108" s="4"/>
      <c r="G108" s="4"/>
      <c r="H108" s="4"/>
      <c r="I108" s="4"/>
      <c r="J108" s="4"/>
      <c r="K108" s="4"/>
      <c r="L108" s="4"/>
      <c r="M108" s="4"/>
    </row>
    <row r="109" spans="2:13">
      <c r="B109" s="4"/>
      <c r="C109" s="4"/>
      <c r="D109" s="4"/>
      <c r="E109" s="4"/>
      <c r="F109" s="4"/>
      <c r="G109" s="4"/>
      <c r="H109" s="4"/>
      <c r="I109" s="4"/>
      <c r="J109" s="4"/>
      <c r="K109" s="4"/>
      <c r="L109" s="4"/>
      <c r="M109" s="4"/>
    </row>
  </sheetData>
  <mergeCells count="3">
    <mergeCell ref="A1:P1"/>
    <mergeCell ref="A2:P2"/>
    <mergeCell ref="A3:P3"/>
  </mergeCells>
  <pageMargins left="0.75" right="0.75" top="1" bottom="1" header="0.5" footer="0.5"/>
  <pageSetup scale="60" fitToHeight="2" orientation="landscape" r:id="rId1"/>
  <headerFooter alignWithMargins="0">
    <oddFooter>&amp;L&amp;Z
&amp;F&amp;C&amp;A&amp;R17.&amp;P</oddFooter>
  </headerFooter>
  <rowBreaks count="1" manualBreakCount="1">
    <brk id="60" max="16383" man="1"/>
  </rowBreaks>
</worksheet>
</file>

<file path=xl/worksheets/sheet137.xml><?xml version="1.0" encoding="utf-8"?>
<worksheet xmlns="http://schemas.openxmlformats.org/spreadsheetml/2006/main" xmlns:r="http://schemas.openxmlformats.org/officeDocument/2006/relationships">
  <sheetPr codeName="Sheet140">
    <pageSetUpPr fitToPage="1"/>
  </sheetPr>
  <dimension ref="A1:L152"/>
  <sheetViews>
    <sheetView zoomScaleNormal="100" workbookViewId="0">
      <selection sqref="A1:L1"/>
    </sheetView>
  </sheetViews>
  <sheetFormatPr defaultRowHeight="12.75"/>
  <cols>
    <col min="1" max="1" width="49.7109375" bestFit="1" customWidth="1"/>
    <col min="2" max="2" width="17.7109375" customWidth="1"/>
    <col min="3" max="3" width="1.7109375" customWidth="1"/>
    <col min="4" max="4" width="17.7109375" customWidth="1"/>
    <col min="5" max="5" width="1.7109375" customWidth="1"/>
    <col min="6" max="6" width="17.7109375" customWidth="1"/>
    <col min="7" max="7" width="1.7109375" customWidth="1"/>
    <col min="8" max="8" width="17.7109375" customWidth="1"/>
    <col min="9" max="9" width="1.7109375" customWidth="1"/>
    <col min="10" max="10" width="17.7109375" customWidth="1"/>
    <col min="11" max="11" width="1.7109375" customWidth="1"/>
    <col min="12" max="12" width="17.7109375" customWidth="1"/>
  </cols>
  <sheetData>
    <row r="1" spans="1:12" s="38" customFormat="1" ht="15.75">
      <c r="A1" s="366" t="s">
        <v>134</v>
      </c>
      <c r="B1" s="366"/>
      <c r="C1" s="366"/>
      <c r="D1" s="366"/>
      <c r="E1" s="366"/>
      <c r="F1" s="366"/>
      <c r="G1" s="366"/>
      <c r="H1" s="366"/>
      <c r="I1" s="366"/>
      <c r="J1" s="366"/>
      <c r="K1" s="366"/>
      <c r="L1" s="366"/>
    </row>
    <row r="2" spans="1:12" s="38" customFormat="1" ht="15.75">
      <c r="A2" s="366" t="s">
        <v>1165</v>
      </c>
      <c r="B2" s="366"/>
      <c r="C2" s="366"/>
      <c r="D2" s="366"/>
      <c r="E2" s="366"/>
      <c r="F2" s="366"/>
      <c r="G2" s="366"/>
      <c r="H2" s="366"/>
      <c r="I2" s="366"/>
      <c r="J2" s="366"/>
      <c r="K2" s="366"/>
      <c r="L2" s="366"/>
    </row>
    <row r="3" spans="1:12">
      <c r="A3" s="357" t="str">
        <f>'Summary - Cost - PG 1 (PA)'!A3:N3</f>
        <v>MARCH 2012</v>
      </c>
      <c r="B3" s="357"/>
      <c r="C3" s="357"/>
      <c r="D3" s="357"/>
      <c r="E3" s="357"/>
      <c r="F3" s="357"/>
      <c r="G3" s="357"/>
      <c r="H3" s="357"/>
      <c r="I3" s="357"/>
      <c r="J3" s="357"/>
      <c r="K3" s="357"/>
      <c r="L3" s="357"/>
    </row>
    <row r="4" spans="1:12">
      <c r="A4" s="190"/>
      <c r="B4" s="190"/>
      <c r="C4" s="190"/>
      <c r="D4" s="190"/>
      <c r="E4" s="190"/>
      <c r="F4" s="190"/>
      <c r="G4" s="190"/>
      <c r="H4" s="190"/>
      <c r="I4" s="190"/>
      <c r="J4" s="190"/>
      <c r="K4" s="190"/>
      <c r="L4" s="190"/>
    </row>
    <row r="6" spans="1:12">
      <c r="B6" s="41" t="s">
        <v>25</v>
      </c>
      <c r="D6" s="182"/>
      <c r="F6" s="182"/>
      <c r="H6" s="41" t="s">
        <v>612</v>
      </c>
      <c r="J6" s="182"/>
      <c r="L6" s="41" t="s">
        <v>26</v>
      </c>
    </row>
    <row r="7" spans="1:12" s="10" customFormat="1">
      <c r="B7" s="42" t="s">
        <v>27</v>
      </c>
      <c r="C7"/>
      <c r="D7" s="42" t="s">
        <v>107</v>
      </c>
      <c r="E7"/>
      <c r="F7" s="42" t="s">
        <v>108</v>
      </c>
      <c r="G7"/>
      <c r="H7" s="42" t="s">
        <v>613</v>
      </c>
      <c r="I7"/>
      <c r="J7" s="42" t="s">
        <v>109</v>
      </c>
      <c r="K7"/>
      <c r="L7" s="42" t="s">
        <v>27</v>
      </c>
    </row>
    <row r="8" spans="1:12" s="10" customFormat="1">
      <c r="A8" s="3" t="s">
        <v>371</v>
      </c>
      <c r="B8" s="54"/>
      <c r="C8"/>
      <c r="D8" s="54"/>
      <c r="E8"/>
      <c r="F8" s="54"/>
      <c r="G8"/>
      <c r="H8" s="54"/>
      <c r="I8"/>
      <c r="J8" s="54"/>
      <c r="K8"/>
      <c r="L8" s="54"/>
    </row>
    <row r="9" spans="1:12" s="10" customFormat="1">
      <c r="A9" s="3" t="s">
        <v>572</v>
      </c>
      <c r="B9" s="54"/>
      <c r="C9"/>
      <c r="D9" s="54"/>
      <c r="E9"/>
      <c r="F9" s="54"/>
      <c r="G9"/>
      <c r="H9" s="54"/>
      <c r="I9"/>
      <c r="J9" s="54"/>
      <c r="K9"/>
      <c r="L9" s="54"/>
    </row>
    <row r="10" spans="1:12">
      <c r="A10" s="3" t="s">
        <v>121</v>
      </c>
    </row>
    <row r="11" spans="1:12">
      <c r="A11" t="s">
        <v>848</v>
      </c>
      <c r="B11" s="182">
        <f>'KY_Cost-Plant Acct-Gas-P20 (PA)'!B11</f>
        <v>0</v>
      </c>
      <c r="C11" s="182"/>
      <c r="D11" s="182">
        <f>'KY_Cost-Plant Acct-Gas-P20 (PA)'!D11</f>
        <v>0</v>
      </c>
      <c r="E11" s="182"/>
      <c r="F11" s="182">
        <f>'KY_Cost-Plant Acct-Gas-P20 (PA)'!F11</f>
        <v>0</v>
      </c>
      <c r="G11" s="182"/>
      <c r="H11" s="182">
        <f>'KY_Cost-Plant Acct-Gas-P20 (PA)'!H11</f>
        <v>0</v>
      </c>
      <c r="I11" s="182"/>
      <c r="J11" s="182">
        <f t="shared" ref="J11:J24" si="0">H11+F11+D11</f>
        <v>0</v>
      </c>
      <c r="K11" s="182"/>
      <c r="L11" s="182">
        <f t="shared" ref="L11:L24" si="1">J11+B11</f>
        <v>0</v>
      </c>
    </row>
    <row r="12" spans="1:12">
      <c r="A12" t="s">
        <v>849</v>
      </c>
      <c r="B12" s="182">
        <f>'KY_Cost-Plant Acct-Gas-P20 (PA)'!B12</f>
        <v>-77375.47</v>
      </c>
      <c r="C12" s="182"/>
      <c r="D12" s="182">
        <f>'KY_Cost-Plant Acct-Gas-P20 (PA)'!D12</f>
        <v>0</v>
      </c>
      <c r="E12" s="182"/>
      <c r="F12" s="182">
        <f>'KY_Cost-Plant Acct-Gas-P20 (PA)'!F12</f>
        <v>0</v>
      </c>
      <c r="G12" s="182"/>
      <c r="H12" s="182">
        <f>'KY_Cost-Plant Acct-Gas-P20 (PA)'!H12</f>
        <v>0</v>
      </c>
      <c r="I12" s="182"/>
      <c r="J12" s="182">
        <f t="shared" si="0"/>
        <v>0</v>
      </c>
      <c r="K12" s="182"/>
      <c r="L12" s="182">
        <f t="shared" si="1"/>
        <v>-77375.47</v>
      </c>
    </row>
    <row r="13" spans="1:12">
      <c r="A13" t="s">
        <v>850</v>
      </c>
      <c r="B13" s="182">
        <f>'KY_Cost-Plant Acct-Gas-P20 (PA)'!B13</f>
        <v>-93393.220000000016</v>
      </c>
      <c r="C13" s="182"/>
      <c r="D13" s="182">
        <f>'KY_Cost-Plant Acct-Gas-P20 (PA)'!D13</f>
        <v>0</v>
      </c>
      <c r="E13" s="182"/>
      <c r="F13" s="182">
        <f>'KY_Cost-Plant Acct-Gas-P20 (PA)'!F13</f>
        <v>0</v>
      </c>
      <c r="G13" s="182"/>
      <c r="H13" s="182">
        <f>'KY_Cost-Plant Acct-Gas-P20 (PA)'!H13</f>
        <v>0</v>
      </c>
      <c r="I13" s="182"/>
      <c r="J13" s="182">
        <f t="shared" si="0"/>
        <v>0</v>
      </c>
      <c r="K13" s="182"/>
      <c r="L13" s="182">
        <f t="shared" si="1"/>
        <v>-93393.220000000016</v>
      </c>
    </row>
    <row r="14" spans="1:12">
      <c r="A14" t="s">
        <v>71</v>
      </c>
      <c r="B14" s="182">
        <f>'KY_Cost-Plant Acct-Gas-P20 (PA)'!B14</f>
        <v>-124116.45999999999</v>
      </c>
      <c r="C14" s="182"/>
      <c r="D14" s="182">
        <f>'KY_Cost-Plant Acct-Gas-P20 (PA)'!D14</f>
        <v>0</v>
      </c>
      <c r="E14" s="182"/>
      <c r="F14" s="182">
        <f>'KY_Cost-Plant Acct-Gas-P20 (PA)'!F14</f>
        <v>0</v>
      </c>
      <c r="G14" s="182"/>
      <c r="H14" s="182">
        <f>'KY_Cost-Plant Acct-Gas-P20 (PA)'!H14</f>
        <v>0</v>
      </c>
      <c r="I14" s="182"/>
      <c r="J14" s="182">
        <f t="shared" si="0"/>
        <v>0</v>
      </c>
      <c r="K14" s="182"/>
      <c r="L14" s="182">
        <f t="shared" si="1"/>
        <v>-124116.45999999999</v>
      </c>
    </row>
    <row r="15" spans="1:12">
      <c r="A15" t="s">
        <v>72</v>
      </c>
      <c r="B15" s="182">
        <f>'KY_Cost-Plant Acct-Gas-P20 (PA)'!B15</f>
        <v>-85336206.879999995</v>
      </c>
      <c r="C15" s="182"/>
      <c r="D15" s="182">
        <f>'KY_Cost-Plant Acct-Gas-P20 (PA)'!D15</f>
        <v>-7461.85</v>
      </c>
      <c r="E15" s="182"/>
      <c r="F15" s="182">
        <f>'KY_Cost-Plant Acct-Gas-P20 (PA)'!F15</f>
        <v>13155.16</v>
      </c>
      <c r="G15" s="182"/>
      <c r="H15" s="182">
        <f>'KY_Cost-Plant Acct-Gas-P20 (PA)'!H15</f>
        <v>0</v>
      </c>
      <c r="I15" s="182"/>
      <c r="J15" s="182">
        <f t="shared" si="0"/>
        <v>5693.3099999999995</v>
      </c>
      <c r="K15" s="182"/>
      <c r="L15" s="182">
        <f t="shared" si="1"/>
        <v>-85330513.569999993</v>
      </c>
    </row>
    <row r="16" spans="1:12">
      <c r="A16" t="s">
        <v>73</v>
      </c>
      <c r="B16" s="182">
        <f>'KY_Cost-Plant Acct-Gas-P20 (PA)'!B16</f>
        <v>-2297888.37</v>
      </c>
      <c r="C16" s="182"/>
      <c r="D16" s="182">
        <f>'KY_Cost-Plant Acct-Gas-P20 (PA)'!D16</f>
        <v>0</v>
      </c>
      <c r="E16" s="182"/>
      <c r="F16" s="182">
        <f>'KY_Cost-Plant Acct-Gas-P20 (PA)'!F16</f>
        <v>788.87</v>
      </c>
      <c r="G16" s="182"/>
      <c r="H16" s="182">
        <f>'KY_Cost-Plant Acct-Gas-P20 (PA)'!H16</f>
        <v>0</v>
      </c>
      <c r="I16" s="182"/>
      <c r="J16" s="182">
        <f t="shared" si="0"/>
        <v>788.87</v>
      </c>
      <c r="K16" s="182"/>
      <c r="L16" s="182">
        <f t="shared" si="1"/>
        <v>-2297099.5</v>
      </c>
    </row>
    <row r="17" spans="1:12">
      <c r="A17" t="s">
        <v>74</v>
      </c>
      <c r="B17" s="182">
        <f>'KY_Cost-Plant Acct-Gas-P20 (PA)'!B17</f>
        <v>-1642351.21</v>
      </c>
      <c r="C17" s="182"/>
      <c r="D17" s="182">
        <f>'KY_Cost-Plant Acct-Gas-P20 (PA)'!D17</f>
        <v>0</v>
      </c>
      <c r="E17" s="182"/>
      <c r="F17" s="182">
        <f>'KY_Cost-Plant Acct-Gas-P20 (PA)'!F17</f>
        <v>0</v>
      </c>
      <c r="G17" s="182"/>
      <c r="H17" s="182">
        <f>'KY_Cost-Plant Acct-Gas-P20 (PA)'!H17</f>
        <v>0</v>
      </c>
      <c r="I17" s="182"/>
      <c r="J17" s="182">
        <f t="shared" si="0"/>
        <v>0</v>
      </c>
      <c r="K17" s="182"/>
      <c r="L17" s="182">
        <f t="shared" si="1"/>
        <v>-1642351.21</v>
      </c>
    </row>
    <row r="18" spans="1:12">
      <c r="A18" t="s">
        <v>75</v>
      </c>
      <c r="B18" s="182">
        <f>'KY_Cost-Plant Acct-Gas-P20 (PA)'!B18</f>
        <v>-28011734.100000001</v>
      </c>
      <c r="C18" s="182"/>
      <c r="D18" s="182">
        <f>'KY_Cost-Plant Acct-Gas-P20 (PA)'!D18</f>
        <v>0</v>
      </c>
      <c r="E18" s="182"/>
      <c r="F18" s="182">
        <f>'KY_Cost-Plant Acct-Gas-P20 (PA)'!F18</f>
        <v>542.04999999999995</v>
      </c>
      <c r="G18" s="182"/>
      <c r="H18" s="182">
        <f>'KY_Cost-Plant Acct-Gas-P20 (PA)'!H18</f>
        <v>0</v>
      </c>
      <c r="I18" s="182"/>
      <c r="J18" s="182">
        <f t="shared" si="0"/>
        <v>542.04999999999995</v>
      </c>
      <c r="K18" s="182"/>
      <c r="L18" s="182">
        <f t="shared" si="1"/>
        <v>-28011192.050000001</v>
      </c>
    </row>
    <row r="19" spans="1:12">
      <c r="A19" t="s">
        <v>76</v>
      </c>
      <c r="B19" s="182">
        <f>'KY_Cost-Plant Acct-Gas-P20 (PA)'!B19</f>
        <v>-4889631.58</v>
      </c>
      <c r="C19" s="182"/>
      <c r="D19" s="182">
        <f>'KY_Cost-Plant Acct-Gas-P20 (PA)'!D19</f>
        <v>0</v>
      </c>
      <c r="E19" s="182"/>
      <c r="F19" s="182">
        <f>'KY_Cost-Plant Acct-Gas-P20 (PA)'!F19</f>
        <v>0</v>
      </c>
      <c r="G19" s="182"/>
      <c r="H19" s="182">
        <f>'KY_Cost-Plant Acct-Gas-P20 (PA)'!H19</f>
        <v>0</v>
      </c>
      <c r="I19" s="182"/>
      <c r="J19" s="182">
        <f t="shared" si="0"/>
        <v>0</v>
      </c>
      <c r="K19" s="182"/>
      <c r="L19" s="182">
        <f t="shared" si="1"/>
        <v>-4889631.58</v>
      </c>
    </row>
    <row r="20" spans="1:12">
      <c r="A20" t="s">
        <v>77</v>
      </c>
      <c r="B20" s="182">
        <f>'KY_Cost-Plant Acct-Gas-P20 (PA)'!B20</f>
        <v>-592016.72</v>
      </c>
      <c r="C20" s="182"/>
      <c r="D20" s="182">
        <f>'KY_Cost-Plant Acct-Gas-P20 (PA)'!D20</f>
        <v>0</v>
      </c>
      <c r="E20" s="182"/>
      <c r="F20" s="182">
        <f>'KY_Cost-Plant Acct-Gas-P20 (PA)'!F20</f>
        <v>0</v>
      </c>
      <c r="G20" s="182"/>
      <c r="H20" s="182">
        <f>'KY_Cost-Plant Acct-Gas-P20 (PA)'!H20</f>
        <v>0</v>
      </c>
      <c r="I20" s="182"/>
      <c r="J20" s="182">
        <f t="shared" si="0"/>
        <v>0</v>
      </c>
      <c r="K20" s="182"/>
      <c r="L20" s="182">
        <f t="shared" si="1"/>
        <v>-592016.72</v>
      </c>
    </row>
    <row r="21" spans="1:12">
      <c r="A21" t="s">
        <v>78</v>
      </c>
      <c r="B21" s="182">
        <f>'KY_Cost-Plant Acct-Gas-P20 (PA)'!B21</f>
        <v>-121845.75</v>
      </c>
      <c r="C21" s="182"/>
      <c r="D21" s="182">
        <f>'KY_Cost-Plant Acct-Gas-P20 (PA)'!D21</f>
        <v>0</v>
      </c>
      <c r="E21" s="182"/>
      <c r="F21" s="182">
        <f>'KY_Cost-Plant Acct-Gas-P20 (PA)'!F21</f>
        <v>0</v>
      </c>
      <c r="G21" s="182"/>
      <c r="H21" s="182">
        <f>'KY_Cost-Plant Acct-Gas-P20 (PA)'!H21</f>
        <v>0</v>
      </c>
      <c r="I21" s="182"/>
      <c r="J21" s="182">
        <f t="shared" si="0"/>
        <v>0</v>
      </c>
      <c r="K21" s="182"/>
      <c r="L21" s="182">
        <f t="shared" si="1"/>
        <v>-121845.75</v>
      </c>
    </row>
    <row r="22" spans="1:12">
      <c r="A22" t="s">
        <v>79</v>
      </c>
      <c r="B22" s="182">
        <f>'KY_Cost-Plant Acct-Gas-P20 (PA)'!B22</f>
        <v>-686.5</v>
      </c>
      <c r="C22" s="52"/>
      <c r="D22" s="182">
        <f>'KY_Cost-Plant Acct-Gas-P20 (PA)'!D22</f>
        <v>0</v>
      </c>
      <c r="E22" s="52"/>
      <c r="F22" s="182">
        <f>'KY_Cost-Plant Acct-Gas-P20 (PA)'!F22</f>
        <v>0</v>
      </c>
      <c r="G22" s="52"/>
      <c r="H22" s="182">
        <f>'KY_Cost-Plant Acct-Gas-P20 (PA)'!H22</f>
        <v>0</v>
      </c>
      <c r="I22" s="52"/>
      <c r="J22" s="52">
        <f t="shared" si="0"/>
        <v>0</v>
      </c>
      <c r="K22" s="52"/>
      <c r="L22" s="52">
        <f t="shared" si="1"/>
        <v>-686.5</v>
      </c>
    </row>
    <row r="23" spans="1:12">
      <c r="A23" t="s">
        <v>80</v>
      </c>
      <c r="B23" s="182">
        <f>'KY_Cost-Plant Acct-Gas-P20 (PA)'!B23</f>
        <v>0</v>
      </c>
      <c r="C23" s="52"/>
      <c r="D23" s="182">
        <f>'KY_Cost-Plant Acct-Gas-P20 (PA)'!D23</f>
        <v>0</v>
      </c>
      <c r="E23" s="52"/>
      <c r="F23" s="182">
        <f>'KY_Cost-Plant Acct-Gas-P20 (PA)'!F23</f>
        <v>0</v>
      </c>
      <c r="G23" s="52"/>
      <c r="H23" s="182">
        <f>'KY_Cost-Plant Acct-Gas-P20 (PA)'!H23</f>
        <v>0</v>
      </c>
      <c r="I23" s="52"/>
      <c r="J23" s="52">
        <f t="shared" si="0"/>
        <v>0</v>
      </c>
      <c r="K23" s="52"/>
      <c r="L23" s="52">
        <f t="shared" si="1"/>
        <v>0</v>
      </c>
    </row>
    <row r="24" spans="1:12">
      <c r="A24" t="s">
        <v>898</v>
      </c>
      <c r="B24" s="48">
        <f>'KY_Cost-Plant Acct-Gas-P20 (PA)'!B24</f>
        <v>0</v>
      </c>
      <c r="C24" s="52"/>
      <c r="D24" s="48">
        <f>'KY_Cost-Plant Acct-Gas-P20 (PA)'!D24</f>
        <v>0</v>
      </c>
      <c r="E24" s="52"/>
      <c r="F24" s="48">
        <f>'KY_Cost-Plant Acct-Gas-P20 (PA)'!F24</f>
        <v>0</v>
      </c>
      <c r="G24" s="52"/>
      <c r="H24" s="48">
        <f>'KY_Cost-Plant Acct-Gas-P20 (PA)'!H24</f>
        <v>0</v>
      </c>
      <c r="I24" s="52"/>
      <c r="J24" s="48">
        <f t="shared" si="0"/>
        <v>0</v>
      </c>
      <c r="K24" s="52"/>
      <c r="L24" s="48">
        <f t="shared" si="1"/>
        <v>0</v>
      </c>
    </row>
    <row r="25" spans="1:12">
      <c r="B25" s="52">
        <f>SUM(B11:B24)</f>
        <v>-123187246.26000001</v>
      </c>
      <c r="C25" s="52"/>
      <c r="D25" s="52">
        <f>SUM(D11:D24)</f>
        <v>-7461.85</v>
      </c>
      <c r="E25" s="52"/>
      <c r="F25" s="52">
        <f>SUM(F11:F24)</f>
        <v>14486.08</v>
      </c>
      <c r="G25" s="52"/>
      <c r="H25" s="52">
        <f>SUM(H11:H24)</f>
        <v>0</v>
      </c>
      <c r="I25" s="52"/>
      <c r="J25" s="52">
        <f>SUM(J11:J24)</f>
        <v>7024.23</v>
      </c>
      <c r="K25" s="52"/>
      <c r="L25" s="52">
        <f>SUM(L11:L24)</f>
        <v>-123180222.02999999</v>
      </c>
    </row>
    <row r="26" spans="1:12">
      <c r="B26" s="182"/>
      <c r="C26" s="182"/>
      <c r="D26" s="182"/>
      <c r="E26" s="182"/>
      <c r="F26" s="182"/>
      <c r="G26" s="182"/>
      <c r="H26" s="182"/>
      <c r="I26" s="182"/>
      <c r="J26" s="182"/>
      <c r="K26" s="182"/>
      <c r="L26" s="182"/>
    </row>
    <row r="27" spans="1:12">
      <c r="A27" s="3" t="s">
        <v>122</v>
      </c>
      <c r="B27" s="182"/>
      <c r="C27" s="182"/>
      <c r="D27" s="182"/>
      <c r="E27" s="182"/>
      <c r="F27" s="182"/>
      <c r="G27" s="182"/>
      <c r="H27" s="182"/>
      <c r="I27" s="182"/>
      <c r="J27" s="182"/>
      <c r="K27" s="182"/>
      <c r="L27" s="182"/>
    </row>
    <row r="28" spans="1:12">
      <c r="A28" t="s">
        <v>899</v>
      </c>
      <c r="B28" s="182">
        <f>'KY_Cost-Plant Acct-Gas-P20 (PA)'!B28</f>
        <v>-992001.17999999993</v>
      </c>
      <c r="C28" s="182"/>
      <c r="D28" s="182">
        <f>'KY_Cost-Plant Acct-Gas-P20 (PA)'!D28</f>
        <v>0</v>
      </c>
      <c r="E28" s="182"/>
      <c r="F28" s="182">
        <f>'KY_Cost-Plant Acct-Gas-P20 (PA)'!F28</f>
        <v>0</v>
      </c>
      <c r="G28" s="182"/>
      <c r="H28" s="182">
        <f>'KY_Cost-Plant Acct-Gas-P20 (PA)'!H28</f>
        <v>0</v>
      </c>
      <c r="I28" s="182"/>
      <c r="J28" s="182">
        <f t="shared" ref="J28:J33" si="2">H28+F28+D28</f>
        <v>0</v>
      </c>
      <c r="K28" s="182"/>
      <c r="L28" s="182">
        <f t="shared" ref="L28:L33" si="3">J28+B28</f>
        <v>-992001.17999999993</v>
      </c>
    </row>
    <row r="29" spans="1:12">
      <c r="A29" t="s">
        <v>900</v>
      </c>
      <c r="B29" s="182">
        <f>'KY_Cost-Plant Acct-Gas-P20 (PA)'!B29</f>
        <v>-201767.27000000002</v>
      </c>
      <c r="C29" s="182"/>
      <c r="D29" s="182">
        <f>'KY_Cost-Plant Acct-Gas-P20 (PA)'!D29</f>
        <v>0</v>
      </c>
      <c r="E29" s="182"/>
      <c r="F29" s="182">
        <f>'KY_Cost-Plant Acct-Gas-P20 (PA)'!F29</f>
        <v>0</v>
      </c>
      <c r="G29" s="182"/>
      <c r="H29" s="182">
        <f>'KY_Cost-Plant Acct-Gas-P20 (PA)'!H29</f>
        <v>0</v>
      </c>
      <c r="I29" s="182"/>
      <c r="J29" s="182">
        <f t="shared" si="2"/>
        <v>0</v>
      </c>
      <c r="K29" s="182"/>
      <c r="L29" s="182">
        <f t="shared" si="3"/>
        <v>-201767.27000000002</v>
      </c>
    </row>
    <row r="30" spans="1:12">
      <c r="A30" t="s">
        <v>901</v>
      </c>
      <c r="B30" s="182">
        <f>'KY_Cost-Plant Acct-Gas-P20 (PA)'!B30</f>
        <v>-1539410.2100000002</v>
      </c>
      <c r="C30" s="182"/>
      <c r="D30" s="182">
        <f>'KY_Cost-Plant Acct-Gas-P20 (PA)'!D30</f>
        <v>-6119.8</v>
      </c>
      <c r="E30" s="182"/>
      <c r="F30" s="182">
        <f>'KY_Cost-Plant Acct-Gas-P20 (PA)'!F30</f>
        <v>0</v>
      </c>
      <c r="G30" s="182"/>
      <c r="H30" s="182">
        <f>'KY_Cost-Plant Acct-Gas-P20 (PA)'!H30</f>
        <v>0</v>
      </c>
      <c r="I30" s="182"/>
      <c r="J30" s="182">
        <f t="shared" si="2"/>
        <v>-6119.8</v>
      </c>
      <c r="K30" s="182"/>
      <c r="L30" s="182">
        <f t="shared" si="3"/>
        <v>-1545530.0100000002</v>
      </c>
    </row>
    <row r="31" spans="1:12">
      <c r="A31" t="s">
        <v>995</v>
      </c>
      <c r="B31" s="182">
        <f>'KY_Cost-Plant Acct-Gas-P20 (PA)'!B31</f>
        <v>-6890.71</v>
      </c>
      <c r="C31" s="182"/>
      <c r="D31" s="182">
        <f>'KY_Cost-Plant Acct-Gas-P20 (PA)'!D31</f>
        <v>0</v>
      </c>
      <c r="E31" s="182"/>
      <c r="F31" s="182">
        <f>'KY_Cost-Plant Acct-Gas-P20 (PA)'!F31</f>
        <v>0</v>
      </c>
      <c r="G31" s="182"/>
      <c r="H31" s="182">
        <f>'KY_Cost-Plant Acct-Gas-P20 (PA)'!H31</f>
        <v>0</v>
      </c>
      <c r="I31" s="182"/>
      <c r="J31" s="182">
        <f t="shared" si="2"/>
        <v>0</v>
      </c>
      <c r="K31" s="182"/>
      <c r="L31" s="182">
        <f t="shared" si="3"/>
        <v>-6890.71</v>
      </c>
    </row>
    <row r="32" spans="1:12">
      <c r="A32" t="s">
        <v>996</v>
      </c>
      <c r="B32" s="182">
        <f>'KY_Cost-Plant Acct-Gas-P20 (PA)'!B32</f>
        <v>-1937639.12</v>
      </c>
      <c r="C32" s="52"/>
      <c r="D32" s="182">
        <f>'KY_Cost-Plant Acct-Gas-P20 (PA)'!D32</f>
        <v>0</v>
      </c>
      <c r="E32" s="52"/>
      <c r="F32" s="182">
        <f>'KY_Cost-Plant Acct-Gas-P20 (PA)'!F32</f>
        <v>0</v>
      </c>
      <c r="G32" s="52"/>
      <c r="H32" s="182">
        <f>'KY_Cost-Plant Acct-Gas-P20 (PA)'!H32</f>
        <v>0</v>
      </c>
      <c r="I32" s="52"/>
      <c r="J32" s="52">
        <f t="shared" si="2"/>
        <v>0</v>
      </c>
      <c r="K32" s="52"/>
      <c r="L32" s="52">
        <f t="shared" si="3"/>
        <v>-1937639.12</v>
      </c>
    </row>
    <row r="33" spans="1:12">
      <c r="A33" t="s">
        <v>997</v>
      </c>
      <c r="B33" s="48">
        <f>'KY_Cost-Plant Acct-Gas-P20 (PA)'!B33</f>
        <v>-35252.800000000003</v>
      </c>
      <c r="C33" s="52"/>
      <c r="D33" s="48">
        <f>'KY_Cost-Plant Acct-Gas-P20 (PA)'!D33</f>
        <v>0</v>
      </c>
      <c r="E33" s="52"/>
      <c r="F33" s="48">
        <f>'KY_Cost-Plant Acct-Gas-P20 (PA)'!F33</f>
        <v>0</v>
      </c>
      <c r="G33" s="52"/>
      <c r="H33" s="48">
        <f>'KY_Cost-Plant Acct-Gas-P20 (PA)'!H33</f>
        <v>0</v>
      </c>
      <c r="I33" s="52"/>
      <c r="J33" s="48">
        <f t="shared" si="2"/>
        <v>0</v>
      </c>
      <c r="K33" s="52"/>
      <c r="L33" s="48">
        <f t="shared" si="3"/>
        <v>-35252.800000000003</v>
      </c>
    </row>
    <row r="34" spans="1:12">
      <c r="B34" s="52">
        <f>SUM(B28:B33)</f>
        <v>-4712961.29</v>
      </c>
      <c r="C34" s="52"/>
      <c r="D34" s="52">
        <f>SUM(D28:D33)</f>
        <v>-6119.8</v>
      </c>
      <c r="E34" s="52"/>
      <c r="F34" s="52">
        <f>SUM(F28:F33)</f>
        <v>0</v>
      </c>
      <c r="G34" s="52"/>
      <c r="H34" s="52">
        <f>SUM(H28:H33)</f>
        <v>0</v>
      </c>
      <c r="I34" s="52"/>
      <c r="J34" s="52">
        <f>SUM(J28:J33)</f>
        <v>-6119.8</v>
      </c>
      <c r="K34" s="52"/>
      <c r="L34" s="52">
        <f>SUM(L28:L33)</f>
        <v>-4719081.09</v>
      </c>
    </row>
    <row r="35" spans="1:12">
      <c r="B35" s="52"/>
      <c r="C35" s="52"/>
      <c r="D35" s="52"/>
      <c r="E35" s="52"/>
      <c r="F35" s="52"/>
      <c r="G35" s="52"/>
      <c r="H35" s="52"/>
      <c r="I35" s="52"/>
      <c r="J35" s="52"/>
      <c r="K35" s="52"/>
      <c r="L35" s="52"/>
    </row>
    <row r="36" spans="1:12">
      <c r="A36" s="3" t="s">
        <v>123</v>
      </c>
      <c r="B36" s="52"/>
      <c r="C36" s="52"/>
      <c r="D36" s="52"/>
      <c r="E36" s="52"/>
      <c r="F36" s="52"/>
      <c r="G36" s="52"/>
      <c r="H36" s="52"/>
      <c r="I36" s="52"/>
      <c r="J36" s="52"/>
      <c r="K36" s="52"/>
      <c r="L36" s="52"/>
    </row>
    <row r="37" spans="1:12">
      <c r="A37" t="s">
        <v>998</v>
      </c>
      <c r="B37" s="48">
        <f>'KY_Cost-Plant Acct-Gas-P20 (PA)'!B37</f>
        <v>-119.15999999999997</v>
      </c>
      <c r="C37" s="52"/>
      <c r="D37" s="48">
        <f>'KY_Cost-Plant Acct-Gas-P20 (PA)'!D37</f>
        <v>0</v>
      </c>
      <c r="E37" s="52"/>
      <c r="F37" s="48">
        <f>'KY_Cost-Plant Acct-Gas-P20 (PA)'!F37</f>
        <v>0</v>
      </c>
      <c r="G37" s="52"/>
      <c r="H37" s="48">
        <f>'KY_Cost-Plant Acct-Gas-P20 (PA)'!H37</f>
        <v>0</v>
      </c>
      <c r="I37" s="52"/>
      <c r="J37" s="48">
        <f>H37+F37+D37</f>
        <v>0</v>
      </c>
      <c r="K37" s="52"/>
      <c r="L37" s="48">
        <f>J37+B37</f>
        <v>-119.15999999999997</v>
      </c>
    </row>
    <row r="38" spans="1:12">
      <c r="B38" s="52">
        <f>SUM(B37)</f>
        <v>-119.15999999999997</v>
      </c>
      <c r="C38" s="52"/>
      <c r="D38" s="52">
        <f>SUM(D37)</f>
        <v>0</v>
      </c>
      <c r="E38" s="52"/>
      <c r="F38" s="52">
        <f>SUM(F37)</f>
        <v>0</v>
      </c>
      <c r="G38" s="52"/>
      <c r="H38" s="52">
        <f>SUM(H37)</f>
        <v>0</v>
      </c>
      <c r="I38" s="52"/>
      <c r="J38" s="52">
        <f>SUM(J37)</f>
        <v>0</v>
      </c>
      <c r="K38" s="52"/>
      <c r="L38" s="52">
        <f>SUM(L37)</f>
        <v>-119.15999999999997</v>
      </c>
    </row>
    <row r="39" spans="1:12">
      <c r="B39" s="52"/>
      <c r="C39" s="52"/>
      <c r="D39" s="52"/>
      <c r="E39" s="52"/>
      <c r="F39" s="52"/>
      <c r="G39" s="52"/>
      <c r="H39" s="52"/>
      <c r="I39" s="52"/>
      <c r="J39" s="52"/>
      <c r="K39" s="52"/>
      <c r="L39" s="52"/>
    </row>
    <row r="40" spans="1:12">
      <c r="A40" s="3" t="s">
        <v>124</v>
      </c>
      <c r="B40" s="52"/>
      <c r="C40" s="52"/>
      <c r="D40" s="52"/>
      <c r="E40" s="52"/>
      <c r="F40" s="52"/>
      <c r="G40" s="52"/>
      <c r="H40" s="52"/>
      <c r="I40" s="52"/>
      <c r="J40" s="52"/>
      <c r="K40" s="52"/>
      <c r="L40" s="52"/>
    </row>
    <row r="41" spans="1:12">
      <c r="A41" t="s">
        <v>13</v>
      </c>
      <c r="B41" s="52">
        <f>'KY_Cost-Plant Acct-Gas-P20 (PA)'!B41+'IN_Cost-Plant Acct-Gas-P22 (PA)'!B11</f>
        <v>0</v>
      </c>
      <c r="C41" s="52"/>
      <c r="D41" s="52">
        <f>'KY_Cost-Plant Acct-Gas-P20 (PA)'!D41+'IN_Cost-Plant Acct-Gas-P22 (PA)'!D11</f>
        <v>0</v>
      </c>
      <c r="E41" s="52"/>
      <c r="F41" s="52">
        <f>'KY_Cost-Plant Acct-Gas-P20 (PA)'!F41+'IN_Cost-Plant Acct-Gas-P22 (PA)'!F11</f>
        <v>0</v>
      </c>
      <c r="G41" s="52"/>
      <c r="H41" s="52">
        <f>'KY_Cost-Plant Acct-Gas-P20 (PA)'!H41+'IN_Cost-Plant Acct-Gas-P22 (PA)'!H11</f>
        <v>0</v>
      </c>
      <c r="I41" s="52"/>
      <c r="J41" s="52">
        <f t="shared" ref="J41:J58" si="4">H41+F41+D41</f>
        <v>0</v>
      </c>
      <c r="K41" s="52"/>
      <c r="L41" s="52">
        <f t="shared" ref="L41:L58" si="5">J41+B41</f>
        <v>0</v>
      </c>
    </row>
    <row r="42" spans="1:12">
      <c r="A42" t="s">
        <v>559</v>
      </c>
      <c r="B42" s="52">
        <f>'KY_Cost-Plant Acct-Gas-P20 (PA)'!B42</f>
        <v>-70451.45</v>
      </c>
      <c r="C42" s="52"/>
      <c r="D42" s="52">
        <f>'KY_Cost-Plant Acct-Gas-P20 (PA)'!D42</f>
        <v>0</v>
      </c>
      <c r="E42" s="52"/>
      <c r="F42" s="52">
        <f>'KY_Cost-Plant Acct-Gas-P20 (PA)'!F42</f>
        <v>0</v>
      </c>
      <c r="G42" s="52"/>
      <c r="H42" s="52">
        <f>'KY_Cost-Plant Acct-Gas-P20 (PA)'!H42</f>
        <v>0</v>
      </c>
      <c r="I42" s="52"/>
      <c r="J42" s="52">
        <f t="shared" si="4"/>
        <v>0</v>
      </c>
      <c r="K42" s="52"/>
      <c r="L42" s="52">
        <f t="shared" si="5"/>
        <v>-70451.45</v>
      </c>
    </row>
    <row r="43" spans="1:12">
      <c r="A43" t="s">
        <v>560</v>
      </c>
      <c r="B43" s="52">
        <f>'KY_Cost-Plant Acct-Gas-P20 (PA)'!B43</f>
        <v>-809470.3600000001</v>
      </c>
      <c r="C43" s="52"/>
      <c r="D43" s="52">
        <f>'KY_Cost-Plant Acct-Gas-P20 (PA)'!D43</f>
        <v>0</v>
      </c>
      <c r="E43" s="52"/>
      <c r="F43" s="52">
        <f>'KY_Cost-Plant Acct-Gas-P20 (PA)'!F43</f>
        <v>0</v>
      </c>
      <c r="G43" s="52"/>
      <c r="H43" s="52">
        <f>'KY_Cost-Plant Acct-Gas-P20 (PA)'!H43</f>
        <v>0</v>
      </c>
      <c r="I43" s="52"/>
      <c r="J43" s="52">
        <f t="shared" si="4"/>
        <v>0</v>
      </c>
      <c r="K43" s="52"/>
      <c r="L43" s="52">
        <f t="shared" si="5"/>
        <v>-809470.3600000001</v>
      </c>
    </row>
    <row r="44" spans="1:12">
      <c r="A44" t="s">
        <v>561</v>
      </c>
      <c r="B44" s="52">
        <f>'KY_Cost-Plant Acct-Gas-P20 (PA)'!B44</f>
        <v>-13017.57</v>
      </c>
      <c r="C44" s="52"/>
      <c r="D44" s="52">
        <f>'KY_Cost-Plant Acct-Gas-P20 (PA)'!D44</f>
        <v>0</v>
      </c>
      <c r="E44" s="52"/>
      <c r="F44" s="52">
        <f>'KY_Cost-Plant Acct-Gas-P20 (PA)'!F44</f>
        <v>0</v>
      </c>
      <c r="G44" s="52"/>
      <c r="H44" s="52">
        <f>'KY_Cost-Plant Acct-Gas-P20 (PA)'!H44</f>
        <v>0</v>
      </c>
      <c r="I44" s="52"/>
      <c r="J44" s="52">
        <f t="shared" si="4"/>
        <v>0</v>
      </c>
      <c r="K44" s="52"/>
      <c r="L44" s="52">
        <f t="shared" si="5"/>
        <v>-13017.57</v>
      </c>
    </row>
    <row r="45" spans="1:12">
      <c r="A45" t="s">
        <v>14</v>
      </c>
      <c r="B45" s="52">
        <f>'KY_Cost-Plant Acct-Gas-P20 (PA)'!B45+'IN_Cost-Plant Acct-Gas-P22 (PA)'!B12</f>
        <v>-749781.54</v>
      </c>
      <c r="C45" s="52"/>
      <c r="D45" s="52">
        <f>'KY_Cost-Plant Acct-Gas-P20 (PA)'!D45+'IN_Cost-Plant Acct-Gas-P22 (PA)'!D12</f>
        <v>0</v>
      </c>
      <c r="E45" s="52"/>
      <c r="F45" s="52">
        <f>'KY_Cost-Plant Acct-Gas-P20 (PA)'!F45+'IN_Cost-Plant Acct-Gas-P22 (PA)'!F12</f>
        <v>0</v>
      </c>
      <c r="G45" s="52"/>
      <c r="H45" s="52">
        <f>'KY_Cost-Plant Acct-Gas-P20 (PA)'!H45+'IN_Cost-Plant Acct-Gas-P22 (PA)'!H12</f>
        <v>0</v>
      </c>
      <c r="I45" s="52"/>
      <c r="J45" s="52">
        <f t="shared" si="4"/>
        <v>0</v>
      </c>
      <c r="K45" s="52"/>
      <c r="L45" s="52">
        <f t="shared" si="5"/>
        <v>-749781.54</v>
      </c>
    </row>
    <row r="46" spans="1:12">
      <c r="A46" t="s">
        <v>562</v>
      </c>
      <c r="B46" s="52">
        <f>'KY_Cost-Plant Acct-Gas-P20 (PA)'!B46</f>
        <v>-569589.96</v>
      </c>
      <c r="C46" s="52"/>
      <c r="D46" s="52">
        <f>'KY_Cost-Plant Acct-Gas-P20 (PA)'!D46</f>
        <v>0</v>
      </c>
      <c r="E46" s="52"/>
      <c r="F46" s="52">
        <f>'KY_Cost-Plant Acct-Gas-P20 (PA)'!F46</f>
        <v>0</v>
      </c>
      <c r="G46" s="52"/>
      <c r="H46" s="52">
        <f>'KY_Cost-Plant Acct-Gas-P20 (PA)'!H46</f>
        <v>0</v>
      </c>
      <c r="I46" s="52"/>
      <c r="J46" s="52">
        <f t="shared" si="4"/>
        <v>0</v>
      </c>
      <c r="K46" s="52"/>
      <c r="L46" s="52">
        <f t="shared" si="5"/>
        <v>-569589.96</v>
      </c>
    </row>
    <row r="47" spans="1:12">
      <c r="A47" t="s">
        <v>563</v>
      </c>
      <c r="B47" s="52">
        <f>'KY_Cost-Plant Acct-Gas-P20 (PA)'!B47</f>
        <v>-452027.32</v>
      </c>
      <c r="C47" s="52"/>
      <c r="D47" s="52">
        <f>'KY_Cost-Plant Acct-Gas-P20 (PA)'!D47</f>
        <v>0</v>
      </c>
      <c r="E47" s="52"/>
      <c r="F47" s="52">
        <f>'KY_Cost-Plant Acct-Gas-P20 (PA)'!F47</f>
        <v>0</v>
      </c>
      <c r="G47" s="52"/>
      <c r="H47" s="52">
        <f>'KY_Cost-Plant Acct-Gas-P20 (PA)'!H47</f>
        <v>0</v>
      </c>
      <c r="I47" s="52"/>
      <c r="J47" s="52">
        <f t="shared" si="4"/>
        <v>0</v>
      </c>
      <c r="K47" s="52"/>
      <c r="L47" s="52">
        <f t="shared" si="5"/>
        <v>-452027.32</v>
      </c>
    </row>
    <row r="48" spans="1:12">
      <c r="A48" t="s">
        <v>564</v>
      </c>
      <c r="B48" s="52">
        <f>'KY_Cost-Plant Acct-Gas-P20 (PA)'!B48</f>
        <v>-7668812.0300000003</v>
      </c>
      <c r="C48" s="52"/>
      <c r="D48" s="52">
        <f>'KY_Cost-Plant Acct-Gas-P20 (PA)'!D48</f>
        <v>0</v>
      </c>
      <c r="E48" s="52"/>
      <c r="F48" s="52">
        <f>'KY_Cost-Plant Acct-Gas-P20 (PA)'!F48</f>
        <v>0</v>
      </c>
      <c r="G48" s="52"/>
      <c r="H48" s="52">
        <f>'KY_Cost-Plant Acct-Gas-P20 (PA)'!H48</f>
        <v>0</v>
      </c>
      <c r="I48" s="52"/>
      <c r="J48" s="52">
        <f t="shared" si="4"/>
        <v>0</v>
      </c>
      <c r="K48" s="52"/>
      <c r="L48" s="52">
        <f t="shared" si="5"/>
        <v>-7668812.0300000003</v>
      </c>
    </row>
    <row r="49" spans="1:12">
      <c r="A49" t="s">
        <v>15</v>
      </c>
      <c r="B49" s="52">
        <f>'KY_Cost-Plant Acct-Gas-P20 (PA)'!B49+'IN_Cost-Plant Acct-Gas-P22 (PA)'!B13</f>
        <v>-2272736.19</v>
      </c>
      <c r="C49" s="52"/>
      <c r="D49" s="52">
        <f>'KY_Cost-Plant Acct-Gas-P20 (PA)'!D49+'IN_Cost-Plant Acct-Gas-P22 (PA)'!D13</f>
        <v>0</v>
      </c>
      <c r="E49" s="52"/>
      <c r="F49" s="52">
        <f>'KY_Cost-Plant Acct-Gas-P20 (PA)'!F49+'IN_Cost-Plant Acct-Gas-P22 (PA)'!F13</f>
        <v>0</v>
      </c>
      <c r="G49" s="52"/>
      <c r="H49" s="52">
        <f>'KY_Cost-Plant Acct-Gas-P20 (PA)'!H49+'IN_Cost-Plant Acct-Gas-P22 (PA)'!H13</f>
        <v>0</v>
      </c>
      <c r="I49" s="52"/>
      <c r="J49" s="52">
        <f t="shared" si="4"/>
        <v>0</v>
      </c>
      <c r="K49" s="52"/>
      <c r="L49" s="52">
        <f t="shared" si="5"/>
        <v>-2272736.19</v>
      </c>
    </row>
    <row r="50" spans="1:12">
      <c r="A50" t="s">
        <v>1093</v>
      </c>
      <c r="B50" s="52">
        <f>'KY_Cost-Plant Acct-Gas-P20 (PA)'!B50+'IN_Cost-Plant Acct-Gas-P22 (PA)'!B14</f>
        <v>-1534457.6099999999</v>
      </c>
      <c r="C50" s="52"/>
      <c r="D50" s="52">
        <f>'KY_Cost-Plant Acct-Gas-P20 (PA)'!D50+'IN_Cost-Plant Acct-Gas-P22 (PA)'!D14</f>
        <v>0</v>
      </c>
      <c r="E50" s="52"/>
      <c r="F50" s="52">
        <f>'KY_Cost-Plant Acct-Gas-P20 (PA)'!F50+'IN_Cost-Plant Acct-Gas-P22 (PA)'!F14</f>
        <v>0</v>
      </c>
      <c r="G50" s="52"/>
      <c r="H50" s="52">
        <f>'KY_Cost-Plant Acct-Gas-P20 (PA)'!H50+'IN_Cost-Plant Acct-Gas-P22 (PA)'!H14</f>
        <v>0</v>
      </c>
      <c r="I50" s="52"/>
      <c r="J50" s="52">
        <f t="shared" si="4"/>
        <v>0</v>
      </c>
      <c r="K50" s="52"/>
      <c r="L50" s="52">
        <f t="shared" si="5"/>
        <v>-1534457.6099999999</v>
      </c>
    </row>
    <row r="51" spans="1:12">
      <c r="A51" t="s">
        <v>1092</v>
      </c>
      <c r="B51" s="52">
        <f>'KY_Cost-Plant Acct-Gas-P20 (PA)'!B51+'IN_Cost-Plant Acct-Gas-P22 (PA)'!B15</f>
        <v>-916798.2</v>
      </c>
      <c r="C51" s="52"/>
      <c r="D51" s="52">
        <f>'KY_Cost-Plant Acct-Gas-P20 (PA)'!D51+'IN_Cost-Plant Acct-Gas-P22 (PA)'!D15</f>
        <v>0</v>
      </c>
      <c r="E51" s="52"/>
      <c r="F51" s="52">
        <f>'KY_Cost-Plant Acct-Gas-P20 (PA)'!F51+'IN_Cost-Plant Acct-Gas-P22 (PA)'!F15</f>
        <v>0</v>
      </c>
      <c r="G51" s="52"/>
      <c r="H51" s="52">
        <f>'KY_Cost-Plant Acct-Gas-P20 (PA)'!H51+'IN_Cost-Plant Acct-Gas-P22 (PA)'!H15</f>
        <v>0</v>
      </c>
      <c r="I51" s="52"/>
      <c r="J51" s="52">
        <f t="shared" si="4"/>
        <v>0</v>
      </c>
      <c r="K51" s="52"/>
      <c r="L51" s="52">
        <f t="shared" si="5"/>
        <v>-916798.2</v>
      </c>
    </row>
    <row r="52" spans="1:12">
      <c r="A52" t="s">
        <v>16</v>
      </c>
      <c r="B52" s="52">
        <f>'KY_Cost-Plant Acct-Gas-P20 (PA)'!B52+'IN_Cost-Plant Acct-Gas-P22 (PA)'!B16</f>
        <v>-6551271.169999999</v>
      </c>
      <c r="C52" s="52"/>
      <c r="D52" s="52">
        <f>'KY_Cost-Plant Acct-Gas-P20 (PA)'!D52+'IN_Cost-Plant Acct-Gas-P22 (PA)'!D16</f>
        <v>0</v>
      </c>
      <c r="E52" s="52"/>
      <c r="F52" s="52">
        <f>'KY_Cost-Plant Acct-Gas-P20 (PA)'!F52+'IN_Cost-Plant Acct-Gas-P22 (PA)'!F16</f>
        <v>16719.38</v>
      </c>
      <c r="G52" s="52"/>
      <c r="H52" s="52">
        <f>'KY_Cost-Plant Acct-Gas-P20 (PA)'!H52+'IN_Cost-Plant Acct-Gas-P22 (PA)'!H16</f>
        <v>0</v>
      </c>
      <c r="I52" s="52"/>
      <c r="J52" s="52">
        <f t="shared" si="4"/>
        <v>16719.38</v>
      </c>
      <c r="K52" s="52"/>
      <c r="L52" s="52">
        <f t="shared" si="5"/>
        <v>-6534551.7899999991</v>
      </c>
    </row>
    <row r="53" spans="1:12">
      <c r="A53" t="s">
        <v>565</v>
      </c>
      <c r="B53" s="52">
        <f>'KY_Cost-Plant Acct-Gas-P20 (PA)'!B53+'IN_Cost-Plant Acct-Gas-P22 (PA)'!B17</f>
        <v>-5081034.6199999992</v>
      </c>
      <c r="C53" s="52"/>
      <c r="D53" s="52">
        <f>'KY_Cost-Plant Acct-Gas-P20 (PA)'!D53+'IN_Cost-Plant Acct-Gas-P22 (PA)'!D17</f>
        <v>0</v>
      </c>
      <c r="E53" s="52"/>
      <c r="F53" s="52">
        <f>'KY_Cost-Plant Acct-Gas-P20 (PA)'!F53</f>
        <v>15058.01</v>
      </c>
      <c r="G53" s="52"/>
      <c r="H53" s="52">
        <f>'KY_Cost-Plant Acct-Gas-P20 (PA)'!H53</f>
        <v>1342.41</v>
      </c>
      <c r="I53" s="52"/>
      <c r="J53" s="52">
        <f t="shared" si="4"/>
        <v>16400.420000000002</v>
      </c>
      <c r="K53" s="52"/>
      <c r="L53" s="52">
        <f t="shared" si="5"/>
        <v>-5064634.1999999993</v>
      </c>
    </row>
    <row r="54" spans="1:12">
      <c r="A54" t="s">
        <v>566</v>
      </c>
      <c r="B54" s="52">
        <f>'KY_Cost-Plant Acct-Gas-P20 (PA)'!B54</f>
        <v>-278139.51</v>
      </c>
      <c r="C54" s="52"/>
      <c r="D54" s="52">
        <f>'KY_Cost-Plant Acct-Gas-P20 (PA)'!D54</f>
        <v>0</v>
      </c>
      <c r="E54" s="52"/>
      <c r="F54" s="52">
        <f>'KY_Cost-Plant Acct-Gas-P20 (PA)'!F54</f>
        <v>0</v>
      </c>
      <c r="G54" s="52"/>
      <c r="H54" s="52">
        <f>'KY_Cost-Plant Acct-Gas-P20 (PA)'!H54</f>
        <v>0</v>
      </c>
      <c r="I54" s="52"/>
      <c r="J54" s="52">
        <f t="shared" si="4"/>
        <v>0</v>
      </c>
      <c r="K54" s="52"/>
      <c r="L54" s="52">
        <f t="shared" si="5"/>
        <v>-278139.51</v>
      </c>
    </row>
    <row r="55" spans="1:12">
      <c r="A55" t="s">
        <v>567</v>
      </c>
      <c r="B55" s="52">
        <f>'KY_Cost-Plant Acct-Gas-P20 (PA)'!B55</f>
        <v>-4102207.99</v>
      </c>
      <c r="C55" s="52"/>
      <c r="D55" s="52">
        <f>'KY_Cost-Plant Acct-Gas-P20 (PA)'!D55</f>
        <v>0</v>
      </c>
      <c r="E55" s="52"/>
      <c r="F55" s="52">
        <f>'KY_Cost-Plant Acct-Gas-P20 (PA)'!F55</f>
        <v>7288.86</v>
      </c>
      <c r="G55" s="52"/>
      <c r="H55" s="52">
        <f>'KY_Cost-Plant Acct-Gas-P20 (PA)'!H55</f>
        <v>-1342.41</v>
      </c>
      <c r="I55" s="52"/>
      <c r="J55" s="52">
        <f t="shared" si="4"/>
        <v>5946.45</v>
      </c>
      <c r="K55" s="52"/>
      <c r="L55" s="52">
        <f t="shared" si="5"/>
        <v>-4096261.54</v>
      </c>
    </row>
    <row r="56" spans="1:12">
      <c r="A56" t="s">
        <v>17</v>
      </c>
      <c r="B56" s="52">
        <f>'KY_Cost-Plant Acct-Gas-P20 (PA)'!B56+'IN_Cost-Plant Acct-Gas-P22 (PA)'!B18</f>
        <v>-392725.98999999993</v>
      </c>
      <c r="C56" s="52"/>
      <c r="D56" s="52">
        <f>'KY_Cost-Plant Acct-Gas-P20 (PA)'!D56+'IN_Cost-Plant Acct-Gas-P22 (PA)'!D18</f>
        <v>0</v>
      </c>
      <c r="E56" s="52"/>
      <c r="F56" s="52">
        <f>'KY_Cost-Plant Acct-Gas-P20 (PA)'!F56+'IN_Cost-Plant Acct-Gas-P22 (PA)'!F18</f>
        <v>0</v>
      </c>
      <c r="G56" s="52"/>
      <c r="H56" s="52">
        <f>'KY_Cost-Plant Acct-Gas-P20 (PA)'!H56+'IN_Cost-Plant Acct-Gas-P22 (PA)'!H18</f>
        <v>0</v>
      </c>
      <c r="I56" s="52"/>
      <c r="J56" s="52">
        <f t="shared" si="4"/>
        <v>0</v>
      </c>
      <c r="K56" s="52"/>
      <c r="L56" s="52">
        <f t="shared" si="5"/>
        <v>-392725.98999999993</v>
      </c>
    </row>
    <row r="57" spans="1:12">
      <c r="A57" t="s">
        <v>568</v>
      </c>
      <c r="B57" s="52">
        <f>'KY_Cost-Plant Acct-Gas-P20 (PA)'!B57</f>
        <v>0</v>
      </c>
      <c r="C57" s="52"/>
      <c r="D57" s="52">
        <f>'KY_Cost-Plant Acct-Gas-P20 (PA)'!D57</f>
        <v>0</v>
      </c>
      <c r="E57" s="52"/>
      <c r="F57" s="52">
        <f>'KY_Cost-Plant Acct-Gas-P20 (PA)'!F57</f>
        <v>0</v>
      </c>
      <c r="G57" s="52"/>
      <c r="H57" s="52">
        <f>'KY_Cost-Plant Acct-Gas-P20 (PA)'!H57</f>
        <v>0</v>
      </c>
      <c r="I57" s="52"/>
      <c r="J57" s="52">
        <f t="shared" si="4"/>
        <v>0</v>
      </c>
      <c r="K57" s="52"/>
      <c r="L57" s="52">
        <f t="shared" si="5"/>
        <v>0</v>
      </c>
    </row>
    <row r="58" spans="1:12">
      <c r="A58" t="s">
        <v>569</v>
      </c>
      <c r="B58" s="48">
        <f>'KY_Cost-Plant Acct-Gas-P20 (PA)'!B58</f>
        <v>0</v>
      </c>
      <c r="C58" s="52"/>
      <c r="D58" s="48">
        <f>'KY_Cost-Plant Acct-Gas-P20 (PA)'!D58</f>
        <v>0</v>
      </c>
      <c r="E58" s="52"/>
      <c r="F58" s="48">
        <f>'KY_Cost-Plant Acct-Gas-P20 (PA)'!F58</f>
        <v>0</v>
      </c>
      <c r="G58" s="52"/>
      <c r="H58" s="48">
        <f>'KY_Cost-Plant Acct-Gas-P20 (PA)'!H58</f>
        <v>0</v>
      </c>
      <c r="I58" s="52"/>
      <c r="J58" s="48">
        <f t="shared" si="4"/>
        <v>0</v>
      </c>
      <c r="K58" s="52"/>
      <c r="L58" s="48">
        <f t="shared" si="5"/>
        <v>0</v>
      </c>
    </row>
    <row r="59" spans="1:12">
      <c r="B59" s="52">
        <f>SUM(B41:B58)</f>
        <v>-31462521.509999994</v>
      </c>
      <c r="C59" s="52"/>
      <c r="D59" s="52">
        <f>SUM(D41:D58)</f>
        <v>0</v>
      </c>
      <c r="E59" s="52"/>
      <c r="F59" s="52">
        <f>SUM(F41:F58)</f>
        <v>39066.25</v>
      </c>
      <c r="G59" s="52"/>
      <c r="H59" s="52">
        <f>SUM(H41:H58)</f>
        <v>0</v>
      </c>
      <c r="I59" s="52"/>
      <c r="J59" s="52">
        <f>SUM(J41:J58)</f>
        <v>39066.25</v>
      </c>
      <c r="K59" s="52"/>
      <c r="L59" s="52">
        <f>SUM(L41:L58)</f>
        <v>-31423455.259999994</v>
      </c>
    </row>
    <row r="60" spans="1:12">
      <c r="B60" s="182"/>
      <c r="C60" s="182"/>
      <c r="D60" s="182"/>
      <c r="E60" s="182"/>
      <c r="F60" s="182"/>
      <c r="G60" s="182"/>
      <c r="H60" s="182"/>
      <c r="I60" s="182"/>
      <c r="J60" s="182"/>
      <c r="K60" s="182"/>
      <c r="L60" s="182"/>
    </row>
    <row r="61" spans="1:12">
      <c r="A61" s="3" t="s">
        <v>125</v>
      </c>
      <c r="B61" s="182"/>
      <c r="C61" s="182"/>
      <c r="D61" s="182"/>
      <c r="E61" s="182"/>
      <c r="F61" s="182"/>
      <c r="G61" s="182"/>
      <c r="H61" s="182"/>
      <c r="I61" s="182"/>
      <c r="J61" s="182"/>
      <c r="K61" s="182"/>
      <c r="L61" s="182"/>
    </row>
    <row r="62" spans="1:12">
      <c r="A62" t="s">
        <v>570</v>
      </c>
      <c r="B62" s="182">
        <f>'KY_Cost-Plant Acct-Gas-P20 (PA)'!B62</f>
        <v>-208142.37</v>
      </c>
      <c r="C62" s="182"/>
      <c r="D62" s="182">
        <f>'KY_Cost-Plant Acct-Gas-P20 (PA)'!D62</f>
        <v>0</v>
      </c>
      <c r="E62" s="182"/>
      <c r="F62" s="182">
        <f>'KY_Cost-Plant Acct-Gas-P20 (PA)'!F62</f>
        <v>0</v>
      </c>
      <c r="G62" s="182"/>
      <c r="H62" s="182">
        <f>'KY_Cost-Plant Acct-Gas-P20 (PA)'!H62</f>
        <v>0</v>
      </c>
      <c r="I62" s="182"/>
      <c r="J62" s="182">
        <f>H62+F62+D62</f>
        <v>0</v>
      </c>
      <c r="K62" s="182"/>
      <c r="L62" s="182">
        <f>J62+B62</f>
        <v>-208142.37</v>
      </c>
    </row>
    <row r="63" spans="1:12">
      <c r="A63" t="s">
        <v>571</v>
      </c>
      <c r="B63" s="182">
        <f>'KY_Cost-Plant Acct-Gas-P20 (PA)'!B63</f>
        <v>-9218471.7699999996</v>
      </c>
      <c r="C63" s="182"/>
      <c r="D63" s="182">
        <f>'KY_Cost-Plant Acct-Gas-P20 (PA)'!D63</f>
        <v>0</v>
      </c>
      <c r="E63" s="182"/>
      <c r="F63" s="182">
        <f>'KY_Cost-Plant Acct-Gas-P20 (PA)'!F63</f>
        <v>698.24</v>
      </c>
      <c r="G63" s="182"/>
      <c r="H63" s="182">
        <f>'KY_Cost-Plant Acct-Gas-P20 (PA)'!H63</f>
        <v>0</v>
      </c>
      <c r="I63" s="182"/>
      <c r="J63" s="182">
        <f>H63+F63+D63</f>
        <v>698.24</v>
      </c>
      <c r="K63" s="182"/>
      <c r="L63" s="182">
        <f>J63+B63</f>
        <v>-9217773.5299999993</v>
      </c>
    </row>
    <row r="64" spans="1:12">
      <c r="A64" t="s">
        <v>1444</v>
      </c>
      <c r="B64" s="48">
        <f>'KY_Cost-Plant Acct-Gas-P20 (PA)'!B64</f>
        <v>0</v>
      </c>
      <c r="C64" s="182"/>
      <c r="D64" s="48">
        <f>'KY_Cost-Plant Acct-Gas-P20 (PA)'!D64</f>
        <v>0</v>
      </c>
      <c r="E64" s="182"/>
      <c r="F64" s="48">
        <f>'KY_Cost-Plant Acct-Gas-P20 (PA)'!F64</f>
        <v>0</v>
      </c>
      <c r="G64" s="182"/>
      <c r="H64" s="48">
        <f>'KY_Cost-Plant Acct-Gas-P20 (PA)'!H64</f>
        <v>0</v>
      </c>
      <c r="I64" s="182"/>
      <c r="J64" s="48">
        <f>H64+F64+D64</f>
        <v>0</v>
      </c>
      <c r="K64" s="182"/>
      <c r="L64" s="48">
        <f>J64+B64</f>
        <v>0</v>
      </c>
    </row>
    <row r="65" spans="1:12">
      <c r="B65" s="52">
        <f>SUM(B62:B64)</f>
        <v>-9426614.1399999987</v>
      </c>
      <c r="C65" s="52"/>
      <c r="D65" s="52">
        <f>SUM(D62:D64)</f>
        <v>0</v>
      </c>
      <c r="E65" s="52"/>
      <c r="F65" s="52">
        <f>SUM(F62:F64)</f>
        <v>698.24</v>
      </c>
      <c r="G65" s="52"/>
      <c r="H65" s="52">
        <f>SUM(H62:H64)</f>
        <v>0</v>
      </c>
      <c r="I65" s="52"/>
      <c r="J65" s="52">
        <f>SUM(J62:J64)</f>
        <v>698.24</v>
      </c>
      <c r="K65" s="52"/>
      <c r="L65" s="52">
        <f>SUM(L62:L64)</f>
        <v>-9425915.8999999985</v>
      </c>
    </row>
    <row r="66" spans="1:12">
      <c r="B66" s="52"/>
      <c r="C66" s="52"/>
      <c r="D66" s="52"/>
      <c r="E66" s="52"/>
      <c r="F66" s="52"/>
      <c r="G66" s="52"/>
      <c r="H66" s="52"/>
      <c r="I66" s="52"/>
      <c r="J66" s="52"/>
      <c r="K66" s="52"/>
      <c r="L66" s="52"/>
    </row>
    <row r="67" spans="1:12">
      <c r="B67" s="52"/>
      <c r="C67" s="52"/>
      <c r="D67" s="52"/>
      <c r="E67" s="52"/>
      <c r="F67" s="52"/>
      <c r="G67" s="52"/>
      <c r="H67" s="52"/>
      <c r="I67" s="52"/>
      <c r="J67" s="52"/>
      <c r="K67" s="52"/>
      <c r="L67" s="52"/>
    </row>
    <row r="68" spans="1:12">
      <c r="A68" s="3" t="s">
        <v>826</v>
      </c>
      <c r="B68" s="88">
        <f>B65+B59+B38+B34+B25</f>
        <v>-168789462.35999998</v>
      </c>
      <c r="C68" s="52"/>
      <c r="D68" s="88">
        <f>D65+D59+D38+D34+D25</f>
        <v>-13581.650000000001</v>
      </c>
      <c r="E68" s="52"/>
      <c r="F68" s="88">
        <f>F65+F59+F38+F34+F25</f>
        <v>54250.57</v>
      </c>
      <c r="G68" s="52"/>
      <c r="H68" s="88">
        <f>H65+H59+H38+H34+H25</f>
        <v>0</v>
      </c>
      <c r="I68" s="52"/>
      <c r="J68" s="88">
        <f>J65+J59+J38+J34+J25</f>
        <v>40668.92</v>
      </c>
      <c r="K68" s="52"/>
      <c r="L68" s="88">
        <f>L65+L59+L38+L34+L25</f>
        <v>-168748793.44</v>
      </c>
    </row>
    <row r="69" spans="1:12" s="10" customFormat="1">
      <c r="B69" s="65"/>
      <c r="C69" s="65"/>
      <c r="D69" s="65"/>
      <c r="E69" s="65"/>
      <c r="F69" s="65"/>
      <c r="G69" s="65"/>
      <c r="H69" s="65"/>
      <c r="I69" s="65"/>
      <c r="J69" s="65"/>
      <c r="K69" s="65"/>
      <c r="L69" s="65"/>
    </row>
    <row r="70" spans="1:12" s="10" customFormat="1">
      <c r="B70" s="64"/>
      <c r="C70" s="64"/>
      <c r="D70" s="64"/>
      <c r="E70" s="64"/>
      <c r="F70" s="64"/>
      <c r="G70" s="64"/>
      <c r="H70" s="64"/>
      <c r="I70" s="64"/>
      <c r="J70" s="64"/>
      <c r="K70" s="64"/>
      <c r="L70" s="64"/>
    </row>
    <row r="71" spans="1:12" s="10" customFormat="1">
      <c r="A71" s="12" t="s">
        <v>689</v>
      </c>
      <c r="B71" s="64"/>
      <c r="C71" s="64"/>
      <c r="D71" s="64"/>
      <c r="E71" s="64"/>
      <c r="F71" s="64"/>
      <c r="G71" s="64"/>
      <c r="H71" s="64"/>
      <c r="I71" s="64"/>
      <c r="J71" s="64"/>
      <c r="K71" s="64"/>
      <c r="L71" s="64"/>
    </row>
    <row r="72" spans="1:12" s="10" customFormat="1">
      <c r="A72" s="12" t="s">
        <v>121</v>
      </c>
      <c r="B72" s="64"/>
      <c r="C72" s="64"/>
      <c r="D72" s="64"/>
      <c r="E72" s="64"/>
      <c r="F72" s="64"/>
      <c r="G72" s="64"/>
      <c r="H72" s="64"/>
      <c r="I72" s="64"/>
      <c r="J72" s="64"/>
      <c r="K72" s="64"/>
      <c r="L72" s="64"/>
    </row>
    <row r="73" spans="1:12" s="10" customFormat="1">
      <c r="A73" s="10" t="s">
        <v>850</v>
      </c>
      <c r="B73" s="64">
        <f>+'KY_Cost-Plant Acct-Gas-P20 (PA)'!B73</f>
        <v>0</v>
      </c>
      <c r="C73" s="64"/>
      <c r="D73" s="64">
        <f>+'KY_Cost-Plant Acct-Gas-P20 (PA)'!D73</f>
        <v>0</v>
      </c>
      <c r="E73" s="64"/>
      <c r="F73" s="64">
        <f>+'KY_Cost-Plant Acct-Gas-P20 (PA)'!F73</f>
        <v>0</v>
      </c>
      <c r="G73" s="64"/>
      <c r="H73" s="64">
        <f>+'KY_Cost-Plant Acct-Gas-P20 (PA)'!H73</f>
        <v>0</v>
      </c>
      <c r="I73" s="64"/>
      <c r="J73" s="64">
        <f t="shared" ref="J73:J80" si="6">H73+F73+D73</f>
        <v>0</v>
      </c>
      <c r="K73" s="64"/>
      <c r="L73" s="64">
        <f t="shared" ref="L73:L80" si="7">J73+B73</f>
        <v>0</v>
      </c>
    </row>
    <row r="74" spans="1:12" s="10" customFormat="1">
      <c r="A74" s="10" t="s">
        <v>24</v>
      </c>
      <c r="B74" s="64">
        <f>+'KY_Cost-Plant Acct-Gas-P20 (PA)'!B74</f>
        <v>0</v>
      </c>
      <c r="C74" s="64"/>
      <c r="D74" s="64">
        <f>+'KY_Cost-Plant Acct-Gas-P20 (PA)'!D74</f>
        <v>0</v>
      </c>
      <c r="E74" s="64"/>
      <c r="F74" s="64">
        <f>+'KY_Cost-Plant Acct-Gas-P20 (PA)'!F74</f>
        <v>0</v>
      </c>
      <c r="G74" s="64"/>
      <c r="H74" s="64">
        <f>+'KY_Cost-Plant Acct-Gas-P20 (PA)'!H74</f>
        <v>0</v>
      </c>
      <c r="I74" s="64"/>
      <c r="J74" s="64">
        <f t="shared" si="6"/>
        <v>0</v>
      </c>
      <c r="K74" s="64"/>
      <c r="L74" s="64">
        <f t="shared" si="7"/>
        <v>0</v>
      </c>
    </row>
    <row r="75" spans="1:12" s="10" customFormat="1">
      <c r="A75" s="10" t="s">
        <v>72</v>
      </c>
      <c r="B75" s="64">
        <f>+'KY_Cost-Plant Acct-Gas-P20 (PA)'!B75</f>
        <v>-8200.5400000000081</v>
      </c>
      <c r="C75" s="64"/>
      <c r="D75" s="64">
        <f>+'KY_Cost-Plant Acct-Gas-P20 (PA)'!D75</f>
        <v>7461.85</v>
      </c>
      <c r="E75" s="64"/>
      <c r="F75" s="64">
        <f>+'KY_Cost-Plant Acct-Gas-P20 (PA)'!F75</f>
        <v>0</v>
      </c>
      <c r="G75" s="64"/>
      <c r="H75" s="64">
        <f>+'KY_Cost-Plant Acct-Gas-P20 (PA)'!H75</f>
        <v>0</v>
      </c>
      <c r="I75" s="64"/>
      <c r="J75" s="64">
        <f t="shared" si="6"/>
        <v>7461.85</v>
      </c>
      <c r="K75" s="64"/>
      <c r="L75" s="64">
        <f t="shared" si="7"/>
        <v>-738.69000000000779</v>
      </c>
    </row>
    <row r="76" spans="1:12" s="10" customFormat="1">
      <c r="A76" s="10" t="s">
        <v>73</v>
      </c>
      <c r="B76" s="64">
        <f>+'KY_Cost-Plant Acct-Gas-P20 (PA)'!B76</f>
        <v>0</v>
      </c>
      <c r="C76" s="64"/>
      <c r="D76" s="64">
        <f>+'KY_Cost-Plant Acct-Gas-P20 (PA)'!D76</f>
        <v>0</v>
      </c>
      <c r="E76" s="64"/>
      <c r="F76" s="64">
        <f>+'KY_Cost-Plant Acct-Gas-P20 (PA)'!F76</f>
        <v>0</v>
      </c>
      <c r="G76" s="64"/>
      <c r="H76" s="64">
        <f>+'KY_Cost-Plant Acct-Gas-P20 (PA)'!H76</f>
        <v>0</v>
      </c>
      <c r="I76" s="64"/>
      <c r="J76" s="64">
        <f t="shared" si="6"/>
        <v>0</v>
      </c>
      <c r="K76" s="64"/>
      <c r="L76" s="64">
        <f t="shared" si="7"/>
        <v>0</v>
      </c>
    </row>
    <row r="77" spans="1:12" s="10" customFormat="1">
      <c r="A77" s="10" t="s">
        <v>74</v>
      </c>
      <c r="B77" s="64">
        <f>+'KY_Cost-Plant Acct-Gas-P20 (PA)'!B77</f>
        <v>0</v>
      </c>
      <c r="C77" s="64"/>
      <c r="D77" s="64">
        <f>+'KY_Cost-Plant Acct-Gas-P20 (PA)'!D77</f>
        <v>0</v>
      </c>
      <c r="E77" s="64"/>
      <c r="F77" s="64">
        <f>+'KY_Cost-Plant Acct-Gas-P20 (PA)'!F77</f>
        <v>0</v>
      </c>
      <c r="G77" s="64"/>
      <c r="H77" s="64">
        <f>+'KY_Cost-Plant Acct-Gas-P20 (PA)'!H77</f>
        <v>0</v>
      </c>
      <c r="I77" s="64"/>
      <c r="J77" s="64">
        <f t="shared" si="6"/>
        <v>0</v>
      </c>
      <c r="K77" s="64"/>
      <c r="L77" s="64">
        <f t="shared" si="7"/>
        <v>0</v>
      </c>
    </row>
    <row r="78" spans="1:12" s="10" customFormat="1">
      <c r="A78" s="10" t="s">
        <v>75</v>
      </c>
      <c r="B78" s="64">
        <f>+'KY_Cost-Plant Acct-Gas-P20 (PA)'!B78</f>
        <v>0.20999999999185093</v>
      </c>
      <c r="C78" s="65"/>
      <c r="D78" s="64">
        <f>+'KY_Cost-Plant Acct-Gas-P20 (PA)'!D78</f>
        <v>0</v>
      </c>
      <c r="E78" s="65"/>
      <c r="F78" s="64">
        <f>+'KY_Cost-Plant Acct-Gas-P20 (PA)'!F78</f>
        <v>0</v>
      </c>
      <c r="G78" s="65"/>
      <c r="H78" s="64">
        <f>+'KY_Cost-Plant Acct-Gas-P20 (PA)'!H78</f>
        <v>0</v>
      </c>
      <c r="I78" s="65"/>
      <c r="J78" s="65">
        <f t="shared" si="6"/>
        <v>0</v>
      </c>
      <c r="K78" s="65"/>
      <c r="L78" s="65">
        <f t="shared" si="7"/>
        <v>0.20999999999185093</v>
      </c>
    </row>
    <row r="79" spans="1:12" s="10" customFormat="1">
      <c r="A79" s="10" t="s">
        <v>76</v>
      </c>
      <c r="B79" s="64">
        <f>+'KY_Cost-Plant Acct-Gas-P20 (PA)'!B79</f>
        <v>0</v>
      </c>
      <c r="C79" s="65"/>
      <c r="D79" s="64">
        <f>+'KY_Cost-Plant Acct-Gas-P20 (PA)'!D79</f>
        <v>0</v>
      </c>
      <c r="E79" s="65"/>
      <c r="F79" s="64">
        <f>+'KY_Cost-Plant Acct-Gas-P20 (PA)'!F79</f>
        <v>0</v>
      </c>
      <c r="G79" s="65"/>
      <c r="H79" s="64">
        <f>+'KY_Cost-Plant Acct-Gas-P20 (PA)'!H79</f>
        <v>0</v>
      </c>
      <c r="I79" s="65"/>
      <c r="J79" s="65">
        <f t="shared" si="6"/>
        <v>0</v>
      </c>
      <c r="K79" s="65"/>
      <c r="L79" s="65">
        <f t="shared" si="7"/>
        <v>0</v>
      </c>
    </row>
    <row r="80" spans="1:12" s="10" customFormat="1">
      <c r="A80" s="10" t="s">
        <v>77</v>
      </c>
      <c r="B80" s="64">
        <f>+'KY_Cost-Plant Acct-Gas-P20 (PA)'!B80</f>
        <v>0</v>
      </c>
      <c r="C80" s="65"/>
      <c r="D80" s="64">
        <f>+'KY_Cost-Plant Acct-Gas-P20 (PA)'!D80</f>
        <v>0</v>
      </c>
      <c r="E80" s="65"/>
      <c r="F80" s="64">
        <f>+'KY_Cost-Plant Acct-Gas-P20 (PA)'!F80</f>
        <v>0</v>
      </c>
      <c r="G80" s="65"/>
      <c r="H80" s="64">
        <f>+'KY_Cost-Plant Acct-Gas-P20 (PA)'!H80</f>
        <v>0</v>
      </c>
      <c r="I80" s="65"/>
      <c r="J80" s="65">
        <f t="shared" si="6"/>
        <v>0</v>
      </c>
      <c r="K80" s="65"/>
      <c r="L80" s="65">
        <f t="shared" si="7"/>
        <v>0</v>
      </c>
    </row>
    <row r="81" spans="1:12" s="10" customFormat="1">
      <c r="A81" s="10" t="s">
        <v>78</v>
      </c>
      <c r="B81" s="64">
        <f>+'KY_Cost-Plant Acct-Gas-P20 (PA)'!B81</f>
        <v>0</v>
      </c>
      <c r="C81" s="65"/>
      <c r="D81" s="64">
        <f>+'KY_Cost-Plant Acct-Gas-P20 (PA)'!D81</f>
        <v>0</v>
      </c>
      <c r="E81" s="65"/>
      <c r="F81" s="64">
        <f>+'KY_Cost-Plant Acct-Gas-P20 (PA)'!F81</f>
        <v>0</v>
      </c>
      <c r="G81" s="65"/>
      <c r="H81" s="64">
        <f>+'KY_Cost-Plant Acct-Gas-P20 (PA)'!H81</f>
        <v>0</v>
      </c>
      <c r="I81" s="65"/>
      <c r="J81" s="65">
        <f>H81+F81+D81</f>
        <v>0</v>
      </c>
      <c r="K81" s="65"/>
      <c r="L81" s="65">
        <f>J81+B81</f>
        <v>0</v>
      </c>
    </row>
    <row r="82" spans="1:12" s="10" customFormat="1">
      <c r="A82" s="10" t="s">
        <v>79</v>
      </c>
      <c r="B82" s="159">
        <f>+'KY_Cost-Plant Acct-Gas-P20 (PA)'!B82</f>
        <v>0</v>
      </c>
      <c r="D82" s="159">
        <f>+'KY_Cost-Plant Acct-Gas-P20 (PA)'!D82</f>
        <v>0</v>
      </c>
      <c r="F82" s="159">
        <f>+'KY_Cost-Plant Acct-Gas-P20 (PA)'!F82</f>
        <v>0</v>
      </c>
      <c r="H82" s="159">
        <f>+'KY_Cost-Plant Acct-Gas-P20 (PA)'!H82</f>
        <v>0</v>
      </c>
      <c r="J82" s="93">
        <f>'KY_Cost-Plant Acct-Gas-P20 (PA)'!J82</f>
        <v>0</v>
      </c>
      <c r="L82" s="93">
        <f>'KY_Cost-Plant Acct-Gas-P20 (PA)'!L82</f>
        <v>0</v>
      </c>
    </row>
    <row r="83" spans="1:12" s="10" customFormat="1">
      <c r="B83" s="65">
        <f>SUM(B73:B82)</f>
        <v>-8200.3300000000163</v>
      </c>
      <c r="C83" s="65"/>
      <c r="D83" s="65">
        <f>SUM(D73:D82)</f>
        <v>7461.85</v>
      </c>
      <c r="E83" s="65"/>
      <c r="F83" s="65">
        <f>SUM(F73:F82)</f>
        <v>0</v>
      </c>
      <c r="G83" s="65"/>
      <c r="H83" s="65">
        <f>SUM(H73:H82)</f>
        <v>0</v>
      </c>
      <c r="I83" s="65"/>
      <c r="J83" s="65">
        <f>SUM(J73:J82)</f>
        <v>7461.85</v>
      </c>
      <c r="K83" s="65"/>
      <c r="L83" s="65">
        <f>SUM(L73:L82)</f>
        <v>-738.48000000001593</v>
      </c>
    </row>
    <row r="84" spans="1:12" s="10" customFormat="1">
      <c r="B84" s="65"/>
      <c r="C84" s="65"/>
      <c r="D84" s="65"/>
      <c r="E84" s="65"/>
      <c r="F84" s="65"/>
      <c r="G84" s="65"/>
      <c r="H84" s="65"/>
      <c r="I84" s="65"/>
      <c r="J84" s="65"/>
      <c r="K84" s="65"/>
      <c r="L84" s="65"/>
    </row>
    <row r="85" spans="1:12" s="10" customFormat="1">
      <c r="A85" s="12" t="s">
        <v>122</v>
      </c>
      <c r="B85" s="64"/>
      <c r="C85" s="64"/>
      <c r="D85" s="64"/>
      <c r="E85" s="64"/>
      <c r="F85" s="64"/>
      <c r="G85" s="64"/>
      <c r="H85" s="64"/>
      <c r="I85" s="64"/>
      <c r="J85" s="64"/>
      <c r="K85" s="64"/>
      <c r="L85" s="64"/>
    </row>
    <row r="86" spans="1:12" s="10" customFormat="1">
      <c r="A86" s="10" t="s">
        <v>899</v>
      </c>
      <c r="B86" s="64">
        <f>+'KY_Cost-Plant Acct-Gas-P20 (PA)'!B86</f>
        <v>0</v>
      </c>
      <c r="C86" s="64"/>
      <c r="D86" s="64">
        <f>+'KY_Cost-Plant Acct-Gas-P20 (PA)'!D86</f>
        <v>0</v>
      </c>
      <c r="E86" s="64"/>
      <c r="F86" s="64">
        <f>+'KY_Cost-Plant Acct-Gas-P20 (PA)'!F86</f>
        <v>0</v>
      </c>
      <c r="G86" s="64"/>
      <c r="H86" s="64">
        <f>+'KY_Cost-Plant Acct-Gas-P20 (PA)'!H86</f>
        <v>0</v>
      </c>
      <c r="I86" s="64"/>
      <c r="J86" s="64">
        <f t="shared" ref="J86:J91" si="8">H86+F86+D86</f>
        <v>0</v>
      </c>
      <c r="K86" s="64"/>
      <c r="L86" s="64">
        <f t="shared" ref="L86:L91" si="9">J86+B86</f>
        <v>0</v>
      </c>
    </row>
    <row r="87" spans="1:12" s="10" customFormat="1">
      <c r="A87" s="10" t="s">
        <v>900</v>
      </c>
      <c r="B87" s="64">
        <f>+'KY_Cost-Plant Acct-Gas-P20 (PA)'!B87</f>
        <v>0</v>
      </c>
      <c r="C87" s="64"/>
      <c r="D87" s="64">
        <f>+'KY_Cost-Plant Acct-Gas-P20 (PA)'!D87</f>
        <v>0</v>
      </c>
      <c r="E87" s="64"/>
      <c r="F87" s="64">
        <f>+'KY_Cost-Plant Acct-Gas-P20 (PA)'!F87</f>
        <v>0</v>
      </c>
      <c r="G87" s="64"/>
      <c r="H87" s="64">
        <f>+'KY_Cost-Plant Acct-Gas-P20 (PA)'!H87</f>
        <v>0</v>
      </c>
      <c r="I87" s="64"/>
      <c r="J87" s="64">
        <f t="shared" si="8"/>
        <v>0</v>
      </c>
      <c r="K87" s="64"/>
      <c r="L87" s="64">
        <f t="shared" si="9"/>
        <v>0</v>
      </c>
    </row>
    <row r="88" spans="1:12" s="10" customFormat="1">
      <c r="A88" s="10" t="s">
        <v>901</v>
      </c>
      <c r="B88" s="64">
        <f>+'KY_Cost-Plant Acct-Gas-P20 (PA)'!B88</f>
        <v>-6119.8</v>
      </c>
      <c r="C88" s="64"/>
      <c r="D88" s="64">
        <f>+'KY_Cost-Plant Acct-Gas-P20 (PA)'!D88</f>
        <v>6119.8</v>
      </c>
      <c r="E88" s="64"/>
      <c r="F88" s="64">
        <f>+'KY_Cost-Plant Acct-Gas-P20 (PA)'!F88</f>
        <v>0</v>
      </c>
      <c r="G88" s="64"/>
      <c r="H88" s="64">
        <f>+'KY_Cost-Plant Acct-Gas-P20 (PA)'!H88</f>
        <v>0</v>
      </c>
      <c r="I88" s="64"/>
      <c r="J88" s="64">
        <f t="shared" si="8"/>
        <v>6119.8</v>
      </c>
      <c r="K88" s="64"/>
      <c r="L88" s="64">
        <f t="shared" si="9"/>
        <v>0</v>
      </c>
    </row>
    <row r="89" spans="1:12" s="10" customFormat="1">
      <c r="A89" s="10" t="s">
        <v>995</v>
      </c>
      <c r="B89" s="64">
        <f>+'KY_Cost-Plant Acct-Gas-P20 (PA)'!B89</f>
        <v>0</v>
      </c>
      <c r="C89" s="64"/>
      <c r="D89" s="64">
        <f>+'KY_Cost-Plant Acct-Gas-P20 (PA)'!D89</f>
        <v>0</v>
      </c>
      <c r="E89" s="64"/>
      <c r="F89" s="64">
        <f>+'KY_Cost-Plant Acct-Gas-P20 (PA)'!F89</f>
        <v>0</v>
      </c>
      <c r="G89" s="64"/>
      <c r="H89" s="64">
        <f>+'KY_Cost-Plant Acct-Gas-P20 (PA)'!H89</f>
        <v>0</v>
      </c>
      <c r="I89" s="64"/>
      <c r="J89" s="64">
        <f t="shared" si="8"/>
        <v>0</v>
      </c>
      <c r="K89" s="64"/>
      <c r="L89" s="64">
        <f t="shared" si="9"/>
        <v>0</v>
      </c>
    </row>
    <row r="90" spans="1:12" s="10" customFormat="1">
      <c r="A90" s="10" t="s">
        <v>996</v>
      </c>
      <c r="B90" s="64">
        <f>+'KY_Cost-Plant Acct-Gas-P20 (PA)'!B90</f>
        <v>0</v>
      </c>
      <c r="C90" s="65"/>
      <c r="D90" s="64">
        <f>+'KY_Cost-Plant Acct-Gas-P20 (PA)'!D90</f>
        <v>0</v>
      </c>
      <c r="E90" s="65"/>
      <c r="F90" s="64">
        <f>+'KY_Cost-Plant Acct-Gas-P20 (PA)'!F90</f>
        <v>0</v>
      </c>
      <c r="G90" s="65"/>
      <c r="H90" s="64">
        <f>+'KY_Cost-Plant Acct-Gas-P20 (PA)'!H90</f>
        <v>0</v>
      </c>
      <c r="I90" s="65"/>
      <c r="J90" s="65">
        <f t="shared" si="8"/>
        <v>0</v>
      </c>
      <c r="K90" s="65"/>
      <c r="L90" s="65">
        <f t="shared" si="9"/>
        <v>0</v>
      </c>
    </row>
    <row r="91" spans="1:12" s="10" customFormat="1">
      <c r="A91" s="10" t="s">
        <v>997</v>
      </c>
      <c r="B91" s="159">
        <f>+'KY_Cost-Plant Acct-Gas-P20 (PA)'!B91</f>
        <v>0</v>
      </c>
      <c r="C91" s="65"/>
      <c r="D91" s="159">
        <f>+'KY_Cost-Plant Acct-Gas-P20 (PA)'!D91</f>
        <v>0</v>
      </c>
      <c r="E91" s="65"/>
      <c r="F91" s="159">
        <f>+'KY_Cost-Plant Acct-Gas-P20 (PA)'!F91</f>
        <v>0</v>
      </c>
      <c r="G91" s="65"/>
      <c r="H91" s="159">
        <f>+'KY_Cost-Plant Acct-Gas-P20 (PA)'!H91</f>
        <v>0</v>
      </c>
      <c r="I91" s="65"/>
      <c r="J91" s="159">
        <f t="shared" si="8"/>
        <v>0</v>
      </c>
      <c r="K91" s="65"/>
      <c r="L91" s="159">
        <f t="shared" si="9"/>
        <v>0</v>
      </c>
    </row>
    <row r="92" spans="1:12" s="10" customFormat="1">
      <c r="B92" s="65">
        <f>SUM(B86:B91)</f>
        <v>-6119.8</v>
      </c>
      <c r="C92" s="65"/>
      <c r="D92" s="65">
        <f>SUM(D86:D91)</f>
        <v>6119.8</v>
      </c>
      <c r="E92" s="65"/>
      <c r="F92" s="65">
        <f>SUM(F86:F91)</f>
        <v>0</v>
      </c>
      <c r="G92" s="65"/>
      <c r="H92" s="65">
        <f>SUM(H86:H91)</f>
        <v>0</v>
      </c>
      <c r="I92" s="65"/>
      <c r="J92" s="65">
        <f>SUM(J86:J91)</f>
        <v>6119.8</v>
      </c>
      <c r="K92" s="65"/>
      <c r="L92" s="65">
        <f>SUM(L86:L91)</f>
        <v>0</v>
      </c>
    </row>
    <row r="93" spans="1:12" s="10" customFormat="1">
      <c r="B93" s="65"/>
      <c r="C93" s="65"/>
      <c r="D93" s="65"/>
      <c r="E93" s="65"/>
      <c r="F93" s="65"/>
      <c r="G93" s="65"/>
      <c r="H93" s="65"/>
      <c r="I93" s="65"/>
      <c r="J93" s="65"/>
      <c r="K93" s="65"/>
      <c r="L93" s="65"/>
    </row>
    <row r="94" spans="1:12" s="10" customFormat="1">
      <c r="A94" s="12" t="s">
        <v>124</v>
      </c>
      <c r="B94" s="65"/>
      <c r="C94" s="65"/>
      <c r="D94" s="65"/>
      <c r="E94" s="65"/>
      <c r="F94" s="65"/>
      <c r="G94" s="65"/>
      <c r="H94" s="65"/>
      <c r="I94" s="65"/>
      <c r="J94" s="65"/>
      <c r="K94" s="65"/>
      <c r="L94" s="65"/>
    </row>
    <row r="95" spans="1:12" s="10" customFormat="1">
      <c r="A95" s="10" t="s">
        <v>560</v>
      </c>
      <c r="B95" s="65">
        <f>+'KY_Cost-Plant Acct-Gas-P20 (PA)'!B95</f>
        <v>0</v>
      </c>
      <c r="C95" s="65"/>
      <c r="D95" s="65">
        <f>+'KY_Cost-Plant Acct-Gas-P20 (PA)'!D95</f>
        <v>0</v>
      </c>
      <c r="E95" s="65"/>
      <c r="F95" s="65">
        <f>+'KY_Cost-Plant Acct-Gas-P20 (PA)'!F95</f>
        <v>0</v>
      </c>
      <c r="G95" s="65"/>
      <c r="H95" s="65">
        <f>+'KY_Cost-Plant Acct-Gas-P20 (PA)'!H95</f>
        <v>0</v>
      </c>
      <c r="I95" s="65"/>
      <c r="J95" s="65">
        <f t="shared" ref="J95:J102" si="10">H95+F95+D95</f>
        <v>0</v>
      </c>
      <c r="K95" s="65"/>
      <c r="L95" s="65">
        <f t="shared" ref="L95:L102" si="11">J95+B95</f>
        <v>0</v>
      </c>
    </row>
    <row r="96" spans="1:12" s="10" customFormat="1">
      <c r="A96" s="10" t="s">
        <v>14</v>
      </c>
      <c r="B96" s="65">
        <f>+'KY_Cost-Plant Acct-Gas-P20 (PA)'!B96</f>
        <v>0</v>
      </c>
      <c r="C96" s="65"/>
      <c r="D96" s="65">
        <f>+'KY_Cost-Plant Acct-Gas-P20 (PA)'!D96</f>
        <v>0</v>
      </c>
      <c r="E96" s="65"/>
      <c r="F96" s="65">
        <f>+'KY_Cost-Plant Acct-Gas-P20 (PA)'!F96</f>
        <v>0</v>
      </c>
      <c r="G96" s="65"/>
      <c r="H96" s="65">
        <f>+'KY_Cost-Plant Acct-Gas-P20 (PA)'!H96</f>
        <v>0</v>
      </c>
      <c r="I96" s="65"/>
      <c r="J96" s="65">
        <f t="shared" si="10"/>
        <v>0</v>
      </c>
      <c r="K96" s="65"/>
      <c r="L96" s="65">
        <f t="shared" si="11"/>
        <v>0</v>
      </c>
    </row>
    <row r="97" spans="1:12" s="10" customFormat="1">
      <c r="A97" s="10" t="s">
        <v>1093</v>
      </c>
      <c r="B97" s="65">
        <f>+'KY_Cost-Plant Acct-Gas-P20 (PA)'!B97</f>
        <v>0</v>
      </c>
      <c r="C97" s="65"/>
      <c r="D97" s="65">
        <f>+'KY_Cost-Plant Acct-Gas-P20 (PA)'!D97</f>
        <v>0</v>
      </c>
      <c r="E97" s="65"/>
      <c r="F97" s="65">
        <f>+'KY_Cost-Plant Acct-Gas-P20 (PA)'!F97</f>
        <v>0</v>
      </c>
      <c r="G97" s="65"/>
      <c r="H97" s="65">
        <f>+'KY_Cost-Plant Acct-Gas-P20 (PA)'!H97</f>
        <v>0</v>
      </c>
      <c r="I97" s="65"/>
      <c r="J97" s="65">
        <f t="shared" si="10"/>
        <v>0</v>
      </c>
      <c r="K97" s="65"/>
      <c r="L97" s="65">
        <f t="shared" si="11"/>
        <v>0</v>
      </c>
    </row>
    <row r="98" spans="1:12" s="10" customFormat="1">
      <c r="A98" s="10" t="s">
        <v>1092</v>
      </c>
      <c r="B98" s="65">
        <f>+'KY_Cost-Plant Acct-Gas-P20 (PA)'!B98</f>
        <v>0</v>
      </c>
      <c r="C98" s="65"/>
      <c r="D98" s="65">
        <f>+'KY_Cost-Plant Acct-Gas-P20 (PA)'!D98</f>
        <v>0</v>
      </c>
      <c r="E98" s="65"/>
      <c r="F98" s="65">
        <f>+'KY_Cost-Plant Acct-Gas-P20 (PA)'!F98</f>
        <v>0</v>
      </c>
      <c r="G98" s="65"/>
      <c r="H98" s="65">
        <f>+'KY_Cost-Plant Acct-Gas-P20 (PA)'!H98</f>
        <v>0</v>
      </c>
      <c r="I98" s="65"/>
      <c r="J98" s="65">
        <f t="shared" si="10"/>
        <v>0</v>
      </c>
      <c r="K98" s="65"/>
      <c r="L98" s="65">
        <f t="shared" si="11"/>
        <v>0</v>
      </c>
    </row>
    <row r="99" spans="1:12" s="10" customFormat="1">
      <c r="A99" s="10" t="s">
        <v>16</v>
      </c>
      <c r="B99" s="65">
        <f>+'KY_Cost-Plant Acct-Gas-P20 (PA)'!B99</f>
        <v>0</v>
      </c>
      <c r="C99" s="65"/>
      <c r="D99" s="65">
        <f>+'KY_Cost-Plant Acct-Gas-P20 (PA)'!D99</f>
        <v>0</v>
      </c>
      <c r="E99" s="65"/>
      <c r="F99" s="65">
        <f>+'KY_Cost-Plant Acct-Gas-P20 (PA)'!F99</f>
        <v>0</v>
      </c>
      <c r="G99" s="65"/>
      <c r="H99" s="65">
        <f>+'KY_Cost-Plant Acct-Gas-P20 (PA)'!H99</f>
        <v>0</v>
      </c>
      <c r="I99" s="65"/>
      <c r="J99" s="65">
        <f t="shared" si="10"/>
        <v>0</v>
      </c>
      <c r="K99" s="65"/>
      <c r="L99" s="65">
        <f t="shared" si="11"/>
        <v>0</v>
      </c>
    </row>
    <row r="100" spans="1:12" s="10" customFormat="1">
      <c r="A100" s="10" t="s">
        <v>565</v>
      </c>
      <c r="B100" s="65">
        <f>+'KY_Cost-Plant Acct-Gas-P20 (PA)'!B100</f>
        <v>0</v>
      </c>
      <c r="C100" s="65"/>
      <c r="D100" s="65">
        <f>+'KY_Cost-Plant Acct-Gas-P20 (PA)'!D100</f>
        <v>0</v>
      </c>
      <c r="E100" s="65"/>
      <c r="F100" s="65">
        <f>+'KY_Cost-Plant Acct-Gas-P20 (PA)'!F100</f>
        <v>0</v>
      </c>
      <c r="G100" s="65"/>
      <c r="H100" s="65">
        <f>+'KY_Cost-Plant Acct-Gas-P20 (PA)'!H100</f>
        <v>0</v>
      </c>
      <c r="I100" s="65"/>
      <c r="J100" s="65">
        <f t="shared" si="10"/>
        <v>0</v>
      </c>
      <c r="K100" s="65"/>
      <c r="L100" s="65">
        <f t="shared" si="11"/>
        <v>0</v>
      </c>
    </row>
    <row r="101" spans="1:12" s="10" customFormat="1">
      <c r="A101" s="10" t="s">
        <v>566</v>
      </c>
      <c r="B101" s="65">
        <f>+'KY_Cost-Plant Acct-Gas-P20 (PA)'!B101</f>
        <v>-2082.91</v>
      </c>
      <c r="C101" s="65"/>
      <c r="D101" s="65">
        <f>+'KY_Cost-Plant Acct-Gas-P20 (PA)'!D101</f>
        <v>0</v>
      </c>
      <c r="E101" s="65"/>
      <c r="F101" s="65">
        <f>+'KY_Cost-Plant Acct-Gas-P20 (PA)'!F101</f>
        <v>0</v>
      </c>
      <c r="G101" s="65"/>
      <c r="H101" s="65">
        <f>+'KY_Cost-Plant Acct-Gas-P20 (PA)'!H101</f>
        <v>0</v>
      </c>
      <c r="I101" s="65"/>
      <c r="J101" s="65">
        <f t="shared" si="10"/>
        <v>0</v>
      </c>
      <c r="K101" s="65"/>
      <c r="L101" s="65">
        <f t="shared" si="11"/>
        <v>-2082.91</v>
      </c>
    </row>
    <row r="102" spans="1:12" s="10" customFormat="1">
      <c r="A102" s="10" t="s">
        <v>567</v>
      </c>
      <c r="B102" s="159">
        <f>+'KY_Cost-Plant Acct-Gas-P20 (PA)'!B102</f>
        <v>0</v>
      </c>
      <c r="C102" s="65"/>
      <c r="D102" s="159">
        <f>+'KY_Cost-Plant Acct-Gas-P20 (PA)'!D102</f>
        <v>0</v>
      </c>
      <c r="E102" s="65"/>
      <c r="F102" s="159">
        <f>+'KY_Cost-Plant Acct-Gas-P20 (PA)'!F102</f>
        <v>0</v>
      </c>
      <c r="G102" s="65"/>
      <c r="H102" s="159">
        <f>+'KY_Cost-Plant Acct-Gas-P20 (PA)'!H102</f>
        <v>0</v>
      </c>
      <c r="I102" s="65"/>
      <c r="J102" s="159">
        <f t="shared" si="10"/>
        <v>0</v>
      </c>
      <c r="K102" s="65"/>
      <c r="L102" s="159">
        <f t="shared" si="11"/>
        <v>0</v>
      </c>
    </row>
    <row r="103" spans="1:12" s="10" customFormat="1">
      <c r="B103" s="65">
        <f>SUM(B95:B102)</f>
        <v>-2082.91</v>
      </c>
      <c r="C103" s="65"/>
      <c r="D103" s="65">
        <f>SUM(D95:D102)</f>
        <v>0</v>
      </c>
      <c r="E103" s="65"/>
      <c r="F103" s="65">
        <f>SUM(F95:F102)</f>
        <v>0</v>
      </c>
      <c r="G103" s="65"/>
      <c r="H103" s="65">
        <f>SUM(H95:H102)</f>
        <v>0</v>
      </c>
      <c r="I103" s="65"/>
      <c r="J103" s="65">
        <f>SUM(J95:J102)</f>
        <v>0</v>
      </c>
      <c r="K103" s="65"/>
      <c r="L103" s="65">
        <f>SUM(L95:L102)</f>
        <v>-2082.91</v>
      </c>
    </row>
    <row r="104" spans="1:12" s="10" customFormat="1">
      <c r="B104" s="65"/>
      <c r="C104" s="65"/>
      <c r="D104" s="65"/>
      <c r="E104" s="65"/>
      <c r="F104" s="65"/>
      <c r="G104" s="65"/>
      <c r="H104" s="65"/>
      <c r="I104" s="65"/>
      <c r="J104" s="65"/>
      <c r="K104" s="65"/>
      <c r="L104" s="65"/>
    </row>
    <row r="105" spans="1:12" s="10" customFormat="1">
      <c r="A105" s="12" t="s">
        <v>125</v>
      </c>
      <c r="B105" s="65"/>
      <c r="C105" s="65"/>
      <c r="D105" s="65"/>
      <c r="E105" s="65"/>
      <c r="F105" s="65"/>
      <c r="G105" s="65"/>
      <c r="H105" s="65"/>
      <c r="I105" s="65"/>
      <c r="J105" s="65"/>
      <c r="K105" s="65"/>
      <c r="L105" s="65"/>
    </row>
    <row r="106" spans="1:12" s="10" customFormat="1">
      <c r="A106" s="10" t="s">
        <v>571</v>
      </c>
      <c r="B106" s="159">
        <f>'KY_Cost-Plant Acct-Gas-P20 (PA)'!B106</f>
        <v>0</v>
      </c>
      <c r="C106" s="65"/>
      <c r="D106" s="159">
        <f>'KY_Cost-Plant Acct-Gas-P20 (PA)'!D106</f>
        <v>0</v>
      </c>
      <c r="E106" s="65"/>
      <c r="F106" s="159">
        <v>0</v>
      </c>
      <c r="G106" s="65"/>
      <c r="H106" s="159">
        <v>0</v>
      </c>
      <c r="I106" s="65"/>
      <c r="J106" s="159">
        <f>H106+F106+D106</f>
        <v>0</v>
      </c>
      <c r="K106" s="65"/>
      <c r="L106" s="159">
        <f>J106+B106</f>
        <v>0</v>
      </c>
    </row>
    <row r="107" spans="1:12" s="10" customFormat="1">
      <c r="B107" s="65">
        <f>SUM(B106)</f>
        <v>0</v>
      </c>
      <c r="C107" s="65"/>
      <c r="D107" s="65">
        <f>SUM(D106)</f>
        <v>0</v>
      </c>
      <c r="E107" s="65"/>
      <c r="F107" s="65">
        <f>SUM(F106)</f>
        <v>0</v>
      </c>
      <c r="G107" s="65"/>
      <c r="H107" s="65">
        <f>SUM(H106)</f>
        <v>0</v>
      </c>
      <c r="I107" s="65"/>
      <c r="J107" s="65">
        <f>SUM(J106)</f>
        <v>0</v>
      </c>
      <c r="K107" s="65"/>
      <c r="L107" s="65">
        <f>SUM(L106)</f>
        <v>0</v>
      </c>
    </row>
    <row r="108" spans="1:12" s="10" customFormat="1">
      <c r="B108" s="65"/>
      <c r="C108" s="65"/>
      <c r="D108" s="65"/>
      <c r="E108" s="65"/>
      <c r="F108" s="65"/>
      <c r="G108" s="65"/>
      <c r="H108" s="65"/>
      <c r="I108" s="65"/>
      <c r="J108" s="65"/>
      <c r="K108" s="65"/>
      <c r="L108" s="65"/>
    </row>
    <row r="109" spans="1:12" s="10" customFormat="1">
      <c r="B109" s="65"/>
      <c r="C109" s="64"/>
      <c r="D109" s="65"/>
      <c r="E109" s="64"/>
      <c r="F109" s="65"/>
      <c r="G109" s="64"/>
      <c r="H109" s="65"/>
      <c r="I109" s="64"/>
      <c r="J109" s="65"/>
      <c r="K109" s="64"/>
      <c r="L109" s="65"/>
    </row>
    <row r="110" spans="1:12" s="10" customFormat="1">
      <c r="B110" s="64"/>
      <c r="C110" s="64"/>
      <c r="D110" s="64"/>
      <c r="E110" s="64"/>
      <c r="F110" s="64"/>
      <c r="G110" s="64"/>
      <c r="H110" s="64"/>
      <c r="I110" s="64"/>
      <c r="J110" s="64"/>
      <c r="K110" s="64"/>
      <c r="L110" s="64"/>
    </row>
    <row r="111" spans="1:12" s="10" customFormat="1">
      <c r="A111" s="12" t="s">
        <v>828</v>
      </c>
      <c r="B111" s="160">
        <f>B103+B83+B92+B107</f>
        <v>-16403.040000000015</v>
      </c>
      <c r="C111" s="65"/>
      <c r="D111" s="160">
        <f>D103+D83+D92+D107</f>
        <v>13581.650000000001</v>
      </c>
      <c r="E111" s="65"/>
      <c r="F111" s="160">
        <f>F103+F83+F92+F107</f>
        <v>0</v>
      </c>
      <c r="G111" s="65"/>
      <c r="H111" s="160">
        <f>H103+H83+H92+H107</f>
        <v>0</v>
      </c>
      <c r="I111" s="65"/>
      <c r="J111" s="160">
        <f>J103+J83+J92+J107</f>
        <v>13581.650000000001</v>
      </c>
      <c r="K111" s="65"/>
      <c r="L111" s="160">
        <f>L103+L83+L92+L107</f>
        <v>-2821.3900000000158</v>
      </c>
    </row>
    <row r="112" spans="1:12" s="10" customFormat="1">
      <c r="B112" s="65"/>
      <c r="C112" s="64"/>
      <c r="D112" s="65"/>
      <c r="E112" s="64"/>
      <c r="F112" s="65"/>
      <c r="G112" s="64"/>
      <c r="H112" s="65"/>
      <c r="I112" s="64"/>
      <c r="J112" s="65"/>
      <c r="K112" s="64"/>
      <c r="L112" s="65"/>
    </row>
    <row r="113" spans="1:12" s="10" customFormat="1">
      <c r="B113" s="64"/>
      <c r="C113" s="64"/>
      <c r="D113" s="64"/>
      <c r="E113" s="64"/>
      <c r="F113" s="64"/>
      <c r="G113" s="64"/>
      <c r="H113" s="64"/>
      <c r="I113" s="64"/>
      <c r="J113" s="64"/>
      <c r="K113" s="64"/>
      <c r="L113" s="64"/>
    </row>
    <row r="114" spans="1:12" ht="13.5" thickBot="1">
      <c r="A114" s="3" t="s">
        <v>827</v>
      </c>
      <c r="B114" s="46">
        <f>B111+B68</f>
        <v>-168805865.39999998</v>
      </c>
      <c r="C114" s="182"/>
      <c r="D114" s="46">
        <f>D111+D68</f>
        <v>0</v>
      </c>
      <c r="E114" s="182"/>
      <c r="F114" s="46">
        <f>F111+F68</f>
        <v>54250.57</v>
      </c>
      <c r="G114" s="182"/>
      <c r="H114" s="46">
        <f>H111+H68</f>
        <v>0</v>
      </c>
      <c r="I114" s="182"/>
      <c r="J114" s="46">
        <f>J111+J68</f>
        <v>54250.57</v>
      </c>
      <c r="K114" s="182"/>
      <c r="L114" s="46">
        <f>L111+L68</f>
        <v>-168751614.82999998</v>
      </c>
    </row>
    <row r="115" spans="1:12" ht="13.5" thickTop="1">
      <c r="B115" s="182"/>
      <c r="C115" s="182"/>
      <c r="D115" s="182"/>
      <c r="E115" s="182"/>
      <c r="F115" s="182"/>
      <c r="G115" s="182"/>
      <c r="H115" s="182"/>
      <c r="I115" s="182"/>
      <c r="J115" s="182"/>
      <c r="K115" s="182"/>
      <c r="L115" s="182">
        <f>+L114-'KY_Total Gas PIS_NBV-P19 (PA)'!L68-'IN_Total PIS_Gas_NBV-P21 (PA)'!L22</f>
        <v>3.3527612686157227E-8</v>
      </c>
    </row>
    <row r="116" spans="1:12">
      <c r="B116" s="182"/>
      <c r="C116" s="182"/>
      <c r="D116" s="182"/>
      <c r="E116" s="182"/>
      <c r="F116" s="182"/>
      <c r="G116" s="182"/>
      <c r="H116" s="182"/>
      <c r="I116" s="182"/>
      <c r="J116" s="182"/>
      <c r="K116" s="182"/>
      <c r="L116" s="182"/>
    </row>
    <row r="117" spans="1:12">
      <c r="B117" s="182"/>
      <c r="C117" s="182"/>
      <c r="D117" s="182"/>
      <c r="E117" s="182"/>
      <c r="F117" s="182"/>
      <c r="G117" s="182"/>
      <c r="H117" s="182"/>
      <c r="I117" s="182"/>
      <c r="J117" s="182"/>
      <c r="K117" s="182"/>
      <c r="L117" s="182"/>
    </row>
    <row r="118" spans="1:12">
      <c r="B118" s="4"/>
      <c r="C118" s="4"/>
      <c r="D118" s="4"/>
      <c r="E118" s="4"/>
      <c r="F118" s="4"/>
      <c r="G118" s="4"/>
      <c r="H118" s="4"/>
      <c r="I118" s="4"/>
      <c r="J118" s="4"/>
      <c r="K118" s="4"/>
      <c r="L118" s="4"/>
    </row>
    <row r="119" spans="1:12">
      <c r="B119" s="4"/>
      <c r="C119" s="4"/>
      <c r="D119" s="4"/>
      <c r="E119" s="4"/>
      <c r="F119" s="4"/>
      <c r="G119" s="4"/>
      <c r="H119" s="4"/>
      <c r="I119" s="4"/>
      <c r="J119" s="4"/>
      <c r="K119" s="4"/>
      <c r="L119" s="4"/>
    </row>
    <row r="120" spans="1:12">
      <c r="B120" s="4"/>
      <c r="C120" s="4"/>
      <c r="D120" s="4"/>
      <c r="E120" s="4"/>
      <c r="F120" s="4"/>
      <c r="G120" s="4"/>
      <c r="H120" s="4"/>
      <c r="I120" s="4"/>
      <c r="J120" s="4"/>
      <c r="K120" s="4"/>
      <c r="L120" s="4"/>
    </row>
    <row r="121" spans="1:12">
      <c r="B121" s="4"/>
      <c r="C121" s="4"/>
      <c r="D121" s="4"/>
      <c r="E121" s="4"/>
      <c r="F121" s="4"/>
      <c r="G121" s="4"/>
      <c r="H121" s="4"/>
      <c r="I121" s="4"/>
      <c r="J121" s="4"/>
      <c r="K121" s="4"/>
      <c r="L121" s="4"/>
    </row>
    <row r="122" spans="1:12">
      <c r="B122" s="4"/>
      <c r="C122" s="4"/>
      <c r="D122" s="4"/>
      <c r="E122" s="4"/>
      <c r="F122" s="4"/>
      <c r="G122" s="4"/>
      <c r="H122" s="4"/>
      <c r="I122" s="4"/>
      <c r="J122" s="4"/>
      <c r="K122" s="4"/>
      <c r="L122" s="4"/>
    </row>
    <row r="123" spans="1:12">
      <c r="B123" s="4"/>
      <c r="C123" s="4"/>
      <c r="D123" s="4"/>
      <c r="E123" s="4"/>
      <c r="F123" s="4"/>
      <c r="G123" s="4"/>
      <c r="H123" s="4"/>
      <c r="I123" s="4"/>
      <c r="J123" s="4"/>
      <c r="K123" s="4"/>
      <c r="L123" s="4"/>
    </row>
    <row r="124" spans="1:12">
      <c r="B124" s="4"/>
      <c r="C124" s="4"/>
      <c r="D124" s="4"/>
      <c r="E124" s="4"/>
      <c r="F124" s="4"/>
      <c r="G124" s="4"/>
      <c r="H124" s="4"/>
      <c r="I124" s="4"/>
      <c r="J124" s="4"/>
      <c r="K124" s="4"/>
      <c r="L124" s="4"/>
    </row>
    <row r="125" spans="1:12">
      <c r="B125" s="4"/>
      <c r="C125" s="4"/>
      <c r="D125" s="4"/>
      <c r="E125" s="4"/>
      <c r="F125" s="4"/>
      <c r="G125" s="4"/>
      <c r="H125" s="4"/>
      <c r="I125" s="4"/>
      <c r="J125" s="4"/>
      <c r="K125" s="4"/>
      <c r="L125" s="4"/>
    </row>
    <row r="126" spans="1:12">
      <c r="B126" s="4"/>
      <c r="C126" s="4"/>
      <c r="D126" s="4"/>
      <c r="E126" s="4"/>
      <c r="F126" s="4"/>
      <c r="G126" s="4"/>
      <c r="H126" s="4"/>
      <c r="I126" s="4"/>
      <c r="J126" s="4"/>
      <c r="K126" s="4"/>
      <c r="L126" s="4"/>
    </row>
    <row r="127" spans="1:12">
      <c r="B127" s="4"/>
      <c r="C127" s="4"/>
      <c r="D127" s="4"/>
      <c r="E127" s="4"/>
      <c r="F127" s="4"/>
      <c r="G127" s="4"/>
      <c r="H127" s="4"/>
      <c r="I127" s="4"/>
      <c r="J127" s="4"/>
      <c r="K127" s="4"/>
      <c r="L127" s="4"/>
    </row>
    <row r="128" spans="1:12">
      <c r="B128" s="4"/>
      <c r="C128" s="4"/>
      <c r="D128" s="4"/>
      <c r="E128" s="4"/>
      <c r="F128" s="4"/>
      <c r="G128" s="4"/>
      <c r="H128" s="4"/>
      <c r="I128" s="4"/>
      <c r="J128" s="4"/>
      <c r="K128" s="4"/>
      <c r="L128" s="4"/>
    </row>
    <row r="129" spans="2:12">
      <c r="B129" s="4"/>
      <c r="C129" s="4"/>
      <c r="D129" s="4"/>
      <c r="E129" s="4"/>
      <c r="F129" s="4"/>
      <c r="G129" s="4"/>
      <c r="H129" s="4"/>
      <c r="I129" s="4"/>
      <c r="J129" s="4"/>
      <c r="K129" s="4"/>
      <c r="L129" s="4"/>
    </row>
    <row r="130" spans="2:12">
      <c r="B130" s="4"/>
      <c r="C130" s="4"/>
      <c r="D130" s="4"/>
      <c r="E130" s="4"/>
      <c r="F130" s="4"/>
      <c r="G130" s="4"/>
      <c r="H130" s="4"/>
      <c r="I130" s="4"/>
      <c r="J130" s="4"/>
      <c r="K130" s="4"/>
      <c r="L130" s="4"/>
    </row>
    <row r="131" spans="2:12">
      <c r="B131" s="4"/>
      <c r="C131" s="4"/>
      <c r="D131" s="4"/>
      <c r="E131" s="4"/>
      <c r="F131" s="4"/>
      <c r="G131" s="4"/>
      <c r="H131" s="4"/>
      <c r="I131" s="4"/>
      <c r="J131" s="4"/>
      <c r="K131" s="4"/>
      <c r="L131" s="4"/>
    </row>
    <row r="132" spans="2:12">
      <c r="B132" s="4"/>
      <c r="C132" s="4"/>
      <c r="D132" s="4"/>
      <c r="E132" s="4"/>
      <c r="F132" s="4"/>
      <c r="G132" s="4"/>
      <c r="H132" s="4"/>
      <c r="I132" s="4"/>
      <c r="J132" s="4"/>
      <c r="K132" s="4"/>
      <c r="L132" s="4"/>
    </row>
    <row r="133" spans="2:12">
      <c r="B133" s="4"/>
      <c r="C133" s="4"/>
      <c r="D133" s="4"/>
      <c r="E133" s="4"/>
      <c r="F133" s="4"/>
      <c r="G133" s="4"/>
      <c r="H133" s="4"/>
      <c r="I133" s="4"/>
      <c r="J133" s="4"/>
      <c r="K133" s="4"/>
      <c r="L133" s="4"/>
    </row>
    <row r="134" spans="2:12">
      <c r="B134" s="4"/>
      <c r="C134" s="4"/>
      <c r="D134" s="4"/>
      <c r="E134" s="4"/>
      <c r="F134" s="4"/>
      <c r="G134" s="4"/>
      <c r="H134" s="4"/>
      <c r="I134" s="4"/>
      <c r="J134" s="4"/>
      <c r="K134" s="4"/>
      <c r="L134" s="4"/>
    </row>
    <row r="135" spans="2:12">
      <c r="B135" s="4"/>
      <c r="C135" s="4"/>
      <c r="D135" s="4"/>
      <c r="E135" s="4"/>
      <c r="F135" s="4"/>
      <c r="G135" s="4"/>
      <c r="H135" s="4"/>
      <c r="I135" s="4"/>
      <c r="J135" s="4"/>
      <c r="K135" s="4"/>
      <c r="L135" s="4"/>
    </row>
    <row r="136" spans="2:12">
      <c r="B136" s="4"/>
      <c r="C136" s="4"/>
      <c r="D136" s="4"/>
      <c r="E136" s="4"/>
      <c r="F136" s="4"/>
      <c r="G136" s="4"/>
      <c r="H136" s="4"/>
      <c r="I136" s="4"/>
      <c r="J136" s="4"/>
      <c r="K136" s="4"/>
      <c r="L136" s="4"/>
    </row>
    <row r="137" spans="2:12">
      <c r="B137" s="4"/>
      <c r="C137" s="4"/>
      <c r="D137" s="4"/>
      <c r="E137" s="4"/>
      <c r="F137" s="4"/>
      <c r="G137" s="4"/>
      <c r="H137" s="4"/>
      <c r="I137" s="4"/>
      <c r="J137" s="4"/>
      <c r="K137" s="4"/>
      <c r="L137" s="4"/>
    </row>
    <row r="138" spans="2:12">
      <c r="B138" s="4"/>
      <c r="C138" s="4"/>
      <c r="D138" s="4"/>
      <c r="E138" s="4"/>
      <c r="F138" s="4"/>
      <c r="G138" s="4"/>
      <c r="H138" s="4"/>
      <c r="I138" s="4"/>
      <c r="J138" s="4"/>
      <c r="K138" s="4"/>
      <c r="L138" s="4"/>
    </row>
    <row r="139" spans="2:12">
      <c r="B139" s="4"/>
      <c r="C139" s="4"/>
      <c r="D139" s="4"/>
      <c r="E139" s="4"/>
      <c r="F139" s="4"/>
      <c r="G139" s="4"/>
      <c r="H139" s="4"/>
      <c r="I139" s="4"/>
      <c r="J139" s="4"/>
      <c r="K139" s="4"/>
      <c r="L139" s="4"/>
    </row>
    <row r="140" spans="2:12">
      <c r="B140" s="4"/>
      <c r="C140" s="4"/>
      <c r="D140" s="4"/>
      <c r="E140" s="4"/>
      <c r="F140" s="4"/>
      <c r="G140" s="4"/>
      <c r="H140" s="4"/>
      <c r="I140" s="4"/>
      <c r="J140" s="4"/>
      <c r="K140" s="4"/>
      <c r="L140" s="4"/>
    </row>
    <row r="141" spans="2:12">
      <c r="B141" s="4"/>
      <c r="C141" s="4"/>
      <c r="D141" s="4"/>
      <c r="E141" s="4"/>
      <c r="F141" s="4"/>
      <c r="G141" s="4"/>
      <c r="H141" s="4"/>
      <c r="I141" s="4"/>
      <c r="J141" s="4"/>
      <c r="K141" s="4"/>
      <c r="L141" s="4"/>
    </row>
    <row r="142" spans="2:12">
      <c r="B142" s="4"/>
      <c r="C142" s="4"/>
      <c r="D142" s="4"/>
      <c r="E142" s="4"/>
      <c r="F142" s="4"/>
      <c r="G142" s="4"/>
      <c r="H142" s="4"/>
      <c r="I142" s="4"/>
      <c r="J142" s="4"/>
      <c r="K142" s="4"/>
      <c r="L142" s="4"/>
    </row>
    <row r="143" spans="2:12">
      <c r="B143" s="4"/>
      <c r="C143" s="4"/>
      <c r="D143" s="4"/>
      <c r="E143" s="4"/>
      <c r="F143" s="4"/>
      <c r="G143" s="4"/>
      <c r="H143" s="4"/>
      <c r="I143" s="4"/>
      <c r="J143" s="4"/>
      <c r="K143" s="4"/>
      <c r="L143" s="4"/>
    </row>
    <row r="144" spans="2:12">
      <c r="B144" s="4"/>
      <c r="C144" s="4"/>
      <c r="D144" s="4"/>
      <c r="E144" s="4"/>
      <c r="F144" s="4"/>
      <c r="G144" s="4"/>
      <c r="H144" s="4"/>
      <c r="I144" s="4"/>
      <c r="J144" s="4"/>
      <c r="K144" s="4"/>
      <c r="L144" s="4"/>
    </row>
    <row r="145" spans="2:12">
      <c r="B145" s="4"/>
      <c r="C145" s="4"/>
      <c r="D145" s="4"/>
      <c r="E145" s="4"/>
      <c r="F145" s="4"/>
      <c r="G145" s="4"/>
      <c r="H145" s="4"/>
      <c r="I145" s="4"/>
      <c r="J145" s="4"/>
      <c r="K145" s="4"/>
      <c r="L145" s="4"/>
    </row>
    <row r="146" spans="2:12">
      <c r="B146" s="4"/>
      <c r="C146" s="4"/>
      <c r="D146" s="4"/>
      <c r="E146" s="4"/>
      <c r="F146" s="4"/>
      <c r="G146" s="4"/>
      <c r="H146" s="4"/>
      <c r="I146" s="4"/>
      <c r="J146" s="4"/>
      <c r="K146" s="4"/>
      <c r="L146" s="4"/>
    </row>
    <row r="147" spans="2:12">
      <c r="B147" s="4"/>
      <c r="C147" s="4"/>
      <c r="D147" s="4"/>
      <c r="E147" s="4"/>
      <c r="F147" s="4"/>
      <c r="G147" s="4"/>
      <c r="H147" s="4"/>
      <c r="I147" s="4"/>
      <c r="J147" s="4"/>
      <c r="K147" s="4"/>
      <c r="L147" s="4"/>
    </row>
    <row r="148" spans="2:12">
      <c r="B148" s="4"/>
      <c r="C148" s="4"/>
      <c r="D148" s="4"/>
      <c r="E148" s="4"/>
      <c r="F148" s="4"/>
      <c r="G148" s="4"/>
      <c r="H148" s="4"/>
      <c r="I148" s="4"/>
      <c r="J148" s="4"/>
      <c r="K148" s="4"/>
      <c r="L148" s="4"/>
    </row>
    <row r="149" spans="2:12">
      <c r="B149" s="4"/>
      <c r="C149" s="4"/>
      <c r="D149" s="4"/>
      <c r="E149" s="4"/>
      <c r="F149" s="4"/>
      <c r="G149" s="4"/>
      <c r="H149" s="4"/>
      <c r="I149" s="4"/>
      <c r="J149" s="4"/>
      <c r="K149" s="4"/>
      <c r="L149" s="4"/>
    </row>
    <row r="150" spans="2:12">
      <c r="B150" s="4"/>
      <c r="C150" s="4"/>
      <c r="D150" s="4"/>
      <c r="E150" s="4"/>
      <c r="F150" s="4"/>
      <c r="G150" s="4"/>
      <c r="H150" s="4"/>
      <c r="I150" s="4"/>
      <c r="J150" s="4"/>
      <c r="K150" s="4"/>
      <c r="L150" s="4"/>
    </row>
    <row r="151" spans="2:12">
      <c r="B151" s="4"/>
      <c r="C151" s="4"/>
      <c r="D151" s="4"/>
      <c r="E151" s="4"/>
      <c r="F151" s="4"/>
      <c r="G151" s="4"/>
      <c r="H151" s="4"/>
      <c r="I151" s="4"/>
      <c r="J151" s="4"/>
      <c r="K151" s="4"/>
      <c r="L151" s="4"/>
    </row>
    <row r="152" spans="2:12">
      <c r="B152" s="4"/>
      <c r="C152" s="4"/>
      <c r="D152" s="4"/>
      <c r="E152" s="4"/>
      <c r="F152" s="4"/>
      <c r="G152" s="4"/>
      <c r="H152" s="4"/>
      <c r="I152" s="4"/>
      <c r="J152" s="4"/>
      <c r="K152" s="4"/>
      <c r="L152" s="4"/>
    </row>
  </sheetData>
  <mergeCells count="3">
    <mergeCell ref="A1:L1"/>
    <mergeCell ref="A2:L2"/>
    <mergeCell ref="A3:L3"/>
  </mergeCells>
  <pageMargins left="0.75" right="0.75" top="1" bottom="1" header="0.5" footer="0.5"/>
  <pageSetup scale="75" fitToHeight="0" orientation="landscape" r:id="rId1"/>
  <headerFooter alignWithMargins="0">
    <oddFooter>&amp;L&amp;Z
&amp;F&amp;C&amp;A&amp;R18.&amp;P</oddFooter>
  </headerFooter>
  <rowBreaks count="1" manualBreakCount="1">
    <brk id="39" max="16383" man="1"/>
  </rowBreaks>
</worksheet>
</file>

<file path=xl/worksheets/sheet138.xml><?xml version="1.0" encoding="utf-8"?>
<worksheet xmlns="http://schemas.openxmlformats.org/spreadsheetml/2006/main" xmlns:r="http://schemas.openxmlformats.org/officeDocument/2006/relationships">
  <sheetPr codeName="Sheet141">
    <pageSetUpPr fitToPage="1"/>
  </sheetPr>
  <dimension ref="A1:P109"/>
  <sheetViews>
    <sheetView zoomScale="90" zoomScaleNormal="90" workbookViewId="0">
      <selection sqref="A1:P1"/>
    </sheetView>
  </sheetViews>
  <sheetFormatPr defaultRowHeight="12.75"/>
  <cols>
    <col min="1" max="1" width="45.7109375" bestFit="1" customWidth="1"/>
    <col min="2" max="2" width="17.7109375" customWidth="1"/>
    <col min="3" max="3" width="1.7109375" customWidth="1"/>
    <col min="4" max="4" width="17.7109375" customWidth="1"/>
    <col min="5" max="5" width="1.7109375" customWidth="1"/>
    <col min="6" max="6" width="17.7109375" customWidth="1"/>
    <col min="7" max="7" width="1.7109375" customWidth="1"/>
    <col min="8" max="8" width="17.7109375" customWidth="1"/>
    <col min="9" max="9" width="1.7109375" customWidth="1"/>
    <col min="10" max="10" width="17.7109375" customWidth="1"/>
    <col min="11" max="11" width="1.7109375" customWidth="1"/>
    <col min="12" max="12" width="17.7109375" customWidth="1"/>
    <col min="13" max="13" width="1.85546875" customWidth="1"/>
    <col min="14" max="14" width="18.5703125" customWidth="1"/>
    <col min="15" max="15" width="1.7109375" customWidth="1"/>
    <col min="16" max="16" width="23.140625" bestFit="1" customWidth="1"/>
  </cols>
  <sheetData>
    <row r="1" spans="1:16" s="38" customFormat="1" ht="15.75">
      <c r="A1" s="366" t="s">
        <v>134</v>
      </c>
      <c r="B1" s="366"/>
      <c r="C1" s="366"/>
      <c r="D1" s="366"/>
      <c r="E1" s="366"/>
      <c r="F1" s="366"/>
      <c r="G1" s="366"/>
      <c r="H1" s="366"/>
      <c r="I1" s="366"/>
      <c r="J1" s="366"/>
      <c r="K1" s="366"/>
      <c r="L1" s="366"/>
      <c r="M1" s="366"/>
      <c r="N1" s="366"/>
      <c r="O1" s="366"/>
      <c r="P1" s="366"/>
    </row>
    <row r="2" spans="1:16" s="38" customFormat="1" ht="15.75">
      <c r="A2" s="366" t="s">
        <v>1166</v>
      </c>
      <c r="B2" s="366"/>
      <c r="C2" s="366"/>
      <c r="D2" s="366"/>
      <c r="E2" s="366"/>
      <c r="F2" s="366"/>
      <c r="G2" s="366"/>
      <c r="H2" s="366"/>
      <c r="I2" s="366"/>
      <c r="J2" s="366"/>
      <c r="K2" s="366"/>
      <c r="L2" s="366"/>
      <c r="M2" s="366"/>
      <c r="N2" s="366"/>
      <c r="O2" s="366"/>
      <c r="P2" s="366"/>
    </row>
    <row r="3" spans="1:16">
      <c r="A3" s="357" t="str">
        <f>'Summary - Cost - PG 1 (PA)'!A3:N3</f>
        <v>MARCH 2012</v>
      </c>
      <c r="B3" s="357"/>
      <c r="C3" s="357"/>
      <c r="D3" s="357"/>
      <c r="E3" s="357"/>
      <c r="F3" s="357"/>
      <c r="G3" s="357"/>
      <c r="H3" s="357"/>
      <c r="I3" s="357"/>
      <c r="J3" s="357"/>
      <c r="K3" s="357"/>
      <c r="L3" s="357"/>
      <c r="M3" s="357"/>
      <c r="N3" s="357"/>
      <c r="O3" s="357"/>
      <c r="P3" s="357"/>
    </row>
    <row r="4" spans="1:16">
      <c r="A4" s="190"/>
      <c r="B4" s="190"/>
      <c r="C4" s="190"/>
      <c r="D4" s="190"/>
      <c r="E4" s="190"/>
      <c r="F4" s="190"/>
      <c r="G4" s="190"/>
      <c r="H4" s="190"/>
      <c r="I4" s="190"/>
      <c r="J4" s="190"/>
      <c r="K4" s="190"/>
      <c r="L4" s="190"/>
    </row>
    <row r="6" spans="1:16">
      <c r="B6" s="41" t="s">
        <v>25</v>
      </c>
      <c r="D6" s="182"/>
      <c r="F6" s="182"/>
      <c r="H6" s="41" t="s">
        <v>612</v>
      </c>
      <c r="J6" s="182"/>
      <c r="L6" s="41" t="s">
        <v>26</v>
      </c>
      <c r="P6" s="29" t="s">
        <v>422</v>
      </c>
    </row>
    <row r="7" spans="1:16" s="10" customFormat="1">
      <c r="B7" s="42" t="s">
        <v>27</v>
      </c>
      <c r="C7"/>
      <c r="D7" s="42" t="s">
        <v>107</v>
      </c>
      <c r="E7"/>
      <c r="F7" s="42" t="s">
        <v>108</v>
      </c>
      <c r="G7"/>
      <c r="H7" s="42" t="s">
        <v>613</v>
      </c>
      <c r="I7"/>
      <c r="J7" s="42" t="s">
        <v>109</v>
      </c>
      <c r="K7"/>
      <c r="L7" s="42" t="s">
        <v>27</v>
      </c>
      <c r="N7" s="42" t="s">
        <v>46</v>
      </c>
      <c r="P7" s="42" t="s">
        <v>419</v>
      </c>
    </row>
    <row r="8" spans="1:16" s="10" customFormat="1">
      <c r="A8" s="12" t="s">
        <v>1244</v>
      </c>
      <c r="B8" s="54"/>
      <c r="C8"/>
      <c r="D8" s="54"/>
      <c r="E8"/>
      <c r="F8" s="54"/>
      <c r="G8"/>
      <c r="H8" s="54"/>
      <c r="I8"/>
      <c r="J8" s="54"/>
      <c r="K8"/>
      <c r="L8" s="54"/>
    </row>
    <row r="9" spans="1:16" s="10" customFormat="1">
      <c r="A9" s="12" t="s">
        <v>420</v>
      </c>
      <c r="B9" s="54"/>
      <c r="C9"/>
      <c r="D9" s="54"/>
      <c r="E9"/>
      <c r="F9" s="54"/>
      <c r="G9"/>
      <c r="H9" s="54"/>
      <c r="I9"/>
      <c r="J9" s="54"/>
      <c r="K9"/>
      <c r="L9" s="54"/>
    </row>
    <row r="10" spans="1:16">
      <c r="A10" s="3" t="s">
        <v>121</v>
      </c>
    </row>
    <row r="11" spans="1:16">
      <c r="A11" t="s">
        <v>848</v>
      </c>
      <c r="B11" s="182">
        <f>'KY_Cost-Plant Acct-Gas-P20 (PA)'!B11</f>
        <v>0</v>
      </c>
      <c r="C11" s="182"/>
      <c r="D11" s="182">
        <f>'KY_Cost-Plant Acct-Gas-P20 (PA)'!D11</f>
        <v>0</v>
      </c>
      <c r="E11" s="182"/>
      <c r="F11" s="182">
        <f>'KY_Cost-Plant Acct-Gas-P20 (PA)'!F11</f>
        <v>0</v>
      </c>
      <c r="G11" s="182"/>
      <c r="H11" s="182">
        <f>'KY_Cost-Plant Acct-Gas-P20 (PA)'!H11</f>
        <v>0</v>
      </c>
      <c r="I11" s="182"/>
      <c r="J11" s="182">
        <f t="shared" ref="J11:J24" si="0">H11+F11+D11</f>
        <v>0</v>
      </c>
      <c r="K11" s="182"/>
      <c r="L11" s="182">
        <f t="shared" ref="L11:L24" si="1">J11+B11</f>
        <v>0</v>
      </c>
      <c r="M11" s="4"/>
      <c r="N11" s="89">
        <f>'KY_Res by Plant Acct-P29 (PA)'!R337</f>
        <v>0</v>
      </c>
      <c r="P11" s="89">
        <f>L11+N11</f>
        <v>0</v>
      </c>
    </row>
    <row r="12" spans="1:16">
      <c r="A12" t="s">
        <v>849</v>
      </c>
      <c r="B12" s="182">
        <f>'KY_Cost-Plant Acct-Gas-P20 (PA)'!B12</f>
        <v>-77375.47</v>
      </c>
      <c r="C12" s="182"/>
      <c r="D12" s="182">
        <f>'KY_Cost-Plant Acct-Gas-P20 (PA)'!D12</f>
        <v>0</v>
      </c>
      <c r="E12" s="182"/>
      <c r="F12" s="182">
        <f>'KY_Cost-Plant Acct-Gas-P20 (PA)'!F12</f>
        <v>0</v>
      </c>
      <c r="G12" s="182"/>
      <c r="H12" s="182">
        <f>'KY_Cost-Plant Acct-Gas-P20 (PA)'!H12</f>
        <v>0</v>
      </c>
      <c r="I12" s="182"/>
      <c r="J12" s="182">
        <f t="shared" si="0"/>
        <v>0</v>
      </c>
      <c r="K12" s="182"/>
      <c r="L12" s="182">
        <f t="shared" si="1"/>
        <v>-77375.47</v>
      </c>
      <c r="M12" s="4"/>
      <c r="N12" s="89">
        <f>'KY_Res by Plant Acct-P29 (PA)'!R338</f>
        <v>77375.47</v>
      </c>
      <c r="P12" s="89">
        <f t="shared" ref="P12:P24" si="2">L12+N12</f>
        <v>0</v>
      </c>
    </row>
    <row r="13" spans="1:16">
      <c r="A13" t="s">
        <v>850</v>
      </c>
      <c r="B13" s="182">
        <f>'KY_Cost-Plant Acct-Gas-P20 (PA)'!B13+'KY_Cost-Plant Acct-Gas-P20 (PA)'!B73</f>
        <v>-93393.220000000016</v>
      </c>
      <c r="C13" s="182"/>
      <c r="D13" s="182">
        <f>'KY_Cost-Plant Acct-Gas-P20 (PA)'!D13+'KY_Cost-Plant Acct-Gas-P20 (PA)'!D73</f>
        <v>0</v>
      </c>
      <c r="E13" s="182"/>
      <c r="F13" s="182">
        <f>'KY_Cost-Plant Acct-Gas-P20 (PA)'!F13</f>
        <v>0</v>
      </c>
      <c r="G13" s="182"/>
      <c r="H13" s="182">
        <f>'KY_Cost-Plant Acct-Gas-P20 (PA)'!H13+'KY_Cost-Plant Acct-Gas-P20 (PA)'!B73</f>
        <v>0</v>
      </c>
      <c r="I13" s="182"/>
      <c r="J13" s="182">
        <f t="shared" si="0"/>
        <v>0</v>
      </c>
      <c r="K13" s="182"/>
      <c r="L13" s="182">
        <f t="shared" si="1"/>
        <v>-93393.220000000016</v>
      </c>
      <c r="M13" s="4"/>
      <c r="N13" s="89">
        <f>'KY_Res by Plant Acct-P29 (PA)'!R339</f>
        <v>93393.220000000016</v>
      </c>
      <c r="P13" s="89">
        <f t="shared" si="2"/>
        <v>0</v>
      </c>
    </row>
    <row r="14" spans="1:16">
      <c r="A14" t="s">
        <v>71</v>
      </c>
      <c r="B14" s="182">
        <f>'KY_Cost-Plant Acct-Gas-P20 (PA)'!B14</f>
        <v>-124116.45999999999</v>
      </c>
      <c r="C14" s="182"/>
      <c r="D14" s="182">
        <f>'KY_Cost-Plant Acct-Gas-P20 (PA)'!D14+'KY_Cost-Plant Acct-Gas-P20 (PA)'!D74</f>
        <v>0</v>
      </c>
      <c r="E14" s="182"/>
      <c r="F14" s="182">
        <f>'KY_Cost-Plant Acct-Gas-P20 (PA)'!F14</f>
        <v>0</v>
      </c>
      <c r="G14" s="182"/>
      <c r="H14" s="182">
        <f>'KY_Cost-Plant Acct-Gas-P20 (PA)'!H14+'KY_Cost-Plant Acct-Gas-P20 (PA)'!H74</f>
        <v>0</v>
      </c>
      <c r="I14" s="182"/>
      <c r="J14" s="182">
        <f t="shared" si="0"/>
        <v>0</v>
      </c>
      <c r="K14" s="182"/>
      <c r="L14" s="182">
        <f t="shared" si="1"/>
        <v>-124116.45999999999</v>
      </c>
      <c r="M14" s="4"/>
      <c r="N14" s="89">
        <f>'KY_Res by Plant Acct-P29 (PA)'!R340</f>
        <v>124116.45999999999</v>
      </c>
      <c r="P14" s="89">
        <f t="shared" si="2"/>
        <v>0</v>
      </c>
    </row>
    <row r="15" spans="1:16">
      <c r="A15" t="s">
        <v>72</v>
      </c>
      <c r="B15" s="182">
        <f>'KY_Cost-Plant Acct-Gas-P20 (PA)'!B15+'KY_Cost-Plant Acct-Gas-P20 (PA)'!B75</f>
        <v>-85344407.420000002</v>
      </c>
      <c r="C15" s="182"/>
      <c r="D15" s="182">
        <f>'KY_Cost-Plant Acct-Gas-P20 (PA)'!D15+'KY_Cost-Plant Acct-Gas-P20 (PA)'!D75</f>
        <v>0</v>
      </c>
      <c r="E15" s="182"/>
      <c r="F15" s="182">
        <f>'KY_Cost-Plant Acct-Gas-P20 (PA)'!F15</f>
        <v>13155.16</v>
      </c>
      <c r="G15" s="182"/>
      <c r="H15" s="182">
        <f>'KY_Cost-Plant Acct-Gas-P20 (PA)'!H15+'KY_Cost-Plant Acct-Gas-P20 (PA)'!H75</f>
        <v>0</v>
      </c>
      <c r="I15" s="182"/>
      <c r="J15" s="182">
        <f t="shared" si="0"/>
        <v>13155.16</v>
      </c>
      <c r="K15" s="182"/>
      <c r="L15" s="182">
        <f t="shared" si="1"/>
        <v>-85331252.260000005</v>
      </c>
      <c r="M15" s="4"/>
      <c r="N15" s="89">
        <f>'KY_Res by Plant Acct-P29 (PA)'!R341</f>
        <v>85351563.189999998</v>
      </c>
      <c r="P15" s="89">
        <f t="shared" si="2"/>
        <v>20310.929999992251</v>
      </c>
    </row>
    <row r="16" spans="1:16">
      <c r="A16" t="s">
        <v>73</v>
      </c>
      <c r="B16" s="182">
        <f>'KY_Cost-Plant Acct-Gas-P20 (PA)'!B16+'KY_Cost-Plant Acct-Gas-P20 (PA)'!B76</f>
        <v>-2297888.37</v>
      </c>
      <c r="C16" s="182"/>
      <c r="D16" s="182">
        <f>'KY_Cost-Plant Acct-Gas-P20 (PA)'!D16+'KY_Cost-Plant Acct-Gas-P20 (PA)'!D76</f>
        <v>0</v>
      </c>
      <c r="E16" s="182"/>
      <c r="F16" s="182">
        <f>'KY_Cost-Plant Acct-Gas-P20 (PA)'!F16</f>
        <v>788.87</v>
      </c>
      <c r="G16" s="182"/>
      <c r="H16" s="182">
        <f>'KY_Cost-Plant Acct-Gas-P20 (PA)'!H16</f>
        <v>0</v>
      </c>
      <c r="I16" s="182"/>
      <c r="J16" s="182">
        <f t="shared" si="0"/>
        <v>788.87</v>
      </c>
      <c r="K16" s="182"/>
      <c r="L16" s="182">
        <f t="shared" si="1"/>
        <v>-2297099.5</v>
      </c>
      <c r="M16" s="4"/>
      <c r="N16" s="89">
        <f>'KY_Res by Plant Acct-P29 (PA)'!R342</f>
        <v>2296950.71</v>
      </c>
      <c r="P16" s="89">
        <f t="shared" si="2"/>
        <v>-148.79000000003725</v>
      </c>
    </row>
    <row r="17" spans="1:16">
      <c r="A17" t="s">
        <v>74</v>
      </c>
      <c r="B17" s="182">
        <f>'KY_Cost-Plant Acct-Gas-P20 (PA)'!B17+'KY_Cost-Plant Acct-Gas-P20 (PA)'!B77</f>
        <v>-1642351.21</v>
      </c>
      <c r="C17" s="182"/>
      <c r="D17" s="182">
        <f>'KY_Cost-Plant Acct-Gas-P20 (PA)'!D17+'KY_Cost-Plant Acct-Gas-P20 (PA)'!D77</f>
        <v>0</v>
      </c>
      <c r="E17" s="182"/>
      <c r="F17" s="182">
        <f>'KY_Cost-Plant Acct-Gas-P20 (PA)'!F17</f>
        <v>0</v>
      </c>
      <c r="G17" s="182"/>
      <c r="H17" s="182">
        <f>'KY_Cost-Plant Acct-Gas-P20 (PA)'!H17+'KY_Cost-Plant Acct-Gas-P20 (PA)'!H77</f>
        <v>0</v>
      </c>
      <c r="I17" s="182"/>
      <c r="J17" s="182">
        <f t="shared" si="0"/>
        <v>0</v>
      </c>
      <c r="K17" s="182"/>
      <c r="L17" s="182">
        <f t="shared" si="1"/>
        <v>-1642351.21</v>
      </c>
      <c r="M17" s="4"/>
      <c r="N17" s="89">
        <f>'KY_Res by Plant Acct-P29 (PA)'!R343</f>
        <v>1642351.21</v>
      </c>
      <c r="P17" s="89">
        <f t="shared" si="2"/>
        <v>0</v>
      </c>
    </row>
    <row r="18" spans="1:16">
      <c r="A18" t="s">
        <v>75</v>
      </c>
      <c r="B18" s="182">
        <f>'KY_Cost-Plant Acct-Gas-P20 (PA)'!B18+'KY_Cost-Plant Acct-Gas-P20 (PA)'!B78</f>
        <v>-28011733.890000001</v>
      </c>
      <c r="C18" s="182"/>
      <c r="D18" s="182">
        <f>'KY_Cost-Plant Acct-Gas-P20 (PA)'!D18+'KY_Cost-Plant Acct-Gas-P20 (PA)'!D78</f>
        <v>0</v>
      </c>
      <c r="E18" s="182"/>
      <c r="F18" s="182">
        <f>'KY_Cost-Plant Acct-Gas-P20 (PA)'!F18</f>
        <v>542.04999999999995</v>
      </c>
      <c r="G18" s="182"/>
      <c r="H18" s="182">
        <f>'KY_Cost-Plant Acct-Gas-P20 (PA)'!H18+'KY_Cost-Plant Acct-Gas-P20 (PA)'!H78</f>
        <v>0</v>
      </c>
      <c r="I18" s="182"/>
      <c r="J18" s="182">
        <f t="shared" si="0"/>
        <v>542.04999999999995</v>
      </c>
      <c r="K18" s="182"/>
      <c r="L18" s="182">
        <f t="shared" si="1"/>
        <v>-28011191.84</v>
      </c>
      <c r="M18" s="4"/>
      <c r="N18" s="89">
        <f>'KY_Res by Plant Acct-P29 (PA)'!R344</f>
        <v>27931023.509999998</v>
      </c>
      <c r="P18" s="89">
        <f t="shared" si="2"/>
        <v>-80168.330000001937</v>
      </c>
    </row>
    <row r="19" spans="1:16">
      <c r="A19" t="s">
        <v>76</v>
      </c>
      <c r="B19" s="182">
        <f>'KY_Cost-Plant Acct-Gas-P20 (PA)'!B19+'KY_Cost-Plant Acct-Gas-P20 (PA)'!B79</f>
        <v>-4889631.58</v>
      </c>
      <c r="C19" s="182"/>
      <c r="D19" s="182">
        <f>'KY_Cost-Plant Acct-Gas-P20 (PA)'!D19+'KY_Cost-Plant Acct-Gas-P20 (PA)'!D79</f>
        <v>0</v>
      </c>
      <c r="E19" s="182"/>
      <c r="F19" s="182">
        <f>'KY_Cost-Plant Acct-Gas-P20 (PA)'!F19</f>
        <v>0</v>
      </c>
      <c r="G19" s="182"/>
      <c r="H19" s="182">
        <f>'KY_Cost-Plant Acct-Gas-P20 (PA)'!H19+'KY_Cost-Plant Acct-Gas-P20 (PA)'!H79</f>
        <v>0</v>
      </c>
      <c r="I19" s="182"/>
      <c r="J19" s="182">
        <f t="shared" si="0"/>
        <v>0</v>
      </c>
      <c r="K19" s="182"/>
      <c r="L19" s="182">
        <f t="shared" si="1"/>
        <v>-4889631.58</v>
      </c>
      <c r="M19" s="4"/>
      <c r="N19" s="89">
        <f>'KY_Res by Plant Acct-P29 (PA)'!R345</f>
        <v>4889631.58</v>
      </c>
      <c r="P19" s="89">
        <f t="shared" si="2"/>
        <v>0</v>
      </c>
    </row>
    <row r="20" spans="1:16">
      <c r="A20" t="s">
        <v>77</v>
      </c>
      <c r="B20" s="182">
        <f>'KY_Cost-Plant Acct-Gas-P20 (PA)'!B20+'KY_Cost-Plant Acct-Gas-P20 (PA)'!B80</f>
        <v>-592016.72</v>
      </c>
      <c r="C20" s="182"/>
      <c r="D20" s="182">
        <f>'KY_Cost-Plant Acct-Gas-P20 (PA)'!D20+'KY_Cost-Plant Acct-Gas-P20 (PA)'!D80</f>
        <v>0</v>
      </c>
      <c r="E20" s="182"/>
      <c r="F20" s="182">
        <f>'KY_Cost-Plant Acct-Gas-P20 (PA)'!F20</f>
        <v>0</v>
      </c>
      <c r="G20" s="182"/>
      <c r="H20" s="182">
        <f>'KY_Cost-Plant Acct-Gas-P20 (PA)'!H20+'KY_Cost-Plant Acct-Gas-P20 (PA)'!H80</f>
        <v>0</v>
      </c>
      <c r="I20" s="182"/>
      <c r="J20" s="182">
        <f t="shared" si="0"/>
        <v>0</v>
      </c>
      <c r="K20" s="182"/>
      <c r="L20" s="182">
        <f t="shared" si="1"/>
        <v>-592016.72</v>
      </c>
      <c r="M20" s="4"/>
      <c r="N20" s="89">
        <f>'KY_Res by Plant Acct-P29 (PA)'!R346</f>
        <v>651298.02</v>
      </c>
      <c r="P20" s="89">
        <f t="shared" si="2"/>
        <v>59281.300000000047</v>
      </c>
    </row>
    <row r="21" spans="1:16">
      <c r="A21" t="s">
        <v>78</v>
      </c>
      <c r="B21" s="182">
        <f>'KY_Cost-Plant Acct-Gas-P20 (PA)'!B21+'KY_Cost-Plant Acct-Gas-P20 (PA)'!B81</f>
        <v>-121845.75</v>
      </c>
      <c r="C21" s="182"/>
      <c r="D21" s="182">
        <f>'KY_Cost-Plant Acct-Gas-P20 (PA)'!D21+'KY_Cost-Plant Acct-Gas-P20 (PA)'!D81</f>
        <v>0</v>
      </c>
      <c r="E21" s="182"/>
      <c r="F21" s="182">
        <f>'KY_Cost-Plant Acct-Gas-P20 (PA)'!F21</f>
        <v>0</v>
      </c>
      <c r="G21" s="182"/>
      <c r="H21" s="182">
        <f>'KY_Cost-Plant Acct-Gas-P20 (PA)'!H21+'KY_Cost-Plant Acct-Gas-P20 (PA)'!H81</f>
        <v>0</v>
      </c>
      <c r="I21" s="182"/>
      <c r="J21" s="182">
        <f t="shared" si="0"/>
        <v>0</v>
      </c>
      <c r="K21" s="182"/>
      <c r="L21" s="182">
        <f t="shared" si="1"/>
        <v>-121845.75</v>
      </c>
      <c r="M21" s="4"/>
      <c r="N21" s="89">
        <f>'KY_Res by Plant Acct-P29 (PA)'!R347</f>
        <v>121906.19</v>
      </c>
      <c r="P21" s="89">
        <f t="shared" si="2"/>
        <v>60.440000000002328</v>
      </c>
    </row>
    <row r="22" spans="1:16">
      <c r="A22" t="s">
        <v>79</v>
      </c>
      <c r="B22" s="182">
        <f>'KY_Cost-Plant Acct-Gas-P20 (PA)'!B22</f>
        <v>-686.5</v>
      </c>
      <c r="C22" s="52"/>
      <c r="D22" s="182">
        <f>'KY_Cost-Plant Acct-Gas-P20 (PA)'!D22+'KY_Cost-Plant Acct-Gas-P20 (PA)'!D82</f>
        <v>0</v>
      </c>
      <c r="E22" s="52"/>
      <c r="F22" s="182">
        <f>'KY_Cost-Plant Acct-Gas-P20 (PA)'!F22</f>
        <v>0</v>
      </c>
      <c r="G22" s="52"/>
      <c r="H22" s="182">
        <f>'KY_Cost-Plant Acct-Gas-P20 (PA)'!H22+'KY_Cost-Plant Acct-Gas-P20 (PA)'!H82</f>
        <v>0</v>
      </c>
      <c r="I22" s="52"/>
      <c r="J22" s="52">
        <f t="shared" si="0"/>
        <v>0</v>
      </c>
      <c r="K22" s="52"/>
      <c r="L22" s="52">
        <f t="shared" si="1"/>
        <v>-686.5</v>
      </c>
      <c r="M22" s="55"/>
      <c r="N22" s="89">
        <f>'KY_Res by Plant Acct-P29 (PA)'!R348</f>
        <v>686.5</v>
      </c>
      <c r="O22" s="7"/>
      <c r="P22" s="89">
        <f t="shared" si="2"/>
        <v>0</v>
      </c>
    </row>
    <row r="23" spans="1:16">
      <c r="A23" t="s">
        <v>80</v>
      </c>
      <c r="B23" s="182">
        <f>'KY_Cost-Plant Acct-Gas-P20 (PA)'!B23</f>
        <v>0</v>
      </c>
      <c r="C23" s="52"/>
      <c r="D23" s="182">
        <f>'KY_Cost-Plant Acct-Gas-P20 (PA)'!D23</f>
        <v>0</v>
      </c>
      <c r="E23" s="52"/>
      <c r="F23" s="182">
        <f>'KY_Cost-Plant Acct-Gas-P20 (PA)'!F23</f>
        <v>0</v>
      </c>
      <c r="G23" s="52"/>
      <c r="H23" s="182">
        <f>'KY_Cost-Plant Acct-Gas-P20 (PA)'!H23</f>
        <v>0</v>
      </c>
      <c r="I23" s="52"/>
      <c r="J23" s="52">
        <f t="shared" si="0"/>
        <v>0</v>
      </c>
      <c r="K23" s="52"/>
      <c r="L23" s="52">
        <f t="shared" si="1"/>
        <v>0</v>
      </c>
      <c r="M23" s="55"/>
      <c r="N23" s="89">
        <f>'KY_Res by Plant Acct-P29 (PA)'!R349</f>
        <v>0</v>
      </c>
      <c r="O23" s="7"/>
      <c r="P23" s="89">
        <f t="shared" si="2"/>
        <v>0</v>
      </c>
    </row>
    <row r="24" spans="1:16">
      <c r="A24" t="s">
        <v>898</v>
      </c>
      <c r="B24" s="48">
        <f>'KY_Cost-Plant Acct-Gas-P20 (PA)'!B24</f>
        <v>0</v>
      </c>
      <c r="C24" s="52"/>
      <c r="D24" s="48">
        <f>'KY_Cost-Plant Acct-Gas-P20 (PA)'!D24</f>
        <v>0</v>
      </c>
      <c r="E24" s="52"/>
      <c r="F24" s="48">
        <f>'KY_Cost-Plant Acct-Gas-P20 (PA)'!F24</f>
        <v>0</v>
      </c>
      <c r="G24" s="52"/>
      <c r="H24" s="48">
        <f>'KY_Cost-Plant Acct-Gas-P20 (PA)'!H24</f>
        <v>0</v>
      </c>
      <c r="I24" s="52"/>
      <c r="J24" s="48">
        <f t="shared" si="0"/>
        <v>0</v>
      </c>
      <c r="K24" s="52"/>
      <c r="L24" s="48">
        <f t="shared" si="1"/>
        <v>0</v>
      </c>
      <c r="M24" s="55"/>
      <c r="N24" s="90">
        <f>'KY_Res by Plant Acct-P29 (PA)'!R350</f>
        <v>0</v>
      </c>
      <c r="O24" s="7"/>
      <c r="P24" s="90">
        <f t="shared" si="2"/>
        <v>0</v>
      </c>
    </row>
    <row r="25" spans="1:16">
      <c r="B25" s="52">
        <f>SUM(B11:B24)</f>
        <v>-123195446.59</v>
      </c>
      <c r="C25" s="52"/>
      <c r="D25" s="52">
        <f>SUM(D11:D24)</f>
        <v>0</v>
      </c>
      <c r="E25" s="52"/>
      <c r="F25" s="52">
        <f>SUM(F11:F24)</f>
        <v>14486.08</v>
      </c>
      <c r="G25" s="52"/>
      <c r="H25" s="52">
        <f>SUM(H11:H24)</f>
        <v>0</v>
      </c>
      <c r="I25" s="52"/>
      <c r="J25" s="52">
        <f>SUM(J11:J24)</f>
        <v>14486.08</v>
      </c>
      <c r="K25" s="52"/>
      <c r="L25" s="52">
        <f>SUM(L11:L24)</f>
        <v>-123180960.51000001</v>
      </c>
      <c r="M25" s="55"/>
      <c r="N25" s="83">
        <f>SUM(N11:N24)</f>
        <v>123180296.05999997</v>
      </c>
      <c r="O25" s="7"/>
      <c r="P25" s="83">
        <f>SUM(P11:P24)</f>
        <v>-664.45000000967411</v>
      </c>
    </row>
    <row r="26" spans="1:16">
      <c r="B26" s="182"/>
      <c r="C26" s="182"/>
      <c r="D26" s="182"/>
      <c r="E26" s="182"/>
      <c r="F26" s="182"/>
      <c r="G26" s="182"/>
      <c r="H26" s="182"/>
      <c r="I26" s="182"/>
      <c r="J26" s="182"/>
      <c r="K26" s="182"/>
      <c r="L26" s="182"/>
      <c r="M26" s="4"/>
    </row>
    <row r="27" spans="1:16">
      <c r="A27" s="3" t="s">
        <v>122</v>
      </c>
      <c r="B27" s="182"/>
      <c r="C27" s="182"/>
      <c r="D27" s="182"/>
      <c r="E27" s="182"/>
      <c r="F27" s="182"/>
      <c r="G27" s="182"/>
      <c r="H27" s="182"/>
      <c r="I27" s="182"/>
      <c r="J27" s="182"/>
      <c r="K27" s="182"/>
      <c r="L27" s="182"/>
      <c r="M27" s="4"/>
    </row>
    <row r="28" spans="1:16">
      <c r="A28" t="s">
        <v>899</v>
      </c>
      <c r="B28" s="182">
        <f>'KY_Cost-Plant Acct-Gas-P20 (PA)'!B28+'KY_Cost-Plant Acct-Gas-P20 (PA)'!B86</f>
        <v>-992001.17999999993</v>
      </c>
      <c r="C28" s="182"/>
      <c r="D28" s="182">
        <f>'KY_Cost-Plant Acct-Gas-P20 (PA)'!D28+'KY_Cost-Plant Acct-Gas-P20 (PA)'!D86</f>
        <v>0</v>
      </c>
      <c r="E28" s="182"/>
      <c r="F28" s="182">
        <f>'KY_Cost-Plant Acct-Gas-P20 (PA)'!F28</f>
        <v>0</v>
      </c>
      <c r="G28" s="182"/>
      <c r="H28" s="182">
        <f>'KY_Cost-Plant Acct-Gas-P20 (PA)'!H28</f>
        <v>0</v>
      </c>
      <c r="I28" s="182"/>
      <c r="J28" s="182">
        <f t="shared" ref="J28:J33" si="3">H28+F28+D28</f>
        <v>0</v>
      </c>
      <c r="K28" s="182"/>
      <c r="L28" s="182">
        <f t="shared" ref="L28:L33" si="4">J28+B28</f>
        <v>-992001.17999999993</v>
      </c>
      <c r="M28" s="4"/>
      <c r="N28" s="89">
        <f>'KY_Res by Plant Acct-P29 (PA)'!R354</f>
        <v>992001.17999999993</v>
      </c>
      <c r="P28" s="89">
        <f t="shared" ref="P28:P33" si="5">L28+N28</f>
        <v>0</v>
      </c>
    </row>
    <row r="29" spans="1:16">
      <c r="A29" t="s">
        <v>900</v>
      </c>
      <c r="B29" s="182">
        <f>'KY_Cost-Plant Acct-Gas-P20 (PA)'!B29+'KY_Cost-Plant Acct-Gas-P20 (PA)'!B87</f>
        <v>-201767.27000000002</v>
      </c>
      <c r="C29" s="182"/>
      <c r="D29" s="182">
        <f>'KY_Cost-Plant Acct-Gas-P20 (PA)'!D29+'KY_Cost-Plant Acct-Gas-P20 (PA)'!D87</f>
        <v>0</v>
      </c>
      <c r="E29" s="182"/>
      <c r="F29" s="182">
        <f>'KY_Cost-Plant Acct-Gas-P20 (PA)'!F29</f>
        <v>0</v>
      </c>
      <c r="G29" s="182"/>
      <c r="H29" s="182">
        <f>'KY_Cost-Plant Acct-Gas-P20 (PA)'!H29</f>
        <v>0</v>
      </c>
      <c r="I29" s="182"/>
      <c r="J29" s="182">
        <f t="shared" si="3"/>
        <v>0</v>
      </c>
      <c r="K29" s="182"/>
      <c r="L29" s="182">
        <f t="shared" si="4"/>
        <v>-201767.27000000002</v>
      </c>
      <c r="M29" s="4"/>
      <c r="N29" s="89">
        <f>'KY_Res by Plant Acct-P29 (PA)'!R355</f>
        <v>197861.31</v>
      </c>
      <c r="P29" s="89">
        <f t="shared" si="5"/>
        <v>-3905.960000000021</v>
      </c>
    </row>
    <row r="30" spans="1:16">
      <c r="A30" t="s">
        <v>901</v>
      </c>
      <c r="B30" s="182">
        <f>'KY_Cost-Plant Acct-Gas-P20 (PA)'!B30+'KY_Cost-Plant Acct-Gas-P20 (PA)'!B88</f>
        <v>-1545530.0100000002</v>
      </c>
      <c r="C30" s="182"/>
      <c r="D30" s="182">
        <f>'KY_Cost-Plant Acct-Gas-P20 (PA)'!D30+'KY_Cost-Plant Acct-Gas-P20 (PA)'!D88</f>
        <v>0</v>
      </c>
      <c r="E30" s="182"/>
      <c r="F30" s="182">
        <f>'KY_Cost-Plant Acct-Gas-P20 (PA)'!F30</f>
        <v>0</v>
      </c>
      <c r="G30" s="182"/>
      <c r="H30" s="182">
        <f>'KY_Cost-Plant Acct-Gas-P20 (PA)'!H30+'KY_Cost-Plant Acct-Gas-P20 (PA)'!H88</f>
        <v>0</v>
      </c>
      <c r="I30" s="182"/>
      <c r="J30" s="182">
        <f t="shared" si="3"/>
        <v>0</v>
      </c>
      <c r="K30" s="182"/>
      <c r="L30" s="182">
        <f t="shared" si="4"/>
        <v>-1545530.0100000002</v>
      </c>
      <c r="M30" s="4"/>
      <c r="N30" s="89">
        <f>'KY_Res by Plant Acct-P29 (PA)'!R356</f>
        <v>1544705.11</v>
      </c>
      <c r="P30" s="89">
        <f t="shared" si="5"/>
        <v>-824.9000000001397</v>
      </c>
    </row>
    <row r="31" spans="1:16">
      <c r="A31" t="s">
        <v>995</v>
      </c>
      <c r="B31" s="182">
        <f>'KY_Cost-Plant Acct-Gas-P20 (PA)'!B31+'KY_Cost-Plant Acct-Gas-P20 (PA)'!B89</f>
        <v>-6890.71</v>
      </c>
      <c r="C31" s="182"/>
      <c r="D31" s="182">
        <f>'KY_Cost-Plant Acct-Gas-P20 (PA)'!D31+'KY_Cost-Plant Acct-Gas-P20 (PA)'!D89</f>
        <v>0</v>
      </c>
      <c r="E31" s="182"/>
      <c r="F31" s="182">
        <f>'KY_Cost-Plant Acct-Gas-P20 (PA)'!F31</f>
        <v>0</v>
      </c>
      <c r="G31" s="182"/>
      <c r="H31" s="182">
        <f>'KY_Cost-Plant Acct-Gas-P20 (PA)'!H31</f>
        <v>0</v>
      </c>
      <c r="I31" s="182"/>
      <c r="J31" s="182">
        <f t="shared" si="3"/>
        <v>0</v>
      </c>
      <c r="K31" s="182"/>
      <c r="L31" s="182">
        <f t="shared" si="4"/>
        <v>-6890.71</v>
      </c>
      <c r="M31" s="4"/>
      <c r="N31" s="89">
        <f>'KY_Res by Plant Acct-P29 (PA)'!R357</f>
        <v>6890.71</v>
      </c>
      <c r="P31" s="89">
        <f t="shared" si="5"/>
        <v>0</v>
      </c>
    </row>
    <row r="32" spans="1:16">
      <c r="A32" t="s">
        <v>996</v>
      </c>
      <c r="B32" s="182">
        <f>'KY_Cost-Plant Acct-Gas-P20 (PA)'!B32+'KY_Cost-Plant Acct-Gas-P20 (PA)'!B90</f>
        <v>-1937639.12</v>
      </c>
      <c r="C32" s="52"/>
      <c r="D32" s="182">
        <f>'KY_Cost-Plant Acct-Gas-P20 (PA)'!D32+'KY_Cost-Plant Acct-Gas-P20 (PA)'!D90</f>
        <v>0</v>
      </c>
      <c r="E32" s="52"/>
      <c r="F32" s="182">
        <f>'KY_Cost-Plant Acct-Gas-P20 (PA)'!F32</f>
        <v>0</v>
      </c>
      <c r="G32" s="52"/>
      <c r="H32" s="182">
        <f>'KY_Cost-Plant Acct-Gas-P20 (PA)'!H32</f>
        <v>0</v>
      </c>
      <c r="I32" s="52"/>
      <c r="J32" s="52">
        <f t="shared" si="3"/>
        <v>0</v>
      </c>
      <c r="K32" s="52"/>
      <c r="L32" s="52">
        <f t="shared" si="4"/>
        <v>-1937639.12</v>
      </c>
      <c r="M32" s="55"/>
      <c r="N32" s="89">
        <f>'KY_Res by Plant Acct-P29 (PA)'!R358</f>
        <v>1937639.12</v>
      </c>
      <c r="P32" s="89">
        <f t="shared" si="5"/>
        <v>0</v>
      </c>
    </row>
    <row r="33" spans="1:16">
      <c r="A33" t="s">
        <v>997</v>
      </c>
      <c r="B33" s="48">
        <f>'KY_Cost-Plant Acct-Gas-P20 (PA)'!B33+'KY_Cost-Plant Acct-Gas-P20 (PA)'!B91</f>
        <v>-35252.800000000003</v>
      </c>
      <c r="C33" s="52"/>
      <c r="D33" s="48">
        <f>'KY_Cost-Plant Acct-Gas-P20 (PA)'!D33+'KY_Cost-Plant Acct-Gas-P20 (PA)'!D91</f>
        <v>0</v>
      </c>
      <c r="E33" s="52"/>
      <c r="F33" s="48">
        <f>'KY_Cost-Plant Acct-Gas-P20 (PA)'!F33</f>
        <v>0</v>
      </c>
      <c r="G33" s="52"/>
      <c r="H33" s="48">
        <f>'KY_Cost-Plant Acct-Gas-P20 (PA)'!H33</f>
        <v>0</v>
      </c>
      <c r="I33" s="52"/>
      <c r="J33" s="48">
        <f t="shared" si="3"/>
        <v>0</v>
      </c>
      <c r="K33" s="52"/>
      <c r="L33" s="48">
        <f t="shared" si="4"/>
        <v>-35252.800000000003</v>
      </c>
      <c r="M33" s="55"/>
      <c r="N33" s="90">
        <f>'KY_Res by Plant Acct-P29 (PA)'!R359</f>
        <v>35252.800000000003</v>
      </c>
      <c r="P33" s="90">
        <f t="shared" si="5"/>
        <v>0</v>
      </c>
    </row>
    <row r="34" spans="1:16">
      <c r="B34" s="52">
        <f>SUM(B28:B33)</f>
        <v>-4719081.09</v>
      </c>
      <c r="C34" s="52"/>
      <c r="D34" s="52">
        <f>SUM(D28:D33)</f>
        <v>0</v>
      </c>
      <c r="E34" s="52"/>
      <c r="F34" s="52">
        <f>SUM(F28:F33)</f>
        <v>0</v>
      </c>
      <c r="G34" s="52"/>
      <c r="H34" s="52">
        <f>SUM(H28:H33)</f>
        <v>0</v>
      </c>
      <c r="I34" s="52"/>
      <c r="J34" s="52">
        <f>SUM(J28:J33)</f>
        <v>0</v>
      </c>
      <c r="K34" s="52"/>
      <c r="L34" s="52">
        <f>SUM(L28:L33)</f>
        <v>-4719081.09</v>
      </c>
      <c r="M34" s="55"/>
      <c r="N34" s="89">
        <f>SUM(N28:N33)</f>
        <v>4714350.2299999995</v>
      </c>
      <c r="P34" s="89">
        <f>SUM(P28:P33)</f>
        <v>-4730.8600000001607</v>
      </c>
    </row>
    <row r="35" spans="1:16">
      <c r="B35" s="52"/>
      <c r="C35" s="52"/>
      <c r="D35" s="52"/>
      <c r="E35" s="52"/>
      <c r="F35" s="52"/>
      <c r="G35" s="52"/>
      <c r="H35" s="52"/>
      <c r="I35" s="52"/>
      <c r="J35" s="52"/>
      <c r="K35" s="52"/>
      <c r="L35" s="52"/>
      <c r="M35" s="55"/>
    </row>
    <row r="36" spans="1:16">
      <c r="A36" s="3" t="s">
        <v>123</v>
      </c>
      <c r="B36" s="52"/>
      <c r="C36" s="52"/>
      <c r="D36" s="52"/>
      <c r="E36" s="52"/>
      <c r="F36" s="52"/>
      <c r="G36" s="52"/>
      <c r="H36" s="52"/>
      <c r="I36" s="52"/>
      <c r="J36" s="52"/>
      <c r="K36" s="52"/>
      <c r="L36" s="52"/>
      <c r="M36" s="55"/>
    </row>
    <row r="37" spans="1:16">
      <c r="A37" t="s">
        <v>998</v>
      </c>
      <c r="B37" s="48">
        <f>'KY_Cost-Plant Acct-Gas-P20 (PA)'!B37</f>
        <v>-119.15999999999997</v>
      </c>
      <c r="C37" s="52"/>
      <c r="D37" s="48">
        <f>'KY_Cost-Plant Acct-Gas-P20 (PA)'!D37</f>
        <v>0</v>
      </c>
      <c r="E37" s="52"/>
      <c r="F37" s="48">
        <f>'KY_Cost-Plant Acct-Gas-P20 (PA)'!F37</f>
        <v>0</v>
      </c>
      <c r="G37" s="52"/>
      <c r="H37" s="48">
        <f>'KY_Cost-Plant Acct-Gas-P20 (PA)'!H37</f>
        <v>0</v>
      </c>
      <c r="I37" s="52"/>
      <c r="J37" s="48">
        <f>H37+F37+D37</f>
        <v>0</v>
      </c>
      <c r="K37" s="52"/>
      <c r="L37" s="48">
        <f>J37+B37</f>
        <v>-119.15999999999997</v>
      </c>
      <c r="M37" s="55"/>
      <c r="N37" s="90">
        <f>'KY_Res by Plant Acct-P29 (PA)'!R395</f>
        <v>119.15999999999997</v>
      </c>
      <c r="P37" s="90">
        <f>L37+N37</f>
        <v>0</v>
      </c>
    </row>
    <row r="38" spans="1:16">
      <c r="B38" s="52">
        <f>SUM(B37)</f>
        <v>-119.15999999999997</v>
      </c>
      <c r="C38" s="52"/>
      <c r="D38" s="52">
        <f>SUM(D37)</f>
        <v>0</v>
      </c>
      <c r="E38" s="52"/>
      <c r="F38" s="52">
        <f>SUM(F37)</f>
        <v>0</v>
      </c>
      <c r="G38" s="52"/>
      <c r="H38" s="52">
        <f>SUM(H37)</f>
        <v>0</v>
      </c>
      <c r="I38" s="52"/>
      <c r="J38" s="52">
        <f>SUM(J37)</f>
        <v>0</v>
      </c>
      <c r="K38" s="52"/>
      <c r="L38" s="52">
        <f>SUM(L37)</f>
        <v>-119.15999999999997</v>
      </c>
      <c r="M38" s="55"/>
      <c r="N38" s="89">
        <f>SUM(N37)</f>
        <v>119.15999999999997</v>
      </c>
      <c r="P38" s="89">
        <f>SUM(P37)</f>
        <v>0</v>
      </c>
    </row>
    <row r="39" spans="1:16">
      <c r="B39" s="52"/>
      <c r="C39" s="52"/>
      <c r="D39" s="52"/>
      <c r="E39" s="52"/>
      <c r="F39" s="52"/>
      <c r="G39" s="52"/>
      <c r="H39" s="52"/>
      <c r="I39" s="52"/>
      <c r="J39" s="52"/>
      <c r="K39" s="52"/>
      <c r="L39" s="52"/>
      <c r="M39" s="55"/>
    </row>
    <row r="40" spans="1:16">
      <c r="A40" s="3" t="s">
        <v>124</v>
      </c>
      <c r="B40" s="52"/>
      <c r="C40" s="52"/>
      <c r="D40" s="52"/>
      <c r="E40" s="52"/>
      <c r="F40" s="52"/>
      <c r="G40" s="52"/>
      <c r="H40" s="52"/>
      <c r="I40" s="52"/>
      <c r="J40" s="52"/>
      <c r="K40" s="52"/>
      <c r="L40" s="52"/>
      <c r="M40" s="55"/>
    </row>
    <row r="41" spans="1:16">
      <c r="A41" t="s">
        <v>13</v>
      </c>
      <c r="B41" s="52">
        <f>'KY_Cost-Plant Acct-Gas-P20 (PA)'!B41</f>
        <v>0</v>
      </c>
      <c r="C41" s="52"/>
      <c r="D41" s="52">
        <f>'KY_Cost-Plant Acct-Gas-P20 (PA)'!D41</f>
        <v>0</v>
      </c>
      <c r="E41" s="52"/>
      <c r="F41" s="52">
        <f>'KY_Cost-Plant Acct-Gas-P20 (PA)'!F41</f>
        <v>0</v>
      </c>
      <c r="G41" s="52"/>
      <c r="H41" s="52">
        <f>'KY_Cost-Plant Acct-Gas-P20 (PA)'!H41</f>
        <v>0</v>
      </c>
      <c r="I41" s="52"/>
      <c r="J41" s="52">
        <f t="shared" ref="J41:J58" si="6">H41+F41+D41</f>
        <v>0</v>
      </c>
      <c r="K41" s="52"/>
      <c r="L41" s="52">
        <f t="shared" ref="L41:L58" si="7">J41+B41</f>
        <v>0</v>
      </c>
      <c r="M41" s="55"/>
      <c r="N41" s="89">
        <f>'KY_Res by Plant Acct-P29 (PA)'!R364</f>
        <v>0</v>
      </c>
      <c r="P41" s="89">
        <f t="shared" ref="P41:P58" si="8">L41+N41</f>
        <v>0</v>
      </c>
    </row>
    <row r="42" spans="1:16">
      <c r="A42" t="s">
        <v>559</v>
      </c>
      <c r="B42" s="52">
        <f>'KY_Cost-Plant Acct-Gas-P20 (PA)'!B42</f>
        <v>-70451.45</v>
      </c>
      <c r="C42" s="52"/>
      <c r="D42" s="52">
        <f>'KY_Cost-Plant Acct-Gas-P20 (PA)'!D42</f>
        <v>0</v>
      </c>
      <c r="E42" s="52"/>
      <c r="F42" s="52">
        <f>'KY_Cost-Plant Acct-Gas-P20 (PA)'!F42</f>
        <v>0</v>
      </c>
      <c r="G42" s="52"/>
      <c r="H42" s="52">
        <f>'KY_Cost-Plant Acct-Gas-P20 (PA)'!H42</f>
        <v>0</v>
      </c>
      <c r="I42" s="52"/>
      <c r="J42" s="52">
        <f t="shared" si="6"/>
        <v>0</v>
      </c>
      <c r="K42" s="52"/>
      <c r="L42" s="52">
        <f t="shared" si="7"/>
        <v>-70451.45</v>
      </c>
      <c r="M42" s="55"/>
      <c r="N42" s="89">
        <f>'KY_Res by Plant Acct-P29 (PA)'!R365</f>
        <v>70451.45</v>
      </c>
      <c r="P42" s="89">
        <f t="shared" si="8"/>
        <v>0</v>
      </c>
    </row>
    <row r="43" spans="1:16">
      <c r="A43" t="s">
        <v>560</v>
      </c>
      <c r="B43" s="52">
        <f>'KY_Cost-Plant Acct-Gas-P20 (PA)'!B43+'KY_Cost-Plant Acct-Gas-P20 (PA)'!B95</f>
        <v>-809470.3600000001</v>
      </c>
      <c r="C43" s="52"/>
      <c r="D43" s="52">
        <f>'KY_Cost-Plant Acct-Gas-P20 (PA)'!D43+'KY_Cost-Plant Acct-Gas-P20 (PA)'!D95</f>
        <v>0</v>
      </c>
      <c r="E43" s="52"/>
      <c r="F43" s="52">
        <f>'KY_Cost-Plant Acct-Gas-P20 (PA)'!F43</f>
        <v>0</v>
      </c>
      <c r="G43" s="52"/>
      <c r="H43" s="52">
        <f>'KY_Cost-Plant Acct-Gas-P20 (PA)'!H43+'KY_Cost-Plant Acct-Gas-P20 (PA)'!H95</f>
        <v>0</v>
      </c>
      <c r="I43" s="52"/>
      <c r="J43" s="52">
        <f t="shared" si="6"/>
        <v>0</v>
      </c>
      <c r="K43" s="52"/>
      <c r="L43" s="52">
        <f t="shared" si="7"/>
        <v>-809470.3600000001</v>
      </c>
      <c r="M43" s="55"/>
      <c r="N43" s="89">
        <f>'KY_Res by Plant Acct-P29 (PA)'!R366</f>
        <v>809869.75000000012</v>
      </c>
      <c r="P43" s="89">
        <f t="shared" si="8"/>
        <v>399.39000000001397</v>
      </c>
    </row>
    <row r="44" spans="1:16">
      <c r="A44" t="s">
        <v>561</v>
      </c>
      <c r="B44" s="52">
        <f>'KY_Cost-Plant Acct-Gas-P20 (PA)'!B44</f>
        <v>-13017.57</v>
      </c>
      <c r="C44" s="52"/>
      <c r="D44" s="52">
        <f>'KY_Cost-Plant Acct-Gas-P20 (PA)'!D44</f>
        <v>0</v>
      </c>
      <c r="E44" s="52"/>
      <c r="F44" s="52">
        <f>'KY_Cost-Plant Acct-Gas-P20 (PA)'!F44</f>
        <v>0</v>
      </c>
      <c r="G44" s="52"/>
      <c r="H44" s="52">
        <f>'KY_Cost-Plant Acct-Gas-P20 (PA)'!H44</f>
        <v>0</v>
      </c>
      <c r="I44" s="52"/>
      <c r="J44" s="52">
        <f t="shared" si="6"/>
        <v>0</v>
      </c>
      <c r="K44" s="52"/>
      <c r="L44" s="52">
        <f t="shared" si="7"/>
        <v>-13017.57</v>
      </c>
      <c r="M44" s="55"/>
      <c r="N44" s="89">
        <f>'KY_Res by Plant Acct-P29 (PA)'!R367</f>
        <v>13017.57</v>
      </c>
      <c r="P44" s="89">
        <f t="shared" si="8"/>
        <v>0</v>
      </c>
    </row>
    <row r="45" spans="1:16">
      <c r="A45" t="s">
        <v>14</v>
      </c>
      <c r="B45" s="52">
        <f>'KY_Cost-Plant Acct-Gas-P20 (PA)'!B45+'KY_Cost-Plant Acct-Gas-P20 (PA)'!B96</f>
        <v>-690372.78</v>
      </c>
      <c r="C45" s="52"/>
      <c r="D45" s="52">
        <f>'KY_Cost-Plant Acct-Gas-P20 (PA)'!D45+'KY_Cost-Plant Acct-Gas-P20 (PA)'!D96</f>
        <v>0</v>
      </c>
      <c r="E45" s="52"/>
      <c r="F45" s="52">
        <f>'KY_Cost-Plant Acct-Gas-P20 (PA)'!F45</f>
        <v>0</v>
      </c>
      <c r="G45" s="52"/>
      <c r="H45" s="52">
        <f>'KY_Cost-Plant Acct-Gas-P20 (PA)'!H45+'KY_Cost-Plant Acct-Gas-P20 (PA)'!H96</f>
        <v>0</v>
      </c>
      <c r="I45" s="52"/>
      <c r="J45" s="52">
        <f t="shared" si="6"/>
        <v>0</v>
      </c>
      <c r="K45" s="52"/>
      <c r="L45" s="52">
        <f t="shared" si="7"/>
        <v>-690372.78</v>
      </c>
      <c r="M45" s="55"/>
      <c r="N45" s="89">
        <f>'KY_Res by Plant Acct-P29 (PA)'!R368</f>
        <v>690372.78</v>
      </c>
      <c r="P45" s="89">
        <f t="shared" si="8"/>
        <v>0</v>
      </c>
    </row>
    <row r="46" spans="1:16">
      <c r="A46" t="s">
        <v>562</v>
      </c>
      <c r="B46" s="52">
        <f>'KY_Cost-Plant Acct-Gas-P20 (PA)'!B46</f>
        <v>-569589.96</v>
      </c>
      <c r="C46" s="52"/>
      <c r="D46" s="52">
        <f>'KY_Cost-Plant Acct-Gas-P20 (PA)'!D46</f>
        <v>0</v>
      </c>
      <c r="E46" s="52"/>
      <c r="F46" s="52">
        <f>'KY_Cost-Plant Acct-Gas-P20 (PA)'!F46</f>
        <v>0</v>
      </c>
      <c r="G46" s="52"/>
      <c r="H46" s="52">
        <f>'KY_Cost-Plant Acct-Gas-P20 (PA)'!H46</f>
        <v>0</v>
      </c>
      <c r="I46" s="52"/>
      <c r="J46" s="52">
        <f t="shared" si="6"/>
        <v>0</v>
      </c>
      <c r="K46" s="52"/>
      <c r="L46" s="52">
        <f t="shared" si="7"/>
        <v>-569589.96</v>
      </c>
      <c r="M46" s="55"/>
      <c r="N46" s="89">
        <f>'KY_Res by Plant Acct-P29 (PA)'!R369</f>
        <v>569589.96</v>
      </c>
      <c r="P46" s="89">
        <f t="shared" si="8"/>
        <v>0</v>
      </c>
    </row>
    <row r="47" spans="1:16">
      <c r="A47" t="s">
        <v>563</v>
      </c>
      <c r="B47" s="52">
        <f>'KY_Cost-Plant Acct-Gas-P20 (PA)'!B47</f>
        <v>-452027.32</v>
      </c>
      <c r="C47" s="52"/>
      <c r="D47" s="52">
        <f>'KY_Cost-Plant Acct-Gas-P20 (PA)'!D47</f>
        <v>0</v>
      </c>
      <c r="E47" s="52"/>
      <c r="F47" s="52">
        <f>'KY_Cost-Plant Acct-Gas-P20 (PA)'!F47</f>
        <v>0</v>
      </c>
      <c r="G47" s="52"/>
      <c r="H47" s="52">
        <f>'KY_Cost-Plant Acct-Gas-P20 (PA)'!H47</f>
        <v>0</v>
      </c>
      <c r="I47" s="52"/>
      <c r="J47" s="52">
        <f t="shared" si="6"/>
        <v>0</v>
      </c>
      <c r="K47" s="52"/>
      <c r="L47" s="52">
        <f t="shared" si="7"/>
        <v>-452027.32</v>
      </c>
      <c r="M47" s="55"/>
      <c r="N47" s="89">
        <f>'KY_Res by Plant Acct-P29 (PA)'!R370</f>
        <v>452027.32</v>
      </c>
      <c r="P47" s="89">
        <f t="shared" si="8"/>
        <v>0</v>
      </c>
    </row>
    <row r="48" spans="1:16">
      <c r="A48" t="s">
        <v>564</v>
      </c>
      <c r="B48" s="52">
        <f>'KY_Cost-Plant Acct-Gas-P20 (PA)'!B48</f>
        <v>-7668812.0300000003</v>
      </c>
      <c r="C48" s="52"/>
      <c r="D48" s="52">
        <f>'KY_Cost-Plant Acct-Gas-P20 (PA)'!D48</f>
        <v>0</v>
      </c>
      <c r="E48" s="52"/>
      <c r="F48" s="52">
        <f>'KY_Cost-Plant Acct-Gas-P20 (PA)'!F48</f>
        <v>0</v>
      </c>
      <c r="G48" s="52"/>
      <c r="H48" s="52">
        <f>'KY_Cost-Plant Acct-Gas-P20 (PA)'!H48</f>
        <v>0</v>
      </c>
      <c r="I48" s="52"/>
      <c r="J48" s="52">
        <f t="shared" si="6"/>
        <v>0</v>
      </c>
      <c r="K48" s="52"/>
      <c r="L48" s="52">
        <f t="shared" si="7"/>
        <v>-7668812.0300000003</v>
      </c>
      <c r="M48" s="55"/>
      <c r="N48" s="89">
        <f>'KY_Res by Plant Acct-P29 (PA)'!R371</f>
        <v>7668812.0300000003</v>
      </c>
      <c r="P48" s="89">
        <f t="shared" si="8"/>
        <v>0</v>
      </c>
    </row>
    <row r="49" spans="1:16">
      <c r="A49" t="s">
        <v>15</v>
      </c>
      <c r="B49" s="52">
        <f>'KY_Cost-Plant Acct-Gas-P20 (PA)'!B49</f>
        <v>-2024282.79</v>
      </c>
      <c r="C49" s="52"/>
      <c r="D49" s="52">
        <f>'KY_Cost-Plant Acct-Gas-P20 (PA)'!D49</f>
        <v>0</v>
      </c>
      <c r="E49" s="52"/>
      <c r="F49" s="52">
        <f>'KY_Cost-Plant Acct-Gas-P20 (PA)'!F49</f>
        <v>0</v>
      </c>
      <c r="G49" s="52"/>
      <c r="H49" s="52">
        <f>'KY_Cost-Plant Acct-Gas-P20 (PA)'!H49</f>
        <v>0</v>
      </c>
      <c r="I49" s="52"/>
      <c r="J49" s="52">
        <f t="shared" si="6"/>
        <v>0</v>
      </c>
      <c r="K49" s="52"/>
      <c r="L49" s="52">
        <f t="shared" si="7"/>
        <v>-2024282.79</v>
      </c>
      <c r="M49" s="55"/>
      <c r="N49" s="89">
        <f>'KY_Res by Plant Acct-P29 (PA)'!R372</f>
        <v>2024282.79</v>
      </c>
      <c r="P49" s="89">
        <f t="shared" si="8"/>
        <v>0</v>
      </c>
    </row>
    <row r="50" spans="1:16">
      <c r="A50" t="s">
        <v>1093</v>
      </c>
      <c r="B50" s="52">
        <f>'KY_Cost-Plant Acct-Gas-P20 (PA)'!B50+'KY_Cost-Plant Acct-Gas-P20 (PA)'!B97</f>
        <v>-980340.55999999994</v>
      </c>
      <c r="C50" s="52"/>
      <c r="D50" s="52">
        <f>'KY_Cost-Plant Acct-Gas-P20 (PA)'!D50+'KY_Cost-Plant Acct-Gas-P20 (PA)'!D97</f>
        <v>0</v>
      </c>
      <c r="E50" s="52"/>
      <c r="F50" s="52">
        <f>'KY_Cost-Plant Acct-Gas-P20 (PA)'!F50</f>
        <v>0</v>
      </c>
      <c r="G50" s="52"/>
      <c r="H50" s="52">
        <f>'KY_Cost-Plant Acct-Gas-P20 (PA)'!H50+'KY_Cost-Plant Acct-Gas-P20 (PA)'!H97</f>
        <v>0</v>
      </c>
      <c r="I50" s="52"/>
      <c r="J50" s="52">
        <f t="shared" si="6"/>
        <v>0</v>
      </c>
      <c r="K50" s="52"/>
      <c r="L50" s="52">
        <f t="shared" si="7"/>
        <v>-980340.55999999994</v>
      </c>
      <c r="M50" s="55"/>
      <c r="N50" s="89">
        <f>'KY_Res by Plant Acct-P29 (PA)'!R373</f>
        <v>1031798.6499999999</v>
      </c>
      <c r="P50" s="89">
        <f t="shared" si="8"/>
        <v>51458.089999999967</v>
      </c>
    </row>
    <row r="51" spans="1:16">
      <c r="A51" t="s">
        <v>1092</v>
      </c>
      <c r="B51" s="52">
        <f>'KY_Cost-Plant Acct-Gas-P20 (PA)'!B51+'KY_Cost-Plant Acct-Gas-P20 (PA)'!B98</f>
        <v>-659752.1399999999</v>
      </c>
      <c r="C51" s="52"/>
      <c r="D51" s="52">
        <f>'KY_Cost-Plant Acct-Gas-P20 (PA)'!D51+'KY_Cost-Plant Acct-Gas-P20 (PA)'!D98</f>
        <v>0</v>
      </c>
      <c r="E51" s="52"/>
      <c r="F51" s="52">
        <f>'KY_Cost-Plant Acct-Gas-P20 (PA)'!F51</f>
        <v>0</v>
      </c>
      <c r="G51" s="52"/>
      <c r="H51" s="52">
        <f>'KY_Cost-Plant Acct-Gas-P20 (PA)'!H51+'KY_Cost-Plant Acct-Gas-P20 (PA)'!H98</f>
        <v>0</v>
      </c>
      <c r="I51" s="52"/>
      <c r="J51" s="52">
        <f t="shared" si="6"/>
        <v>0</v>
      </c>
      <c r="K51" s="52"/>
      <c r="L51" s="52">
        <f>J51+B51</f>
        <v>-659752.1399999999</v>
      </c>
      <c r="M51" s="55"/>
      <c r="N51" s="89">
        <f>'KY_Res by Plant Acct-P29 (PA)'!R374</f>
        <v>618244.21</v>
      </c>
      <c r="P51" s="89">
        <f t="shared" si="8"/>
        <v>-41507.929999999935</v>
      </c>
    </row>
    <row r="52" spans="1:16">
      <c r="A52" t="s">
        <v>16</v>
      </c>
      <c r="B52" s="52">
        <f>'KY_Cost-Plant Acct-Gas-P20 (PA)'!B52+'KY_Cost-Plant Acct-Gas-P20 (PA)'!B99</f>
        <v>-6112912.8999999994</v>
      </c>
      <c r="C52" s="52"/>
      <c r="D52" s="52">
        <f>'KY_Cost-Plant Acct-Gas-P20 (PA)'!D52+'KY_Cost-Plant Acct-Gas-P20 (PA)'!D99</f>
        <v>0</v>
      </c>
      <c r="E52" s="52"/>
      <c r="F52" s="52">
        <f>'KY_Cost-Plant Acct-Gas-P20 (PA)'!F52</f>
        <v>14575.9</v>
      </c>
      <c r="G52" s="52"/>
      <c r="H52" s="52">
        <f>'KY_Cost-Plant Acct-Gas-P20 (PA)'!H52</f>
        <v>0</v>
      </c>
      <c r="I52" s="52"/>
      <c r="J52" s="52">
        <f t="shared" si="6"/>
        <v>14575.9</v>
      </c>
      <c r="K52" s="52"/>
      <c r="L52" s="52">
        <f t="shared" si="7"/>
        <v>-6098336.9999999991</v>
      </c>
      <c r="M52" s="55"/>
      <c r="N52" s="89">
        <f>'KY_Res by Plant Acct-P29 (PA)'!R375</f>
        <v>6098336.9999999991</v>
      </c>
      <c r="P52" s="89">
        <f t="shared" si="8"/>
        <v>0</v>
      </c>
    </row>
    <row r="53" spans="1:16">
      <c r="A53" t="s">
        <v>565</v>
      </c>
      <c r="B53" s="52">
        <f>'KY_Cost-Plant Acct-Gas-P20 (PA)'!B53+'KY_Cost-Plant Acct-Gas-P20 (PA)'!B100</f>
        <v>-5081034.6199999992</v>
      </c>
      <c r="C53" s="52"/>
      <c r="D53" s="52">
        <f>'KY_Cost-Plant Acct-Gas-P20 (PA)'!D53+'KY_Cost-Plant Acct-Gas-P20 (PA)'!D100</f>
        <v>0</v>
      </c>
      <c r="E53" s="52"/>
      <c r="F53" s="52">
        <f>'KY_Cost-Plant Acct-Gas-P20 (PA)'!F53</f>
        <v>15058.01</v>
      </c>
      <c r="G53" s="52"/>
      <c r="H53" s="52">
        <f>'KY_Cost-Plant Acct-Gas-P20 (PA)'!H53+'KY_Cost-Plant Acct-Gas-P20 (PA)'!H100</f>
        <v>1342.41</v>
      </c>
      <c r="I53" s="52"/>
      <c r="J53" s="52">
        <f t="shared" si="6"/>
        <v>16400.420000000002</v>
      </c>
      <c r="K53" s="52"/>
      <c r="L53" s="52">
        <f t="shared" si="7"/>
        <v>-5064634.1999999993</v>
      </c>
      <c r="M53" s="55"/>
      <c r="N53" s="89">
        <f>'KY_Res by Plant Acct-P29 (PA)'!R376</f>
        <v>5064753.84</v>
      </c>
      <c r="P53" s="89">
        <f t="shared" si="8"/>
        <v>119.64000000059605</v>
      </c>
    </row>
    <row r="54" spans="1:16">
      <c r="A54" t="s">
        <v>566</v>
      </c>
      <c r="B54" s="52">
        <f>'KY_Cost-Plant Acct-Gas-P20 (PA)'!B54+'KY_Cost-Plant Acct-Gas-P20 (PA)'!B101</f>
        <v>-280222.42</v>
      </c>
      <c r="C54" s="52"/>
      <c r="D54" s="52">
        <f>'KY_Cost-Plant Acct-Gas-P20 (PA)'!D54+'KY_Cost-Plant Acct-Gas-P20 (PA)'!D101</f>
        <v>0</v>
      </c>
      <c r="E54" s="52"/>
      <c r="F54" s="52">
        <f>'KY_Cost-Plant Acct-Gas-P20 (PA)'!F54</f>
        <v>0</v>
      </c>
      <c r="G54" s="52"/>
      <c r="H54" s="52">
        <f>'KY_Cost-Plant Acct-Gas-P20 (PA)'!H54+'KY_Cost-Plant Acct-Gas-P20 (PA)'!H101</f>
        <v>0</v>
      </c>
      <c r="I54" s="52"/>
      <c r="J54" s="52">
        <f t="shared" si="6"/>
        <v>0</v>
      </c>
      <c r="K54" s="52"/>
      <c r="L54" s="52">
        <f t="shared" si="7"/>
        <v>-280222.42</v>
      </c>
      <c r="M54" s="55"/>
      <c r="N54" s="89">
        <f>'KY_Res by Plant Acct-P29 (PA)'!R377</f>
        <v>280222.42</v>
      </c>
      <c r="P54" s="89">
        <f t="shared" si="8"/>
        <v>0</v>
      </c>
    </row>
    <row r="55" spans="1:16">
      <c r="A55" t="s">
        <v>567</v>
      </c>
      <c r="B55" s="52">
        <f>'KY_Cost-Plant Acct-Gas-P20 (PA)'!B55+'KY_Cost-Plant Acct-Gas-P20 (PA)'!B102</f>
        <v>-4102207.99</v>
      </c>
      <c r="C55" s="52"/>
      <c r="D55" s="52">
        <f>'KY_Cost-Plant Acct-Gas-P20 (PA)'!D55+'KY_Cost-Plant Acct-Gas-P20 (PA)'!D102</f>
        <v>0</v>
      </c>
      <c r="E55" s="52"/>
      <c r="F55" s="52">
        <f>'KY_Cost-Plant Acct-Gas-P20 (PA)'!F55</f>
        <v>7288.86</v>
      </c>
      <c r="G55" s="52"/>
      <c r="H55" s="52">
        <f>'KY_Cost-Plant Acct-Gas-P20 (PA)'!H55+'KY_Cost-Plant Acct-Gas-P20 (PA)'!H102</f>
        <v>-1342.41</v>
      </c>
      <c r="I55" s="52"/>
      <c r="J55" s="52">
        <f t="shared" si="6"/>
        <v>5946.45</v>
      </c>
      <c r="K55" s="52"/>
      <c r="L55" s="52">
        <f t="shared" si="7"/>
        <v>-4096261.54</v>
      </c>
      <c r="M55" s="55"/>
      <c r="N55" s="89">
        <f>'KY_Res by Plant Acct-P29 (PA)'!R378</f>
        <v>4095862.1500000008</v>
      </c>
      <c r="P55" s="89">
        <f t="shared" si="8"/>
        <v>-399.38999999919906</v>
      </c>
    </row>
    <row r="56" spans="1:16">
      <c r="A56" t="s">
        <v>17</v>
      </c>
      <c r="B56" s="52">
        <f>'KY_Cost-Plant Acct-Gas-P20 (PA)'!B56</f>
        <v>-351763.13999999996</v>
      </c>
      <c r="C56" s="52"/>
      <c r="D56" s="52">
        <f>'KY_Cost-Plant Acct-Gas-P20 (PA)'!D56</f>
        <v>0</v>
      </c>
      <c r="E56" s="52"/>
      <c r="F56" s="52">
        <f>'KY_Cost-Plant Acct-Gas-P20 (PA)'!F56</f>
        <v>0</v>
      </c>
      <c r="G56" s="52"/>
      <c r="H56" s="52">
        <f>'KY_Cost-Plant Acct-Gas-P20 (PA)'!H56</f>
        <v>0</v>
      </c>
      <c r="I56" s="52"/>
      <c r="J56" s="52">
        <f t="shared" si="6"/>
        <v>0</v>
      </c>
      <c r="K56" s="52"/>
      <c r="L56" s="52">
        <f t="shared" si="7"/>
        <v>-351763.13999999996</v>
      </c>
      <c r="M56" s="55"/>
      <c r="N56" s="89">
        <f>'KY_Res by Plant Acct-P29 (PA)'!R379</f>
        <v>351763.13999999996</v>
      </c>
      <c r="P56" s="89">
        <f t="shared" si="8"/>
        <v>0</v>
      </c>
    </row>
    <row r="57" spans="1:16">
      <c r="A57" t="s">
        <v>568</v>
      </c>
      <c r="B57" s="52">
        <f>'KY_Cost-Plant Acct-Gas-P20 (PA)'!B57</f>
        <v>0</v>
      </c>
      <c r="C57" s="52"/>
      <c r="D57" s="52">
        <f>'KY_Cost-Plant Acct-Gas-P20 (PA)'!D57</f>
        <v>0</v>
      </c>
      <c r="E57" s="52"/>
      <c r="F57" s="52">
        <f>'KY_Cost-Plant Acct-Gas-P20 (PA)'!F57</f>
        <v>0</v>
      </c>
      <c r="G57" s="52"/>
      <c r="H57" s="52">
        <f>'KY_Cost-Plant Acct-Gas-P20 (PA)'!H57</f>
        <v>0</v>
      </c>
      <c r="I57" s="52"/>
      <c r="J57" s="52">
        <f t="shared" si="6"/>
        <v>0</v>
      </c>
      <c r="K57" s="52"/>
      <c r="L57" s="52">
        <f t="shared" si="7"/>
        <v>0</v>
      </c>
      <c r="M57" s="55"/>
      <c r="N57" s="89">
        <f>'KY_Res by Plant Acct-P29 (PA)'!R380</f>
        <v>0</v>
      </c>
      <c r="P57" s="89">
        <f t="shared" si="8"/>
        <v>0</v>
      </c>
    </row>
    <row r="58" spans="1:16">
      <c r="A58" t="s">
        <v>569</v>
      </c>
      <c r="B58" s="48">
        <f>'KY_Cost-Plant Acct-Gas-P20 (PA)'!B58</f>
        <v>0</v>
      </c>
      <c r="C58" s="52"/>
      <c r="D58" s="48">
        <f>'KY_Cost-Plant Acct-Gas-P20 (PA)'!D58</f>
        <v>0</v>
      </c>
      <c r="E58" s="52"/>
      <c r="F58" s="48">
        <f>'KY_Cost-Plant Acct-Gas-P20 (PA)'!F58</f>
        <v>0</v>
      </c>
      <c r="G58" s="52"/>
      <c r="H58" s="48">
        <f>'KY_Cost-Plant Acct-Gas-P20 (PA)'!H58</f>
        <v>0</v>
      </c>
      <c r="I58" s="52"/>
      <c r="J58" s="48">
        <f t="shared" si="6"/>
        <v>0</v>
      </c>
      <c r="K58" s="52"/>
      <c r="L58" s="48">
        <f t="shared" si="7"/>
        <v>0</v>
      </c>
      <c r="M58" s="55"/>
      <c r="N58" s="90">
        <f>'KY_Res by Plant Acct-P29 (PA)'!R381</f>
        <v>0</v>
      </c>
      <c r="P58" s="90">
        <f t="shared" si="8"/>
        <v>0</v>
      </c>
    </row>
    <row r="59" spans="1:16">
      <c r="B59" s="52">
        <f>SUM(B41:B58)</f>
        <v>-29866258.030000009</v>
      </c>
      <c r="C59" s="52"/>
      <c r="D59" s="52">
        <f>SUM(D41:D58)</f>
        <v>0</v>
      </c>
      <c r="E59" s="52"/>
      <c r="F59" s="52">
        <f>SUM(F41:F58)</f>
        <v>36922.769999999997</v>
      </c>
      <c r="G59" s="52"/>
      <c r="H59" s="52">
        <f>SUM(H41:H58)</f>
        <v>0</v>
      </c>
      <c r="I59" s="52"/>
      <c r="J59" s="52">
        <f>SUM(J41:J58)</f>
        <v>36922.769999999997</v>
      </c>
      <c r="K59" s="52"/>
      <c r="L59" s="52">
        <f>SUM(L41:L58)</f>
        <v>-29829335.260000002</v>
      </c>
      <c r="M59" s="55"/>
      <c r="N59" s="89">
        <f>SUM(N41:N58)</f>
        <v>29839405.060000002</v>
      </c>
      <c r="P59" s="89">
        <f>SUM(P41:P58)</f>
        <v>10069.800000001444</v>
      </c>
    </row>
    <row r="60" spans="1:16">
      <c r="B60" s="182"/>
      <c r="C60" s="182"/>
      <c r="D60" s="182"/>
      <c r="E60" s="182"/>
      <c r="F60" s="182"/>
      <c r="G60" s="182"/>
      <c r="H60" s="182"/>
      <c r="I60" s="182"/>
      <c r="J60" s="182"/>
      <c r="K60" s="182"/>
      <c r="L60" s="182"/>
      <c r="M60" s="4"/>
    </row>
    <row r="61" spans="1:16">
      <c r="A61" s="3" t="s">
        <v>125</v>
      </c>
      <c r="B61" s="182"/>
      <c r="C61" s="182"/>
      <c r="D61" s="182"/>
      <c r="E61" s="182"/>
      <c r="F61" s="182"/>
      <c r="G61" s="182"/>
      <c r="H61" s="182"/>
      <c r="I61" s="182"/>
      <c r="J61" s="182"/>
      <c r="K61" s="182"/>
      <c r="L61" s="182"/>
      <c r="M61" s="4"/>
    </row>
    <row r="62" spans="1:16">
      <c r="A62" t="s">
        <v>570</v>
      </c>
      <c r="B62" s="182">
        <f>'KY_Cost-Plant Acct-Gas-P20 (PA)'!B62</f>
        <v>-208142.37</v>
      </c>
      <c r="C62" s="182"/>
      <c r="D62" s="182">
        <f>'KY_Cost-Plant Acct-Gas-P20 (PA)'!D62</f>
        <v>0</v>
      </c>
      <c r="E62" s="182"/>
      <c r="F62" s="182">
        <f>'KY_Cost-Plant Acct-Gas-P20 (PA)'!F62</f>
        <v>0</v>
      </c>
      <c r="G62" s="182"/>
      <c r="H62" s="182">
        <f>'KY_Cost-Plant Acct-Gas-P20 (PA)'!H62</f>
        <v>0</v>
      </c>
      <c r="I62" s="182"/>
      <c r="J62" s="182">
        <f>H62+F62+D62</f>
        <v>0</v>
      </c>
      <c r="K62" s="182"/>
      <c r="L62" s="182">
        <f>J62+B62</f>
        <v>-208142.37</v>
      </c>
      <c r="M62" s="4"/>
      <c r="N62" s="89">
        <f>'KY_Res by Plant Acct-P29 (PA)'!R385</f>
        <v>208142.37</v>
      </c>
      <c r="P62" s="89">
        <f>L62+N62</f>
        <v>0</v>
      </c>
    </row>
    <row r="63" spans="1:16">
      <c r="A63" t="s">
        <v>571</v>
      </c>
      <c r="B63" s="182">
        <f>'KY_Cost-Plant Acct-Gas-P20 (PA)'!B63+'KY_Cost-Plant Acct-Gas-P20 (PA)'!B106</f>
        <v>-9218471.7699999996</v>
      </c>
      <c r="C63" s="182"/>
      <c r="D63" s="182">
        <f>'KY_Cost-Plant Acct-Gas-P20 (PA)'!D63+'KY_Cost-Plant Acct-Gas-P20 (PA)'!D106</f>
        <v>0</v>
      </c>
      <c r="E63" s="182"/>
      <c r="F63" s="182">
        <f>'KY_Cost-Plant Acct-Gas-P20 (PA)'!F63</f>
        <v>698.24</v>
      </c>
      <c r="G63" s="182"/>
      <c r="H63" s="182">
        <f>'KY_Cost-Plant Acct-Gas-P20 (PA)'!H63</f>
        <v>0</v>
      </c>
      <c r="I63" s="182"/>
      <c r="J63" s="182">
        <f>H63+F63+D63</f>
        <v>698.24</v>
      </c>
      <c r="K63" s="182"/>
      <c r="L63" s="182">
        <f>J63+B63</f>
        <v>-9217773.5299999993</v>
      </c>
      <c r="M63" s="4"/>
      <c r="N63" s="89">
        <f>'KY_Res by Plant Acct-P29 (PA)'!R386</f>
        <v>9217773.5299999993</v>
      </c>
      <c r="P63" s="89">
        <f>L63+N63</f>
        <v>0</v>
      </c>
    </row>
    <row r="64" spans="1:16">
      <c r="A64" t="s">
        <v>1444</v>
      </c>
      <c r="B64" s="48">
        <f>'KY_Cost-Plant Acct-Gas-P20 (PA)'!B64</f>
        <v>0</v>
      </c>
      <c r="C64" s="52"/>
      <c r="D64" s="48">
        <f>'KY_Cost-Plant Acct-Gas-P20 (PA)'!D64</f>
        <v>0</v>
      </c>
      <c r="E64" s="52"/>
      <c r="F64" s="48">
        <f>'KY_Cost-Plant Acct-Gas-P20 (PA)'!F64</f>
        <v>0</v>
      </c>
      <c r="G64" s="52"/>
      <c r="H64" s="48">
        <f>'KY_Cost-Plant Acct-Gas-P20 (PA)'!H64</f>
        <v>0</v>
      </c>
      <c r="I64" s="52"/>
      <c r="J64" s="48">
        <f>H64+F64+D64</f>
        <v>0</v>
      </c>
      <c r="K64" s="52"/>
      <c r="L64" s="48">
        <f>J64+B64</f>
        <v>0</v>
      </c>
      <c r="M64" s="55"/>
      <c r="N64" s="90">
        <f>'KY_Res by Plant Acct-P29 (PA)'!R387</f>
        <v>0</v>
      </c>
      <c r="P64" s="90">
        <f t="shared" ref="P64" si="9">L64+N64</f>
        <v>0</v>
      </c>
    </row>
    <row r="65" spans="1:16">
      <c r="B65" s="52">
        <f>SUM(B62:B64)</f>
        <v>-9426614.1399999987</v>
      </c>
      <c r="C65" s="52"/>
      <c r="D65" s="52">
        <f>SUM(D62:D64)</f>
        <v>0</v>
      </c>
      <c r="E65" s="52"/>
      <c r="F65" s="52">
        <f>SUM(F62:F64)</f>
        <v>698.24</v>
      </c>
      <c r="G65" s="52"/>
      <c r="H65" s="52">
        <f>SUM(H62:H64)</f>
        <v>0</v>
      </c>
      <c r="I65" s="52"/>
      <c r="J65" s="52">
        <f>SUM(J62:J64)</f>
        <v>698.24</v>
      </c>
      <c r="K65" s="52"/>
      <c r="L65" s="52">
        <f>SUM(L62:L64)</f>
        <v>-9425915.8999999985</v>
      </c>
      <c r="M65" s="55"/>
      <c r="N65" s="52">
        <f>SUM(N62:N64)</f>
        <v>9425915.8999999985</v>
      </c>
      <c r="P65" s="52">
        <f>SUM(P62:P64)</f>
        <v>0</v>
      </c>
    </row>
    <row r="66" spans="1:16">
      <c r="B66" s="52"/>
      <c r="C66" s="52"/>
      <c r="D66" s="52"/>
      <c r="E66" s="52"/>
      <c r="F66" s="52"/>
      <c r="G66" s="52"/>
      <c r="H66" s="52"/>
      <c r="I66" s="52"/>
      <c r="J66" s="52"/>
      <c r="K66" s="52"/>
      <c r="L66" s="52"/>
      <c r="M66" s="55"/>
    </row>
    <row r="67" spans="1:16">
      <c r="B67" s="52"/>
      <c r="C67" s="52"/>
      <c r="D67" s="52"/>
      <c r="E67" s="52"/>
      <c r="F67" s="52"/>
      <c r="G67" s="52"/>
      <c r="H67" s="52"/>
      <c r="I67" s="52"/>
      <c r="J67" s="52"/>
      <c r="K67" s="52"/>
      <c r="L67" s="52"/>
      <c r="M67" s="4"/>
    </row>
    <row r="68" spans="1:16" ht="13.5" thickBot="1">
      <c r="A68" s="3" t="s">
        <v>140</v>
      </c>
      <c r="B68" s="46">
        <f>B65+B59+B38+B34+B25</f>
        <v>-167207519.00999999</v>
      </c>
      <c r="C68" s="52"/>
      <c r="D68" s="46">
        <f>D65+D59+D38+D34+D25</f>
        <v>0</v>
      </c>
      <c r="E68" s="52"/>
      <c r="F68" s="46">
        <f>F65+F59+F38+F34+F25</f>
        <v>52107.09</v>
      </c>
      <c r="G68" s="52"/>
      <c r="H68" s="46">
        <f>H65+H59+H38+H34+H25</f>
        <v>0</v>
      </c>
      <c r="I68" s="52"/>
      <c r="J68" s="46">
        <f>J65+J59+J38+J34+J25</f>
        <v>52107.09</v>
      </c>
      <c r="K68" s="52"/>
      <c r="L68" s="46">
        <f>L65+L59+L38+L34+L25</f>
        <v>-167155411.92000002</v>
      </c>
      <c r="M68" s="4"/>
      <c r="N68" s="46">
        <f>N65+N59+N38+N34+N25</f>
        <v>167160086.40999997</v>
      </c>
      <c r="P68" s="46">
        <f>P65+P59+P38+P34+P25</f>
        <v>4674.4899999916088</v>
      </c>
    </row>
    <row r="69" spans="1:16" ht="13.5" thickTop="1">
      <c r="B69" s="52"/>
      <c r="C69" s="52"/>
      <c r="D69" s="52"/>
      <c r="E69" s="52"/>
      <c r="F69" s="52"/>
      <c r="G69" s="52"/>
      <c r="H69" s="52"/>
      <c r="I69" s="52"/>
      <c r="J69" s="52"/>
      <c r="K69" s="52"/>
      <c r="L69" s="52"/>
      <c r="M69" s="4"/>
    </row>
    <row r="70" spans="1:16">
      <c r="B70" s="182"/>
      <c r="C70" s="182"/>
      <c r="D70" s="182"/>
      <c r="E70" s="182"/>
      <c r="F70" s="182"/>
      <c r="G70" s="182"/>
      <c r="H70" s="182"/>
      <c r="I70" s="182"/>
      <c r="J70" s="182"/>
      <c r="K70" s="182"/>
      <c r="L70" s="182"/>
      <c r="M70" s="4"/>
    </row>
    <row r="71" spans="1:16">
      <c r="B71" s="182"/>
      <c r="C71" s="182"/>
      <c r="D71" s="182"/>
      <c r="E71" s="182"/>
      <c r="F71" s="182"/>
      <c r="G71" s="182"/>
      <c r="H71" s="182"/>
      <c r="I71" s="182"/>
      <c r="J71" s="182"/>
      <c r="K71" s="182"/>
      <c r="L71" s="182"/>
      <c r="M71" s="4"/>
    </row>
    <row r="72" spans="1:16">
      <c r="B72" s="182"/>
      <c r="C72" s="182"/>
      <c r="D72" s="182"/>
      <c r="E72" s="182"/>
      <c r="F72" s="182"/>
      <c r="G72" s="182"/>
      <c r="H72" s="182"/>
      <c r="I72" s="182"/>
      <c r="J72" s="182"/>
      <c r="K72" s="182"/>
      <c r="L72" s="182"/>
      <c r="M72" s="4"/>
    </row>
    <row r="73" spans="1:16">
      <c r="B73" s="182"/>
      <c r="C73" s="182"/>
      <c r="D73" s="182"/>
      <c r="E73" s="182"/>
      <c r="F73" s="182"/>
      <c r="G73" s="182"/>
      <c r="H73" s="182"/>
      <c r="I73" s="182"/>
      <c r="J73" s="182"/>
      <c r="K73" s="182"/>
      <c r="L73" s="182"/>
      <c r="M73" s="4"/>
    </row>
    <row r="74" spans="1:16">
      <c r="B74" s="182"/>
      <c r="C74" s="182"/>
      <c r="D74" s="182"/>
      <c r="E74" s="182"/>
      <c r="F74" s="182"/>
      <c r="G74" s="182"/>
      <c r="H74" s="182"/>
      <c r="I74" s="182"/>
      <c r="J74" s="182"/>
      <c r="K74" s="182"/>
      <c r="L74" s="182"/>
      <c r="M74" s="4"/>
    </row>
    <row r="75" spans="1:16">
      <c r="B75" s="4"/>
      <c r="C75" s="4"/>
      <c r="D75" s="4"/>
      <c r="E75" s="4"/>
      <c r="F75" s="4"/>
      <c r="G75" s="4"/>
      <c r="H75" s="4"/>
      <c r="I75" s="4"/>
      <c r="J75" s="4"/>
      <c r="K75" s="4"/>
      <c r="L75" s="4"/>
      <c r="M75" s="4"/>
    </row>
    <row r="76" spans="1:16">
      <c r="B76" s="4"/>
      <c r="C76" s="4"/>
      <c r="D76" s="4"/>
      <c r="E76" s="4"/>
      <c r="F76" s="4"/>
      <c r="G76" s="4"/>
      <c r="H76" s="4"/>
      <c r="I76" s="4"/>
      <c r="J76" s="4"/>
      <c r="K76" s="4"/>
      <c r="L76" s="4"/>
      <c r="M76" s="4"/>
    </row>
    <row r="77" spans="1:16">
      <c r="B77" s="4"/>
      <c r="C77" s="4"/>
      <c r="D77" s="4"/>
      <c r="E77" s="4"/>
      <c r="F77" s="4"/>
      <c r="G77" s="4"/>
      <c r="H77" s="4"/>
      <c r="I77" s="4"/>
      <c r="J77" s="4"/>
      <c r="K77" s="4"/>
      <c r="L77" s="4"/>
      <c r="M77" s="4"/>
    </row>
    <row r="78" spans="1:16">
      <c r="B78" s="4"/>
      <c r="C78" s="4"/>
      <c r="D78" s="4"/>
      <c r="E78" s="4"/>
      <c r="F78" s="4"/>
      <c r="G78" s="4"/>
      <c r="H78" s="4"/>
      <c r="I78" s="4"/>
      <c r="J78" s="4"/>
      <c r="K78" s="4"/>
      <c r="L78" s="4"/>
      <c r="M78" s="4"/>
    </row>
    <row r="79" spans="1:16">
      <c r="B79" s="4"/>
      <c r="C79" s="4"/>
      <c r="D79" s="4"/>
      <c r="E79" s="4"/>
      <c r="F79" s="4"/>
      <c r="G79" s="4"/>
      <c r="H79" s="4"/>
      <c r="I79" s="4"/>
      <c r="J79" s="4"/>
      <c r="K79" s="4"/>
      <c r="L79" s="4"/>
      <c r="M79" s="4"/>
    </row>
    <row r="80" spans="1:16">
      <c r="B80" s="4"/>
      <c r="C80" s="4"/>
      <c r="D80" s="4"/>
      <c r="E80" s="4"/>
      <c r="F80" s="4"/>
      <c r="G80" s="4"/>
      <c r="H80" s="4"/>
      <c r="I80" s="4"/>
      <c r="J80" s="4"/>
      <c r="K80" s="4"/>
      <c r="L80" s="4"/>
      <c r="M80" s="4"/>
    </row>
    <row r="81" spans="2:13">
      <c r="B81" s="4"/>
      <c r="C81" s="4"/>
      <c r="D81" s="4"/>
      <c r="E81" s="4"/>
      <c r="F81" s="4"/>
      <c r="G81" s="4"/>
      <c r="H81" s="4"/>
      <c r="I81" s="4"/>
      <c r="J81" s="4"/>
      <c r="K81" s="4"/>
      <c r="L81" s="4"/>
      <c r="M81" s="4"/>
    </row>
    <row r="82" spans="2:13">
      <c r="B82" s="4"/>
      <c r="C82" s="4"/>
      <c r="D82" s="4"/>
      <c r="E82" s="4"/>
      <c r="F82" s="4"/>
      <c r="G82" s="4"/>
      <c r="H82" s="4"/>
      <c r="I82" s="4"/>
      <c r="J82" s="4"/>
      <c r="K82" s="4"/>
      <c r="L82" s="4"/>
      <c r="M82" s="4"/>
    </row>
    <row r="83" spans="2:13">
      <c r="B83" s="4"/>
      <c r="C83" s="4"/>
      <c r="D83" s="4"/>
      <c r="E83" s="4"/>
      <c r="F83" s="4"/>
      <c r="G83" s="4"/>
      <c r="H83" s="4"/>
      <c r="I83" s="4"/>
      <c r="J83" s="4"/>
      <c r="K83" s="4"/>
      <c r="L83" s="4"/>
      <c r="M83" s="4"/>
    </row>
    <row r="84" spans="2:13">
      <c r="B84" s="4"/>
      <c r="C84" s="4"/>
      <c r="D84" s="4"/>
      <c r="E84" s="4"/>
      <c r="F84" s="4"/>
      <c r="G84" s="4"/>
      <c r="H84" s="4"/>
      <c r="I84" s="4"/>
      <c r="J84" s="4"/>
      <c r="K84" s="4"/>
      <c r="L84" s="4"/>
      <c r="M84" s="4"/>
    </row>
    <row r="85" spans="2:13">
      <c r="B85" s="4"/>
      <c r="C85" s="4"/>
      <c r="D85" s="4"/>
      <c r="E85" s="4"/>
      <c r="F85" s="4"/>
      <c r="G85" s="4"/>
      <c r="H85" s="4"/>
      <c r="I85" s="4"/>
      <c r="J85" s="4"/>
      <c r="K85" s="4"/>
      <c r="L85" s="4"/>
      <c r="M85" s="4"/>
    </row>
    <row r="86" spans="2:13">
      <c r="B86" s="4"/>
      <c r="C86" s="4"/>
      <c r="D86" s="4"/>
      <c r="E86" s="4"/>
      <c r="F86" s="4"/>
      <c r="G86" s="4"/>
      <c r="H86" s="4"/>
      <c r="I86" s="4"/>
      <c r="J86" s="4"/>
      <c r="K86" s="4"/>
      <c r="L86" s="4"/>
      <c r="M86" s="4"/>
    </row>
    <row r="87" spans="2:13">
      <c r="B87" s="4"/>
      <c r="C87" s="4"/>
      <c r="D87" s="4"/>
      <c r="E87" s="4"/>
      <c r="F87" s="4"/>
      <c r="G87" s="4"/>
      <c r="H87" s="4"/>
      <c r="I87" s="4"/>
      <c r="J87" s="4"/>
      <c r="K87" s="4"/>
      <c r="L87" s="4"/>
      <c r="M87" s="4"/>
    </row>
    <row r="88" spans="2:13">
      <c r="B88" s="4"/>
      <c r="C88" s="4"/>
      <c r="D88" s="4"/>
      <c r="E88" s="4"/>
      <c r="F88" s="4"/>
      <c r="G88" s="4"/>
      <c r="H88" s="4"/>
      <c r="I88" s="4"/>
      <c r="J88" s="4"/>
      <c r="K88" s="4"/>
      <c r="L88" s="4"/>
      <c r="M88" s="4"/>
    </row>
    <row r="89" spans="2:13">
      <c r="B89" s="4"/>
      <c r="C89" s="4"/>
      <c r="D89" s="4"/>
      <c r="E89" s="4"/>
      <c r="F89" s="4"/>
      <c r="G89" s="4"/>
      <c r="H89" s="4"/>
      <c r="I89" s="4"/>
      <c r="J89" s="4"/>
      <c r="K89" s="4"/>
      <c r="L89" s="4"/>
      <c r="M89" s="4"/>
    </row>
    <row r="90" spans="2:13">
      <c r="B90" s="4"/>
      <c r="C90" s="4"/>
      <c r="D90" s="4"/>
      <c r="E90" s="4"/>
      <c r="F90" s="4"/>
      <c r="G90" s="4"/>
      <c r="H90" s="4"/>
      <c r="I90" s="4"/>
      <c r="J90" s="4"/>
      <c r="K90" s="4"/>
      <c r="L90" s="4"/>
      <c r="M90" s="4"/>
    </row>
    <row r="91" spans="2:13">
      <c r="B91" s="4"/>
      <c r="C91" s="4"/>
      <c r="D91" s="4"/>
      <c r="E91" s="4"/>
      <c r="F91" s="4"/>
      <c r="G91" s="4"/>
      <c r="H91" s="4"/>
      <c r="I91" s="4"/>
      <c r="J91" s="4"/>
      <c r="K91" s="4"/>
      <c r="L91" s="4"/>
      <c r="M91" s="4"/>
    </row>
    <row r="92" spans="2:13">
      <c r="B92" s="4"/>
      <c r="C92" s="4"/>
      <c r="D92" s="4"/>
      <c r="E92" s="4"/>
      <c r="F92" s="4"/>
      <c r="G92" s="4"/>
      <c r="H92" s="4"/>
      <c r="I92" s="4"/>
      <c r="J92" s="4"/>
      <c r="K92" s="4"/>
      <c r="L92" s="4"/>
      <c r="M92" s="4"/>
    </row>
    <row r="93" spans="2:13">
      <c r="B93" s="4"/>
      <c r="C93" s="4"/>
      <c r="D93" s="4"/>
      <c r="E93" s="4"/>
      <c r="F93" s="4"/>
      <c r="G93" s="4"/>
      <c r="H93" s="4"/>
      <c r="I93" s="4"/>
      <c r="J93" s="4"/>
      <c r="K93" s="4"/>
      <c r="L93" s="4"/>
      <c r="M93" s="4"/>
    </row>
    <row r="94" spans="2:13">
      <c r="B94" s="4"/>
      <c r="C94" s="4"/>
      <c r="D94" s="4"/>
      <c r="E94" s="4"/>
      <c r="F94" s="4"/>
      <c r="G94" s="4"/>
      <c r="H94" s="4"/>
      <c r="I94" s="4"/>
      <c r="J94" s="4"/>
      <c r="K94" s="4"/>
      <c r="L94" s="4"/>
      <c r="M94" s="4"/>
    </row>
    <row r="95" spans="2:13">
      <c r="B95" s="4"/>
      <c r="C95" s="4"/>
      <c r="D95" s="4"/>
      <c r="E95" s="4"/>
      <c r="F95" s="4"/>
      <c r="G95" s="4"/>
      <c r="H95" s="4"/>
      <c r="I95" s="4"/>
      <c r="J95" s="4"/>
      <c r="K95" s="4"/>
      <c r="L95" s="4"/>
      <c r="M95" s="4"/>
    </row>
    <row r="96" spans="2:13">
      <c r="B96" s="4"/>
      <c r="C96" s="4"/>
      <c r="D96" s="4"/>
      <c r="E96" s="4"/>
      <c r="F96" s="4"/>
      <c r="G96" s="4"/>
      <c r="H96" s="4"/>
      <c r="I96" s="4"/>
      <c r="J96" s="4"/>
      <c r="K96" s="4"/>
      <c r="L96" s="4"/>
      <c r="M96" s="4"/>
    </row>
    <row r="97" spans="2:13">
      <c r="B97" s="4"/>
      <c r="C97" s="4"/>
      <c r="D97" s="4"/>
      <c r="E97" s="4"/>
      <c r="F97" s="4"/>
      <c r="G97" s="4"/>
      <c r="H97" s="4"/>
      <c r="I97" s="4"/>
      <c r="J97" s="4"/>
      <c r="K97" s="4"/>
      <c r="L97" s="4"/>
      <c r="M97" s="4"/>
    </row>
    <row r="98" spans="2:13">
      <c r="B98" s="4"/>
      <c r="C98" s="4"/>
      <c r="D98" s="4"/>
      <c r="E98" s="4"/>
      <c r="F98" s="4"/>
      <c r="G98" s="4"/>
      <c r="H98" s="4"/>
      <c r="I98" s="4"/>
      <c r="J98" s="4"/>
      <c r="K98" s="4"/>
      <c r="L98" s="4"/>
      <c r="M98" s="4"/>
    </row>
    <row r="99" spans="2:13">
      <c r="B99" s="4"/>
      <c r="C99" s="4"/>
      <c r="D99" s="4"/>
      <c r="E99" s="4"/>
      <c r="F99" s="4"/>
      <c r="G99" s="4"/>
      <c r="H99" s="4"/>
      <c r="I99" s="4"/>
      <c r="J99" s="4"/>
      <c r="K99" s="4"/>
      <c r="L99" s="4"/>
      <c r="M99" s="4"/>
    </row>
    <row r="100" spans="2:13">
      <c r="B100" s="4"/>
      <c r="C100" s="4"/>
      <c r="D100" s="4"/>
      <c r="E100" s="4"/>
      <c r="F100" s="4"/>
      <c r="G100" s="4"/>
      <c r="H100" s="4"/>
      <c r="I100" s="4"/>
      <c r="J100" s="4"/>
      <c r="K100" s="4"/>
      <c r="L100" s="4"/>
      <c r="M100" s="4"/>
    </row>
    <row r="101" spans="2:13">
      <c r="B101" s="4"/>
      <c r="C101" s="4"/>
      <c r="D101" s="4"/>
      <c r="E101" s="4"/>
      <c r="F101" s="4"/>
      <c r="G101" s="4"/>
      <c r="H101" s="4"/>
      <c r="I101" s="4"/>
      <c r="J101" s="4"/>
      <c r="K101" s="4"/>
      <c r="L101" s="4"/>
      <c r="M101" s="4"/>
    </row>
    <row r="102" spans="2:13">
      <c r="B102" s="4"/>
      <c r="C102" s="4"/>
      <c r="D102" s="4"/>
      <c r="E102" s="4"/>
      <c r="F102" s="4"/>
      <c r="G102" s="4"/>
      <c r="H102" s="4"/>
      <c r="I102" s="4"/>
      <c r="J102" s="4"/>
      <c r="K102" s="4"/>
      <c r="L102" s="4"/>
      <c r="M102" s="4"/>
    </row>
    <row r="103" spans="2:13">
      <c r="B103" s="4"/>
      <c r="C103" s="4"/>
      <c r="D103" s="4"/>
      <c r="E103" s="4"/>
      <c r="F103" s="4"/>
      <c r="G103" s="4"/>
      <c r="H103" s="4"/>
      <c r="I103" s="4"/>
      <c r="J103" s="4"/>
      <c r="K103" s="4"/>
      <c r="L103" s="4"/>
      <c r="M103" s="4"/>
    </row>
    <row r="104" spans="2:13">
      <c r="B104" s="4"/>
      <c r="C104" s="4"/>
      <c r="D104" s="4"/>
      <c r="E104" s="4"/>
      <c r="F104" s="4"/>
      <c r="G104" s="4"/>
      <c r="H104" s="4"/>
      <c r="I104" s="4"/>
      <c r="J104" s="4"/>
      <c r="K104" s="4"/>
      <c r="L104" s="4"/>
      <c r="M104" s="4"/>
    </row>
    <row r="105" spans="2:13">
      <c r="B105" s="4"/>
      <c r="C105" s="4"/>
      <c r="D105" s="4"/>
      <c r="E105" s="4"/>
      <c r="F105" s="4"/>
      <c r="G105" s="4"/>
      <c r="H105" s="4"/>
      <c r="I105" s="4"/>
      <c r="J105" s="4"/>
      <c r="K105" s="4"/>
      <c r="L105" s="4"/>
      <c r="M105" s="4"/>
    </row>
    <row r="106" spans="2:13">
      <c r="B106" s="4"/>
      <c r="C106" s="4"/>
      <c r="D106" s="4"/>
      <c r="E106" s="4"/>
      <c r="F106" s="4"/>
      <c r="G106" s="4"/>
      <c r="H106" s="4"/>
      <c r="I106" s="4"/>
      <c r="J106" s="4"/>
      <c r="K106" s="4"/>
      <c r="L106" s="4"/>
      <c r="M106" s="4"/>
    </row>
    <row r="107" spans="2:13">
      <c r="B107" s="4"/>
      <c r="C107" s="4"/>
      <c r="D107" s="4"/>
      <c r="E107" s="4"/>
      <c r="F107" s="4"/>
      <c r="G107" s="4"/>
      <c r="H107" s="4"/>
      <c r="I107" s="4"/>
      <c r="J107" s="4"/>
      <c r="K107" s="4"/>
      <c r="L107" s="4"/>
      <c r="M107" s="4"/>
    </row>
    <row r="108" spans="2:13">
      <c r="B108" s="4"/>
      <c r="C108" s="4"/>
      <c r="D108" s="4"/>
      <c r="E108" s="4"/>
      <c r="F108" s="4"/>
      <c r="G108" s="4"/>
      <c r="H108" s="4"/>
      <c r="I108" s="4"/>
      <c r="J108" s="4"/>
      <c r="K108" s="4"/>
      <c r="L108" s="4"/>
      <c r="M108" s="4"/>
    </row>
    <row r="109" spans="2:13">
      <c r="B109" s="4"/>
      <c r="C109" s="4"/>
      <c r="D109" s="4"/>
      <c r="E109" s="4"/>
      <c r="F109" s="4"/>
      <c r="G109" s="4"/>
      <c r="H109" s="4"/>
      <c r="I109" s="4"/>
      <c r="J109" s="4"/>
      <c r="K109" s="4"/>
      <c r="L109" s="4"/>
      <c r="M109" s="4"/>
    </row>
  </sheetData>
  <mergeCells count="3">
    <mergeCell ref="A1:P1"/>
    <mergeCell ref="A2:P2"/>
    <mergeCell ref="A3:P3"/>
  </mergeCells>
  <pageMargins left="0.75" right="0.75" top="1" bottom="1" header="0.5" footer="0.5"/>
  <pageSetup scale="60" fitToHeight="0" orientation="landscape" r:id="rId1"/>
  <headerFooter alignWithMargins="0">
    <oddFooter>&amp;L&amp;Z
&amp;F&amp;C&amp;A&amp;R19.&amp;P</oddFooter>
  </headerFooter>
  <rowBreaks count="1" manualBreakCount="1">
    <brk id="39" max="16383" man="1"/>
  </rowBreaks>
</worksheet>
</file>

<file path=xl/worksheets/sheet139.xml><?xml version="1.0" encoding="utf-8"?>
<worksheet xmlns="http://schemas.openxmlformats.org/spreadsheetml/2006/main" xmlns:r="http://schemas.openxmlformats.org/officeDocument/2006/relationships">
  <sheetPr codeName="Sheet142">
    <tabColor indexed="32"/>
    <pageSetUpPr fitToPage="1"/>
  </sheetPr>
  <dimension ref="A1:O152"/>
  <sheetViews>
    <sheetView zoomScaleNormal="100" workbookViewId="0">
      <pane xSplit="1" ySplit="8" topLeftCell="B9" activePane="bottomRight" state="frozen"/>
      <selection activeCell="C38" sqref="C38"/>
      <selection pane="topRight" activeCell="C38" sqref="C38"/>
      <selection pane="bottomLeft" activeCell="C38" sqref="C38"/>
      <selection pane="bottomRight" activeCell="B9" sqref="B9"/>
    </sheetView>
  </sheetViews>
  <sheetFormatPr defaultRowHeight="12.75"/>
  <cols>
    <col min="1" max="1" width="45.7109375" bestFit="1" customWidth="1"/>
    <col min="2" max="2" width="17.7109375" customWidth="1"/>
    <col min="3" max="3" width="1.7109375" customWidth="1"/>
    <col min="4" max="4" width="17.7109375" customWidth="1"/>
    <col min="5" max="5" width="1.7109375" customWidth="1"/>
    <col min="6" max="6" width="17.7109375" customWidth="1"/>
    <col min="7" max="7" width="1.7109375" customWidth="1"/>
    <col min="8" max="8" width="17.7109375" customWidth="1"/>
    <col min="9" max="9" width="1.7109375" customWidth="1"/>
    <col min="10" max="10" width="17.7109375" customWidth="1"/>
    <col min="11" max="11" width="1.7109375" customWidth="1"/>
    <col min="12" max="12" width="17.7109375" customWidth="1"/>
    <col min="13" max="13" width="15" bestFit="1" customWidth="1"/>
    <col min="14" max="14" width="11.28515625" bestFit="1" customWidth="1"/>
  </cols>
  <sheetData>
    <row r="1" spans="1:13" s="38" customFormat="1" ht="15.75">
      <c r="A1" s="366" t="s">
        <v>134</v>
      </c>
      <c r="B1" s="366"/>
      <c r="C1" s="366"/>
      <c r="D1" s="366"/>
      <c r="E1" s="366"/>
      <c r="F1" s="366"/>
      <c r="G1" s="366"/>
      <c r="H1" s="366"/>
      <c r="I1" s="366"/>
      <c r="J1" s="366"/>
      <c r="K1" s="366"/>
      <c r="L1" s="366"/>
    </row>
    <row r="2" spans="1:13" s="38" customFormat="1" ht="15.75">
      <c r="A2" s="366" t="s">
        <v>1167</v>
      </c>
      <c r="B2" s="366"/>
      <c r="C2" s="366"/>
      <c r="D2" s="366"/>
      <c r="E2" s="366"/>
      <c r="F2" s="366"/>
      <c r="G2" s="366"/>
      <c r="H2" s="366"/>
      <c r="I2" s="366"/>
      <c r="J2" s="366"/>
      <c r="K2" s="366"/>
      <c r="L2" s="366"/>
    </row>
    <row r="3" spans="1:13">
      <c r="A3" s="357" t="str">
        <f>'Summary - Cost - PG 1 (PA)'!A3:N3</f>
        <v>MARCH 2012</v>
      </c>
      <c r="B3" s="357"/>
      <c r="C3" s="357"/>
      <c r="D3" s="357"/>
      <c r="E3" s="357"/>
      <c r="F3" s="357"/>
      <c r="G3" s="357"/>
      <c r="H3" s="357"/>
      <c r="I3" s="357"/>
      <c r="J3" s="357"/>
      <c r="K3" s="357"/>
      <c r="L3" s="357"/>
    </row>
    <row r="4" spans="1:13">
      <c r="A4" s="190"/>
      <c r="B4" s="190"/>
      <c r="C4" s="190"/>
      <c r="D4" s="190"/>
      <c r="E4" s="190"/>
      <c r="F4" s="190"/>
      <c r="G4" s="190"/>
      <c r="H4" s="190"/>
      <c r="I4" s="190"/>
      <c r="J4" s="190"/>
      <c r="K4" s="190"/>
      <c r="L4" s="190"/>
    </row>
    <row r="6" spans="1:13">
      <c r="B6" s="41" t="s">
        <v>25</v>
      </c>
      <c r="D6" s="33"/>
      <c r="F6" s="33"/>
      <c r="H6" s="41" t="s">
        <v>612</v>
      </c>
      <c r="J6" s="33"/>
      <c r="L6" s="41" t="s">
        <v>26</v>
      </c>
    </row>
    <row r="7" spans="1:13" s="10" customFormat="1">
      <c r="B7" s="42" t="s">
        <v>27</v>
      </c>
      <c r="C7"/>
      <c r="D7" s="42" t="s">
        <v>107</v>
      </c>
      <c r="E7"/>
      <c r="F7" s="42" t="s">
        <v>108</v>
      </c>
      <c r="G7"/>
      <c r="H7" s="42" t="s">
        <v>613</v>
      </c>
      <c r="I7"/>
      <c r="J7" s="42" t="s">
        <v>109</v>
      </c>
      <c r="K7"/>
      <c r="L7" s="42" t="s">
        <v>27</v>
      </c>
    </row>
    <row r="8" spans="1:13" s="10" customFormat="1">
      <c r="A8" s="3"/>
      <c r="B8" s="54"/>
      <c r="C8"/>
      <c r="D8" s="54"/>
      <c r="E8"/>
      <c r="F8" s="54"/>
      <c r="G8"/>
      <c r="H8" s="54"/>
      <c r="I8"/>
      <c r="J8" s="54"/>
      <c r="K8"/>
      <c r="L8" s="54"/>
    </row>
    <row r="9" spans="1:13" s="10" customFormat="1">
      <c r="A9" s="3" t="s">
        <v>572</v>
      </c>
      <c r="B9" s="54"/>
      <c r="C9"/>
      <c r="D9" s="54"/>
      <c r="E9"/>
      <c r="F9" s="54"/>
      <c r="G9"/>
      <c r="H9" s="54"/>
      <c r="I9"/>
      <c r="J9" s="54"/>
      <c r="K9"/>
      <c r="L9" s="54"/>
    </row>
    <row r="10" spans="1:13">
      <c r="A10" s="3" t="s">
        <v>121</v>
      </c>
    </row>
    <row r="11" spans="1:13">
      <c r="A11" t="s">
        <v>848</v>
      </c>
      <c r="B11" s="33">
        <v>0</v>
      </c>
      <c r="C11" s="33"/>
      <c r="D11" s="33">
        <v>0</v>
      </c>
      <c r="E11" s="33"/>
      <c r="F11" s="300">
        <v>0</v>
      </c>
      <c r="G11" s="33"/>
      <c r="H11" s="300">
        <v>0</v>
      </c>
      <c r="I11" s="33"/>
      <c r="J11" s="33">
        <f>H11+F11+D11</f>
        <v>0</v>
      </c>
      <c r="K11" s="33"/>
      <c r="L11" s="33">
        <f>J11+B11</f>
        <v>0</v>
      </c>
      <c r="M11" s="1"/>
    </row>
    <row r="12" spans="1:13">
      <c r="A12" t="s">
        <v>849</v>
      </c>
      <c r="B12" s="33">
        <v>-77375.47</v>
      </c>
      <c r="C12" s="33"/>
      <c r="D12" s="33">
        <v>0</v>
      </c>
      <c r="E12" s="33"/>
      <c r="F12" s="300">
        <v>0</v>
      </c>
      <c r="G12" s="33"/>
      <c r="H12" s="300">
        <v>0</v>
      </c>
      <c r="I12" s="33"/>
      <c r="J12" s="33">
        <f t="shared" ref="J12:J24" si="0">H12+F12+D12</f>
        <v>0</v>
      </c>
      <c r="K12" s="33"/>
      <c r="L12" s="33">
        <f t="shared" ref="L12:L24" si="1">J12+B12</f>
        <v>-77375.47</v>
      </c>
      <c r="M12" s="1"/>
    </row>
    <row r="13" spans="1:13">
      <c r="A13" t="s">
        <v>850</v>
      </c>
      <c r="B13" s="33">
        <v>-93393.220000000016</v>
      </c>
      <c r="C13" s="33"/>
      <c r="D13" s="33">
        <v>0</v>
      </c>
      <c r="E13" s="33"/>
      <c r="F13" s="300">
        <v>0</v>
      </c>
      <c r="G13" s="33"/>
      <c r="H13" s="300">
        <v>0</v>
      </c>
      <c r="I13" s="33"/>
      <c r="J13" s="33">
        <f t="shared" si="0"/>
        <v>0</v>
      </c>
      <c r="K13" s="33"/>
      <c r="L13" s="33">
        <f t="shared" si="1"/>
        <v>-93393.220000000016</v>
      </c>
      <c r="M13" s="1"/>
    </row>
    <row r="14" spans="1:13">
      <c r="A14" t="s">
        <v>71</v>
      </c>
      <c r="B14" s="33">
        <v>-124116.45999999999</v>
      </c>
      <c r="C14" s="33"/>
      <c r="D14" s="33">
        <v>0</v>
      </c>
      <c r="E14" s="33"/>
      <c r="F14" s="300">
        <v>0</v>
      </c>
      <c r="G14" s="33"/>
      <c r="H14" s="300">
        <v>0</v>
      </c>
      <c r="I14" s="33"/>
      <c r="J14" s="33">
        <f t="shared" si="0"/>
        <v>0</v>
      </c>
      <c r="K14" s="33"/>
      <c r="L14" s="33">
        <f t="shared" si="1"/>
        <v>-124116.45999999999</v>
      </c>
      <c r="M14" s="1"/>
    </row>
    <row r="15" spans="1:13">
      <c r="A15" t="s">
        <v>72</v>
      </c>
      <c r="B15" s="33">
        <v>-85336206.879999995</v>
      </c>
      <c r="C15" s="33"/>
      <c r="D15" s="33">
        <v>-7461.85</v>
      </c>
      <c r="E15" s="33"/>
      <c r="F15" s="300">
        <f>12127.23+1027.93</f>
        <v>13155.16</v>
      </c>
      <c r="G15" s="33"/>
      <c r="H15" s="300">
        <v>0</v>
      </c>
      <c r="I15" s="33"/>
      <c r="J15" s="33">
        <f t="shared" si="0"/>
        <v>5693.3099999999995</v>
      </c>
      <c r="K15" s="33"/>
      <c r="L15" s="33">
        <f t="shared" si="1"/>
        <v>-85330513.569999993</v>
      </c>
      <c r="M15" s="1"/>
    </row>
    <row r="16" spans="1:13">
      <c r="A16" t="s">
        <v>73</v>
      </c>
      <c r="B16" s="33">
        <v>-2297888.37</v>
      </c>
      <c r="C16" s="33"/>
      <c r="D16" s="33">
        <v>0</v>
      </c>
      <c r="E16" s="33"/>
      <c r="F16" s="300">
        <f>292.68+496.19</f>
        <v>788.87</v>
      </c>
      <c r="G16" s="33"/>
      <c r="H16" s="300">
        <v>0</v>
      </c>
      <c r="I16" s="33"/>
      <c r="J16" s="33">
        <f t="shared" si="0"/>
        <v>788.87</v>
      </c>
      <c r="K16" s="33"/>
      <c r="L16" s="33">
        <f t="shared" si="1"/>
        <v>-2297099.5</v>
      </c>
      <c r="M16" s="1"/>
    </row>
    <row r="17" spans="1:15">
      <c r="A17" t="s">
        <v>74</v>
      </c>
      <c r="B17" s="33">
        <v>-1642351.21</v>
      </c>
      <c r="C17" s="33"/>
      <c r="D17" s="33">
        <v>0</v>
      </c>
      <c r="E17" s="33"/>
      <c r="F17" s="300">
        <v>0</v>
      </c>
      <c r="G17" s="33"/>
      <c r="H17" s="300">
        <v>0</v>
      </c>
      <c r="I17" s="33"/>
      <c r="J17" s="33">
        <f t="shared" si="0"/>
        <v>0</v>
      </c>
      <c r="K17" s="33"/>
      <c r="L17" s="33">
        <f t="shared" si="1"/>
        <v>-1642351.21</v>
      </c>
      <c r="M17" s="1"/>
    </row>
    <row r="18" spans="1:15">
      <c r="A18" t="s">
        <v>75</v>
      </c>
      <c r="B18" s="33">
        <v>-28011734.100000001</v>
      </c>
      <c r="C18" s="33"/>
      <c r="D18" s="33">
        <v>0</v>
      </c>
      <c r="E18" s="33"/>
      <c r="F18" s="300">
        <v>542.04999999999995</v>
      </c>
      <c r="G18" s="33"/>
      <c r="H18" s="300">
        <v>0</v>
      </c>
      <c r="I18" s="33"/>
      <c r="J18" s="33">
        <f t="shared" si="0"/>
        <v>542.04999999999995</v>
      </c>
      <c r="K18" s="33"/>
      <c r="L18" s="33">
        <f t="shared" si="1"/>
        <v>-28011192.050000001</v>
      </c>
      <c r="M18" s="1"/>
    </row>
    <row r="19" spans="1:15">
      <c r="A19" t="s">
        <v>76</v>
      </c>
      <c r="B19" s="33">
        <v>-4889631.58</v>
      </c>
      <c r="C19" s="33"/>
      <c r="D19" s="33">
        <v>0</v>
      </c>
      <c r="E19" s="33"/>
      <c r="F19" s="300">
        <v>0</v>
      </c>
      <c r="G19" s="33"/>
      <c r="H19" s="300">
        <v>0</v>
      </c>
      <c r="I19" s="33"/>
      <c r="J19" s="33">
        <f t="shared" si="0"/>
        <v>0</v>
      </c>
      <c r="K19" s="33"/>
      <c r="L19" s="33">
        <f t="shared" si="1"/>
        <v>-4889631.58</v>
      </c>
      <c r="M19" s="1"/>
    </row>
    <row r="20" spans="1:15">
      <c r="A20" t="s">
        <v>77</v>
      </c>
      <c r="B20" s="33">
        <v>-592016.72</v>
      </c>
      <c r="C20" s="33"/>
      <c r="D20" s="33">
        <v>0</v>
      </c>
      <c r="E20" s="33"/>
      <c r="F20" s="300">
        <v>0</v>
      </c>
      <c r="G20" s="33"/>
      <c r="H20" s="300">
        <v>0</v>
      </c>
      <c r="I20" s="33"/>
      <c r="J20" s="33">
        <f t="shared" si="0"/>
        <v>0</v>
      </c>
      <c r="K20" s="33"/>
      <c r="L20" s="33">
        <f t="shared" si="1"/>
        <v>-592016.72</v>
      </c>
      <c r="M20" s="1"/>
    </row>
    <row r="21" spans="1:15">
      <c r="A21" t="s">
        <v>78</v>
      </c>
      <c r="B21" s="33">
        <v>-121845.75</v>
      </c>
      <c r="C21" s="33"/>
      <c r="D21" s="33">
        <v>0</v>
      </c>
      <c r="E21" s="33"/>
      <c r="F21" s="300">
        <v>0</v>
      </c>
      <c r="G21" s="33"/>
      <c r="H21" s="300">
        <v>0</v>
      </c>
      <c r="I21" s="33"/>
      <c r="J21" s="33">
        <f t="shared" si="0"/>
        <v>0</v>
      </c>
      <c r="K21" s="33"/>
      <c r="L21" s="33">
        <f t="shared" si="1"/>
        <v>-121845.75</v>
      </c>
      <c r="M21" s="1"/>
    </row>
    <row r="22" spans="1:15">
      <c r="A22" t="s">
        <v>79</v>
      </c>
      <c r="B22" s="37">
        <v>-686.5</v>
      </c>
      <c r="C22" s="37"/>
      <c r="D22" s="37">
        <v>0</v>
      </c>
      <c r="E22" s="37"/>
      <c r="F22" s="37">
        <v>0</v>
      </c>
      <c r="G22" s="37"/>
      <c r="H22" s="37">
        <v>0</v>
      </c>
      <c r="I22" s="37"/>
      <c r="J22" s="37">
        <f t="shared" si="0"/>
        <v>0</v>
      </c>
      <c r="K22" s="37"/>
      <c r="L22" s="37">
        <f t="shared" si="1"/>
        <v>-686.5</v>
      </c>
      <c r="M22" s="6"/>
      <c r="N22" s="7"/>
      <c r="O22" s="7"/>
    </row>
    <row r="23" spans="1:15">
      <c r="A23" t="s">
        <v>80</v>
      </c>
      <c r="B23" s="37">
        <v>0</v>
      </c>
      <c r="C23" s="37"/>
      <c r="D23" s="37">
        <v>0</v>
      </c>
      <c r="E23" s="37"/>
      <c r="F23" s="37">
        <v>0</v>
      </c>
      <c r="G23" s="37"/>
      <c r="H23" s="37">
        <v>0</v>
      </c>
      <c r="I23" s="37"/>
      <c r="J23" s="37">
        <f t="shared" si="0"/>
        <v>0</v>
      </c>
      <c r="K23" s="37"/>
      <c r="L23" s="37">
        <f t="shared" si="1"/>
        <v>0</v>
      </c>
      <c r="M23" s="6"/>
      <c r="N23" s="7"/>
      <c r="O23" s="7"/>
    </row>
    <row r="24" spans="1:15">
      <c r="A24" t="s">
        <v>898</v>
      </c>
      <c r="B24" s="35">
        <v>0</v>
      </c>
      <c r="C24" s="37"/>
      <c r="D24" s="35">
        <v>0</v>
      </c>
      <c r="E24" s="37"/>
      <c r="F24" s="35">
        <v>0</v>
      </c>
      <c r="G24" s="37"/>
      <c r="H24" s="35">
        <v>0</v>
      </c>
      <c r="I24" s="37"/>
      <c r="J24" s="35">
        <f t="shared" si="0"/>
        <v>0</v>
      </c>
      <c r="K24" s="37"/>
      <c r="L24" s="35">
        <f t="shared" si="1"/>
        <v>0</v>
      </c>
      <c r="M24" s="6"/>
      <c r="N24" s="7"/>
      <c r="O24" s="7"/>
    </row>
    <row r="25" spans="1:15">
      <c r="B25" s="37">
        <f>SUM(B11:B24)</f>
        <v>-123187246.26000001</v>
      </c>
      <c r="C25" s="37"/>
      <c r="D25" s="37">
        <f>SUM(D11:D24)</f>
        <v>-7461.85</v>
      </c>
      <c r="E25" s="37"/>
      <c r="F25" s="37">
        <f>SUM(F11:F24)</f>
        <v>14486.08</v>
      </c>
      <c r="G25" s="37"/>
      <c r="H25" s="37">
        <f>SUM(H11:H24)</f>
        <v>0</v>
      </c>
      <c r="I25" s="37"/>
      <c r="J25" s="37">
        <f>SUM(J11:J24)</f>
        <v>7024.23</v>
      </c>
      <c r="K25" s="37"/>
      <c r="L25" s="37">
        <f>SUM(L11:L24)</f>
        <v>-123180222.02999999</v>
      </c>
      <c r="M25" s="6"/>
      <c r="N25" s="7"/>
      <c r="O25" s="7"/>
    </row>
    <row r="26" spans="1:15">
      <c r="B26" s="33"/>
      <c r="C26" s="33"/>
      <c r="D26" s="33"/>
      <c r="E26" s="33"/>
      <c r="F26" s="33"/>
      <c r="G26" s="33"/>
      <c r="H26" s="33"/>
      <c r="I26" s="33"/>
      <c r="J26" s="33"/>
      <c r="K26" s="33"/>
      <c r="L26" s="33"/>
      <c r="M26" s="1"/>
    </row>
    <row r="27" spans="1:15">
      <c r="A27" s="3" t="s">
        <v>122</v>
      </c>
      <c r="B27" s="33"/>
      <c r="C27" s="33"/>
      <c r="D27" s="33"/>
      <c r="E27" s="33"/>
      <c r="F27" s="33"/>
      <c r="G27" s="33"/>
      <c r="H27" s="33"/>
      <c r="I27" s="33"/>
      <c r="J27" s="33"/>
      <c r="K27" s="33"/>
      <c r="L27" s="33"/>
      <c r="M27" s="1"/>
    </row>
    <row r="28" spans="1:15">
      <c r="A28" t="s">
        <v>899</v>
      </c>
      <c r="B28" s="33">
        <v>-992001.17999999993</v>
      </c>
      <c r="C28" s="33"/>
      <c r="D28" s="33">
        <v>0</v>
      </c>
      <c r="E28" s="33"/>
      <c r="F28" s="33">
        <v>0</v>
      </c>
      <c r="G28" s="33"/>
      <c r="H28" s="300">
        <v>0</v>
      </c>
      <c r="I28" s="33"/>
      <c r="J28" s="33">
        <f t="shared" ref="J28:J33" si="2">H28+F28+D28</f>
        <v>0</v>
      </c>
      <c r="K28" s="33"/>
      <c r="L28" s="33">
        <f t="shared" ref="L28:L33" si="3">J28+B28</f>
        <v>-992001.17999999993</v>
      </c>
      <c r="M28" s="1"/>
    </row>
    <row r="29" spans="1:15">
      <c r="A29" t="s">
        <v>900</v>
      </c>
      <c r="B29" s="33">
        <v>-201767.27000000002</v>
      </c>
      <c r="C29" s="33"/>
      <c r="D29" s="33">
        <v>0</v>
      </c>
      <c r="E29" s="33"/>
      <c r="F29" s="33">
        <v>0</v>
      </c>
      <c r="G29" s="33"/>
      <c r="H29" s="300">
        <v>0</v>
      </c>
      <c r="I29" s="33"/>
      <c r="J29" s="33">
        <f t="shared" si="2"/>
        <v>0</v>
      </c>
      <c r="K29" s="33"/>
      <c r="L29" s="33">
        <f t="shared" si="3"/>
        <v>-201767.27000000002</v>
      </c>
      <c r="M29" s="1"/>
    </row>
    <row r="30" spans="1:15">
      <c r="A30" t="s">
        <v>901</v>
      </c>
      <c r="B30" s="33">
        <v>-1539410.2100000002</v>
      </c>
      <c r="C30" s="33"/>
      <c r="D30" s="33">
        <v>-6119.8</v>
      </c>
      <c r="E30" s="33"/>
      <c r="F30" s="33">
        <v>0</v>
      </c>
      <c r="G30" s="33"/>
      <c r="H30" s="300">
        <v>0</v>
      </c>
      <c r="I30" s="33"/>
      <c r="J30" s="33">
        <f t="shared" si="2"/>
        <v>-6119.8</v>
      </c>
      <c r="K30" s="33"/>
      <c r="L30" s="33">
        <f t="shared" si="3"/>
        <v>-1545530.0100000002</v>
      </c>
      <c r="M30" s="1"/>
    </row>
    <row r="31" spans="1:15">
      <c r="A31" t="s">
        <v>995</v>
      </c>
      <c r="B31" s="33">
        <v>-6890.71</v>
      </c>
      <c r="C31" s="33"/>
      <c r="D31" s="33">
        <v>0</v>
      </c>
      <c r="E31" s="33"/>
      <c r="F31" s="33">
        <v>0</v>
      </c>
      <c r="G31" s="33"/>
      <c r="H31" s="300">
        <v>0</v>
      </c>
      <c r="I31" s="33"/>
      <c r="J31" s="33">
        <f t="shared" si="2"/>
        <v>0</v>
      </c>
      <c r="K31" s="33"/>
      <c r="L31" s="33">
        <f t="shared" si="3"/>
        <v>-6890.71</v>
      </c>
      <c r="M31" s="1"/>
    </row>
    <row r="32" spans="1:15">
      <c r="A32" t="s">
        <v>996</v>
      </c>
      <c r="B32" s="37">
        <v>-1937639.12</v>
      </c>
      <c r="C32" s="37"/>
      <c r="D32" s="37">
        <v>0</v>
      </c>
      <c r="E32" s="37"/>
      <c r="F32" s="37">
        <v>0</v>
      </c>
      <c r="G32" s="37"/>
      <c r="H32" s="37">
        <v>0</v>
      </c>
      <c r="I32" s="37"/>
      <c r="J32" s="37">
        <f t="shared" si="2"/>
        <v>0</v>
      </c>
      <c r="K32" s="37"/>
      <c r="L32" s="37">
        <f t="shared" si="3"/>
        <v>-1937639.12</v>
      </c>
      <c r="M32" s="6"/>
    </row>
    <row r="33" spans="1:13">
      <c r="A33" t="s">
        <v>997</v>
      </c>
      <c r="B33" s="35">
        <v>-35252.800000000003</v>
      </c>
      <c r="C33" s="37"/>
      <c r="D33" s="35">
        <v>0</v>
      </c>
      <c r="E33" s="37"/>
      <c r="F33" s="35">
        <v>0</v>
      </c>
      <c r="G33" s="37"/>
      <c r="H33" s="35">
        <v>0</v>
      </c>
      <c r="I33" s="37"/>
      <c r="J33" s="35">
        <f t="shared" si="2"/>
        <v>0</v>
      </c>
      <c r="K33" s="37"/>
      <c r="L33" s="35">
        <f t="shared" si="3"/>
        <v>-35252.800000000003</v>
      </c>
      <c r="M33" s="6"/>
    </row>
    <row r="34" spans="1:13">
      <c r="B34" s="37">
        <f>SUM(B28:B33)</f>
        <v>-4712961.29</v>
      </c>
      <c r="C34" s="37"/>
      <c r="D34" s="37">
        <f>SUM(D28:D33)</f>
        <v>-6119.8</v>
      </c>
      <c r="E34" s="37"/>
      <c r="F34" s="37">
        <f>SUM(F28:F33)</f>
        <v>0</v>
      </c>
      <c r="G34" s="37"/>
      <c r="H34" s="37">
        <f>SUM(H28:H33)</f>
        <v>0</v>
      </c>
      <c r="I34" s="37"/>
      <c r="J34" s="37">
        <f>SUM(J28:J33)</f>
        <v>-6119.8</v>
      </c>
      <c r="K34" s="37"/>
      <c r="L34" s="37">
        <f>SUM(L28:L33)</f>
        <v>-4719081.09</v>
      </c>
      <c r="M34" s="6"/>
    </row>
    <row r="35" spans="1:13">
      <c r="B35" s="37"/>
      <c r="C35" s="37"/>
      <c r="D35" s="37"/>
      <c r="E35" s="37"/>
      <c r="F35" s="37"/>
      <c r="G35" s="37"/>
      <c r="H35" s="37"/>
      <c r="I35" s="37"/>
      <c r="J35" s="37"/>
      <c r="K35" s="37"/>
      <c r="L35" s="37"/>
      <c r="M35" s="6"/>
    </row>
    <row r="36" spans="1:13">
      <c r="A36" s="3" t="s">
        <v>123</v>
      </c>
      <c r="B36" s="37"/>
      <c r="C36" s="37"/>
      <c r="D36" s="37"/>
      <c r="E36" s="37"/>
      <c r="F36" s="37"/>
      <c r="G36" s="37"/>
      <c r="H36" s="37"/>
      <c r="I36" s="37"/>
      <c r="J36" s="37"/>
      <c r="K36" s="37"/>
      <c r="L36" s="37"/>
      <c r="M36" s="6"/>
    </row>
    <row r="37" spans="1:13">
      <c r="A37" t="s">
        <v>998</v>
      </c>
      <c r="B37" s="35">
        <v>-119.15999999999997</v>
      </c>
      <c r="C37" s="37"/>
      <c r="D37" s="35">
        <v>0</v>
      </c>
      <c r="E37" s="37"/>
      <c r="F37" s="35">
        <v>0</v>
      </c>
      <c r="G37" s="37"/>
      <c r="H37" s="35">
        <v>0</v>
      </c>
      <c r="I37" s="37"/>
      <c r="J37" s="35">
        <f>H37+F37+D37</f>
        <v>0</v>
      </c>
      <c r="K37" s="37"/>
      <c r="L37" s="35">
        <f>J37+B37</f>
        <v>-119.15999999999997</v>
      </c>
      <c r="M37" s="6"/>
    </row>
    <row r="38" spans="1:13">
      <c r="B38" s="37">
        <f>SUM(B37)</f>
        <v>-119.15999999999997</v>
      </c>
      <c r="C38" s="37"/>
      <c r="D38" s="37">
        <f>SUM(D37)</f>
        <v>0</v>
      </c>
      <c r="E38" s="37"/>
      <c r="F38" s="37">
        <f>SUM(F37)</f>
        <v>0</v>
      </c>
      <c r="G38" s="37"/>
      <c r="H38" s="37">
        <f>SUM(H37)</f>
        <v>0</v>
      </c>
      <c r="I38" s="37"/>
      <c r="J38" s="37">
        <f>SUM(J37)</f>
        <v>0</v>
      </c>
      <c r="K38" s="37"/>
      <c r="L38" s="37">
        <f>SUM(L37)</f>
        <v>-119.15999999999997</v>
      </c>
      <c r="M38" s="6"/>
    </row>
    <row r="39" spans="1:13">
      <c r="B39" s="37"/>
      <c r="C39" s="37"/>
      <c r="D39" s="37"/>
      <c r="E39" s="37"/>
      <c r="F39" s="37"/>
      <c r="G39" s="37"/>
      <c r="H39" s="37"/>
      <c r="I39" s="37"/>
      <c r="J39" s="37"/>
      <c r="K39" s="37"/>
      <c r="L39" s="37"/>
      <c r="M39" s="6"/>
    </row>
    <row r="40" spans="1:13">
      <c r="A40" s="3" t="s">
        <v>124</v>
      </c>
      <c r="B40" s="37"/>
      <c r="C40" s="37"/>
      <c r="D40" s="37"/>
      <c r="E40" s="37"/>
      <c r="F40" s="37"/>
      <c r="G40" s="37"/>
      <c r="H40" s="37"/>
      <c r="I40" s="37"/>
      <c r="J40" s="37"/>
      <c r="K40" s="37"/>
      <c r="L40" s="37"/>
      <c r="M40" s="6"/>
    </row>
    <row r="41" spans="1:13">
      <c r="A41" t="s">
        <v>13</v>
      </c>
      <c r="B41" s="37">
        <v>0</v>
      </c>
      <c r="C41" s="37"/>
      <c r="D41" s="37">
        <v>0</v>
      </c>
      <c r="E41" s="37"/>
      <c r="F41" s="37">
        <v>0</v>
      </c>
      <c r="G41" s="37"/>
      <c r="H41" s="37">
        <v>0</v>
      </c>
      <c r="I41" s="37"/>
      <c r="J41" s="37">
        <f t="shared" ref="J41:J58" si="4">H41+F41+D41</f>
        <v>0</v>
      </c>
      <c r="K41" s="37"/>
      <c r="L41" s="37">
        <f t="shared" ref="L41:L58" si="5">J41+B41</f>
        <v>0</v>
      </c>
      <c r="M41" s="6"/>
    </row>
    <row r="42" spans="1:13">
      <c r="A42" t="s">
        <v>559</v>
      </c>
      <c r="B42" s="37">
        <v>-70451.45</v>
      </c>
      <c r="C42" s="37"/>
      <c r="D42" s="37">
        <v>0</v>
      </c>
      <c r="E42" s="37"/>
      <c r="F42" s="37">
        <v>0</v>
      </c>
      <c r="G42" s="37"/>
      <c r="H42" s="37">
        <v>0</v>
      </c>
      <c r="I42" s="37"/>
      <c r="J42" s="37">
        <f t="shared" si="4"/>
        <v>0</v>
      </c>
      <c r="K42" s="37"/>
      <c r="L42" s="37">
        <f t="shared" si="5"/>
        <v>-70451.45</v>
      </c>
      <c r="M42" s="6"/>
    </row>
    <row r="43" spans="1:13">
      <c r="A43" t="s">
        <v>560</v>
      </c>
      <c r="B43" s="37">
        <v>-809470.3600000001</v>
      </c>
      <c r="C43" s="37"/>
      <c r="D43" s="37">
        <v>0</v>
      </c>
      <c r="E43" s="37"/>
      <c r="F43" s="37">
        <v>0</v>
      </c>
      <c r="G43" s="37"/>
      <c r="H43" s="37">
        <v>0</v>
      </c>
      <c r="I43" s="37"/>
      <c r="J43" s="37">
        <f t="shared" si="4"/>
        <v>0</v>
      </c>
      <c r="K43" s="37"/>
      <c r="L43" s="37">
        <f t="shared" si="5"/>
        <v>-809470.3600000001</v>
      </c>
      <c r="M43" s="6"/>
    </row>
    <row r="44" spans="1:13">
      <c r="A44" t="s">
        <v>561</v>
      </c>
      <c r="B44" s="37">
        <v>-13017.57</v>
      </c>
      <c r="C44" s="37"/>
      <c r="D44" s="37">
        <v>0</v>
      </c>
      <c r="E44" s="37"/>
      <c r="F44" s="37">
        <v>0</v>
      </c>
      <c r="G44" s="37"/>
      <c r="H44" s="37">
        <v>0</v>
      </c>
      <c r="I44" s="37"/>
      <c r="J44" s="37">
        <f t="shared" si="4"/>
        <v>0</v>
      </c>
      <c r="K44" s="37"/>
      <c r="L44" s="37">
        <f t="shared" si="5"/>
        <v>-13017.57</v>
      </c>
      <c r="M44" s="6"/>
    </row>
    <row r="45" spans="1:13">
      <c r="A45" t="s">
        <v>14</v>
      </c>
      <c r="B45" s="37">
        <v>-690372.78</v>
      </c>
      <c r="C45" s="37"/>
      <c r="D45" s="37">
        <v>0</v>
      </c>
      <c r="E45" s="37"/>
      <c r="F45" s="37">
        <v>0</v>
      </c>
      <c r="G45" s="37"/>
      <c r="H45" s="37">
        <v>0</v>
      </c>
      <c r="I45" s="37"/>
      <c r="J45" s="37">
        <f t="shared" si="4"/>
        <v>0</v>
      </c>
      <c r="K45" s="37"/>
      <c r="L45" s="37">
        <f t="shared" si="5"/>
        <v>-690372.78</v>
      </c>
      <c r="M45" s="6"/>
    </row>
    <row r="46" spans="1:13">
      <c r="A46" t="s">
        <v>562</v>
      </c>
      <c r="B46" s="37">
        <v>-569589.96</v>
      </c>
      <c r="C46" s="37"/>
      <c r="D46" s="37">
        <v>0</v>
      </c>
      <c r="E46" s="37"/>
      <c r="F46" s="37">
        <v>0</v>
      </c>
      <c r="G46" s="37"/>
      <c r="H46" s="37">
        <v>0</v>
      </c>
      <c r="I46" s="37"/>
      <c r="J46" s="37">
        <f t="shared" si="4"/>
        <v>0</v>
      </c>
      <c r="K46" s="37"/>
      <c r="L46" s="37">
        <f t="shared" si="5"/>
        <v>-569589.96</v>
      </c>
      <c r="M46" s="6"/>
    </row>
    <row r="47" spans="1:13">
      <c r="A47" t="s">
        <v>563</v>
      </c>
      <c r="B47" s="37">
        <v>-452027.32</v>
      </c>
      <c r="C47" s="37"/>
      <c r="D47" s="37">
        <v>0</v>
      </c>
      <c r="E47" s="37"/>
      <c r="F47" s="37">
        <v>0</v>
      </c>
      <c r="G47" s="37"/>
      <c r="H47" s="37">
        <v>0</v>
      </c>
      <c r="I47" s="37"/>
      <c r="J47" s="37">
        <f t="shared" si="4"/>
        <v>0</v>
      </c>
      <c r="K47" s="37"/>
      <c r="L47" s="37">
        <f t="shared" si="5"/>
        <v>-452027.32</v>
      </c>
      <c r="M47" s="6"/>
    </row>
    <row r="48" spans="1:13">
      <c r="A48" t="s">
        <v>564</v>
      </c>
      <c r="B48" s="37">
        <v>-7668812.0300000003</v>
      </c>
      <c r="C48" s="37"/>
      <c r="D48" s="37">
        <v>0</v>
      </c>
      <c r="E48" s="37"/>
      <c r="F48" s="37">
        <v>0</v>
      </c>
      <c r="G48" s="37"/>
      <c r="H48" s="37">
        <v>0</v>
      </c>
      <c r="I48" s="37"/>
      <c r="J48" s="37">
        <f t="shared" si="4"/>
        <v>0</v>
      </c>
      <c r="K48" s="37"/>
      <c r="L48" s="37">
        <f t="shared" si="5"/>
        <v>-7668812.0300000003</v>
      </c>
      <c r="M48" s="6"/>
    </row>
    <row r="49" spans="1:13">
      <c r="A49" t="s">
        <v>15</v>
      </c>
      <c r="B49" s="37">
        <v>-2024282.79</v>
      </c>
      <c r="C49" s="37"/>
      <c r="D49" s="37">
        <v>0</v>
      </c>
      <c r="E49" s="37"/>
      <c r="F49" s="37">
        <v>0</v>
      </c>
      <c r="G49" s="37"/>
      <c r="H49" s="37">
        <v>0</v>
      </c>
      <c r="I49" s="37"/>
      <c r="J49" s="37">
        <f t="shared" si="4"/>
        <v>0</v>
      </c>
      <c r="K49" s="37"/>
      <c r="L49" s="37">
        <f t="shared" si="5"/>
        <v>-2024282.79</v>
      </c>
      <c r="M49" s="6"/>
    </row>
    <row r="50" spans="1:13">
      <c r="A50" t="s">
        <v>1089</v>
      </c>
      <c r="B50" s="37">
        <v>-980340.55999999994</v>
      </c>
      <c r="C50" s="37"/>
      <c r="D50" s="37">
        <v>0</v>
      </c>
      <c r="E50" s="37"/>
      <c r="F50" s="37">
        <v>0</v>
      </c>
      <c r="G50" s="37"/>
      <c r="H50" s="37">
        <v>0</v>
      </c>
      <c r="I50" s="37"/>
      <c r="J50" s="37">
        <f t="shared" si="4"/>
        <v>0</v>
      </c>
      <c r="K50" s="37"/>
      <c r="L50" s="37">
        <f t="shared" si="5"/>
        <v>-980340.55999999994</v>
      </c>
      <c r="M50" s="6"/>
    </row>
    <row r="51" spans="1:13">
      <c r="A51" t="s">
        <v>1092</v>
      </c>
      <c r="B51" s="37">
        <v>-659752.1399999999</v>
      </c>
      <c r="C51" s="37"/>
      <c r="D51" s="37">
        <v>0</v>
      </c>
      <c r="E51" s="37"/>
      <c r="F51" s="37">
        <v>0</v>
      </c>
      <c r="G51" s="37"/>
      <c r="H51" s="37">
        <v>0</v>
      </c>
      <c r="I51" s="37"/>
      <c r="J51" s="37">
        <f t="shared" si="4"/>
        <v>0</v>
      </c>
      <c r="K51" s="37"/>
      <c r="L51" s="37">
        <f t="shared" si="5"/>
        <v>-659752.1399999999</v>
      </c>
      <c r="M51" s="6"/>
    </row>
    <row r="52" spans="1:13">
      <c r="A52" t="s">
        <v>16</v>
      </c>
      <c r="B52" s="37">
        <v>-6112912.8999999994</v>
      </c>
      <c r="C52" s="37"/>
      <c r="D52" s="37">
        <v>0</v>
      </c>
      <c r="E52" s="37"/>
      <c r="F52" s="37">
        <v>14575.9</v>
      </c>
      <c r="G52" s="37"/>
      <c r="H52" s="37">
        <v>0</v>
      </c>
      <c r="I52" s="37"/>
      <c r="J52" s="37">
        <f t="shared" si="4"/>
        <v>14575.9</v>
      </c>
      <c r="K52" s="37"/>
      <c r="L52" s="37">
        <f t="shared" si="5"/>
        <v>-6098336.9999999991</v>
      </c>
      <c r="M52" s="6"/>
    </row>
    <row r="53" spans="1:13">
      <c r="A53" t="s">
        <v>565</v>
      </c>
      <c r="B53" s="37">
        <v>-5081034.6199999992</v>
      </c>
      <c r="C53" s="37"/>
      <c r="D53" s="37">
        <v>0</v>
      </c>
      <c r="E53" s="37"/>
      <c r="F53" s="37">
        <v>15058.01</v>
      </c>
      <c r="G53" s="37"/>
      <c r="H53" s="37">
        <v>1342.41</v>
      </c>
      <c r="I53" s="37"/>
      <c r="J53" s="37">
        <f t="shared" si="4"/>
        <v>16400.420000000002</v>
      </c>
      <c r="K53" s="37"/>
      <c r="L53" s="37">
        <f t="shared" si="5"/>
        <v>-5064634.1999999993</v>
      </c>
      <c r="M53" s="6"/>
    </row>
    <row r="54" spans="1:13">
      <c r="A54" t="s">
        <v>566</v>
      </c>
      <c r="B54" s="37">
        <v>-278139.51</v>
      </c>
      <c r="C54" s="37"/>
      <c r="D54" s="37">
        <v>0</v>
      </c>
      <c r="E54" s="37"/>
      <c r="F54" s="37">
        <v>0</v>
      </c>
      <c r="G54" s="37"/>
      <c r="H54" s="37">
        <v>0</v>
      </c>
      <c r="I54" s="37"/>
      <c r="J54" s="37">
        <f t="shared" si="4"/>
        <v>0</v>
      </c>
      <c r="K54" s="37"/>
      <c r="L54" s="37">
        <f t="shared" si="5"/>
        <v>-278139.51</v>
      </c>
      <c r="M54" s="6"/>
    </row>
    <row r="55" spans="1:13">
      <c r="A55" t="s">
        <v>567</v>
      </c>
      <c r="B55" s="37">
        <v>-4102207.99</v>
      </c>
      <c r="C55" s="37"/>
      <c r="D55" s="37">
        <v>0</v>
      </c>
      <c r="E55" s="37"/>
      <c r="F55" s="37">
        <v>7288.86</v>
      </c>
      <c r="G55" s="37"/>
      <c r="H55" s="37">
        <v>-1342.41</v>
      </c>
      <c r="I55" s="37"/>
      <c r="J55" s="37">
        <f t="shared" si="4"/>
        <v>5946.45</v>
      </c>
      <c r="K55" s="37"/>
      <c r="L55" s="37">
        <f t="shared" si="5"/>
        <v>-4096261.54</v>
      </c>
      <c r="M55" s="6"/>
    </row>
    <row r="56" spans="1:13">
      <c r="A56" t="s">
        <v>17</v>
      </c>
      <c r="B56" s="37">
        <v>-351763.13999999996</v>
      </c>
      <c r="C56" s="37"/>
      <c r="D56" s="37">
        <v>0</v>
      </c>
      <c r="E56" s="37"/>
      <c r="F56" s="37">
        <v>0</v>
      </c>
      <c r="G56" s="37"/>
      <c r="H56" s="37">
        <v>0</v>
      </c>
      <c r="I56" s="37"/>
      <c r="J56" s="37">
        <f t="shared" si="4"/>
        <v>0</v>
      </c>
      <c r="K56" s="37"/>
      <c r="L56" s="37">
        <f t="shared" si="5"/>
        <v>-351763.13999999996</v>
      </c>
      <c r="M56" s="6"/>
    </row>
    <row r="57" spans="1:13">
      <c r="A57" t="s">
        <v>568</v>
      </c>
      <c r="B57" s="37">
        <v>0</v>
      </c>
      <c r="C57" s="37"/>
      <c r="D57" s="37">
        <v>0</v>
      </c>
      <c r="E57" s="37"/>
      <c r="F57" s="37">
        <v>0</v>
      </c>
      <c r="G57" s="37"/>
      <c r="H57" s="37">
        <v>0</v>
      </c>
      <c r="I57" s="37"/>
      <c r="J57" s="37">
        <f t="shared" si="4"/>
        <v>0</v>
      </c>
      <c r="K57" s="37"/>
      <c r="L57" s="37">
        <f t="shared" si="5"/>
        <v>0</v>
      </c>
      <c r="M57" s="6"/>
    </row>
    <row r="58" spans="1:13">
      <c r="A58" t="s">
        <v>569</v>
      </c>
      <c r="B58" s="35">
        <v>0</v>
      </c>
      <c r="C58" s="37"/>
      <c r="D58" s="35">
        <v>0</v>
      </c>
      <c r="E58" s="37"/>
      <c r="F58" s="35">
        <v>0</v>
      </c>
      <c r="G58" s="37"/>
      <c r="H58" s="35">
        <v>0</v>
      </c>
      <c r="I58" s="37"/>
      <c r="J58" s="35">
        <f t="shared" si="4"/>
        <v>0</v>
      </c>
      <c r="K58" s="37"/>
      <c r="L58" s="35">
        <f t="shared" si="5"/>
        <v>0</v>
      </c>
      <c r="M58" s="6"/>
    </row>
    <row r="59" spans="1:13">
      <c r="B59" s="37">
        <f>SUM(B41:B58)</f>
        <v>-29864175.120000005</v>
      </c>
      <c r="C59" s="37"/>
      <c r="D59" s="37">
        <f>SUM(D41:D58)</f>
        <v>0</v>
      </c>
      <c r="E59" s="37"/>
      <c r="F59" s="37">
        <f>SUM(F41:F58)</f>
        <v>36922.769999999997</v>
      </c>
      <c r="G59" s="37"/>
      <c r="H59" s="37">
        <f>SUM(H41:H58)</f>
        <v>0</v>
      </c>
      <c r="I59" s="37"/>
      <c r="J59" s="37">
        <f>SUM(J41:J58)</f>
        <v>36922.769999999997</v>
      </c>
      <c r="K59" s="37"/>
      <c r="L59" s="37">
        <f>SUM(L41:L58)</f>
        <v>-29827252.350000001</v>
      </c>
      <c r="M59" s="6"/>
    </row>
    <row r="60" spans="1:13">
      <c r="B60" s="33"/>
      <c r="C60" s="33"/>
      <c r="D60" s="33"/>
      <c r="E60" s="33"/>
      <c r="F60" s="33"/>
      <c r="G60" s="33"/>
      <c r="H60" s="33"/>
      <c r="I60" s="33"/>
      <c r="J60" s="33"/>
      <c r="K60" s="33"/>
      <c r="L60" s="33"/>
      <c r="M60" s="1"/>
    </row>
    <row r="61" spans="1:13">
      <c r="A61" s="3" t="s">
        <v>125</v>
      </c>
      <c r="B61" s="33"/>
      <c r="C61" s="33"/>
      <c r="D61" s="33"/>
      <c r="E61" s="33"/>
      <c r="F61" s="33"/>
      <c r="G61" s="33"/>
      <c r="H61" s="33"/>
      <c r="I61" s="33"/>
      <c r="J61" s="33"/>
      <c r="K61" s="33"/>
      <c r="L61" s="33"/>
      <c r="M61" s="1"/>
    </row>
    <row r="62" spans="1:13">
      <c r="A62" t="s">
        <v>570</v>
      </c>
      <c r="B62" s="33">
        <v>-208142.37</v>
      </c>
      <c r="C62" s="33"/>
      <c r="D62" s="33">
        <v>0</v>
      </c>
      <c r="E62" s="33"/>
      <c r="F62" s="300">
        <v>0</v>
      </c>
      <c r="G62" s="33"/>
      <c r="H62" s="300">
        <v>0</v>
      </c>
      <c r="I62" s="33"/>
      <c r="J62" s="33">
        <f>H62+F62+D62</f>
        <v>0</v>
      </c>
      <c r="K62" s="33"/>
      <c r="L62" s="33">
        <f>J62+B62</f>
        <v>-208142.37</v>
      </c>
      <c r="M62" s="1"/>
    </row>
    <row r="63" spans="1:13">
      <c r="A63" t="s">
        <v>571</v>
      </c>
      <c r="B63" s="300">
        <v>-9218471.7699999996</v>
      </c>
      <c r="C63" s="300"/>
      <c r="D63" s="300">
        <v>0</v>
      </c>
      <c r="E63" s="300"/>
      <c r="F63" s="300">
        <v>698.24</v>
      </c>
      <c r="G63" s="300"/>
      <c r="H63" s="300">
        <v>0</v>
      </c>
      <c r="I63" s="300"/>
      <c r="J63" s="300">
        <f>H63+F63+D63</f>
        <v>698.24</v>
      </c>
      <c r="K63" s="300"/>
      <c r="L63" s="300">
        <f>J63+B63</f>
        <v>-9217773.5299999993</v>
      </c>
      <c r="M63" s="1"/>
    </row>
    <row r="64" spans="1:13">
      <c r="A64" s="179" t="s">
        <v>1444</v>
      </c>
      <c r="B64" s="35">
        <v>0</v>
      </c>
      <c r="C64" s="300"/>
      <c r="D64" s="35">
        <v>0</v>
      </c>
      <c r="E64" s="300"/>
      <c r="F64" s="35">
        <v>0</v>
      </c>
      <c r="G64" s="300"/>
      <c r="H64" s="35">
        <v>0</v>
      </c>
      <c r="I64" s="300"/>
      <c r="J64" s="35">
        <f>H64+F64+D64</f>
        <v>0</v>
      </c>
      <c r="K64" s="300"/>
      <c r="L64" s="35">
        <f>J64+B64</f>
        <v>0</v>
      </c>
      <c r="M64" s="1"/>
    </row>
    <row r="65" spans="1:14">
      <c r="B65" s="37">
        <f>SUM(B62:B64)</f>
        <v>-9426614.1399999987</v>
      </c>
      <c r="C65" s="37"/>
      <c r="D65" s="37">
        <f>SUM(D62:D64)</f>
        <v>0</v>
      </c>
      <c r="E65" s="37"/>
      <c r="F65" s="37">
        <f>SUM(F62:F64)</f>
        <v>698.24</v>
      </c>
      <c r="G65" s="37"/>
      <c r="H65" s="37">
        <f>SUM(H62:H64)</f>
        <v>0</v>
      </c>
      <c r="I65" s="37"/>
      <c r="J65" s="37">
        <f>SUM(J62:J64)</f>
        <v>698.24</v>
      </c>
      <c r="K65" s="37"/>
      <c r="L65" s="37">
        <f>SUM(L62:L64)</f>
        <v>-9425915.8999999985</v>
      </c>
      <c r="M65" s="6"/>
    </row>
    <row r="66" spans="1:14">
      <c r="B66" s="37"/>
      <c r="C66" s="37"/>
      <c r="D66" s="37"/>
      <c r="E66" s="37"/>
      <c r="F66" s="37"/>
      <c r="G66" s="37"/>
      <c r="H66" s="37"/>
      <c r="I66" s="37"/>
      <c r="J66" s="37"/>
      <c r="K66" s="37"/>
      <c r="L66" s="37"/>
      <c r="M66" s="6"/>
    </row>
    <row r="67" spans="1:14">
      <c r="B67" s="37"/>
      <c r="C67" s="37"/>
      <c r="D67" s="37"/>
      <c r="E67" s="37"/>
      <c r="F67" s="37"/>
      <c r="G67" s="37"/>
      <c r="H67" s="37"/>
      <c r="I67" s="37"/>
      <c r="J67" s="37"/>
      <c r="K67" s="37"/>
      <c r="L67" s="37"/>
      <c r="M67" s="1"/>
    </row>
    <row r="68" spans="1:14">
      <c r="A68" s="3" t="s">
        <v>763</v>
      </c>
      <c r="B68" s="34">
        <f>B65+B59+B38+B34+B25</f>
        <v>-167191115.97</v>
      </c>
      <c r="C68" s="37"/>
      <c r="D68" s="34">
        <f>D65+D59+D38+D34+D25</f>
        <v>-13581.650000000001</v>
      </c>
      <c r="E68" s="37"/>
      <c r="F68" s="34">
        <f>F65+F59+F38+F34+F25</f>
        <v>52107.09</v>
      </c>
      <c r="G68" s="37"/>
      <c r="H68" s="34">
        <f>H65+H59+H38+H34+H25</f>
        <v>0</v>
      </c>
      <c r="I68" s="37"/>
      <c r="J68" s="34">
        <f>J65+J59+J38+J34+J25</f>
        <v>38525.439999999995</v>
      </c>
      <c r="K68" s="37"/>
      <c r="L68" s="34">
        <f>L65+L59+L38+L34+L25</f>
        <v>-167152590.52999997</v>
      </c>
      <c r="M68" s="1"/>
    </row>
    <row r="69" spans="1:14" s="10" customFormat="1">
      <c r="B69" s="27"/>
      <c r="C69" s="27"/>
      <c r="D69" s="27"/>
      <c r="E69" s="27"/>
      <c r="F69" s="27"/>
      <c r="G69" s="27"/>
      <c r="H69" s="27"/>
      <c r="I69" s="27"/>
      <c r="J69" s="27"/>
      <c r="K69" s="27"/>
      <c r="L69" s="27"/>
      <c r="M69" s="8"/>
    </row>
    <row r="70" spans="1:14" s="10" customFormat="1">
      <c r="B70" s="24"/>
      <c r="C70" s="24"/>
      <c r="D70" s="24"/>
      <c r="E70" s="24"/>
      <c r="F70" s="24"/>
      <c r="G70" s="24"/>
      <c r="H70" s="24"/>
      <c r="I70" s="24"/>
      <c r="J70" s="24"/>
      <c r="K70" s="24"/>
      <c r="L70" s="24"/>
      <c r="M70" s="8"/>
    </row>
    <row r="71" spans="1:14" s="10" customFormat="1">
      <c r="A71" s="12" t="s">
        <v>689</v>
      </c>
      <c r="B71" s="24"/>
      <c r="C71" s="24"/>
      <c r="D71" s="24"/>
      <c r="E71" s="24"/>
      <c r="F71" s="24"/>
      <c r="G71" s="24"/>
      <c r="H71" s="24"/>
      <c r="I71" s="24"/>
      <c r="J71" s="24"/>
      <c r="K71" s="24"/>
      <c r="L71" s="24"/>
      <c r="M71" s="8"/>
    </row>
    <row r="72" spans="1:14" s="10" customFormat="1">
      <c r="A72" s="12" t="s">
        <v>121</v>
      </c>
      <c r="B72" s="24"/>
      <c r="C72" s="24"/>
      <c r="D72" s="24"/>
      <c r="E72" s="24"/>
      <c r="F72" s="24"/>
      <c r="G72" s="24"/>
      <c r="H72" s="24"/>
      <c r="I72" s="24"/>
      <c r="J72" s="24"/>
      <c r="K72" s="24"/>
      <c r="L72" s="24"/>
      <c r="M72" s="8"/>
    </row>
    <row r="73" spans="1:14" s="10" customFormat="1">
      <c r="A73" s="10" t="s">
        <v>850</v>
      </c>
      <c r="B73" s="24">
        <v>0</v>
      </c>
      <c r="C73" s="24"/>
      <c r="D73" s="24">
        <v>0</v>
      </c>
      <c r="E73" s="24"/>
      <c r="F73" s="24">
        <v>0</v>
      </c>
      <c r="G73" s="24"/>
      <c r="H73" s="24">
        <v>0</v>
      </c>
      <c r="I73" s="24"/>
      <c r="J73" s="24">
        <f t="shared" ref="J73:J82" si="6">H73+F73+D73</f>
        <v>0</v>
      </c>
      <c r="K73" s="24"/>
      <c r="L73" s="24">
        <f t="shared" ref="L73:L82" si="7">J73+B73</f>
        <v>0</v>
      </c>
      <c r="M73" s="8"/>
    </row>
    <row r="74" spans="1:14" s="10" customFormat="1">
      <c r="A74" s="10" t="s">
        <v>83</v>
      </c>
      <c r="B74" s="24">
        <v>0</v>
      </c>
      <c r="C74" s="24"/>
      <c r="D74" s="24">
        <v>0</v>
      </c>
      <c r="E74" s="24"/>
      <c r="F74" s="24">
        <v>0</v>
      </c>
      <c r="G74" s="24"/>
      <c r="H74" s="24">
        <v>0</v>
      </c>
      <c r="I74" s="24"/>
      <c r="J74" s="24">
        <f t="shared" si="6"/>
        <v>0</v>
      </c>
      <c r="K74" s="24"/>
      <c r="L74" s="24">
        <f t="shared" si="7"/>
        <v>0</v>
      </c>
      <c r="M74" s="8"/>
    </row>
    <row r="75" spans="1:14" s="10" customFormat="1">
      <c r="A75" s="10" t="s">
        <v>72</v>
      </c>
      <c r="B75" s="24">
        <v>-8200.5400000000081</v>
      </c>
      <c r="C75" s="24"/>
      <c r="D75" s="24">
        <v>7461.85</v>
      </c>
      <c r="E75" s="24"/>
      <c r="F75" s="24">
        <v>0</v>
      </c>
      <c r="G75" s="24"/>
      <c r="H75" s="24">
        <v>0</v>
      </c>
      <c r="I75" s="24"/>
      <c r="J75" s="24">
        <f t="shared" si="6"/>
        <v>7461.85</v>
      </c>
      <c r="K75" s="24"/>
      <c r="L75" s="24">
        <f t="shared" si="7"/>
        <v>-738.69000000000779</v>
      </c>
      <c r="M75" s="8"/>
      <c r="N75" s="72"/>
    </row>
    <row r="76" spans="1:14" s="10" customFormat="1">
      <c r="A76" s="10" t="s">
        <v>73</v>
      </c>
      <c r="B76" s="24">
        <v>0</v>
      </c>
      <c r="C76" s="24"/>
      <c r="D76" s="24">
        <v>0</v>
      </c>
      <c r="E76" s="24"/>
      <c r="F76" s="24">
        <v>0</v>
      </c>
      <c r="G76" s="24"/>
      <c r="H76" s="24">
        <v>0</v>
      </c>
      <c r="I76" s="24"/>
      <c r="J76" s="24">
        <f t="shared" si="6"/>
        <v>0</v>
      </c>
      <c r="K76" s="24"/>
      <c r="L76" s="24">
        <f t="shared" si="7"/>
        <v>0</v>
      </c>
      <c r="M76" s="8"/>
      <c r="N76" s="72"/>
    </row>
    <row r="77" spans="1:14" s="10" customFormat="1">
      <c r="A77" s="10" t="s">
        <v>74</v>
      </c>
      <c r="B77" s="24">
        <v>0</v>
      </c>
      <c r="C77" s="24"/>
      <c r="D77" s="24">
        <v>0</v>
      </c>
      <c r="E77" s="24"/>
      <c r="F77" s="24">
        <v>0</v>
      </c>
      <c r="G77" s="24"/>
      <c r="H77" s="24">
        <v>0</v>
      </c>
      <c r="I77" s="24"/>
      <c r="J77" s="24">
        <f t="shared" si="6"/>
        <v>0</v>
      </c>
      <c r="K77" s="24"/>
      <c r="L77" s="24">
        <f t="shared" si="7"/>
        <v>0</v>
      </c>
      <c r="M77" s="8"/>
    </row>
    <row r="78" spans="1:14" s="10" customFormat="1">
      <c r="A78" s="10" t="s">
        <v>75</v>
      </c>
      <c r="B78" s="27">
        <v>0.20999999999185093</v>
      </c>
      <c r="C78" s="27"/>
      <c r="D78" s="27">
        <v>0</v>
      </c>
      <c r="E78" s="27"/>
      <c r="F78" s="27">
        <v>0</v>
      </c>
      <c r="G78" s="27"/>
      <c r="H78" s="27">
        <v>0</v>
      </c>
      <c r="I78" s="27"/>
      <c r="J78" s="27">
        <f t="shared" si="6"/>
        <v>0</v>
      </c>
      <c r="K78" s="27"/>
      <c r="L78" s="27">
        <f t="shared" si="7"/>
        <v>0.20999999999185093</v>
      </c>
      <c r="M78" s="8"/>
      <c r="N78" s="72"/>
    </row>
    <row r="79" spans="1:14" s="10" customFormat="1">
      <c r="A79" s="10" t="s">
        <v>76</v>
      </c>
      <c r="B79" s="27">
        <v>0</v>
      </c>
      <c r="C79" s="27"/>
      <c r="D79" s="27">
        <v>0</v>
      </c>
      <c r="E79" s="27"/>
      <c r="F79" s="27">
        <v>0</v>
      </c>
      <c r="G79" s="27"/>
      <c r="H79" s="27">
        <v>0</v>
      </c>
      <c r="I79" s="27"/>
      <c r="J79" s="27">
        <f t="shared" si="6"/>
        <v>0</v>
      </c>
      <c r="K79" s="27"/>
      <c r="L79" s="27">
        <f t="shared" si="7"/>
        <v>0</v>
      </c>
      <c r="M79" s="8"/>
    </row>
    <row r="80" spans="1:14" s="10" customFormat="1">
      <c r="A80" s="10" t="s">
        <v>77</v>
      </c>
      <c r="B80" s="27">
        <v>0</v>
      </c>
      <c r="C80" s="27"/>
      <c r="D80" s="27">
        <v>0</v>
      </c>
      <c r="E80" s="27"/>
      <c r="F80" s="27">
        <v>0</v>
      </c>
      <c r="G80" s="27"/>
      <c r="H80" s="27">
        <v>0</v>
      </c>
      <c r="I80" s="27"/>
      <c r="J80" s="27">
        <f t="shared" si="6"/>
        <v>0</v>
      </c>
      <c r="K80" s="27"/>
      <c r="L80" s="27">
        <f t="shared" si="7"/>
        <v>0</v>
      </c>
      <c r="M80" s="8"/>
      <c r="N80" s="72"/>
    </row>
    <row r="81" spans="1:14" s="10" customFormat="1">
      <c r="A81" s="10" t="s">
        <v>78</v>
      </c>
      <c r="B81" s="27">
        <v>0</v>
      </c>
      <c r="C81" s="27"/>
      <c r="D81" s="27">
        <v>0</v>
      </c>
      <c r="E81" s="27"/>
      <c r="F81" s="27">
        <v>0</v>
      </c>
      <c r="G81" s="27"/>
      <c r="H81" s="27">
        <v>0</v>
      </c>
      <c r="I81" s="27"/>
      <c r="J81" s="27">
        <f t="shared" si="6"/>
        <v>0</v>
      </c>
      <c r="K81" s="27"/>
      <c r="L81" s="27">
        <f t="shared" si="7"/>
        <v>0</v>
      </c>
      <c r="M81" s="8"/>
      <c r="N81" s="72"/>
    </row>
    <row r="82" spans="1:14" s="10" customFormat="1">
      <c r="A82" s="10" t="s">
        <v>79</v>
      </c>
      <c r="B82" s="28">
        <v>0</v>
      </c>
      <c r="C82" s="27"/>
      <c r="D82" s="28">
        <v>0</v>
      </c>
      <c r="E82" s="27"/>
      <c r="F82" s="28">
        <v>0</v>
      </c>
      <c r="G82" s="27"/>
      <c r="H82" s="28">
        <v>0</v>
      </c>
      <c r="I82" s="27"/>
      <c r="J82" s="28">
        <f t="shared" si="6"/>
        <v>0</v>
      </c>
      <c r="K82" s="27"/>
      <c r="L82" s="28">
        <f t="shared" si="7"/>
        <v>0</v>
      </c>
      <c r="M82" s="8"/>
      <c r="N82" s="72"/>
    </row>
    <row r="83" spans="1:14" s="10" customFormat="1">
      <c r="B83" s="27">
        <f>SUM(B73:B82)</f>
        <v>-8200.3300000000163</v>
      </c>
      <c r="C83" s="27"/>
      <c r="D83" s="27">
        <f>SUM(D73:D82)</f>
        <v>7461.85</v>
      </c>
      <c r="E83" s="27"/>
      <c r="F83" s="27">
        <f>SUM(F73:F82)</f>
        <v>0</v>
      </c>
      <c r="G83" s="27"/>
      <c r="H83" s="27">
        <f>SUM(H73:H82)</f>
        <v>0</v>
      </c>
      <c r="I83" s="27"/>
      <c r="J83" s="27">
        <f>SUM(J73:J82)</f>
        <v>7461.85</v>
      </c>
      <c r="K83" s="27"/>
      <c r="L83" s="27">
        <f>SUM(L73:L82)</f>
        <v>-738.48000000001593</v>
      </c>
      <c r="M83" s="8"/>
    </row>
    <row r="84" spans="1:14" s="10" customFormat="1">
      <c r="B84" s="27"/>
      <c r="C84" s="27"/>
      <c r="D84" s="27"/>
      <c r="E84" s="27"/>
      <c r="F84" s="27"/>
      <c r="G84" s="27"/>
      <c r="H84" s="27"/>
      <c r="I84" s="27"/>
      <c r="J84" s="27"/>
      <c r="K84" s="27"/>
      <c r="L84" s="27"/>
      <c r="M84" s="8"/>
    </row>
    <row r="85" spans="1:14" s="10" customFormat="1">
      <c r="A85" s="12" t="s">
        <v>122</v>
      </c>
      <c r="B85" s="24"/>
      <c r="C85" s="24"/>
      <c r="D85" s="24"/>
      <c r="E85" s="24"/>
      <c r="F85" s="24"/>
      <c r="G85" s="24"/>
      <c r="H85" s="24"/>
      <c r="I85" s="24"/>
      <c r="J85" s="24"/>
      <c r="K85" s="24"/>
      <c r="L85" s="24"/>
      <c r="M85" s="8"/>
    </row>
    <row r="86" spans="1:14" s="10" customFormat="1">
      <c r="A86" s="10" t="s">
        <v>899</v>
      </c>
      <c r="B86" s="24">
        <v>0</v>
      </c>
      <c r="C86" s="24"/>
      <c r="D86" s="24">
        <v>0</v>
      </c>
      <c r="E86" s="24"/>
      <c r="F86" s="24">
        <v>0</v>
      </c>
      <c r="G86" s="24"/>
      <c r="H86" s="24">
        <v>0</v>
      </c>
      <c r="I86" s="24"/>
      <c r="J86" s="24">
        <f t="shared" ref="J86:J91" si="8">H86+F86+D86</f>
        <v>0</v>
      </c>
      <c r="K86" s="24"/>
      <c r="L86" s="24">
        <f t="shared" ref="L86:L91" si="9">J86+B86</f>
        <v>0</v>
      </c>
      <c r="M86" s="8"/>
    </row>
    <row r="87" spans="1:14" s="10" customFormat="1">
      <c r="A87" s="10" t="s">
        <v>900</v>
      </c>
      <c r="B87" s="24">
        <v>0</v>
      </c>
      <c r="C87" s="24"/>
      <c r="D87" s="24">
        <v>0</v>
      </c>
      <c r="E87" s="24"/>
      <c r="F87" s="24">
        <v>0</v>
      </c>
      <c r="G87" s="24"/>
      <c r="H87" s="24">
        <v>0</v>
      </c>
      <c r="I87" s="24"/>
      <c r="J87" s="24">
        <f t="shared" si="8"/>
        <v>0</v>
      </c>
      <c r="K87" s="24"/>
      <c r="L87" s="24">
        <f t="shared" si="9"/>
        <v>0</v>
      </c>
      <c r="M87" s="8"/>
    </row>
    <row r="88" spans="1:14" s="10" customFormat="1">
      <c r="A88" s="10" t="s">
        <v>901</v>
      </c>
      <c r="B88" s="24">
        <v>-6119.8</v>
      </c>
      <c r="C88" s="24"/>
      <c r="D88" s="24">
        <v>6119.8</v>
      </c>
      <c r="E88" s="24"/>
      <c r="F88" s="24">
        <v>0</v>
      </c>
      <c r="G88" s="24"/>
      <c r="H88" s="24">
        <v>0</v>
      </c>
      <c r="I88" s="24"/>
      <c r="J88" s="24">
        <f t="shared" si="8"/>
        <v>6119.8</v>
      </c>
      <c r="K88" s="24"/>
      <c r="L88" s="24">
        <f t="shared" si="9"/>
        <v>0</v>
      </c>
      <c r="M88" s="8"/>
    </row>
    <row r="89" spans="1:14" s="10" customFormat="1">
      <c r="A89" s="10" t="s">
        <v>995</v>
      </c>
      <c r="B89" s="24">
        <v>0</v>
      </c>
      <c r="C89" s="24"/>
      <c r="D89" s="24">
        <v>0</v>
      </c>
      <c r="E89" s="24"/>
      <c r="F89" s="24">
        <v>0</v>
      </c>
      <c r="G89" s="24"/>
      <c r="H89" s="24">
        <v>0</v>
      </c>
      <c r="I89" s="24"/>
      <c r="J89" s="24">
        <f t="shared" si="8"/>
        <v>0</v>
      </c>
      <c r="K89" s="24"/>
      <c r="L89" s="24">
        <f t="shared" si="9"/>
        <v>0</v>
      </c>
      <c r="M89" s="8"/>
    </row>
    <row r="90" spans="1:14" s="10" customFormat="1">
      <c r="A90" s="10" t="s">
        <v>996</v>
      </c>
      <c r="B90" s="27">
        <v>0</v>
      </c>
      <c r="C90" s="27"/>
      <c r="D90" s="27">
        <v>0</v>
      </c>
      <c r="E90" s="27"/>
      <c r="F90" s="27">
        <v>0</v>
      </c>
      <c r="G90" s="27"/>
      <c r="H90" s="27">
        <v>0</v>
      </c>
      <c r="I90" s="27"/>
      <c r="J90" s="27">
        <f t="shared" si="8"/>
        <v>0</v>
      </c>
      <c r="K90" s="27"/>
      <c r="L90" s="27">
        <f t="shared" si="9"/>
        <v>0</v>
      </c>
      <c r="M90" s="262"/>
    </row>
    <row r="91" spans="1:14" s="10" customFormat="1">
      <c r="A91" s="10" t="s">
        <v>997</v>
      </c>
      <c r="B91" s="28">
        <v>0</v>
      </c>
      <c r="C91" s="27"/>
      <c r="D91" s="28">
        <v>0</v>
      </c>
      <c r="E91" s="27"/>
      <c r="F91" s="28">
        <v>0</v>
      </c>
      <c r="G91" s="27"/>
      <c r="H91" s="28">
        <v>0</v>
      </c>
      <c r="I91" s="27"/>
      <c r="J91" s="28">
        <f t="shared" si="8"/>
        <v>0</v>
      </c>
      <c r="K91" s="27"/>
      <c r="L91" s="28">
        <f t="shared" si="9"/>
        <v>0</v>
      </c>
      <c r="M91" s="262"/>
    </row>
    <row r="92" spans="1:14" s="10" customFormat="1">
      <c r="B92" s="27">
        <f>SUM(B86:B91)</f>
        <v>-6119.8</v>
      </c>
      <c r="C92" s="27"/>
      <c r="D92" s="27">
        <f>SUM(D86:D91)</f>
        <v>6119.8</v>
      </c>
      <c r="E92" s="27"/>
      <c r="F92" s="27">
        <f>SUM(F86:F91)</f>
        <v>0</v>
      </c>
      <c r="G92" s="27"/>
      <c r="H92" s="27">
        <f>SUM(H86:H91)</f>
        <v>0</v>
      </c>
      <c r="I92" s="27"/>
      <c r="J92" s="27">
        <f>SUM(J86:J91)</f>
        <v>6119.8</v>
      </c>
      <c r="K92" s="27"/>
      <c r="L92" s="27">
        <f>SUM(L86:L91)</f>
        <v>0</v>
      </c>
      <c r="M92" s="262"/>
    </row>
    <row r="93" spans="1:14" s="10" customFormat="1">
      <c r="B93" s="27"/>
      <c r="C93" s="27"/>
      <c r="D93" s="27"/>
      <c r="E93" s="27"/>
      <c r="F93" s="27"/>
      <c r="G93" s="27"/>
      <c r="H93" s="27"/>
      <c r="I93" s="27"/>
      <c r="J93" s="27"/>
      <c r="K93" s="27"/>
      <c r="L93" s="27"/>
      <c r="M93" s="262"/>
    </row>
    <row r="94" spans="1:14" s="10" customFormat="1">
      <c r="A94" s="12" t="s">
        <v>124</v>
      </c>
      <c r="B94" s="27"/>
      <c r="C94" s="27"/>
      <c r="D94" s="27"/>
      <c r="E94" s="27"/>
      <c r="F94" s="27"/>
      <c r="G94" s="27"/>
      <c r="H94" s="27"/>
      <c r="I94" s="27"/>
      <c r="J94" s="27"/>
      <c r="K94" s="27"/>
      <c r="L94" s="27"/>
      <c r="M94" s="8"/>
    </row>
    <row r="95" spans="1:14" s="10" customFormat="1">
      <c r="A95" s="10" t="s">
        <v>560</v>
      </c>
      <c r="B95" s="27">
        <v>0</v>
      </c>
      <c r="C95" s="27"/>
      <c r="D95" s="27">
        <v>0</v>
      </c>
      <c r="E95" s="27"/>
      <c r="F95" s="27">
        <v>0</v>
      </c>
      <c r="G95" s="27"/>
      <c r="H95" s="27">
        <v>0</v>
      </c>
      <c r="I95" s="27"/>
      <c r="J95" s="27">
        <f t="shared" ref="J95:J102" si="10">H95+F95+D95</f>
        <v>0</v>
      </c>
      <c r="K95" s="27"/>
      <c r="L95" s="27">
        <f t="shared" ref="L95:L102" si="11">J95+B95</f>
        <v>0</v>
      </c>
      <c r="M95" s="8"/>
    </row>
    <row r="96" spans="1:14" s="10" customFormat="1">
      <c r="A96" s="10" t="s">
        <v>14</v>
      </c>
      <c r="B96" s="27">
        <v>0</v>
      </c>
      <c r="C96" s="27"/>
      <c r="D96" s="27">
        <v>0</v>
      </c>
      <c r="E96" s="27"/>
      <c r="F96" s="27">
        <v>0</v>
      </c>
      <c r="G96" s="27"/>
      <c r="H96" s="27">
        <v>0</v>
      </c>
      <c r="I96" s="27"/>
      <c r="J96" s="27">
        <f t="shared" si="10"/>
        <v>0</v>
      </c>
      <c r="K96" s="27"/>
      <c r="L96" s="27">
        <f t="shared" si="11"/>
        <v>0</v>
      </c>
      <c r="M96" s="8"/>
    </row>
    <row r="97" spans="1:13" s="10" customFormat="1">
      <c r="A97" s="184" t="s">
        <v>1093</v>
      </c>
      <c r="B97" s="27">
        <v>0</v>
      </c>
      <c r="C97" s="27"/>
      <c r="D97" s="27">
        <v>0</v>
      </c>
      <c r="E97" s="27"/>
      <c r="F97" s="27">
        <v>0</v>
      </c>
      <c r="G97" s="27"/>
      <c r="H97" s="27">
        <v>0</v>
      </c>
      <c r="I97" s="27"/>
      <c r="J97" s="27">
        <f t="shared" si="10"/>
        <v>0</v>
      </c>
      <c r="K97" s="27"/>
      <c r="L97" s="27">
        <f t="shared" si="11"/>
        <v>0</v>
      </c>
      <c r="M97" s="8"/>
    </row>
    <row r="98" spans="1:13" s="10" customFormat="1">
      <c r="A98" s="184" t="s">
        <v>1092</v>
      </c>
      <c r="B98" s="27">
        <v>0</v>
      </c>
      <c r="C98" s="27"/>
      <c r="D98" s="27">
        <v>0</v>
      </c>
      <c r="E98" s="27"/>
      <c r="F98" s="27">
        <v>0</v>
      </c>
      <c r="G98" s="27"/>
      <c r="H98" s="27">
        <v>0</v>
      </c>
      <c r="I98" s="27"/>
      <c r="J98" s="27">
        <f t="shared" si="10"/>
        <v>0</v>
      </c>
      <c r="K98" s="27"/>
      <c r="L98" s="27">
        <f t="shared" si="11"/>
        <v>0</v>
      </c>
      <c r="M98" s="8"/>
    </row>
    <row r="99" spans="1:13" s="10" customFormat="1">
      <c r="A99" s="10" t="s">
        <v>16</v>
      </c>
      <c r="B99" s="27">
        <v>0</v>
      </c>
      <c r="C99" s="27"/>
      <c r="D99" s="27">
        <v>0</v>
      </c>
      <c r="E99" s="27"/>
      <c r="F99" s="27">
        <v>0</v>
      </c>
      <c r="G99" s="27"/>
      <c r="H99" s="27">
        <v>0</v>
      </c>
      <c r="I99" s="27"/>
      <c r="J99" s="27">
        <f t="shared" si="10"/>
        <v>0</v>
      </c>
      <c r="K99" s="27"/>
      <c r="L99" s="27">
        <f t="shared" si="11"/>
        <v>0</v>
      </c>
      <c r="M99" s="8"/>
    </row>
    <row r="100" spans="1:13" s="10" customFormat="1">
      <c r="A100" s="10" t="s">
        <v>565</v>
      </c>
      <c r="B100" s="27">
        <v>0</v>
      </c>
      <c r="C100" s="27"/>
      <c r="D100" s="27">
        <v>0</v>
      </c>
      <c r="E100" s="27"/>
      <c r="F100" s="27">
        <v>0</v>
      </c>
      <c r="G100" s="27"/>
      <c r="H100" s="27">
        <v>0</v>
      </c>
      <c r="I100" s="27"/>
      <c r="J100" s="27">
        <f t="shared" si="10"/>
        <v>0</v>
      </c>
      <c r="K100" s="27"/>
      <c r="L100" s="27">
        <f t="shared" si="11"/>
        <v>0</v>
      </c>
      <c r="M100" s="8"/>
    </row>
    <row r="101" spans="1:13" s="10" customFormat="1">
      <c r="A101" s="10" t="s">
        <v>566</v>
      </c>
      <c r="B101" s="27">
        <v>-2082.91</v>
      </c>
      <c r="C101" s="27"/>
      <c r="D101" s="27">
        <v>0</v>
      </c>
      <c r="E101" s="27"/>
      <c r="F101" s="27">
        <v>0</v>
      </c>
      <c r="G101" s="27"/>
      <c r="H101" s="27">
        <v>0</v>
      </c>
      <c r="I101" s="27"/>
      <c r="J101" s="27">
        <f t="shared" si="10"/>
        <v>0</v>
      </c>
      <c r="K101" s="27"/>
      <c r="L101" s="27">
        <f t="shared" si="11"/>
        <v>-2082.91</v>
      </c>
      <c r="M101" s="8"/>
    </row>
    <row r="102" spans="1:13" s="10" customFormat="1">
      <c r="A102" s="10" t="s">
        <v>567</v>
      </c>
      <c r="B102" s="28">
        <v>0</v>
      </c>
      <c r="C102" s="27"/>
      <c r="D102" s="28">
        <v>0</v>
      </c>
      <c r="E102" s="27"/>
      <c r="F102" s="28">
        <v>0</v>
      </c>
      <c r="G102" s="27"/>
      <c r="H102" s="28">
        <v>0</v>
      </c>
      <c r="I102" s="27"/>
      <c r="J102" s="28">
        <f t="shared" si="10"/>
        <v>0</v>
      </c>
      <c r="K102" s="27"/>
      <c r="L102" s="28">
        <f t="shared" si="11"/>
        <v>0</v>
      </c>
      <c r="M102" s="8"/>
    </row>
    <row r="103" spans="1:13" s="10" customFormat="1">
      <c r="B103" s="27">
        <f>SUM(B95:B102)</f>
        <v>-2082.91</v>
      </c>
      <c r="C103" s="27"/>
      <c r="D103" s="27">
        <f>SUM(D95:D102)</f>
        <v>0</v>
      </c>
      <c r="E103" s="27"/>
      <c r="F103" s="27">
        <f>SUM(F95:F102)</f>
        <v>0</v>
      </c>
      <c r="G103" s="27"/>
      <c r="H103" s="27">
        <f>SUM(H95:H102)</f>
        <v>0</v>
      </c>
      <c r="I103" s="27"/>
      <c r="J103" s="27">
        <f>SUM(J95:J102)</f>
        <v>0</v>
      </c>
      <c r="K103" s="27"/>
      <c r="L103" s="27">
        <f>SUM(L95:L102)</f>
        <v>-2082.91</v>
      </c>
      <c r="M103" s="8"/>
    </row>
    <row r="104" spans="1:13" s="10" customFormat="1">
      <c r="B104" s="27"/>
      <c r="C104" s="27"/>
      <c r="D104" s="27"/>
      <c r="E104" s="27"/>
      <c r="F104" s="27"/>
      <c r="G104" s="27"/>
      <c r="H104" s="27"/>
      <c r="I104" s="27"/>
      <c r="J104" s="27"/>
      <c r="K104" s="27"/>
      <c r="L104" s="27"/>
      <c r="M104" s="8"/>
    </row>
    <row r="105" spans="1:13" s="10" customFormat="1">
      <c r="A105" s="12" t="s">
        <v>125</v>
      </c>
      <c r="B105" s="27"/>
      <c r="C105" s="27"/>
      <c r="D105" s="27"/>
      <c r="E105" s="27"/>
      <c r="F105" s="27"/>
      <c r="G105" s="27"/>
      <c r="H105" s="27"/>
      <c r="I105" s="27"/>
      <c r="J105" s="27"/>
      <c r="K105" s="27"/>
      <c r="L105" s="27"/>
      <c r="M105" s="8"/>
    </row>
    <row r="106" spans="1:13" s="10" customFormat="1">
      <c r="A106" s="10" t="s">
        <v>571</v>
      </c>
      <c r="B106" s="28">
        <v>0</v>
      </c>
      <c r="C106" s="27"/>
      <c r="D106" s="28">
        <f>-349.21+349.21</f>
        <v>0</v>
      </c>
      <c r="E106" s="27"/>
      <c r="F106" s="28">
        <v>0</v>
      </c>
      <c r="G106" s="27"/>
      <c r="H106" s="28">
        <v>0</v>
      </c>
      <c r="I106" s="27"/>
      <c r="J106" s="28">
        <f>H106+F106+D106</f>
        <v>0</v>
      </c>
      <c r="K106" s="27"/>
      <c r="L106" s="28">
        <f>J106+B106</f>
        <v>0</v>
      </c>
      <c r="M106" s="8"/>
    </row>
    <row r="107" spans="1:13" s="10" customFormat="1">
      <c r="B107" s="27">
        <f>SUM(B106)</f>
        <v>0</v>
      </c>
      <c r="C107" s="27"/>
      <c r="D107" s="27">
        <f>SUM(D106)</f>
        <v>0</v>
      </c>
      <c r="E107" s="27"/>
      <c r="F107" s="27">
        <f>SUM(F106)</f>
        <v>0</v>
      </c>
      <c r="G107" s="27"/>
      <c r="H107" s="27">
        <f>SUM(H106)</f>
        <v>0</v>
      </c>
      <c r="I107" s="27"/>
      <c r="J107" s="27">
        <f>SUM(J106)</f>
        <v>0</v>
      </c>
      <c r="K107" s="27"/>
      <c r="L107" s="27">
        <f>SUM(L106)</f>
        <v>0</v>
      </c>
      <c r="M107" s="8"/>
    </row>
    <row r="108" spans="1:13" s="10" customFormat="1">
      <c r="B108" s="27"/>
      <c r="C108" s="27"/>
      <c r="D108" s="27"/>
      <c r="E108" s="27"/>
      <c r="F108" s="27"/>
      <c r="G108" s="27"/>
      <c r="H108" s="27"/>
      <c r="I108" s="27"/>
      <c r="J108" s="27"/>
      <c r="K108" s="27"/>
      <c r="L108" s="27"/>
      <c r="M108" s="8"/>
    </row>
    <row r="109" spans="1:13" s="10" customFormat="1">
      <c r="B109" s="27"/>
      <c r="C109" s="24"/>
      <c r="D109" s="27"/>
      <c r="E109" s="24"/>
      <c r="F109" s="27"/>
      <c r="G109" s="24"/>
      <c r="H109" s="27"/>
      <c r="I109" s="24"/>
      <c r="J109" s="27"/>
      <c r="K109" s="24"/>
      <c r="L109" s="27"/>
      <c r="M109" s="8"/>
    </row>
    <row r="110" spans="1:13" s="10" customFormat="1">
      <c r="B110" s="24"/>
      <c r="C110" s="24"/>
      <c r="D110" s="24"/>
      <c r="E110" s="24"/>
      <c r="F110" s="24"/>
      <c r="G110" s="24"/>
      <c r="H110" s="24"/>
      <c r="I110" s="24"/>
      <c r="J110" s="24"/>
      <c r="K110" s="24"/>
      <c r="L110" s="24"/>
      <c r="M110" s="8"/>
    </row>
    <row r="111" spans="1:13" s="10" customFormat="1">
      <c r="A111" s="12" t="s">
        <v>764</v>
      </c>
      <c r="B111" s="25">
        <f>B103+B83+B92+B107</f>
        <v>-16403.040000000015</v>
      </c>
      <c r="C111" s="27"/>
      <c r="D111" s="25">
        <f>D103+D83+D92+D107</f>
        <v>13581.650000000001</v>
      </c>
      <c r="E111" s="27"/>
      <c r="F111" s="25">
        <f>F103+F83+F92+F107</f>
        <v>0</v>
      </c>
      <c r="G111" s="27"/>
      <c r="H111" s="25">
        <f>H103+H83+H92+H107</f>
        <v>0</v>
      </c>
      <c r="I111" s="27"/>
      <c r="J111" s="25">
        <f>J103+J83+J92+J107</f>
        <v>13581.650000000001</v>
      </c>
      <c r="K111" s="27"/>
      <c r="L111" s="25">
        <f>L103+L83+L92+L107</f>
        <v>-2821.3900000000158</v>
      </c>
      <c r="M111" s="262"/>
    </row>
    <row r="112" spans="1:13" s="10" customFormat="1">
      <c r="B112" s="27"/>
      <c r="C112" s="24"/>
      <c r="D112" s="27"/>
      <c r="E112" s="24"/>
      <c r="F112" s="27"/>
      <c r="G112" s="24"/>
      <c r="H112" s="27"/>
      <c r="I112" s="24"/>
      <c r="J112" s="27"/>
      <c r="K112" s="24"/>
      <c r="L112" s="27"/>
      <c r="M112" s="8"/>
    </row>
    <row r="113" spans="1:13" s="10" customFormat="1">
      <c r="B113" s="24"/>
      <c r="C113" s="24"/>
      <c r="D113" s="24"/>
      <c r="E113" s="24"/>
      <c r="F113" s="24"/>
      <c r="G113" s="24"/>
      <c r="H113" s="24"/>
      <c r="I113" s="24"/>
      <c r="J113" s="24"/>
      <c r="K113" s="24"/>
      <c r="L113" s="24"/>
      <c r="M113" s="8"/>
    </row>
    <row r="114" spans="1:13" ht="13.5" thickBot="1">
      <c r="A114" s="3" t="s">
        <v>692</v>
      </c>
      <c r="B114" s="44">
        <f>B111+B68</f>
        <v>-167207519.00999999</v>
      </c>
      <c r="C114" s="33"/>
      <c r="D114" s="44">
        <f>D111+D68</f>
        <v>0</v>
      </c>
      <c r="E114" s="33"/>
      <c r="F114" s="44">
        <f>F111+F68</f>
        <v>52107.09</v>
      </c>
      <c r="G114" s="33"/>
      <c r="H114" s="44">
        <f>H111+H68</f>
        <v>0</v>
      </c>
      <c r="I114" s="33"/>
      <c r="J114" s="44">
        <f>J111+J68</f>
        <v>52107.09</v>
      </c>
      <c r="K114" s="33"/>
      <c r="L114" s="44">
        <f>L111+L68</f>
        <v>-167155411.91999996</v>
      </c>
      <c r="M114" s="1"/>
    </row>
    <row r="115" spans="1:13" ht="13.5" thickTop="1">
      <c r="B115" s="33"/>
      <c r="C115" s="33"/>
      <c r="D115" s="33"/>
      <c r="E115" s="33"/>
      <c r="F115" s="33"/>
      <c r="G115" s="33"/>
      <c r="H115" s="33"/>
      <c r="I115" s="33"/>
      <c r="J115" s="33"/>
      <c r="K115" s="33"/>
      <c r="L115" s="33"/>
      <c r="M115" s="1"/>
    </row>
    <row r="116" spans="1:13">
      <c r="B116" s="33"/>
      <c r="C116" s="33"/>
      <c r="D116" s="33"/>
      <c r="E116" s="33"/>
      <c r="F116" s="33"/>
      <c r="G116" s="33"/>
      <c r="H116" s="33"/>
      <c r="I116" s="33"/>
      <c r="J116" s="33"/>
      <c r="K116" s="33"/>
      <c r="L116" s="33"/>
      <c r="M116" s="1"/>
    </row>
    <row r="117" spans="1:13">
      <c r="B117" s="33"/>
      <c r="C117" s="33"/>
      <c r="D117" s="33"/>
      <c r="E117" s="33"/>
      <c r="F117" s="33"/>
      <c r="G117" s="33"/>
      <c r="H117" s="33"/>
      <c r="I117" s="33"/>
      <c r="J117" s="33"/>
      <c r="K117" s="33"/>
      <c r="L117" s="33"/>
      <c r="M117" s="1"/>
    </row>
    <row r="118" spans="1:13">
      <c r="B118" s="1"/>
      <c r="C118" s="1"/>
      <c r="D118" s="1"/>
      <c r="E118" s="1"/>
      <c r="F118" s="1"/>
      <c r="G118" s="1"/>
      <c r="H118" s="1"/>
      <c r="I118" s="1"/>
      <c r="J118" s="1"/>
      <c r="K118" s="1"/>
      <c r="L118" s="1"/>
      <c r="M118" s="1"/>
    </row>
    <row r="119" spans="1:13">
      <c r="B119" s="1"/>
      <c r="C119" s="1"/>
      <c r="D119" s="1"/>
      <c r="E119" s="1"/>
      <c r="F119" s="1"/>
      <c r="G119" s="1"/>
      <c r="H119" s="1"/>
      <c r="I119" s="1"/>
      <c r="J119" s="1"/>
      <c r="K119" s="1"/>
      <c r="L119" s="1"/>
      <c r="M119" s="1"/>
    </row>
    <row r="120" spans="1:13">
      <c r="B120" s="1"/>
      <c r="C120" s="1"/>
      <c r="D120" s="1"/>
      <c r="E120" s="1"/>
      <c r="F120" s="1"/>
      <c r="G120" s="1"/>
      <c r="H120" s="1"/>
      <c r="I120" s="1"/>
      <c r="J120" s="1"/>
      <c r="K120" s="1"/>
      <c r="L120" s="1"/>
      <c r="M120" s="1"/>
    </row>
    <row r="121" spans="1:13">
      <c r="B121" s="1"/>
      <c r="C121" s="1"/>
      <c r="D121" s="1"/>
      <c r="E121" s="1"/>
      <c r="F121" s="1"/>
      <c r="G121" s="1"/>
      <c r="H121" s="1"/>
      <c r="I121" s="1"/>
      <c r="J121" s="1"/>
      <c r="K121" s="1"/>
      <c r="L121" s="1"/>
      <c r="M121" s="1"/>
    </row>
    <row r="122" spans="1:13">
      <c r="B122" s="1"/>
      <c r="C122" s="1"/>
      <c r="D122" s="1"/>
      <c r="E122" s="1"/>
      <c r="F122" s="1"/>
      <c r="G122" s="1"/>
      <c r="H122" s="1"/>
      <c r="I122" s="1"/>
      <c r="J122" s="1"/>
      <c r="K122" s="1"/>
      <c r="L122" s="1"/>
      <c r="M122" s="1"/>
    </row>
    <row r="123" spans="1:13">
      <c r="B123" s="1"/>
      <c r="C123" s="1"/>
      <c r="D123" s="1"/>
      <c r="E123" s="1"/>
      <c r="F123" s="1"/>
      <c r="G123" s="1"/>
      <c r="H123" s="1"/>
      <c r="I123" s="1"/>
      <c r="J123" s="1"/>
      <c r="K123" s="1"/>
      <c r="L123" s="1"/>
      <c r="M123" s="1"/>
    </row>
    <row r="124" spans="1:13">
      <c r="B124" s="1"/>
      <c r="C124" s="1"/>
      <c r="D124" s="1"/>
      <c r="E124" s="1"/>
      <c r="F124" s="1"/>
      <c r="G124" s="1"/>
      <c r="H124" s="1"/>
      <c r="I124" s="1"/>
      <c r="J124" s="1"/>
      <c r="K124" s="1"/>
      <c r="L124" s="1"/>
      <c r="M124" s="1"/>
    </row>
    <row r="125" spans="1:13">
      <c r="B125" s="1"/>
      <c r="C125" s="1"/>
      <c r="D125" s="1"/>
      <c r="E125" s="1"/>
      <c r="F125" s="1"/>
      <c r="G125" s="1"/>
      <c r="H125" s="1"/>
      <c r="I125" s="1"/>
      <c r="J125" s="1"/>
      <c r="K125" s="1"/>
      <c r="L125" s="1"/>
      <c r="M125" s="1"/>
    </row>
    <row r="126" spans="1:13">
      <c r="B126" s="1"/>
      <c r="C126" s="1"/>
      <c r="D126" s="1"/>
      <c r="E126" s="1"/>
      <c r="F126" s="1"/>
      <c r="G126" s="1"/>
      <c r="H126" s="1"/>
      <c r="I126" s="1"/>
      <c r="J126" s="1"/>
      <c r="K126" s="1"/>
      <c r="L126" s="1"/>
      <c r="M126" s="1"/>
    </row>
    <row r="127" spans="1:13">
      <c r="B127" s="1"/>
      <c r="C127" s="1"/>
      <c r="D127" s="1"/>
      <c r="E127" s="1"/>
      <c r="F127" s="1"/>
      <c r="G127" s="1"/>
      <c r="H127" s="1"/>
      <c r="I127" s="1"/>
      <c r="J127" s="1"/>
      <c r="K127" s="1"/>
      <c r="L127" s="1"/>
      <c r="M127" s="1"/>
    </row>
    <row r="128" spans="1:13">
      <c r="B128" s="1"/>
      <c r="C128" s="1"/>
      <c r="D128" s="1"/>
      <c r="E128" s="1"/>
      <c r="F128" s="1"/>
      <c r="G128" s="1"/>
      <c r="H128" s="1"/>
      <c r="I128" s="1"/>
      <c r="J128" s="1"/>
      <c r="K128" s="1"/>
      <c r="L128" s="1"/>
      <c r="M128" s="1"/>
    </row>
    <row r="129" spans="2:13">
      <c r="B129" s="1"/>
      <c r="C129" s="1"/>
      <c r="D129" s="1"/>
      <c r="E129" s="1"/>
      <c r="F129" s="1"/>
      <c r="G129" s="1"/>
      <c r="H129" s="1"/>
      <c r="I129" s="1"/>
      <c r="J129" s="1"/>
      <c r="K129" s="1"/>
      <c r="L129" s="1"/>
      <c r="M129" s="1"/>
    </row>
    <row r="130" spans="2:13">
      <c r="B130" s="1"/>
      <c r="C130" s="1"/>
      <c r="D130" s="1"/>
      <c r="E130" s="1"/>
      <c r="F130" s="1"/>
      <c r="G130" s="1"/>
      <c r="H130" s="1"/>
      <c r="I130" s="1"/>
      <c r="J130" s="1"/>
      <c r="K130" s="1"/>
      <c r="L130" s="1"/>
      <c r="M130" s="1"/>
    </row>
    <row r="131" spans="2:13">
      <c r="B131" s="1"/>
      <c r="C131" s="1"/>
      <c r="D131" s="1"/>
      <c r="E131" s="1"/>
      <c r="F131" s="1"/>
      <c r="G131" s="1"/>
      <c r="H131" s="1"/>
      <c r="I131" s="1"/>
      <c r="J131" s="1"/>
      <c r="K131" s="1"/>
      <c r="L131" s="1"/>
      <c r="M131" s="1"/>
    </row>
    <row r="132" spans="2:13">
      <c r="B132" s="1"/>
      <c r="C132" s="1"/>
      <c r="D132" s="1"/>
      <c r="E132" s="1"/>
      <c r="F132" s="1"/>
      <c r="G132" s="1"/>
      <c r="H132" s="1"/>
      <c r="I132" s="1"/>
      <c r="J132" s="1"/>
      <c r="K132" s="1"/>
      <c r="L132" s="1"/>
      <c r="M132" s="1"/>
    </row>
    <row r="133" spans="2:13">
      <c r="B133" s="1"/>
      <c r="C133" s="1"/>
      <c r="D133" s="1"/>
      <c r="E133" s="1"/>
      <c r="F133" s="1"/>
      <c r="G133" s="1"/>
      <c r="H133" s="1"/>
      <c r="I133" s="1"/>
      <c r="J133" s="1"/>
      <c r="K133" s="1"/>
      <c r="L133" s="1"/>
      <c r="M133" s="1"/>
    </row>
    <row r="134" spans="2:13">
      <c r="B134" s="1"/>
      <c r="C134" s="1"/>
      <c r="D134" s="1"/>
      <c r="E134" s="1"/>
      <c r="F134" s="1"/>
      <c r="G134" s="1"/>
      <c r="H134" s="1"/>
      <c r="I134" s="1"/>
      <c r="J134" s="1"/>
      <c r="K134" s="1"/>
      <c r="L134" s="1"/>
      <c r="M134" s="1"/>
    </row>
    <row r="135" spans="2:13">
      <c r="B135" s="1"/>
      <c r="C135" s="1"/>
      <c r="D135" s="1"/>
      <c r="E135" s="1"/>
      <c r="F135" s="1"/>
      <c r="G135" s="1"/>
      <c r="H135" s="1"/>
      <c r="I135" s="1"/>
      <c r="J135" s="1"/>
      <c r="K135" s="1"/>
      <c r="L135" s="1"/>
      <c r="M135" s="1"/>
    </row>
    <row r="136" spans="2:13">
      <c r="B136" s="1"/>
      <c r="C136" s="1"/>
      <c r="D136" s="1"/>
      <c r="E136" s="1"/>
      <c r="F136" s="1"/>
      <c r="G136" s="1"/>
      <c r="H136" s="1"/>
      <c r="I136" s="1"/>
      <c r="J136" s="1"/>
      <c r="K136" s="1"/>
      <c r="L136" s="1"/>
      <c r="M136" s="1"/>
    </row>
    <row r="137" spans="2:13">
      <c r="B137" s="1"/>
      <c r="C137" s="1"/>
      <c r="D137" s="1"/>
      <c r="E137" s="1"/>
      <c r="F137" s="1"/>
      <c r="G137" s="1"/>
      <c r="H137" s="1"/>
      <c r="I137" s="1"/>
      <c r="J137" s="1"/>
      <c r="K137" s="1"/>
      <c r="L137" s="1"/>
      <c r="M137" s="1"/>
    </row>
    <row r="138" spans="2:13">
      <c r="B138" s="1"/>
      <c r="C138" s="1"/>
      <c r="D138" s="1"/>
      <c r="E138" s="1"/>
      <c r="F138" s="1"/>
      <c r="G138" s="1"/>
      <c r="H138" s="1"/>
      <c r="I138" s="1"/>
      <c r="J138" s="1"/>
      <c r="K138" s="1"/>
      <c r="L138" s="1"/>
      <c r="M138" s="1"/>
    </row>
    <row r="139" spans="2:13">
      <c r="B139" s="1"/>
      <c r="C139" s="1"/>
      <c r="D139" s="1"/>
      <c r="E139" s="1"/>
      <c r="F139" s="1"/>
      <c r="G139" s="1"/>
      <c r="H139" s="1"/>
      <c r="I139" s="1"/>
      <c r="J139" s="1"/>
      <c r="K139" s="1"/>
      <c r="L139" s="1"/>
      <c r="M139" s="1"/>
    </row>
    <row r="140" spans="2:13">
      <c r="B140" s="1"/>
      <c r="C140" s="1"/>
      <c r="D140" s="1"/>
      <c r="E140" s="1"/>
      <c r="F140" s="1"/>
      <c r="G140" s="1"/>
      <c r="H140" s="1"/>
      <c r="I140" s="1"/>
      <c r="J140" s="1"/>
      <c r="K140" s="1"/>
      <c r="L140" s="1"/>
      <c r="M140" s="1"/>
    </row>
    <row r="141" spans="2:13">
      <c r="B141" s="1"/>
      <c r="C141" s="1"/>
      <c r="D141" s="1"/>
      <c r="E141" s="1"/>
      <c r="F141" s="1"/>
      <c r="G141" s="1"/>
      <c r="H141" s="1"/>
      <c r="I141" s="1"/>
      <c r="J141" s="1"/>
      <c r="K141" s="1"/>
      <c r="L141" s="1"/>
      <c r="M141" s="1"/>
    </row>
    <row r="142" spans="2:13">
      <c r="B142" s="1"/>
      <c r="C142" s="1"/>
      <c r="D142" s="1"/>
      <c r="E142" s="1"/>
      <c r="F142" s="1"/>
      <c r="G142" s="1"/>
      <c r="H142" s="1"/>
      <c r="I142" s="1"/>
      <c r="J142" s="1"/>
      <c r="K142" s="1"/>
      <c r="L142" s="1"/>
      <c r="M142" s="1"/>
    </row>
    <row r="143" spans="2:13">
      <c r="B143" s="1"/>
      <c r="C143" s="1"/>
      <c r="D143" s="1"/>
      <c r="E143" s="1"/>
      <c r="F143" s="1"/>
      <c r="G143" s="1"/>
      <c r="H143" s="1"/>
      <c r="I143" s="1"/>
      <c r="J143" s="1"/>
      <c r="K143" s="1"/>
      <c r="L143" s="1"/>
      <c r="M143" s="1"/>
    </row>
    <row r="144" spans="2:13">
      <c r="B144" s="1"/>
      <c r="C144" s="1"/>
      <c r="D144" s="1"/>
      <c r="E144" s="1"/>
      <c r="F144" s="1"/>
      <c r="G144" s="1"/>
      <c r="H144" s="1"/>
      <c r="I144" s="1"/>
      <c r="J144" s="1"/>
      <c r="K144" s="1"/>
      <c r="L144" s="1"/>
      <c r="M144" s="1"/>
    </row>
    <row r="145" spans="2:13">
      <c r="B145" s="1"/>
      <c r="C145" s="1"/>
      <c r="D145" s="1"/>
      <c r="E145" s="1"/>
      <c r="F145" s="1"/>
      <c r="G145" s="1"/>
      <c r="H145" s="1"/>
      <c r="I145" s="1"/>
      <c r="J145" s="1"/>
      <c r="K145" s="1"/>
      <c r="L145" s="1"/>
      <c r="M145" s="1"/>
    </row>
    <row r="146" spans="2:13">
      <c r="B146" s="1"/>
      <c r="C146" s="1"/>
      <c r="D146" s="1"/>
      <c r="E146" s="1"/>
      <c r="F146" s="1"/>
      <c r="G146" s="1"/>
      <c r="H146" s="1"/>
      <c r="I146" s="1"/>
      <c r="J146" s="1"/>
      <c r="K146" s="1"/>
      <c r="L146" s="1"/>
      <c r="M146" s="1"/>
    </row>
    <row r="147" spans="2:13">
      <c r="B147" s="1"/>
      <c r="C147" s="1"/>
      <c r="D147" s="1"/>
      <c r="E147" s="1"/>
      <c r="F147" s="1"/>
      <c r="G147" s="1"/>
      <c r="H147" s="1"/>
      <c r="I147" s="1"/>
      <c r="J147" s="1"/>
      <c r="K147" s="1"/>
      <c r="L147" s="1"/>
      <c r="M147" s="1"/>
    </row>
    <row r="148" spans="2:13">
      <c r="B148" s="1"/>
      <c r="C148" s="1"/>
      <c r="D148" s="1"/>
      <c r="E148" s="1"/>
      <c r="F148" s="1"/>
      <c r="G148" s="1"/>
      <c r="H148" s="1"/>
      <c r="I148" s="1"/>
      <c r="J148" s="1"/>
      <c r="K148" s="1"/>
      <c r="L148" s="1"/>
      <c r="M148" s="1"/>
    </row>
    <row r="149" spans="2:13">
      <c r="B149" s="1"/>
      <c r="C149" s="1"/>
      <c r="D149" s="1"/>
      <c r="E149" s="1"/>
      <c r="F149" s="1"/>
      <c r="G149" s="1"/>
      <c r="H149" s="1"/>
      <c r="I149" s="1"/>
      <c r="J149" s="1"/>
      <c r="K149" s="1"/>
      <c r="L149" s="1"/>
      <c r="M149" s="1"/>
    </row>
    <row r="150" spans="2:13">
      <c r="B150" s="1"/>
      <c r="C150" s="1"/>
      <c r="D150" s="1"/>
      <c r="E150" s="1"/>
      <c r="F150" s="1"/>
      <c r="G150" s="1"/>
      <c r="H150" s="1"/>
      <c r="I150" s="1"/>
      <c r="J150" s="1"/>
      <c r="K150" s="1"/>
      <c r="L150" s="1"/>
      <c r="M150" s="1"/>
    </row>
    <row r="151" spans="2:13">
      <c r="B151" s="1"/>
      <c r="C151" s="1"/>
      <c r="D151" s="1"/>
      <c r="E151" s="1"/>
      <c r="F151" s="1"/>
      <c r="G151" s="1"/>
      <c r="H151" s="1"/>
      <c r="I151" s="1"/>
      <c r="J151" s="1"/>
      <c r="K151" s="1"/>
      <c r="L151" s="1"/>
      <c r="M151" s="1"/>
    </row>
    <row r="152" spans="2:13">
      <c r="B152" s="1"/>
      <c r="C152" s="1"/>
      <c r="D152" s="1"/>
      <c r="E152" s="1"/>
      <c r="F152" s="1"/>
      <c r="G152" s="1"/>
      <c r="H152" s="1"/>
      <c r="I152" s="1"/>
      <c r="J152" s="1"/>
      <c r="K152" s="1"/>
      <c r="L152" s="1"/>
      <c r="M152" s="1"/>
    </row>
  </sheetData>
  <mergeCells count="3">
    <mergeCell ref="A1:L1"/>
    <mergeCell ref="A2:L2"/>
    <mergeCell ref="A3:L3"/>
  </mergeCells>
  <pageMargins left="0.75" right="0.75" top="1" bottom="1" header="0.5" footer="0.5"/>
  <pageSetup scale="76" fitToHeight="0" orientation="landscape" r:id="rId1"/>
  <headerFooter alignWithMargins="0">
    <oddFooter>&amp;L&amp;Z
&amp;F&amp;C&amp;A&amp;R20.&amp;P</oddFooter>
  </headerFooter>
  <rowBreaks count="1" manualBreakCount="1">
    <brk id="39" max="16383" man="1"/>
  </rowBreaks>
</worksheet>
</file>

<file path=xl/worksheets/sheet14.xml><?xml version="1.0" encoding="utf-8"?>
<worksheet xmlns="http://schemas.openxmlformats.org/spreadsheetml/2006/main" xmlns:r="http://schemas.openxmlformats.org/officeDocument/2006/relationships">
  <sheetPr codeName="Sheet14"/>
  <dimension ref="A1"/>
  <sheetViews>
    <sheetView workbookViewId="0"/>
  </sheetViews>
  <sheetFormatPr defaultColWidth="25.7109375" defaultRowHeight="13.5"/>
  <cols>
    <col min="1" max="16384" width="25.7109375" style="14"/>
  </cols>
  <sheetData/>
  <customSheetViews>
    <customSheetView guid="{6B74E52F-9552-408A-8775-25AFF24E6639}" state="hidden" showRuler="0">
      <pageMargins left="0.75" right="0.75" top="1" bottom="1" header="0.5" footer="0.5"/>
      <headerFooter alignWithMargins="0"/>
    </customSheetView>
  </customSheetViews>
  <phoneticPr fontId="4" type="noConversion"/>
  <pageMargins left="0.75" right="0.75" top="1" bottom="1" header="0.5" footer="0.5"/>
  <headerFooter alignWithMargins="0"/>
</worksheet>
</file>

<file path=xl/worksheets/sheet140.xml><?xml version="1.0" encoding="utf-8"?>
<worksheet xmlns="http://schemas.openxmlformats.org/spreadsheetml/2006/main" xmlns:r="http://schemas.openxmlformats.org/officeDocument/2006/relationships">
  <sheetPr codeName="Sheet143">
    <pageSetUpPr fitToPage="1"/>
  </sheetPr>
  <dimension ref="A1:Q24"/>
  <sheetViews>
    <sheetView zoomScaleNormal="100" workbookViewId="0">
      <selection sqref="A1:Q1"/>
    </sheetView>
  </sheetViews>
  <sheetFormatPr defaultRowHeight="12.75"/>
  <cols>
    <col min="1" max="1" width="40.5703125" bestFit="1" customWidth="1"/>
    <col min="2" max="2" width="17.7109375" customWidth="1"/>
    <col min="3" max="3" width="1.7109375" customWidth="1"/>
    <col min="4" max="4" width="17.7109375" customWidth="1"/>
    <col min="5" max="5" width="1.7109375" customWidth="1"/>
    <col min="6" max="6" width="17.7109375" customWidth="1"/>
    <col min="7" max="7" width="1.7109375" customWidth="1"/>
    <col min="8" max="8" width="17.7109375" customWidth="1"/>
    <col min="9" max="9" width="1.7109375" customWidth="1"/>
    <col min="10" max="10" width="17.7109375" customWidth="1"/>
    <col min="11" max="11" width="1.7109375" customWidth="1"/>
    <col min="12" max="12" width="17.7109375" customWidth="1"/>
    <col min="13" max="13" width="2.28515625" customWidth="1"/>
    <col min="14" max="14" width="13.5703125" bestFit="1" customWidth="1"/>
    <col min="15" max="15" width="1.85546875" customWidth="1"/>
    <col min="16" max="16" width="23.140625" bestFit="1" customWidth="1"/>
  </cols>
  <sheetData>
    <row r="1" spans="1:17" s="38" customFormat="1" ht="15.75">
      <c r="A1" s="366" t="s">
        <v>134</v>
      </c>
      <c r="B1" s="366"/>
      <c r="C1" s="366"/>
      <c r="D1" s="366"/>
      <c r="E1" s="366"/>
      <c r="F1" s="366"/>
      <c r="G1" s="366"/>
      <c r="H1" s="366"/>
      <c r="I1" s="366"/>
      <c r="J1" s="366"/>
      <c r="K1" s="366"/>
      <c r="L1" s="366"/>
      <c r="M1" s="366"/>
      <c r="N1" s="366"/>
      <c r="O1" s="366"/>
      <c r="P1" s="366"/>
      <c r="Q1" s="366"/>
    </row>
    <row r="2" spans="1:17" s="38" customFormat="1" ht="15.75">
      <c r="A2" s="366" t="s">
        <v>1168</v>
      </c>
      <c r="B2" s="366"/>
      <c r="C2" s="366"/>
      <c r="D2" s="366"/>
      <c r="E2" s="366"/>
      <c r="F2" s="366"/>
      <c r="G2" s="366"/>
      <c r="H2" s="366"/>
      <c r="I2" s="366"/>
      <c r="J2" s="366"/>
      <c r="K2" s="366"/>
      <c r="L2" s="366"/>
      <c r="M2" s="366"/>
      <c r="N2" s="366"/>
      <c r="O2" s="366"/>
      <c r="P2" s="366"/>
      <c r="Q2" s="366"/>
    </row>
    <row r="3" spans="1:17">
      <c r="A3" s="357" t="str">
        <f>'Summary - Cost - PG 1 (PA)'!A3:N3</f>
        <v>MARCH 2012</v>
      </c>
      <c r="B3" s="357"/>
      <c r="C3" s="357"/>
      <c r="D3" s="357"/>
      <c r="E3" s="357"/>
      <c r="F3" s="357"/>
      <c r="G3" s="357"/>
      <c r="H3" s="357"/>
      <c r="I3" s="357"/>
      <c r="J3" s="357"/>
      <c r="K3" s="357"/>
      <c r="L3" s="357"/>
      <c r="M3" s="357"/>
      <c r="N3" s="357"/>
      <c r="O3" s="357"/>
      <c r="P3" s="357"/>
      <c r="Q3" s="357"/>
    </row>
    <row r="4" spans="1:17">
      <c r="A4" s="190"/>
      <c r="B4" s="190"/>
      <c r="C4" s="190"/>
      <c r="D4" s="190"/>
      <c r="E4" s="190"/>
      <c r="F4" s="190"/>
      <c r="G4" s="190"/>
      <c r="H4" s="190"/>
      <c r="I4" s="190"/>
      <c r="J4" s="190"/>
      <c r="K4" s="190"/>
      <c r="L4" s="190"/>
    </row>
    <row r="6" spans="1:17">
      <c r="B6" s="41" t="s">
        <v>25</v>
      </c>
      <c r="D6" s="182"/>
      <c r="F6" s="182"/>
      <c r="H6" s="41" t="s">
        <v>612</v>
      </c>
      <c r="J6" s="182"/>
      <c r="L6" s="41" t="s">
        <v>26</v>
      </c>
      <c r="P6" s="3" t="s">
        <v>422</v>
      </c>
    </row>
    <row r="7" spans="1:17" s="10" customFormat="1">
      <c r="B7" s="42" t="s">
        <v>27</v>
      </c>
      <c r="C7"/>
      <c r="D7" s="42" t="s">
        <v>107</v>
      </c>
      <c r="E7"/>
      <c r="F7" s="42" t="s">
        <v>108</v>
      </c>
      <c r="G7"/>
      <c r="H7" s="42" t="s">
        <v>613</v>
      </c>
      <c r="I7"/>
      <c r="J7" s="42" t="s">
        <v>109</v>
      </c>
      <c r="K7"/>
      <c r="L7" s="42" t="s">
        <v>27</v>
      </c>
      <c r="N7" s="42" t="s">
        <v>46</v>
      </c>
      <c r="P7" s="42" t="s">
        <v>419</v>
      </c>
    </row>
    <row r="8" spans="1:17" s="10" customFormat="1">
      <c r="A8" s="12" t="s">
        <v>1244</v>
      </c>
      <c r="B8" s="54"/>
      <c r="C8"/>
      <c r="D8" s="54"/>
      <c r="E8"/>
      <c r="F8" s="54"/>
      <c r="G8"/>
      <c r="H8" s="54"/>
      <c r="I8"/>
      <c r="J8" s="54"/>
      <c r="K8"/>
      <c r="L8" s="54"/>
    </row>
    <row r="9" spans="1:17">
      <c r="A9" s="12" t="s">
        <v>420</v>
      </c>
    </row>
    <row r="10" spans="1:17">
      <c r="A10" s="3" t="s">
        <v>124</v>
      </c>
    </row>
    <row r="11" spans="1:17">
      <c r="A11" t="s">
        <v>13</v>
      </c>
      <c r="B11" s="182">
        <f>'IN_Cost-Plant Acct-Gas-P22 (PA)'!B11</f>
        <v>0</v>
      </c>
      <c r="C11" s="182"/>
      <c r="D11" s="182">
        <f>'IN_Cost-Plant Acct-Gas-P22 (PA)'!D11</f>
        <v>0</v>
      </c>
      <c r="E11" s="182"/>
      <c r="F11" s="182">
        <f>'IN_Cost-Plant Acct-Gas-P22 (PA)'!F11</f>
        <v>0</v>
      </c>
      <c r="G11" s="182"/>
      <c r="H11" s="182">
        <f>'IN_Cost-Plant Acct-Gas-P22 (PA)'!H11</f>
        <v>0</v>
      </c>
      <c r="I11" s="182">
        <v>0</v>
      </c>
      <c r="J11" s="182">
        <f t="shared" ref="J11:J18" si="0">D11+F11+H11</f>
        <v>0</v>
      </c>
      <c r="K11" s="182"/>
      <c r="L11" s="182">
        <f t="shared" ref="L11:L18" si="1">B11+J11</f>
        <v>0</v>
      </c>
      <c r="N11" s="182">
        <v>0</v>
      </c>
      <c r="O11" s="4"/>
      <c r="P11" s="89">
        <f t="shared" ref="P11:P18" si="2">L11+N11</f>
        <v>0</v>
      </c>
    </row>
    <row r="12" spans="1:17">
      <c r="A12" t="s">
        <v>14</v>
      </c>
      <c r="B12" s="182">
        <f>'IN_Cost-Plant Acct-Gas-P22 (PA)'!B12</f>
        <v>-59408.76</v>
      </c>
      <c r="C12" s="182"/>
      <c r="D12" s="182">
        <f>'IN_Cost-Plant Acct-Gas-P22 (PA)'!D12</f>
        <v>0</v>
      </c>
      <c r="E12" s="182"/>
      <c r="F12" s="182">
        <f>'IN_Cost-Plant Acct-Gas-P22 (PA)'!F12</f>
        <v>0</v>
      </c>
      <c r="G12" s="182"/>
      <c r="H12" s="182">
        <f>'IN_Cost-Plant Acct-Gas-P22 (PA)'!H12</f>
        <v>0</v>
      </c>
      <c r="I12" s="182">
        <v>0</v>
      </c>
      <c r="J12" s="182">
        <f t="shared" si="0"/>
        <v>0</v>
      </c>
      <c r="K12" s="182"/>
      <c r="L12" s="182">
        <f t="shared" si="1"/>
        <v>-59408.76</v>
      </c>
      <c r="N12" s="89">
        <f>'IN_Res by Plant Acct-P30 (PA)'!R29</f>
        <v>59408.76</v>
      </c>
      <c r="O12" s="4"/>
      <c r="P12" s="89">
        <f t="shared" si="2"/>
        <v>0</v>
      </c>
    </row>
    <row r="13" spans="1:17">
      <c r="A13" t="s">
        <v>15</v>
      </c>
      <c r="B13" s="182">
        <f>'IN_Cost-Plant Acct-Gas-P22 (PA)'!B13</f>
        <v>-248453.4</v>
      </c>
      <c r="C13" s="182"/>
      <c r="D13" s="182">
        <f>'IN_Cost-Plant Acct-Gas-P22 (PA)'!D13</f>
        <v>0</v>
      </c>
      <c r="E13" s="182"/>
      <c r="F13" s="182">
        <f>'IN_Cost-Plant Acct-Gas-P22 (PA)'!F13</f>
        <v>0</v>
      </c>
      <c r="G13" s="182"/>
      <c r="H13" s="182">
        <f>'IN_Cost-Plant Acct-Gas-P22 (PA)'!H13</f>
        <v>0</v>
      </c>
      <c r="I13" s="182">
        <v>0</v>
      </c>
      <c r="J13" s="182">
        <f t="shared" si="0"/>
        <v>0</v>
      </c>
      <c r="K13" s="182"/>
      <c r="L13" s="182">
        <f t="shared" si="1"/>
        <v>-248453.4</v>
      </c>
      <c r="N13" s="89">
        <f>'IN_Res by Plant Acct-P30 (PA)'!R30</f>
        <v>248453.4</v>
      </c>
      <c r="O13" s="4"/>
      <c r="P13" s="89">
        <f t="shared" si="2"/>
        <v>0</v>
      </c>
    </row>
    <row r="14" spans="1:17">
      <c r="A14" t="s">
        <v>1105</v>
      </c>
      <c r="B14" s="182">
        <f>'IN_Cost-Plant Acct-Gas-P22 (PA)'!B14</f>
        <v>-554117.05000000005</v>
      </c>
      <c r="C14" s="182"/>
      <c r="D14" s="182">
        <f>'IN_Cost-Plant Acct-Gas-P22 (PA)'!D14</f>
        <v>0</v>
      </c>
      <c r="E14" s="182"/>
      <c r="F14" s="182">
        <f>'IN_Cost-Plant Acct-Gas-P22 (PA)'!F14</f>
        <v>0</v>
      </c>
      <c r="G14" s="182"/>
      <c r="H14" s="182">
        <f>'IN_Cost-Plant Acct-Gas-P22 (PA)'!H14</f>
        <v>0</v>
      </c>
      <c r="I14" s="182">
        <v>0</v>
      </c>
      <c r="J14" s="182">
        <f t="shared" si="0"/>
        <v>0</v>
      </c>
      <c r="K14" s="182"/>
      <c r="L14" s="182">
        <f t="shared" si="1"/>
        <v>-554117.05000000005</v>
      </c>
      <c r="N14" s="89">
        <f>'IN_Res by Plant Acct-P30 (PA)'!R31</f>
        <v>554117.05000000005</v>
      </c>
      <c r="O14" s="4"/>
      <c r="P14" s="89">
        <f t="shared" si="2"/>
        <v>0</v>
      </c>
    </row>
    <row r="15" spans="1:17">
      <c r="A15" t="s">
        <v>1092</v>
      </c>
      <c r="B15" s="182">
        <f>'IN_Cost-Plant Acct-Gas-P22 (PA)'!B15+'IN_Cost-Plant Acct-Gas-P22 (PA)'!B27</f>
        <v>-257046.06</v>
      </c>
      <c r="C15" s="182"/>
      <c r="D15" s="182">
        <f>'IN_Cost-Plant Acct-Gas-P22 (PA)'!D15+'IN_Cost-Plant Acct-Gas-P22 (PA)'!D27</f>
        <v>0</v>
      </c>
      <c r="E15" s="182"/>
      <c r="F15" s="182">
        <f>'IN_Cost-Plant Acct-Gas-P22 (PA)'!F15+'IN_Cost-Plant Acct-Gas-P22 (PA)'!F27</f>
        <v>0</v>
      </c>
      <c r="G15" s="182"/>
      <c r="H15" s="182">
        <f>'IN_Cost-Plant Acct-Gas-P22 (PA)'!H15+'IN_Cost-Plant Acct-Gas-P22 (PA)'!H27</f>
        <v>0</v>
      </c>
      <c r="I15" s="182"/>
      <c r="J15" s="182">
        <f t="shared" si="0"/>
        <v>0</v>
      </c>
      <c r="K15" s="182"/>
      <c r="L15" s="182">
        <f t="shared" si="1"/>
        <v>-257046.06</v>
      </c>
      <c r="N15" s="89">
        <f>'IN_Res by Plant Acct-P30 (PA)'!R32</f>
        <v>251826.76</v>
      </c>
      <c r="O15" s="4"/>
      <c r="P15" s="89">
        <f t="shared" si="2"/>
        <v>-5219.2999999999884</v>
      </c>
    </row>
    <row r="16" spans="1:17">
      <c r="A16" t="s">
        <v>16</v>
      </c>
      <c r="B16" s="182">
        <f>'IN_Cost-Plant Acct-Gas-P22 (PA)'!B16</f>
        <v>-438358.26999999996</v>
      </c>
      <c r="C16" s="182"/>
      <c r="D16" s="182">
        <f>'IN_Cost-Plant Acct-Gas-P22 (PA)'!D16</f>
        <v>0</v>
      </c>
      <c r="E16" s="182"/>
      <c r="F16" s="182">
        <f>'IN_Cost-Plant Acct-Gas-P22 (PA)'!F16</f>
        <v>2143.48</v>
      </c>
      <c r="G16" s="182"/>
      <c r="H16" s="182">
        <f>'IN_Cost-Plant Acct-Gas-P22 (PA)'!H16</f>
        <v>0</v>
      </c>
      <c r="I16" s="182">
        <v>0</v>
      </c>
      <c r="J16" s="182">
        <f t="shared" si="0"/>
        <v>2143.48</v>
      </c>
      <c r="K16" s="182"/>
      <c r="L16" s="182">
        <f t="shared" si="1"/>
        <v>-436214.79</v>
      </c>
      <c r="N16" s="89">
        <f>'IN_Res by Plant Acct-P30 (PA)'!R33</f>
        <v>436214.79</v>
      </c>
      <c r="O16" s="4"/>
      <c r="P16" s="89">
        <f t="shared" si="2"/>
        <v>0</v>
      </c>
    </row>
    <row r="17" spans="1:16">
      <c r="A17" t="s">
        <v>21</v>
      </c>
      <c r="B17" s="182">
        <f>'IN_Cost-Plant Acct-Gas-P22 (PA)'!B17</f>
        <v>0</v>
      </c>
      <c r="C17" s="182"/>
      <c r="D17" s="182">
        <f>'IN_Cost-Plant Acct-Gas-P22 (PA)'!D17</f>
        <v>0</v>
      </c>
      <c r="E17" s="182"/>
      <c r="F17" s="182">
        <f>'IN_Cost-Plant Acct-Gas-P22 (PA)'!F17</f>
        <v>0</v>
      </c>
      <c r="G17" s="182"/>
      <c r="H17" s="182">
        <f>'IN_Cost-Plant Acct-Gas-P22 (PA)'!H17</f>
        <v>0</v>
      </c>
      <c r="I17" s="182"/>
      <c r="J17" s="182">
        <f t="shared" si="0"/>
        <v>0</v>
      </c>
      <c r="K17" s="182"/>
      <c r="L17" s="182">
        <f t="shared" si="1"/>
        <v>0</v>
      </c>
      <c r="N17" s="89">
        <f>'IN_Res by Plant Acct-P30 (PA)'!R34</f>
        <v>0</v>
      </c>
      <c r="O17" s="4"/>
      <c r="P17" s="89">
        <f t="shared" si="2"/>
        <v>0</v>
      </c>
    </row>
    <row r="18" spans="1:16">
      <c r="A18" t="s">
        <v>17</v>
      </c>
      <c r="B18" s="48">
        <f>'IN_Cost-Plant Acct-Gas-P22 (PA)'!B18</f>
        <v>-40962.85</v>
      </c>
      <c r="C18" s="52"/>
      <c r="D18" s="48">
        <f>'IN_Cost-Plant Acct-Gas-P22 (PA)'!D18</f>
        <v>0</v>
      </c>
      <c r="E18" s="52"/>
      <c r="F18" s="48">
        <f>'IN_Cost-Plant Acct-Gas-P22 (PA)'!F18</f>
        <v>0</v>
      </c>
      <c r="G18" s="52"/>
      <c r="H18" s="48">
        <f>'IN_Cost-Plant Acct-Gas-P22 (PA)'!H18</f>
        <v>0</v>
      </c>
      <c r="I18" s="52">
        <v>0</v>
      </c>
      <c r="J18" s="48">
        <f t="shared" si="0"/>
        <v>0</v>
      </c>
      <c r="K18" s="52"/>
      <c r="L18" s="48">
        <f t="shared" si="1"/>
        <v>-40962.85</v>
      </c>
      <c r="M18" s="7"/>
      <c r="N18" s="90">
        <f>'IN_Res by Plant Acct-P30 (PA)'!R35</f>
        <v>40962.85</v>
      </c>
      <c r="O18" s="4"/>
      <c r="P18" s="90">
        <f t="shared" si="2"/>
        <v>0</v>
      </c>
    </row>
    <row r="19" spans="1:16">
      <c r="B19" s="52">
        <f>SUM(B11:B18)</f>
        <v>-1598346.3900000001</v>
      </c>
      <c r="C19" s="52"/>
      <c r="D19" s="52">
        <f>SUM(D11:D18)</f>
        <v>0</v>
      </c>
      <c r="E19" s="52"/>
      <c r="F19" s="52">
        <f>SUM(F11:F18)</f>
        <v>2143.48</v>
      </c>
      <c r="G19" s="52"/>
      <c r="H19" s="52">
        <f>SUM(H11:H18)</f>
        <v>0</v>
      </c>
      <c r="I19" s="52"/>
      <c r="J19" s="52">
        <f>SUM(J11:J18)</f>
        <v>2143.48</v>
      </c>
      <c r="K19" s="52"/>
      <c r="L19" s="52">
        <f>SUM(L11:L18)</f>
        <v>-1596202.9100000001</v>
      </c>
      <c r="M19" s="7"/>
      <c r="N19" s="52">
        <f>SUM(N11:N18)</f>
        <v>1590983.61</v>
      </c>
      <c r="O19" s="4"/>
      <c r="P19" s="52">
        <f>SUM(P11:P18)</f>
        <v>-5219.2999999999884</v>
      </c>
    </row>
    <row r="20" spans="1:16">
      <c r="B20" s="52"/>
      <c r="C20" s="52"/>
      <c r="D20" s="52"/>
      <c r="E20" s="52"/>
      <c r="F20" s="52"/>
      <c r="G20" s="52"/>
      <c r="H20" s="52"/>
      <c r="I20" s="52"/>
      <c r="J20" s="52"/>
      <c r="K20" s="52"/>
      <c r="L20" s="52"/>
      <c r="M20" s="7"/>
      <c r="O20" s="4"/>
    </row>
    <row r="21" spans="1:16">
      <c r="B21" s="182"/>
      <c r="C21" s="182"/>
      <c r="D21" s="182"/>
      <c r="E21" s="182"/>
      <c r="F21" s="182"/>
      <c r="G21" s="182"/>
      <c r="H21" s="182"/>
      <c r="I21" s="182"/>
      <c r="J21" s="182"/>
      <c r="K21" s="182"/>
      <c r="L21" s="182"/>
      <c r="O21" s="4"/>
    </row>
    <row r="22" spans="1:16" ht="13.5" thickBot="1">
      <c r="A22" s="3" t="s">
        <v>370</v>
      </c>
      <c r="B22" s="46">
        <f>B19</f>
        <v>-1598346.3900000001</v>
      </c>
      <c r="C22" s="182"/>
      <c r="D22" s="46">
        <f>D19</f>
        <v>0</v>
      </c>
      <c r="E22" s="182"/>
      <c r="F22" s="46">
        <f>F19</f>
        <v>2143.48</v>
      </c>
      <c r="G22" s="182"/>
      <c r="H22" s="46">
        <f>H19</f>
        <v>0</v>
      </c>
      <c r="I22" s="182"/>
      <c r="J22" s="46">
        <f>J19</f>
        <v>2143.48</v>
      </c>
      <c r="K22" s="182"/>
      <c r="L22" s="46">
        <f>L19</f>
        <v>-1596202.9100000001</v>
      </c>
      <c r="M22" s="4"/>
      <c r="N22" s="46">
        <f>N19</f>
        <v>1590983.61</v>
      </c>
      <c r="O22" s="4"/>
      <c r="P22" s="46">
        <f>P19</f>
        <v>-5219.2999999999884</v>
      </c>
    </row>
    <row r="23" spans="1:16" ht="13.5" thickTop="1">
      <c r="B23" s="182"/>
      <c r="C23" s="182"/>
      <c r="D23" s="182"/>
      <c r="E23" s="182"/>
      <c r="F23" s="182"/>
      <c r="G23" s="182"/>
      <c r="H23" s="182"/>
      <c r="I23" s="182"/>
      <c r="J23" s="182"/>
      <c r="K23" s="182"/>
      <c r="L23" s="182"/>
      <c r="M23" s="4"/>
      <c r="N23" s="4"/>
      <c r="O23" s="4"/>
    </row>
    <row r="24" spans="1:16">
      <c r="B24" s="4"/>
      <c r="C24" s="4"/>
      <c r="D24" s="4"/>
      <c r="E24" s="4"/>
      <c r="F24" s="4"/>
      <c r="G24" s="4"/>
      <c r="H24" s="4"/>
      <c r="I24" s="4"/>
      <c r="J24" s="4"/>
      <c r="K24" s="4"/>
      <c r="L24" s="4"/>
      <c r="M24" s="4"/>
      <c r="N24" s="4"/>
      <c r="O24" s="4"/>
    </row>
  </sheetData>
  <mergeCells count="3">
    <mergeCell ref="A1:Q1"/>
    <mergeCell ref="A2:Q2"/>
    <mergeCell ref="A3:Q3"/>
  </mergeCells>
  <pageMargins left="0.75" right="0.75" top="1" bottom="1" header="0.5" footer="0.5"/>
  <pageSetup scale="60" orientation="landscape" r:id="rId1"/>
  <headerFooter alignWithMargins="0">
    <oddFooter>&amp;L&amp;Z
&amp;F&amp;C&amp;A&amp;R21.&amp;P</oddFooter>
  </headerFooter>
</worksheet>
</file>

<file path=xl/worksheets/sheet141.xml><?xml version="1.0" encoding="utf-8"?>
<worksheet xmlns="http://schemas.openxmlformats.org/spreadsheetml/2006/main" xmlns:r="http://schemas.openxmlformats.org/officeDocument/2006/relationships">
  <sheetPr codeName="Sheet144">
    <tabColor indexed="33"/>
    <pageSetUpPr fitToPage="1"/>
  </sheetPr>
  <dimension ref="A1:O31"/>
  <sheetViews>
    <sheetView zoomScaleNormal="100" workbookViewId="0">
      <selection sqref="A1:L1"/>
    </sheetView>
  </sheetViews>
  <sheetFormatPr defaultRowHeight="12.75"/>
  <cols>
    <col min="1" max="1" width="40.5703125" bestFit="1" customWidth="1"/>
    <col min="2" max="2" width="17.7109375" customWidth="1"/>
    <col min="3" max="3" width="1.7109375" customWidth="1"/>
    <col min="4" max="4" width="17.7109375" customWidth="1"/>
    <col min="5" max="5" width="1.7109375" customWidth="1"/>
    <col min="6" max="6" width="17.7109375" customWidth="1"/>
    <col min="7" max="7" width="1.7109375" customWidth="1"/>
    <col min="8" max="8" width="17.7109375" customWidth="1"/>
    <col min="9" max="9" width="1.7109375" customWidth="1"/>
    <col min="10" max="10" width="17.7109375" customWidth="1"/>
    <col min="11" max="11" width="1.7109375" customWidth="1"/>
    <col min="12" max="12" width="17.7109375" customWidth="1"/>
  </cols>
  <sheetData>
    <row r="1" spans="1:15" s="38" customFormat="1" ht="15.75">
      <c r="A1" s="366" t="s">
        <v>134</v>
      </c>
      <c r="B1" s="366"/>
      <c r="C1" s="366"/>
      <c r="D1" s="366"/>
      <c r="E1" s="366"/>
      <c r="F1" s="366"/>
      <c r="G1" s="366"/>
      <c r="H1" s="366"/>
      <c r="I1" s="366"/>
      <c r="J1" s="366"/>
      <c r="K1" s="366"/>
      <c r="L1" s="366"/>
    </row>
    <row r="2" spans="1:15" s="38" customFormat="1" ht="15.75">
      <c r="A2" s="366" t="s">
        <v>1169</v>
      </c>
      <c r="B2" s="366"/>
      <c r="C2" s="366"/>
      <c r="D2" s="366"/>
      <c r="E2" s="366"/>
      <c r="F2" s="366"/>
      <c r="G2" s="366"/>
      <c r="H2" s="366"/>
      <c r="I2" s="366"/>
      <c r="J2" s="366"/>
      <c r="K2" s="366"/>
      <c r="L2" s="366"/>
    </row>
    <row r="3" spans="1:15">
      <c r="A3" s="357" t="str">
        <f>'Summary - Cost - PG 1 (PA)'!A3:N3</f>
        <v>MARCH 2012</v>
      </c>
      <c r="B3" s="357"/>
      <c r="C3" s="357"/>
      <c r="D3" s="357"/>
      <c r="E3" s="357"/>
      <c r="F3" s="357"/>
      <c r="G3" s="357"/>
      <c r="H3" s="357"/>
      <c r="I3" s="357"/>
      <c r="J3" s="357"/>
      <c r="K3" s="357"/>
      <c r="L3" s="357"/>
    </row>
    <row r="4" spans="1:15">
      <c r="A4" s="190"/>
      <c r="B4" s="190"/>
      <c r="C4" s="190"/>
      <c r="D4" s="190"/>
      <c r="E4" s="190"/>
      <c r="F4" s="190"/>
      <c r="G4" s="190"/>
      <c r="H4" s="190"/>
      <c r="I4" s="190"/>
      <c r="J4" s="190"/>
      <c r="K4" s="190"/>
      <c r="L4" s="190"/>
    </row>
    <row r="6" spans="1:15">
      <c r="B6" s="41" t="s">
        <v>25</v>
      </c>
      <c r="D6" s="33"/>
      <c r="F6" s="33"/>
      <c r="H6" s="41" t="s">
        <v>612</v>
      </c>
      <c r="J6" s="33"/>
      <c r="L6" s="41" t="s">
        <v>26</v>
      </c>
    </row>
    <row r="7" spans="1:15" s="10" customFormat="1">
      <c r="B7" s="42" t="s">
        <v>27</v>
      </c>
      <c r="C7"/>
      <c r="D7" s="42" t="s">
        <v>107</v>
      </c>
      <c r="E7"/>
      <c r="F7" s="42" t="s">
        <v>108</v>
      </c>
      <c r="G7"/>
      <c r="H7" s="42" t="s">
        <v>613</v>
      </c>
      <c r="I7"/>
      <c r="J7" s="42" t="s">
        <v>109</v>
      </c>
      <c r="K7"/>
      <c r="L7" s="42" t="s">
        <v>27</v>
      </c>
    </row>
    <row r="8" spans="1:15" s="10" customFormat="1">
      <c r="B8" s="54"/>
      <c r="C8"/>
      <c r="D8" s="54"/>
      <c r="E8"/>
      <c r="F8" s="54"/>
      <c r="G8"/>
      <c r="H8" s="54"/>
      <c r="I8"/>
      <c r="J8" s="54"/>
      <c r="K8"/>
      <c r="L8" s="54"/>
    </row>
    <row r="9" spans="1:15">
      <c r="A9" s="3" t="s">
        <v>681</v>
      </c>
    </row>
    <row r="10" spans="1:15">
      <c r="A10" s="3" t="s">
        <v>124</v>
      </c>
    </row>
    <row r="11" spans="1:15">
      <c r="A11" t="s">
        <v>13</v>
      </c>
      <c r="B11" s="33">
        <v>0</v>
      </c>
      <c r="C11" s="33"/>
      <c r="D11" s="33">
        <v>0</v>
      </c>
      <c r="E11" s="33"/>
      <c r="F11" s="300">
        <v>0</v>
      </c>
      <c r="G11" s="33"/>
      <c r="H11" s="33">
        <v>0</v>
      </c>
      <c r="I11" s="33">
        <v>0</v>
      </c>
      <c r="J11" s="33">
        <f t="shared" ref="J11:J18" si="0">D11+F11+H11</f>
        <v>0</v>
      </c>
      <c r="K11" s="33"/>
      <c r="L11" s="33">
        <f t="shared" ref="L11:L18" si="1">B11+J11</f>
        <v>0</v>
      </c>
      <c r="O11" s="1"/>
    </row>
    <row r="12" spans="1:15">
      <c r="A12" t="s">
        <v>14</v>
      </c>
      <c r="B12" s="33">
        <v>-59408.76</v>
      </c>
      <c r="C12" s="33"/>
      <c r="D12" s="33">
        <v>0</v>
      </c>
      <c r="E12" s="33"/>
      <c r="F12" s="300">
        <v>0</v>
      </c>
      <c r="G12" s="33"/>
      <c r="H12" s="33">
        <v>0</v>
      </c>
      <c r="I12" s="33">
        <v>0</v>
      </c>
      <c r="J12" s="33">
        <f t="shared" si="0"/>
        <v>0</v>
      </c>
      <c r="K12" s="33"/>
      <c r="L12" s="33">
        <f t="shared" si="1"/>
        <v>-59408.76</v>
      </c>
      <c r="O12" s="1"/>
    </row>
    <row r="13" spans="1:15">
      <c r="A13" t="s">
        <v>15</v>
      </c>
      <c r="B13" s="33">
        <v>-248453.4</v>
      </c>
      <c r="C13" s="33"/>
      <c r="D13" s="33">
        <v>0</v>
      </c>
      <c r="E13" s="33"/>
      <c r="F13" s="300">
        <v>0</v>
      </c>
      <c r="G13" s="33"/>
      <c r="H13" s="33">
        <v>0</v>
      </c>
      <c r="I13" s="33">
        <v>0</v>
      </c>
      <c r="J13" s="33">
        <f t="shared" si="0"/>
        <v>0</v>
      </c>
      <c r="K13" s="33"/>
      <c r="L13" s="33">
        <f t="shared" si="1"/>
        <v>-248453.4</v>
      </c>
      <c r="O13" s="1"/>
    </row>
    <row r="14" spans="1:15">
      <c r="A14" t="s">
        <v>1089</v>
      </c>
      <c r="B14" s="33">
        <v>-554117.05000000005</v>
      </c>
      <c r="C14" s="33"/>
      <c r="D14" s="33">
        <v>0</v>
      </c>
      <c r="E14" s="33"/>
      <c r="F14" s="300">
        <v>0</v>
      </c>
      <c r="G14" s="33"/>
      <c r="H14" s="33">
        <v>0</v>
      </c>
      <c r="I14" s="33">
        <v>0</v>
      </c>
      <c r="J14" s="33">
        <f t="shared" si="0"/>
        <v>0</v>
      </c>
      <c r="K14" s="33"/>
      <c r="L14" s="33">
        <f t="shared" si="1"/>
        <v>-554117.05000000005</v>
      </c>
      <c r="O14" s="1"/>
    </row>
    <row r="15" spans="1:15">
      <c r="A15" t="s">
        <v>1092</v>
      </c>
      <c r="B15" s="33">
        <v>-257046.06</v>
      </c>
      <c r="C15" s="33"/>
      <c r="D15" s="33">
        <v>0</v>
      </c>
      <c r="E15" s="33"/>
      <c r="F15" s="300">
        <v>0</v>
      </c>
      <c r="G15" s="33"/>
      <c r="H15" s="33">
        <v>0</v>
      </c>
      <c r="I15" s="33">
        <v>0</v>
      </c>
      <c r="J15" s="33">
        <f t="shared" si="0"/>
        <v>0</v>
      </c>
      <c r="K15" s="33"/>
      <c r="L15" s="33">
        <f t="shared" si="1"/>
        <v>-257046.06</v>
      </c>
      <c r="O15" s="1"/>
    </row>
    <row r="16" spans="1:15">
      <c r="A16" t="s">
        <v>16</v>
      </c>
      <c r="B16" s="33">
        <v>-438358.26999999996</v>
      </c>
      <c r="C16" s="33"/>
      <c r="D16" s="33">
        <v>0</v>
      </c>
      <c r="E16" s="33"/>
      <c r="F16" s="300">
        <v>2143.48</v>
      </c>
      <c r="G16" s="33"/>
      <c r="H16" s="33">
        <v>0</v>
      </c>
      <c r="I16" s="33">
        <v>0</v>
      </c>
      <c r="J16" s="33">
        <f>D16+F16+H16</f>
        <v>2143.48</v>
      </c>
      <c r="K16" s="33"/>
      <c r="L16" s="33">
        <f t="shared" si="1"/>
        <v>-436214.79</v>
      </c>
      <c r="O16" s="1"/>
    </row>
    <row r="17" spans="1:15">
      <c r="A17" t="s">
        <v>21</v>
      </c>
      <c r="B17" s="33">
        <v>0</v>
      </c>
      <c r="C17" s="33"/>
      <c r="D17" s="33">
        <v>0</v>
      </c>
      <c r="E17" s="33"/>
      <c r="F17" s="300">
        <v>0</v>
      </c>
      <c r="G17" s="33"/>
      <c r="H17" s="33">
        <v>0</v>
      </c>
      <c r="I17" s="33"/>
      <c r="J17" s="33">
        <f t="shared" si="0"/>
        <v>0</v>
      </c>
      <c r="K17" s="33"/>
      <c r="L17" s="33">
        <f t="shared" si="1"/>
        <v>0</v>
      </c>
      <c r="O17" s="1"/>
    </row>
    <row r="18" spans="1:15">
      <c r="A18" t="s">
        <v>17</v>
      </c>
      <c r="B18" s="35">
        <v>-40962.85</v>
      </c>
      <c r="C18" s="37"/>
      <c r="D18" s="35">
        <v>0</v>
      </c>
      <c r="E18" s="37"/>
      <c r="F18" s="35">
        <v>0</v>
      </c>
      <c r="G18" s="37"/>
      <c r="H18" s="35">
        <v>0</v>
      </c>
      <c r="I18" s="37">
        <v>0</v>
      </c>
      <c r="J18" s="35">
        <f t="shared" si="0"/>
        <v>0</v>
      </c>
      <c r="K18" s="37"/>
      <c r="L18" s="35">
        <f t="shared" si="1"/>
        <v>-40962.85</v>
      </c>
      <c r="M18" s="7"/>
      <c r="O18" s="1"/>
    </row>
    <row r="19" spans="1:15">
      <c r="B19" s="37">
        <f>SUM(B11:B18)</f>
        <v>-1598346.3900000001</v>
      </c>
      <c r="C19" s="37"/>
      <c r="D19" s="37">
        <f>SUM(D11:D18)</f>
        <v>0</v>
      </c>
      <c r="E19" s="37"/>
      <c r="F19" s="37">
        <f>SUM(F11:F18)</f>
        <v>2143.48</v>
      </c>
      <c r="G19" s="37"/>
      <c r="H19" s="37">
        <f>SUM(H11:H18)</f>
        <v>0</v>
      </c>
      <c r="I19" s="37"/>
      <c r="J19" s="37">
        <f>SUM(J11:J18)</f>
        <v>2143.48</v>
      </c>
      <c r="K19" s="37"/>
      <c r="L19" s="37">
        <f>SUM(L11:L18)</f>
        <v>-1596202.9100000001</v>
      </c>
      <c r="M19" s="7"/>
      <c r="O19" s="1"/>
    </row>
    <row r="20" spans="1:15">
      <c r="B20" s="37"/>
      <c r="C20" s="37"/>
      <c r="D20" s="37"/>
      <c r="E20" s="37"/>
      <c r="F20" s="37"/>
      <c r="G20" s="37"/>
      <c r="H20" s="37"/>
      <c r="I20" s="37"/>
      <c r="J20" s="37"/>
      <c r="K20" s="37"/>
      <c r="L20" s="37"/>
      <c r="M20" s="7"/>
      <c r="O20" s="1"/>
    </row>
    <row r="21" spans="1:15">
      <c r="B21" s="33"/>
      <c r="C21" s="33"/>
      <c r="D21" s="33"/>
      <c r="E21" s="33"/>
      <c r="F21" s="33"/>
      <c r="G21" s="33"/>
      <c r="H21" s="33"/>
      <c r="I21" s="33"/>
      <c r="J21" s="33"/>
      <c r="K21" s="33"/>
      <c r="L21" s="33"/>
      <c r="O21" s="1"/>
    </row>
    <row r="22" spans="1:15">
      <c r="A22" s="3" t="s">
        <v>605</v>
      </c>
      <c r="B22" s="34">
        <f>B19</f>
        <v>-1598346.3900000001</v>
      </c>
      <c r="C22" s="33"/>
      <c r="D22" s="34">
        <f>D19</f>
        <v>0</v>
      </c>
      <c r="E22" s="33"/>
      <c r="F22" s="34">
        <f>F19</f>
        <v>2143.48</v>
      </c>
      <c r="G22" s="33"/>
      <c r="H22" s="34">
        <f>H19</f>
        <v>0</v>
      </c>
      <c r="I22" s="33"/>
      <c r="J22" s="34">
        <f>J19</f>
        <v>2143.48</v>
      </c>
      <c r="K22" s="33"/>
      <c r="L22" s="34">
        <f>L19</f>
        <v>-1596202.9100000001</v>
      </c>
      <c r="M22" s="1"/>
      <c r="N22" s="1"/>
      <c r="O22" s="1"/>
    </row>
    <row r="23" spans="1:15">
      <c r="B23" s="33"/>
      <c r="C23" s="33"/>
      <c r="D23" s="33"/>
      <c r="E23" s="33"/>
      <c r="F23" s="33"/>
      <c r="G23" s="33"/>
      <c r="H23" s="33"/>
      <c r="I23" s="33"/>
      <c r="J23" s="33"/>
      <c r="K23" s="33"/>
      <c r="L23" s="33"/>
      <c r="M23" s="1"/>
      <c r="N23" s="1"/>
      <c r="O23" s="1"/>
    </row>
    <row r="24" spans="1:15" s="250" customFormat="1" hidden="1">
      <c r="A24" s="219" t="s">
        <v>689</v>
      </c>
      <c r="B24" s="256"/>
      <c r="C24" s="256"/>
      <c r="D24" s="256"/>
      <c r="E24" s="256"/>
      <c r="F24" s="256"/>
      <c r="G24" s="256"/>
      <c r="H24" s="256"/>
      <c r="I24" s="256"/>
      <c r="J24" s="256"/>
      <c r="K24" s="256"/>
      <c r="L24" s="256"/>
      <c r="M24" s="256"/>
      <c r="N24" s="256"/>
      <c r="O24" s="256"/>
    </row>
    <row r="25" spans="1:15" s="250" customFormat="1" hidden="1">
      <c r="A25" s="219" t="s">
        <v>124</v>
      </c>
      <c r="B25" s="256"/>
      <c r="C25" s="256"/>
      <c r="D25" s="256"/>
      <c r="E25" s="256"/>
      <c r="F25" s="256"/>
      <c r="G25" s="256"/>
      <c r="H25" s="256"/>
      <c r="I25" s="256"/>
      <c r="J25" s="256"/>
      <c r="K25" s="256"/>
      <c r="L25" s="256"/>
      <c r="M25" s="256"/>
      <c r="N25" s="256"/>
      <c r="O25" s="256"/>
    </row>
    <row r="26" spans="1:15" s="250" customFormat="1" hidden="1">
      <c r="A26" s="220" t="s">
        <v>1089</v>
      </c>
      <c r="B26" s="251"/>
      <c r="C26" s="251"/>
      <c r="D26" s="251"/>
      <c r="E26" s="251"/>
      <c r="F26" s="251"/>
      <c r="G26" s="251"/>
      <c r="H26" s="251"/>
      <c r="I26" s="251"/>
      <c r="J26" s="251">
        <f t="shared" ref="J26:J27" si="2">H26+F26+D26</f>
        <v>0</v>
      </c>
      <c r="K26" s="251"/>
      <c r="L26" s="251">
        <f t="shared" ref="L26:L27" si="3">J26+B26</f>
        <v>0</v>
      </c>
      <c r="M26" s="256"/>
    </row>
    <row r="27" spans="1:15" s="250" customFormat="1" hidden="1">
      <c r="A27" s="220" t="s">
        <v>1092</v>
      </c>
      <c r="B27" s="251"/>
      <c r="C27" s="251"/>
      <c r="D27" s="251"/>
      <c r="E27" s="251"/>
      <c r="F27" s="251"/>
      <c r="G27" s="251"/>
      <c r="H27" s="251"/>
      <c r="I27" s="251"/>
      <c r="J27" s="251">
        <f t="shared" si="2"/>
        <v>0</v>
      </c>
      <c r="K27" s="251"/>
      <c r="L27" s="251">
        <f t="shared" si="3"/>
        <v>0</v>
      </c>
      <c r="M27" s="256"/>
    </row>
    <row r="28" spans="1:15" s="250" customFormat="1" hidden="1">
      <c r="A28" s="219" t="s">
        <v>1087</v>
      </c>
      <c r="B28" s="254">
        <f>B25</f>
        <v>0</v>
      </c>
      <c r="C28" s="255"/>
      <c r="D28" s="254">
        <f>SUM(D26:D27)</f>
        <v>0</v>
      </c>
      <c r="E28" s="255"/>
      <c r="F28" s="254">
        <f>F25</f>
        <v>0</v>
      </c>
      <c r="G28" s="255"/>
      <c r="H28" s="254">
        <f>H25</f>
        <v>0</v>
      </c>
      <c r="I28" s="255"/>
      <c r="J28" s="254">
        <f>SUM(J26:J27)</f>
        <v>0</v>
      </c>
      <c r="K28" s="255"/>
      <c r="L28" s="254">
        <f>SUM(L26:L27)</f>
        <v>0</v>
      </c>
      <c r="M28" s="256"/>
      <c r="N28" s="256"/>
      <c r="O28" s="256"/>
    </row>
    <row r="30" spans="1:15" ht="13.5" thickBot="1">
      <c r="A30" s="3" t="s">
        <v>1088</v>
      </c>
      <c r="B30" s="44">
        <f>B28+B22</f>
        <v>-1598346.3900000001</v>
      </c>
      <c r="C30" s="33"/>
      <c r="D30" s="44">
        <f>D28+D22</f>
        <v>0</v>
      </c>
      <c r="E30" s="33"/>
      <c r="F30" s="44">
        <f>F28+F22</f>
        <v>2143.48</v>
      </c>
      <c r="G30" s="33"/>
      <c r="H30" s="44">
        <f>H28+H22</f>
        <v>0</v>
      </c>
      <c r="I30" s="33"/>
      <c r="J30" s="44">
        <f>J28+J22</f>
        <v>2143.48</v>
      </c>
      <c r="K30" s="33"/>
      <c r="L30" s="44">
        <f>L28+L22</f>
        <v>-1596202.9100000001</v>
      </c>
      <c r="M30" s="1"/>
    </row>
    <row r="31" spans="1:15" ht="13.5" thickTop="1"/>
  </sheetData>
  <mergeCells count="3">
    <mergeCell ref="A1:L1"/>
    <mergeCell ref="A2:L2"/>
    <mergeCell ref="A3:L3"/>
  </mergeCells>
  <pageMargins left="0.75" right="0.75" top="1" bottom="1" header="0.5" footer="0.5"/>
  <pageSetup scale="79" orientation="landscape" r:id="rId1"/>
  <headerFooter alignWithMargins="0">
    <oddFooter>&amp;L&amp;Z
&amp;F&amp;C&amp;A&amp;R22.&amp;P</oddFooter>
  </headerFooter>
</worksheet>
</file>

<file path=xl/worksheets/sheet142.xml><?xml version="1.0" encoding="utf-8"?>
<worksheet xmlns="http://schemas.openxmlformats.org/spreadsheetml/2006/main" xmlns:r="http://schemas.openxmlformats.org/officeDocument/2006/relationships">
  <sheetPr codeName="Sheet145">
    <pageSetUpPr fitToPage="1"/>
  </sheetPr>
  <dimension ref="A1:M51"/>
  <sheetViews>
    <sheetView zoomScale="90" zoomScaleNormal="90" workbookViewId="0">
      <selection activeCell="L11" sqref="L11"/>
    </sheetView>
  </sheetViews>
  <sheetFormatPr defaultRowHeight="12.75"/>
  <cols>
    <col min="1" max="1" width="40.5703125" bestFit="1" customWidth="1"/>
    <col min="2" max="2" width="17.7109375" customWidth="1"/>
    <col min="3" max="3" width="1.7109375" customWidth="1"/>
    <col min="4" max="4" width="17.7109375" customWidth="1"/>
    <col min="5" max="5" width="1.7109375" customWidth="1"/>
    <col min="6" max="6" width="17.7109375" customWidth="1"/>
    <col min="7" max="7" width="1.7109375" customWidth="1"/>
    <col min="8" max="8" width="17.7109375" customWidth="1"/>
    <col min="9" max="9" width="1.7109375" customWidth="1"/>
    <col min="10" max="10" width="17.7109375" customWidth="1"/>
    <col min="11" max="11" width="1.7109375" customWidth="1"/>
    <col min="12" max="12" width="17.7109375" customWidth="1"/>
  </cols>
  <sheetData>
    <row r="1" spans="1:13" s="38" customFormat="1" ht="15.75">
      <c r="A1" s="366" t="s">
        <v>134</v>
      </c>
      <c r="B1" s="366"/>
      <c r="C1" s="366"/>
      <c r="D1" s="366"/>
      <c r="E1" s="366"/>
      <c r="F1" s="366"/>
      <c r="G1" s="366"/>
      <c r="H1" s="366"/>
      <c r="I1" s="366"/>
      <c r="J1" s="366"/>
      <c r="K1" s="366"/>
      <c r="L1" s="366"/>
    </row>
    <row r="2" spans="1:13" s="38" customFormat="1" ht="15.75">
      <c r="A2" s="367" t="s">
        <v>1170</v>
      </c>
      <c r="B2" s="366"/>
      <c r="C2" s="366"/>
      <c r="D2" s="366"/>
      <c r="E2" s="366"/>
      <c r="F2" s="366"/>
      <c r="G2" s="366"/>
      <c r="H2" s="366"/>
      <c r="I2" s="366"/>
      <c r="J2" s="366"/>
      <c r="K2" s="366"/>
      <c r="L2" s="366"/>
    </row>
    <row r="3" spans="1:13">
      <c r="A3" s="357" t="str">
        <f>'Summary - Cost - PG 1 (PA)'!A3:N3</f>
        <v>MARCH 2012</v>
      </c>
      <c r="B3" s="357"/>
      <c r="C3" s="357"/>
      <c r="D3" s="357"/>
      <c r="E3" s="357"/>
      <c r="F3" s="357"/>
      <c r="G3" s="357"/>
      <c r="H3" s="357"/>
      <c r="I3" s="357"/>
      <c r="J3" s="357"/>
      <c r="K3" s="357"/>
      <c r="L3" s="357"/>
    </row>
    <row r="4" spans="1:13">
      <c r="A4" s="190"/>
      <c r="B4" s="190"/>
      <c r="C4" s="190"/>
      <c r="D4" s="190"/>
      <c r="E4" s="190"/>
      <c r="F4" s="190"/>
      <c r="G4" s="190"/>
      <c r="H4" s="190"/>
      <c r="I4" s="190"/>
      <c r="J4" s="190"/>
      <c r="K4" s="190"/>
      <c r="L4" s="190"/>
    </row>
    <row r="6" spans="1:13">
      <c r="B6" s="41" t="s">
        <v>25</v>
      </c>
      <c r="D6" s="33"/>
      <c r="F6" s="33"/>
      <c r="H6" s="41" t="s">
        <v>612</v>
      </c>
      <c r="J6" s="33"/>
      <c r="L6" s="41" t="s">
        <v>26</v>
      </c>
    </row>
    <row r="7" spans="1:13" s="10" customFormat="1">
      <c r="A7" s="12"/>
      <c r="B7" s="42" t="s">
        <v>27</v>
      </c>
      <c r="C7"/>
      <c r="D7" s="42" t="s">
        <v>107</v>
      </c>
      <c r="E7"/>
      <c r="F7" s="42" t="s">
        <v>108</v>
      </c>
      <c r="G7"/>
      <c r="H7" s="42" t="s">
        <v>613</v>
      </c>
      <c r="I7"/>
      <c r="J7" s="42" t="s">
        <v>109</v>
      </c>
      <c r="K7"/>
      <c r="L7" s="42" t="s">
        <v>27</v>
      </c>
    </row>
    <row r="8" spans="1:13" s="10" customFormat="1">
      <c r="B8"/>
      <c r="C8"/>
      <c r="D8"/>
      <c r="E8"/>
      <c r="F8"/>
      <c r="G8"/>
      <c r="H8"/>
      <c r="I8"/>
      <c r="J8"/>
      <c r="K8"/>
      <c r="L8"/>
    </row>
    <row r="9" spans="1:13">
      <c r="A9" s="95" t="s">
        <v>993</v>
      </c>
      <c r="B9" s="4"/>
      <c r="C9" s="4"/>
      <c r="D9" s="4"/>
      <c r="E9" s="4"/>
      <c r="F9" s="4"/>
      <c r="G9" s="4"/>
      <c r="H9" s="4"/>
      <c r="I9" s="4"/>
      <c r="J9" s="4"/>
      <c r="K9" s="4"/>
      <c r="L9" s="4"/>
      <c r="M9" s="4"/>
    </row>
    <row r="10" spans="1:13">
      <c r="A10" t="s">
        <v>18</v>
      </c>
      <c r="B10" s="182"/>
      <c r="C10" s="182"/>
      <c r="D10" s="182"/>
      <c r="E10" s="182"/>
      <c r="F10" s="182"/>
      <c r="G10" s="182"/>
      <c r="H10" s="182"/>
      <c r="I10" s="182"/>
      <c r="J10" s="182">
        <v>0</v>
      </c>
      <c r="K10" s="182"/>
      <c r="L10" s="182">
        <f>+B10+J10</f>
        <v>0</v>
      </c>
      <c r="M10" s="4"/>
    </row>
    <row r="11" spans="1:13" ht="13.5" thickBot="1">
      <c r="B11" s="46">
        <f>SUM(B10)</f>
        <v>0</v>
      </c>
      <c r="C11" s="182"/>
      <c r="D11" s="46">
        <f>SUM(D10)</f>
        <v>0</v>
      </c>
      <c r="E11" s="182"/>
      <c r="F11" s="46">
        <f>SUM(F10)</f>
        <v>0</v>
      </c>
      <c r="G11" s="182"/>
      <c r="H11" s="46">
        <f>SUM(H10)</f>
        <v>0</v>
      </c>
      <c r="I11" s="182"/>
      <c r="J11" s="46">
        <f>SUM(J10)</f>
        <v>0</v>
      </c>
      <c r="K11" s="182"/>
      <c r="L11" s="46">
        <f>SUM(L10)</f>
        <v>0</v>
      </c>
      <c r="M11" s="4"/>
    </row>
    <row r="12" spans="1:13" ht="13.5" thickTop="1">
      <c r="B12" s="4"/>
      <c r="C12" s="4"/>
      <c r="D12" s="4"/>
      <c r="E12" s="4"/>
      <c r="F12" s="4"/>
      <c r="G12" s="4"/>
      <c r="H12" s="4"/>
      <c r="I12" s="4"/>
      <c r="J12" s="4"/>
      <c r="K12" s="4"/>
      <c r="L12" s="4"/>
      <c r="M12" s="4"/>
    </row>
    <row r="13" spans="1:13">
      <c r="B13" s="4"/>
      <c r="C13" s="4"/>
      <c r="D13" s="4"/>
      <c r="E13" s="4"/>
      <c r="F13" s="4"/>
      <c r="G13" s="4"/>
      <c r="H13" s="4"/>
      <c r="I13" s="4"/>
      <c r="J13" s="4"/>
      <c r="K13" s="4"/>
      <c r="L13" s="4"/>
      <c r="M13" s="4"/>
    </row>
    <row r="14" spans="1:13">
      <c r="B14" s="4"/>
      <c r="C14" s="4"/>
      <c r="D14" s="4"/>
      <c r="E14" s="4"/>
      <c r="F14" s="4"/>
      <c r="G14" s="4"/>
      <c r="H14" s="4"/>
      <c r="I14" s="4"/>
      <c r="J14" s="4"/>
      <c r="K14" s="4"/>
      <c r="L14" s="4"/>
      <c r="M14" s="4"/>
    </row>
    <row r="15" spans="1:13">
      <c r="B15" s="4"/>
      <c r="C15" s="4"/>
      <c r="D15" s="4"/>
      <c r="E15" s="4"/>
      <c r="F15" s="4"/>
      <c r="G15" s="4"/>
      <c r="H15" s="4"/>
      <c r="I15" s="4"/>
      <c r="J15" s="4"/>
      <c r="K15" s="4"/>
      <c r="L15" s="4"/>
      <c r="M15" s="4"/>
    </row>
    <row r="16" spans="1:13">
      <c r="B16" s="4"/>
      <c r="C16" s="4"/>
      <c r="D16" s="4"/>
      <c r="E16" s="4"/>
      <c r="F16" s="4"/>
      <c r="G16" s="4"/>
      <c r="H16" s="4"/>
      <c r="I16" s="4"/>
      <c r="J16" s="4"/>
      <c r="K16" s="4"/>
      <c r="L16" s="4"/>
      <c r="M16" s="4"/>
    </row>
    <row r="17" spans="2:13">
      <c r="B17" s="4"/>
      <c r="C17" s="4"/>
      <c r="D17" s="4"/>
      <c r="E17" s="4"/>
      <c r="F17" s="4"/>
      <c r="G17" s="4"/>
      <c r="H17" s="4"/>
      <c r="I17" s="4"/>
      <c r="J17" s="4"/>
      <c r="K17" s="4"/>
      <c r="L17" s="4"/>
      <c r="M17" s="4"/>
    </row>
    <row r="18" spans="2:13">
      <c r="B18" s="4"/>
      <c r="C18" s="4"/>
      <c r="D18" s="4"/>
      <c r="E18" s="4"/>
      <c r="F18" s="4"/>
      <c r="G18" s="4"/>
      <c r="H18" s="4"/>
      <c r="I18" s="4"/>
      <c r="J18" s="4"/>
      <c r="K18" s="4"/>
      <c r="L18" s="4"/>
      <c r="M18" s="4"/>
    </row>
    <row r="19" spans="2:13">
      <c r="B19" s="4"/>
      <c r="C19" s="4"/>
      <c r="D19" s="4"/>
      <c r="E19" s="4"/>
      <c r="F19" s="4"/>
      <c r="G19" s="4"/>
      <c r="H19" s="4"/>
      <c r="I19" s="4"/>
      <c r="J19" s="4"/>
      <c r="K19" s="4"/>
      <c r="L19" s="4"/>
      <c r="M19" s="4"/>
    </row>
    <row r="20" spans="2:13">
      <c r="B20" s="4"/>
      <c r="C20" s="4"/>
      <c r="D20" s="4"/>
      <c r="E20" s="4"/>
      <c r="F20" s="4"/>
      <c r="G20" s="4"/>
      <c r="H20" s="4"/>
      <c r="I20" s="4"/>
      <c r="J20" s="4"/>
      <c r="K20" s="4"/>
      <c r="L20" s="4"/>
      <c r="M20" s="4"/>
    </row>
    <row r="21" spans="2:13">
      <c r="B21" s="4"/>
      <c r="C21" s="4"/>
      <c r="D21" s="4"/>
      <c r="E21" s="4"/>
      <c r="F21" s="4"/>
      <c r="G21" s="4"/>
      <c r="H21" s="4"/>
      <c r="I21" s="4"/>
      <c r="J21" s="4"/>
      <c r="K21" s="4"/>
      <c r="L21" s="4"/>
      <c r="M21" s="4"/>
    </row>
    <row r="22" spans="2:13">
      <c r="B22" s="4"/>
      <c r="C22" s="4"/>
      <c r="D22" s="4"/>
      <c r="E22" s="4"/>
      <c r="F22" s="4"/>
      <c r="G22" s="4"/>
      <c r="H22" s="4"/>
      <c r="I22" s="4"/>
      <c r="J22" s="4"/>
      <c r="K22" s="4"/>
      <c r="L22" s="4"/>
      <c r="M22" s="4"/>
    </row>
    <row r="23" spans="2:13">
      <c r="B23" s="4"/>
      <c r="C23" s="4"/>
      <c r="D23" s="4"/>
      <c r="E23" s="4"/>
      <c r="F23" s="4"/>
      <c r="G23" s="4"/>
      <c r="H23" s="4"/>
      <c r="I23" s="4"/>
      <c r="J23" s="4"/>
      <c r="K23" s="4"/>
      <c r="L23" s="4"/>
      <c r="M23" s="4"/>
    </row>
    <row r="24" spans="2:13">
      <c r="B24" s="4"/>
      <c r="C24" s="4"/>
      <c r="D24" s="4"/>
      <c r="E24" s="4"/>
      <c r="F24" s="4"/>
      <c r="G24" s="4"/>
      <c r="H24" s="4"/>
      <c r="I24" s="4"/>
      <c r="J24" s="4"/>
      <c r="K24" s="4"/>
      <c r="L24" s="4"/>
      <c r="M24" s="4"/>
    </row>
    <row r="25" spans="2:13">
      <c r="B25" s="4"/>
      <c r="C25" s="4"/>
      <c r="D25" s="4"/>
      <c r="E25" s="4"/>
      <c r="F25" s="4"/>
      <c r="G25" s="4"/>
      <c r="H25" s="4"/>
      <c r="I25" s="4"/>
      <c r="J25" s="4"/>
      <c r="K25" s="4"/>
      <c r="L25" s="4"/>
      <c r="M25" s="4"/>
    </row>
    <row r="26" spans="2:13">
      <c r="B26" s="4"/>
      <c r="C26" s="4"/>
      <c r="D26" s="4"/>
      <c r="E26" s="4"/>
      <c r="F26" s="4"/>
      <c r="G26" s="4"/>
      <c r="H26" s="4"/>
      <c r="I26" s="4"/>
      <c r="J26" s="4"/>
      <c r="K26" s="4"/>
      <c r="L26" s="4"/>
      <c r="M26" s="4"/>
    </row>
    <row r="27" spans="2:13">
      <c r="B27" s="4"/>
      <c r="C27" s="4"/>
      <c r="D27" s="4"/>
      <c r="E27" s="4"/>
      <c r="F27" s="4"/>
      <c r="G27" s="4"/>
      <c r="H27" s="4"/>
      <c r="I27" s="4"/>
      <c r="J27" s="4"/>
      <c r="K27" s="4"/>
      <c r="L27" s="4"/>
      <c r="M27" s="4"/>
    </row>
    <row r="28" spans="2:13">
      <c r="B28" s="4"/>
      <c r="C28" s="4"/>
      <c r="D28" s="4"/>
      <c r="E28" s="4"/>
      <c r="F28" s="4"/>
      <c r="G28" s="4"/>
      <c r="H28" s="4"/>
      <c r="I28" s="4"/>
      <c r="J28" s="4"/>
      <c r="K28" s="4"/>
      <c r="L28" s="4"/>
      <c r="M28" s="4"/>
    </row>
    <row r="29" spans="2:13">
      <c r="B29" s="4"/>
      <c r="C29" s="4"/>
      <c r="D29" s="4"/>
      <c r="E29" s="4"/>
      <c r="F29" s="4"/>
      <c r="G29" s="4"/>
      <c r="H29" s="4"/>
      <c r="I29" s="4"/>
      <c r="J29" s="4"/>
      <c r="K29" s="4"/>
      <c r="L29" s="4"/>
      <c r="M29" s="4"/>
    </row>
    <row r="30" spans="2:13">
      <c r="B30" s="4"/>
      <c r="C30" s="4"/>
      <c r="D30" s="4"/>
      <c r="E30" s="4"/>
      <c r="F30" s="4"/>
      <c r="G30" s="4"/>
      <c r="H30" s="4"/>
      <c r="I30" s="4"/>
      <c r="J30" s="4"/>
      <c r="K30" s="4"/>
      <c r="L30" s="4"/>
      <c r="M30" s="4"/>
    </row>
    <row r="31" spans="2:13">
      <c r="B31" s="4"/>
      <c r="C31" s="4"/>
      <c r="D31" s="4"/>
      <c r="E31" s="4"/>
      <c r="F31" s="4"/>
      <c r="G31" s="4"/>
      <c r="H31" s="4"/>
      <c r="I31" s="4"/>
      <c r="J31" s="4"/>
      <c r="K31" s="4"/>
      <c r="L31" s="4"/>
      <c r="M31" s="4"/>
    </row>
    <row r="32" spans="2:13">
      <c r="B32" s="4"/>
      <c r="C32" s="4"/>
      <c r="D32" s="4"/>
      <c r="E32" s="4"/>
      <c r="F32" s="4"/>
      <c r="G32" s="4"/>
      <c r="H32" s="4"/>
      <c r="I32" s="4"/>
      <c r="J32" s="4"/>
      <c r="K32" s="4"/>
      <c r="L32" s="4"/>
      <c r="M32" s="4"/>
    </row>
    <row r="33" spans="2:13">
      <c r="B33" s="4"/>
      <c r="C33" s="4"/>
      <c r="D33" s="4"/>
      <c r="E33" s="4"/>
      <c r="F33" s="4"/>
      <c r="G33" s="4"/>
      <c r="H33" s="4"/>
      <c r="I33" s="4"/>
      <c r="J33" s="4"/>
      <c r="K33" s="4"/>
      <c r="L33" s="4"/>
      <c r="M33" s="4"/>
    </row>
    <row r="34" spans="2:13">
      <c r="B34" s="4"/>
      <c r="C34" s="4"/>
      <c r="D34" s="4"/>
      <c r="E34" s="4"/>
      <c r="F34" s="4"/>
      <c r="G34" s="4"/>
      <c r="H34" s="4"/>
      <c r="I34" s="4"/>
      <c r="J34" s="4"/>
      <c r="K34" s="4"/>
      <c r="L34" s="4"/>
      <c r="M34" s="4"/>
    </row>
    <row r="35" spans="2:13">
      <c r="B35" s="4"/>
      <c r="C35" s="4"/>
      <c r="D35" s="4"/>
      <c r="E35" s="4"/>
      <c r="F35" s="4"/>
      <c r="G35" s="4"/>
      <c r="H35" s="4"/>
      <c r="I35" s="4"/>
      <c r="J35" s="4"/>
      <c r="K35" s="4"/>
      <c r="L35" s="4"/>
      <c r="M35" s="4"/>
    </row>
    <row r="36" spans="2:13">
      <c r="B36" s="4"/>
      <c r="C36" s="4"/>
      <c r="D36" s="4"/>
      <c r="E36" s="4"/>
      <c r="F36" s="4"/>
      <c r="G36" s="4"/>
      <c r="H36" s="4"/>
      <c r="I36" s="4"/>
      <c r="J36" s="4"/>
      <c r="K36" s="4"/>
      <c r="L36" s="4"/>
      <c r="M36" s="4"/>
    </row>
    <row r="37" spans="2:13">
      <c r="B37" s="4"/>
      <c r="C37" s="4"/>
      <c r="D37" s="4"/>
      <c r="E37" s="4"/>
      <c r="F37" s="4"/>
      <c r="G37" s="4"/>
      <c r="H37" s="4"/>
      <c r="I37" s="4"/>
      <c r="J37" s="4"/>
      <c r="K37" s="4"/>
      <c r="L37" s="4"/>
      <c r="M37" s="4"/>
    </row>
    <row r="38" spans="2:13">
      <c r="B38" s="4"/>
      <c r="C38" s="4"/>
      <c r="D38" s="4"/>
      <c r="E38" s="4"/>
      <c r="F38" s="4"/>
      <c r="G38" s="4"/>
      <c r="H38" s="4"/>
      <c r="I38" s="4"/>
      <c r="J38" s="4"/>
      <c r="K38" s="4"/>
      <c r="L38" s="4"/>
      <c r="M38" s="4"/>
    </row>
    <row r="39" spans="2:13">
      <c r="B39" s="4"/>
      <c r="C39" s="4"/>
      <c r="D39" s="4"/>
      <c r="E39" s="4"/>
      <c r="F39" s="4"/>
      <c r="G39" s="4"/>
      <c r="H39" s="4"/>
      <c r="I39" s="4"/>
      <c r="J39" s="4"/>
      <c r="K39" s="4"/>
      <c r="L39" s="4"/>
      <c r="M39" s="4"/>
    </row>
    <row r="40" spans="2:13">
      <c r="B40" s="4"/>
      <c r="C40" s="4"/>
      <c r="D40" s="4"/>
      <c r="E40" s="4"/>
      <c r="F40" s="4"/>
      <c r="G40" s="4"/>
      <c r="H40" s="4"/>
      <c r="I40" s="4"/>
      <c r="J40" s="4"/>
      <c r="K40" s="4"/>
      <c r="L40" s="4"/>
      <c r="M40" s="4"/>
    </row>
    <row r="41" spans="2:13">
      <c r="B41" s="4"/>
      <c r="C41" s="4"/>
      <c r="D41" s="4"/>
      <c r="E41" s="4"/>
      <c r="F41" s="4"/>
      <c r="G41" s="4"/>
      <c r="H41" s="4"/>
      <c r="I41" s="4"/>
      <c r="J41" s="4"/>
      <c r="K41" s="4"/>
      <c r="L41" s="4"/>
      <c r="M41" s="4"/>
    </row>
    <row r="42" spans="2:13">
      <c r="B42" s="4"/>
      <c r="C42" s="4"/>
      <c r="D42" s="4"/>
      <c r="E42" s="4"/>
      <c r="F42" s="4"/>
      <c r="G42" s="4"/>
      <c r="H42" s="4"/>
      <c r="I42" s="4"/>
      <c r="J42" s="4"/>
      <c r="K42" s="4"/>
      <c r="L42" s="4"/>
      <c r="M42" s="4"/>
    </row>
    <row r="43" spans="2:13">
      <c r="B43" s="4"/>
      <c r="C43" s="4"/>
      <c r="D43" s="4"/>
      <c r="E43" s="4"/>
      <c r="F43" s="4"/>
      <c r="G43" s="4"/>
      <c r="H43" s="4"/>
      <c r="I43" s="4"/>
      <c r="J43" s="4"/>
      <c r="K43" s="4"/>
      <c r="L43" s="4"/>
      <c r="M43" s="4"/>
    </row>
    <row r="44" spans="2:13">
      <c r="B44" s="4"/>
      <c r="C44" s="4"/>
      <c r="D44" s="4"/>
      <c r="E44" s="4"/>
      <c r="F44" s="4"/>
      <c r="G44" s="4"/>
      <c r="H44" s="4"/>
      <c r="I44" s="4"/>
      <c r="J44" s="4"/>
      <c r="K44" s="4"/>
      <c r="L44" s="4"/>
      <c r="M44" s="4"/>
    </row>
    <row r="45" spans="2:13">
      <c r="B45" s="4"/>
      <c r="C45" s="4"/>
      <c r="D45" s="4"/>
      <c r="E45" s="4"/>
      <c r="F45" s="4"/>
      <c r="G45" s="4"/>
      <c r="H45" s="4"/>
      <c r="I45" s="4"/>
      <c r="J45" s="4"/>
      <c r="K45" s="4"/>
      <c r="L45" s="4"/>
      <c r="M45" s="4"/>
    </row>
    <row r="46" spans="2:13">
      <c r="B46" s="4"/>
      <c r="C46" s="4"/>
      <c r="D46" s="4"/>
      <c r="E46" s="4"/>
      <c r="F46" s="4"/>
      <c r="G46" s="4"/>
      <c r="H46" s="4"/>
      <c r="I46" s="4"/>
      <c r="J46" s="4"/>
      <c r="K46" s="4"/>
      <c r="L46" s="4"/>
      <c r="M46" s="4"/>
    </row>
    <row r="47" spans="2:13">
      <c r="B47" s="4"/>
      <c r="C47" s="4"/>
      <c r="D47" s="4"/>
      <c r="E47" s="4"/>
      <c r="F47" s="4"/>
      <c r="G47" s="4"/>
      <c r="H47" s="4"/>
      <c r="I47" s="4"/>
      <c r="J47" s="4"/>
      <c r="K47" s="4"/>
      <c r="L47" s="4"/>
      <c r="M47" s="4"/>
    </row>
    <row r="48" spans="2:13">
      <c r="B48" s="4"/>
      <c r="C48" s="4"/>
      <c r="D48" s="4"/>
      <c r="E48" s="4"/>
      <c r="F48" s="4"/>
      <c r="G48" s="4"/>
      <c r="H48" s="4"/>
      <c r="I48" s="4"/>
      <c r="J48" s="4"/>
      <c r="K48" s="4"/>
      <c r="L48" s="4"/>
      <c r="M48" s="4"/>
    </row>
    <row r="49" spans="2:13">
      <c r="B49" s="4"/>
      <c r="C49" s="4"/>
      <c r="D49" s="4"/>
      <c r="E49" s="4"/>
      <c r="F49" s="4"/>
      <c r="G49" s="4"/>
      <c r="H49" s="4"/>
      <c r="I49" s="4"/>
      <c r="J49" s="4"/>
      <c r="K49" s="4"/>
      <c r="L49" s="4"/>
      <c r="M49" s="4"/>
    </row>
    <row r="50" spans="2:13">
      <c r="B50" s="4"/>
      <c r="C50" s="4"/>
      <c r="D50" s="4"/>
      <c r="E50" s="4"/>
      <c r="F50" s="4"/>
      <c r="G50" s="4"/>
      <c r="H50" s="4"/>
      <c r="I50" s="4"/>
      <c r="J50" s="4"/>
      <c r="K50" s="4"/>
      <c r="L50" s="4"/>
      <c r="M50" s="4"/>
    </row>
    <row r="51" spans="2:13">
      <c r="B51" s="4"/>
      <c r="C51" s="4"/>
      <c r="D51" s="4"/>
      <c r="E51" s="4"/>
      <c r="F51" s="4"/>
      <c r="G51" s="4"/>
      <c r="H51" s="4"/>
      <c r="I51" s="4"/>
      <c r="J51" s="4"/>
      <c r="K51" s="4"/>
      <c r="L51" s="4"/>
      <c r="M51" s="4"/>
    </row>
  </sheetData>
  <mergeCells count="3">
    <mergeCell ref="A1:L1"/>
    <mergeCell ref="A2:L2"/>
    <mergeCell ref="A3:L3"/>
  </mergeCells>
  <pageMargins left="0.75" right="0.75" top="1" bottom="1" header="0.5" footer="0.5"/>
  <pageSetup scale="79" orientation="landscape" r:id="rId1"/>
  <headerFooter alignWithMargins="0">
    <oddFooter>&amp;L&amp;Z
&amp;F&amp;C&amp;A&amp;R23.&amp;P</oddFooter>
  </headerFooter>
</worksheet>
</file>

<file path=xl/worksheets/sheet143.xml><?xml version="1.0" encoding="utf-8"?>
<worksheet xmlns="http://schemas.openxmlformats.org/spreadsheetml/2006/main" xmlns:r="http://schemas.openxmlformats.org/officeDocument/2006/relationships">
  <sheetPr codeName="Sheet146">
    <pageSetUpPr fitToPage="1"/>
  </sheetPr>
  <dimension ref="A1:M51"/>
  <sheetViews>
    <sheetView zoomScale="90" zoomScaleNormal="90" workbookViewId="0">
      <selection activeCell="B10" sqref="B10:H10"/>
    </sheetView>
  </sheetViews>
  <sheetFormatPr defaultRowHeight="12.75"/>
  <cols>
    <col min="1" max="1" width="40.5703125" bestFit="1" customWidth="1"/>
    <col min="2" max="2" width="17.7109375" customWidth="1"/>
    <col min="3" max="3" width="1.7109375" customWidth="1"/>
    <col min="4" max="4" width="17.7109375" customWidth="1"/>
    <col min="5" max="5" width="1.7109375" customWidth="1"/>
    <col min="6" max="6" width="17.7109375" customWidth="1"/>
    <col min="7" max="7" width="1.7109375" customWidth="1"/>
    <col min="8" max="8" width="17.7109375" customWidth="1"/>
    <col min="9" max="9" width="1.7109375" customWidth="1"/>
    <col min="10" max="10" width="17.7109375" customWidth="1"/>
    <col min="11" max="11" width="1.7109375" customWidth="1"/>
    <col min="12" max="12" width="17.7109375" customWidth="1"/>
  </cols>
  <sheetData>
    <row r="1" spans="1:13" s="38" customFormat="1" ht="15.75">
      <c r="A1" s="366" t="s">
        <v>134</v>
      </c>
      <c r="B1" s="366"/>
      <c r="C1" s="366"/>
      <c r="D1" s="366"/>
      <c r="E1" s="366"/>
      <c r="F1" s="366"/>
      <c r="G1" s="366"/>
      <c r="H1" s="366"/>
      <c r="I1" s="366"/>
      <c r="J1" s="366"/>
      <c r="K1" s="366"/>
      <c r="L1" s="366"/>
    </row>
    <row r="2" spans="1:13" s="38" customFormat="1" ht="15.75">
      <c r="A2" s="367" t="s">
        <v>1171</v>
      </c>
      <c r="B2" s="366"/>
      <c r="C2" s="366"/>
      <c r="D2" s="366"/>
      <c r="E2" s="366"/>
      <c r="F2" s="366"/>
      <c r="G2" s="366"/>
      <c r="H2" s="366"/>
      <c r="I2" s="366"/>
      <c r="J2" s="366"/>
      <c r="K2" s="366"/>
      <c r="L2" s="366"/>
    </row>
    <row r="3" spans="1:13">
      <c r="A3" s="357" t="str">
        <f>'Summary - Cost - PG 1 (PA)'!A3:N3</f>
        <v>MARCH 2012</v>
      </c>
      <c r="B3" s="357"/>
      <c r="C3" s="357"/>
      <c r="D3" s="357"/>
      <c r="E3" s="357"/>
      <c r="F3" s="357"/>
      <c r="G3" s="357"/>
      <c r="H3" s="357"/>
      <c r="I3" s="357"/>
      <c r="J3" s="357"/>
      <c r="K3" s="357"/>
      <c r="L3" s="357"/>
    </row>
    <row r="4" spans="1:13">
      <c r="A4" s="190"/>
      <c r="B4" s="190"/>
      <c r="C4" s="190"/>
      <c r="D4" s="190"/>
      <c r="E4" s="190"/>
      <c r="F4" s="190"/>
      <c r="G4" s="190"/>
      <c r="H4" s="190"/>
      <c r="I4" s="190"/>
      <c r="J4" s="190"/>
      <c r="K4" s="190"/>
      <c r="L4" s="190"/>
    </row>
    <row r="6" spans="1:13">
      <c r="B6" s="41" t="s">
        <v>25</v>
      </c>
      <c r="D6" s="33"/>
      <c r="F6" s="33"/>
      <c r="H6" s="41" t="s">
        <v>612</v>
      </c>
      <c r="J6" s="33"/>
      <c r="L6" s="41" t="s">
        <v>26</v>
      </c>
    </row>
    <row r="7" spans="1:13" s="10" customFormat="1">
      <c r="B7" s="42" t="s">
        <v>27</v>
      </c>
      <c r="C7"/>
      <c r="D7" s="42" t="s">
        <v>107</v>
      </c>
      <c r="E7"/>
      <c r="F7" s="42" t="s">
        <v>108</v>
      </c>
      <c r="G7"/>
      <c r="H7" s="42" t="s">
        <v>613</v>
      </c>
      <c r="I7"/>
      <c r="J7" s="42" t="s">
        <v>109</v>
      </c>
      <c r="K7"/>
      <c r="L7" s="42" t="s">
        <v>27</v>
      </c>
    </row>
    <row r="8" spans="1:13" s="10" customFormat="1">
      <c r="B8"/>
      <c r="C8"/>
      <c r="D8"/>
      <c r="E8"/>
      <c r="F8"/>
      <c r="G8"/>
      <c r="H8"/>
      <c r="I8"/>
      <c r="J8"/>
      <c r="K8"/>
      <c r="L8"/>
    </row>
    <row r="9" spans="1:13">
      <c r="A9" s="95" t="s">
        <v>993</v>
      </c>
      <c r="B9" s="4"/>
      <c r="C9" s="4"/>
      <c r="D9" s="4"/>
      <c r="E9" s="4"/>
      <c r="F9" s="4"/>
      <c r="G9" s="4"/>
      <c r="H9" s="4"/>
      <c r="I9" s="4"/>
      <c r="J9" s="4"/>
      <c r="K9" s="4"/>
      <c r="L9" s="4"/>
      <c r="M9" s="4"/>
    </row>
    <row r="10" spans="1:13">
      <c r="A10" t="s">
        <v>18</v>
      </c>
      <c r="B10" s="33"/>
      <c r="C10" s="182"/>
      <c r="D10" s="182"/>
      <c r="E10" s="182"/>
      <c r="F10" s="182"/>
      <c r="G10" s="182"/>
      <c r="H10" s="182"/>
      <c r="I10" s="182"/>
      <c r="J10" s="182">
        <f>D10+F10+H10</f>
        <v>0</v>
      </c>
      <c r="K10" s="182"/>
      <c r="L10" s="182">
        <f>B10+J10</f>
        <v>0</v>
      </c>
      <c r="M10" s="4"/>
    </row>
    <row r="11" spans="1:13" ht="13.5" thickBot="1">
      <c r="B11" s="46">
        <f>SUM(B10)</f>
        <v>0</v>
      </c>
      <c r="C11" s="182"/>
      <c r="D11" s="46">
        <f>SUM(D10)</f>
        <v>0</v>
      </c>
      <c r="E11" s="182"/>
      <c r="F11" s="46">
        <f>SUM(F10)</f>
        <v>0</v>
      </c>
      <c r="G11" s="182"/>
      <c r="H11" s="46">
        <f>SUM(H10)</f>
        <v>0</v>
      </c>
      <c r="I11" s="182"/>
      <c r="J11" s="46">
        <f>SUM(J10)</f>
        <v>0</v>
      </c>
      <c r="K11" s="182"/>
      <c r="L11" s="46">
        <f>SUM(L10)</f>
        <v>0</v>
      </c>
      <c r="M11" s="4"/>
    </row>
    <row r="12" spans="1:13" ht="13.5" thickTop="1">
      <c r="B12" s="4"/>
      <c r="C12" s="4"/>
      <c r="D12" s="4"/>
      <c r="E12" s="4"/>
      <c r="F12" s="4"/>
      <c r="G12" s="4"/>
      <c r="H12" s="4"/>
      <c r="I12" s="4"/>
      <c r="J12" s="4"/>
      <c r="K12" s="4"/>
      <c r="L12" s="4"/>
      <c r="M12" s="4"/>
    </row>
    <row r="13" spans="1:13">
      <c r="B13" s="4"/>
      <c r="C13" s="4"/>
      <c r="D13" s="4"/>
      <c r="E13" s="4"/>
      <c r="F13" s="4"/>
      <c r="G13" s="4"/>
      <c r="H13" s="4"/>
      <c r="I13" s="4"/>
      <c r="J13" s="4"/>
      <c r="K13" s="4"/>
      <c r="L13" s="4"/>
      <c r="M13" s="4"/>
    </row>
    <row r="14" spans="1:13">
      <c r="B14" s="4"/>
      <c r="C14" s="4"/>
      <c r="D14" s="4"/>
      <c r="E14" s="4"/>
      <c r="F14" s="4"/>
      <c r="G14" s="4"/>
      <c r="H14" s="4"/>
      <c r="I14" s="4"/>
      <c r="J14" s="4"/>
      <c r="K14" s="4"/>
      <c r="L14" s="4"/>
      <c r="M14" s="4"/>
    </row>
    <row r="15" spans="1:13">
      <c r="B15" s="4"/>
      <c r="C15" s="4"/>
      <c r="D15" s="4"/>
      <c r="E15" s="4"/>
      <c r="F15" s="4"/>
      <c r="G15" s="4"/>
      <c r="H15" s="4"/>
      <c r="I15" s="4"/>
      <c r="J15" s="4"/>
      <c r="K15" s="4"/>
      <c r="L15" s="4"/>
      <c r="M15" s="4"/>
    </row>
    <row r="16" spans="1:13">
      <c r="B16" s="4"/>
      <c r="C16" s="4"/>
      <c r="D16" s="4"/>
      <c r="E16" s="4"/>
      <c r="F16" s="4"/>
      <c r="G16" s="4"/>
      <c r="H16" s="4"/>
      <c r="I16" s="4"/>
      <c r="J16" s="4"/>
      <c r="K16" s="4"/>
      <c r="L16" s="4"/>
      <c r="M16" s="4"/>
    </row>
    <row r="17" spans="2:13">
      <c r="B17" s="4"/>
      <c r="C17" s="4"/>
      <c r="D17" s="4"/>
      <c r="E17" s="4"/>
      <c r="F17" s="4"/>
      <c r="G17" s="4"/>
      <c r="H17" s="4"/>
      <c r="I17" s="4"/>
      <c r="J17" s="4"/>
      <c r="K17" s="4"/>
      <c r="L17" s="4"/>
      <c r="M17" s="4"/>
    </row>
    <row r="18" spans="2:13">
      <c r="B18" s="4"/>
      <c r="C18" s="4"/>
      <c r="D18" s="4"/>
      <c r="E18" s="4"/>
      <c r="F18" s="4"/>
      <c r="G18" s="4"/>
      <c r="H18" s="4"/>
      <c r="I18" s="4"/>
      <c r="J18" s="4"/>
      <c r="K18" s="4"/>
      <c r="L18" s="4"/>
      <c r="M18" s="4"/>
    </row>
    <row r="19" spans="2:13">
      <c r="B19" s="4"/>
      <c r="C19" s="4"/>
      <c r="D19" s="4"/>
      <c r="E19" s="4"/>
      <c r="F19" s="4"/>
      <c r="G19" s="4"/>
      <c r="H19" s="4"/>
      <c r="I19" s="4"/>
      <c r="J19" s="4"/>
      <c r="K19" s="4"/>
      <c r="L19" s="4"/>
      <c r="M19" s="4"/>
    </row>
    <row r="20" spans="2:13">
      <c r="B20" s="4"/>
      <c r="C20" s="4"/>
      <c r="D20" s="4"/>
      <c r="E20" s="4"/>
      <c r="F20" s="4"/>
      <c r="G20" s="4"/>
      <c r="H20" s="4"/>
      <c r="I20" s="4"/>
      <c r="J20" s="4"/>
      <c r="K20" s="4"/>
      <c r="L20" s="4"/>
      <c r="M20" s="4"/>
    </row>
    <row r="21" spans="2:13">
      <c r="B21" s="4"/>
      <c r="C21" s="4"/>
      <c r="D21" s="4"/>
      <c r="E21" s="4"/>
      <c r="F21" s="4"/>
      <c r="G21" s="4"/>
      <c r="H21" s="4"/>
      <c r="I21" s="4"/>
      <c r="J21" s="4"/>
      <c r="K21" s="4"/>
      <c r="L21" s="4"/>
      <c r="M21" s="4"/>
    </row>
    <row r="22" spans="2:13">
      <c r="B22" s="4"/>
      <c r="C22" s="4"/>
      <c r="D22" s="4"/>
      <c r="E22" s="4"/>
      <c r="F22" s="4"/>
      <c r="G22" s="4"/>
      <c r="H22" s="4"/>
      <c r="I22" s="4"/>
      <c r="J22" s="4"/>
      <c r="K22" s="4"/>
      <c r="L22" s="4"/>
      <c r="M22" s="4"/>
    </row>
    <row r="23" spans="2:13">
      <c r="B23" s="4"/>
      <c r="C23" s="4"/>
      <c r="D23" s="4"/>
      <c r="E23" s="4"/>
      <c r="F23" s="4"/>
      <c r="G23" s="4"/>
      <c r="H23" s="4"/>
      <c r="I23" s="4"/>
      <c r="J23" s="4"/>
      <c r="K23" s="4"/>
      <c r="L23" s="4"/>
      <c r="M23" s="4"/>
    </row>
    <row r="24" spans="2:13">
      <c r="B24" s="4"/>
      <c r="C24" s="4"/>
      <c r="D24" s="4"/>
      <c r="E24" s="4"/>
      <c r="F24" s="4"/>
      <c r="G24" s="4"/>
      <c r="H24" s="4"/>
      <c r="I24" s="4"/>
      <c r="J24" s="4"/>
      <c r="K24" s="4"/>
      <c r="L24" s="4"/>
      <c r="M24" s="4"/>
    </row>
    <row r="25" spans="2:13">
      <c r="B25" s="4"/>
      <c r="C25" s="4"/>
      <c r="D25" s="4"/>
      <c r="E25" s="4"/>
      <c r="F25" s="4"/>
      <c r="G25" s="4"/>
      <c r="H25" s="4"/>
      <c r="I25" s="4"/>
      <c r="J25" s="4"/>
      <c r="K25" s="4"/>
      <c r="L25" s="4"/>
      <c r="M25" s="4"/>
    </row>
    <row r="26" spans="2:13">
      <c r="B26" s="4"/>
      <c r="C26" s="4"/>
      <c r="D26" s="4"/>
      <c r="E26" s="4"/>
      <c r="F26" s="4"/>
      <c r="G26" s="4"/>
      <c r="H26" s="4"/>
      <c r="I26" s="4"/>
      <c r="J26" s="4"/>
      <c r="K26" s="4"/>
      <c r="L26" s="4"/>
      <c r="M26" s="4"/>
    </row>
    <row r="27" spans="2:13">
      <c r="B27" s="4"/>
      <c r="C27" s="4"/>
      <c r="D27" s="4"/>
      <c r="E27" s="4"/>
      <c r="F27" s="4"/>
      <c r="G27" s="4"/>
      <c r="H27" s="4"/>
      <c r="I27" s="4"/>
      <c r="J27" s="4"/>
      <c r="K27" s="4"/>
      <c r="L27" s="4"/>
      <c r="M27" s="4"/>
    </row>
    <row r="28" spans="2:13">
      <c r="B28" s="4"/>
      <c r="C28" s="4"/>
      <c r="D28" s="4"/>
      <c r="E28" s="4"/>
      <c r="F28" s="4"/>
      <c r="G28" s="4"/>
      <c r="H28" s="4"/>
      <c r="I28" s="4"/>
      <c r="J28" s="4"/>
      <c r="K28" s="4"/>
      <c r="L28" s="4"/>
      <c r="M28" s="4"/>
    </row>
    <row r="29" spans="2:13">
      <c r="B29" s="4"/>
      <c r="C29" s="4"/>
      <c r="D29" s="4"/>
      <c r="E29" s="4"/>
      <c r="F29" s="4"/>
      <c r="G29" s="4"/>
      <c r="H29" s="4"/>
      <c r="I29" s="4"/>
      <c r="J29" s="4"/>
      <c r="K29" s="4"/>
      <c r="L29" s="4"/>
      <c r="M29" s="4"/>
    </row>
    <row r="30" spans="2:13">
      <c r="B30" s="4"/>
      <c r="C30" s="4"/>
      <c r="D30" s="4"/>
      <c r="E30" s="4"/>
      <c r="F30" s="4"/>
      <c r="G30" s="4"/>
      <c r="H30" s="4"/>
      <c r="I30" s="4"/>
      <c r="J30" s="4"/>
      <c r="K30" s="4"/>
      <c r="L30" s="4"/>
      <c r="M30" s="4"/>
    </row>
    <row r="31" spans="2:13">
      <c r="B31" s="4"/>
      <c r="C31" s="4"/>
      <c r="D31" s="4"/>
      <c r="E31" s="4"/>
      <c r="F31" s="4"/>
      <c r="G31" s="4"/>
      <c r="H31" s="4"/>
      <c r="I31" s="4"/>
      <c r="J31" s="4"/>
      <c r="K31" s="4"/>
      <c r="L31" s="4"/>
      <c r="M31" s="4"/>
    </row>
    <row r="32" spans="2:13">
      <c r="B32" s="4"/>
      <c r="C32" s="4"/>
      <c r="D32" s="4"/>
      <c r="E32" s="4"/>
      <c r="F32" s="4"/>
      <c r="G32" s="4"/>
      <c r="H32" s="4"/>
      <c r="I32" s="4"/>
      <c r="J32" s="4"/>
      <c r="K32" s="4"/>
      <c r="L32" s="4"/>
      <c r="M32" s="4"/>
    </row>
    <row r="33" spans="2:13">
      <c r="B33" s="4"/>
      <c r="C33" s="4"/>
      <c r="D33" s="4"/>
      <c r="E33" s="4"/>
      <c r="F33" s="4"/>
      <c r="G33" s="4"/>
      <c r="H33" s="4"/>
      <c r="I33" s="4"/>
      <c r="J33" s="4"/>
      <c r="K33" s="4"/>
      <c r="L33" s="4"/>
      <c r="M33" s="4"/>
    </row>
    <row r="34" spans="2:13">
      <c r="B34" s="4"/>
      <c r="C34" s="4"/>
      <c r="D34" s="4"/>
      <c r="E34" s="4"/>
      <c r="F34" s="4"/>
      <c r="G34" s="4"/>
      <c r="H34" s="4"/>
      <c r="I34" s="4"/>
      <c r="J34" s="4"/>
      <c r="K34" s="4"/>
      <c r="L34" s="4"/>
      <c r="M34" s="4"/>
    </row>
    <row r="35" spans="2:13">
      <c r="B35" s="4"/>
      <c r="C35" s="4"/>
      <c r="D35" s="4"/>
      <c r="E35" s="4"/>
      <c r="F35" s="4"/>
      <c r="G35" s="4"/>
      <c r="H35" s="4"/>
      <c r="I35" s="4"/>
      <c r="J35" s="4"/>
      <c r="K35" s="4"/>
      <c r="L35" s="4"/>
      <c r="M35" s="4"/>
    </row>
    <row r="36" spans="2:13">
      <c r="B36" s="4"/>
      <c r="C36" s="4"/>
      <c r="D36" s="4"/>
      <c r="E36" s="4"/>
      <c r="F36" s="4"/>
      <c r="G36" s="4"/>
      <c r="H36" s="4"/>
      <c r="I36" s="4"/>
      <c r="J36" s="4"/>
      <c r="K36" s="4"/>
      <c r="L36" s="4"/>
      <c r="M36" s="4"/>
    </row>
    <row r="37" spans="2:13">
      <c r="B37" s="4"/>
      <c r="C37" s="4"/>
      <c r="D37" s="4"/>
      <c r="E37" s="4"/>
      <c r="F37" s="4"/>
      <c r="G37" s="4"/>
      <c r="H37" s="4"/>
      <c r="I37" s="4"/>
      <c r="J37" s="4"/>
      <c r="K37" s="4"/>
      <c r="L37" s="4"/>
      <c r="M37" s="4"/>
    </row>
    <row r="38" spans="2:13">
      <c r="B38" s="4"/>
      <c r="C38" s="4"/>
      <c r="D38" s="4"/>
      <c r="E38" s="4"/>
      <c r="F38" s="4"/>
      <c r="G38" s="4"/>
      <c r="H38" s="4"/>
      <c r="I38" s="4"/>
      <c r="J38" s="4"/>
      <c r="K38" s="4"/>
      <c r="L38" s="4"/>
      <c r="M38" s="4"/>
    </row>
    <row r="39" spans="2:13">
      <c r="B39" s="4"/>
      <c r="C39" s="4"/>
      <c r="D39" s="4"/>
      <c r="E39" s="4"/>
      <c r="F39" s="4"/>
      <c r="G39" s="4"/>
      <c r="H39" s="4"/>
      <c r="I39" s="4"/>
      <c r="J39" s="4"/>
      <c r="K39" s="4"/>
      <c r="L39" s="4"/>
      <c r="M39" s="4"/>
    </row>
    <row r="40" spans="2:13">
      <c r="B40" s="4"/>
      <c r="C40" s="4"/>
      <c r="D40" s="4"/>
      <c r="E40" s="4"/>
      <c r="F40" s="4"/>
      <c r="G40" s="4"/>
      <c r="H40" s="4"/>
      <c r="I40" s="4"/>
      <c r="J40" s="4"/>
      <c r="K40" s="4"/>
      <c r="L40" s="4"/>
      <c r="M40" s="4"/>
    </row>
    <row r="41" spans="2:13">
      <c r="B41" s="4"/>
      <c r="C41" s="4"/>
      <c r="D41" s="4"/>
      <c r="E41" s="4"/>
      <c r="F41" s="4"/>
      <c r="G41" s="4"/>
      <c r="H41" s="4"/>
      <c r="I41" s="4"/>
      <c r="J41" s="4"/>
      <c r="K41" s="4"/>
      <c r="L41" s="4"/>
      <c r="M41" s="4"/>
    </row>
    <row r="42" spans="2:13">
      <c r="B42" s="4"/>
      <c r="C42" s="4"/>
      <c r="D42" s="4"/>
      <c r="E42" s="4"/>
      <c r="F42" s="4"/>
      <c r="G42" s="4"/>
      <c r="H42" s="4"/>
      <c r="I42" s="4"/>
      <c r="J42" s="4"/>
      <c r="K42" s="4"/>
      <c r="L42" s="4"/>
      <c r="M42" s="4"/>
    </row>
    <row r="43" spans="2:13">
      <c r="B43" s="4"/>
      <c r="C43" s="4"/>
      <c r="D43" s="4"/>
      <c r="E43" s="4"/>
      <c r="F43" s="4"/>
      <c r="G43" s="4"/>
      <c r="H43" s="4"/>
      <c r="I43" s="4"/>
      <c r="J43" s="4"/>
      <c r="K43" s="4"/>
      <c r="L43" s="4"/>
      <c r="M43" s="4"/>
    </row>
    <row r="44" spans="2:13">
      <c r="B44" s="4"/>
      <c r="C44" s="4"/>
      <c r="D44" s="4"/>
      <c r="E44" s="4"/>
      <c r="F44" s="4"/>
      <c r="G44" s="4"/>
      <c r="H44" s="4"/>
      <c r="I44" s="4"/>
      <c r="J44" s="4"/>
      <c r="K44" s="4"/>
      <c r="L44" s="4"/>
      <c r="M44" s="4"/>
    </row>
    <row r="45" spans="2:13">
      <c r="B45" s="4"/>
      <c r="C45" s="4"/>
      <c r="D45" s="4"/>
      <c r="E45" s="4"/>
      <c r="F45" s="4"/>
      <c r="G45" s="4"/>
      <c r="H45" s="4"/>
      <c r="I45" s="4"/>
      <c r="J45" s="4"/>
      <c r="K45" s="4"/>
      <c r="L45" s="4"/>
      <c r="M45" s="4"/>
    </row>
    <row r="46" spans="2:13">
      <c r="B46" s="4"/>
      <c r="C46" s="4"/>
      <c r="D46" s="4"/>
      <c r="E46" s="4"/>
      <c r="F46" s="4"/>
      <c r="G46" s="4"/>
      <c r="H46" s="4"/>
      <c r="I46" s="4"/>
      <c r="J46" s="4"/>
      <c r="K46" s="4"/>
      <c r="L46" s="4"/>
      <c r="M46" s="4"/>
    </row>
    <row r="47" spans="2:13">
      <c r="B47" s="4"/>
      <c r="C47" s="4"/>
      <c r="D47" s="4"/>
      <c r="E47" s="4"/>
      <c r="F47" s="4"/>
      <c r="G47" s="4"/>
      <c r="H47" s="4"/>
      <c r="I47" s="4"/>
      <c r="J47" s="4"/>
      <c r="K47" s="4"/>
      <c r="L47" s="4"/>
      <c r="M47" s="4"/>
    </row>
    <row r="48" spans="2:13">
      <c r="B48" s="4"/>
      <c r="C48" s="4"/>
      <c r="D48" s="4"/>
      <c r="E48" s="4"/>
      <c r="F48" s="4"/>
      <c r="G48" s="4"/>
      <c r="H48" s="4"/>
      <c r="I48" s="4"/>
      <c r="J48" s="4"/>
      <c r="K48" s="4"/>
      <c r="L48" s="4"/>
      <c r="M48" s="4"/>
    </row>
    <row r="49" spans="2:13">
      <c r="B49" s="4"/>
      <c r="C49" s="4"/>
      <c r="D49" s="4"/>
      <c r="E49" s="4"/>
      <c r="F49" s="4"/>
      <c r="G49" s="4"/>
      <c r="H49" s="4"/>
      <c r="I49" s="4"/>
      <c r="J49" s="4"/>
      <c r="K49" s="4"/>
      <c r="L49" s="4"/>
      <c r="M49" s="4"/>
    </row>
    <row r="50" spans="2:13">
      <c r="B50" s="4"/>
      <c r="C50" s="4"/>
      <c r="D50" s="4"/>
      <c r="E50" s="4"/>
      <c r="F50" s="4"/>
      <c r="G50" s="4"/>
      <c r="H50" s="4"/>
      <c r="I50" s="4"/>
      <c r="J50" s="4"/>
      <c r="K50" s="4"/>
      <c r="L50" s="4"/>
      <c r="M50" s="4"/>
    </row>
    <row r="51" spans="2:13">
      <c r="B51" s="4"/>
      <c r="C51" s="4"/>
      <c r="D51" s="4"/>
      <c r="E51" s="4"/>
      <c r="F51" s="4"/>
      <c r="G51" s="4"/>
      <c r="H51" s="4"/>
      <c r="I51" s="4"/>
      <c r="J51" s="4"/>
      <c r="K51" s="4"/>
      <c r="L51" s="4"/>
      <c r="M51" s="4"/>
    </row>
  </sheetData>
  <mergeCells count="3">
    <mergeCell ref="A1:L1"/>
    <mergeCell ref="A2:L2"/>
    <mergeCell ref="A3:L3"/>
  </mergeCells>
  <pageMargins left="0.75" right="0.75" top="1" bottom="1" header="0.5" footer="0.5"/>
  <pageSetup scale="79" orientation="landscape" r:id="rId1"/>
  <headerFooter alignWithMargins="0">
    <oddFooter>&amp;L&amp;Z
&amp;F&amp;C&amp;A&amp;R24.&amp;P</oddFooter>
  </headerFooter>
</worksheet>
</file>

<file path=xl/worksheets/sheet144.xml><?xml version="1.0" encoding="utf-8"?>
<worksheet xmlns="http://schemas.openxmlformats.org/spreadsheetml/2006/main" xmlns:r="http://schemas.openxmlformats.org/officeDocument/2006/relationships">
  <sheetPr codeName="Sheet147">
    <pageSetUpPr fitToPage="1"/>
  </sheetPr>
  <dimension ref="A1:N125"/>
  <sheetViews>
    <sheetView zoomScale="90" zoomScaleNormal="90" workbookViewId="0">
      <selection activeCell="H10" sqref="H10"/>
    </sheetView>
  </sheetViews>
  <sheetFormatPr defaultRowHeight="12.75"/>
  <cols>
    <col min="1" max="1" width="40.5703125" bestFit="1" customWidth="1"/>
    <col min="2" max="2" width="17.7109375" customWidth="1"/>
    <col min="3" max="3" width="1.7109375" customWidth="1"/>
    <col min="4" max="4" width="17.7109375" customWidth="1"/>
    <col min="5" max="5" width="1.7109375" customWidth="1"/>
    <col min="6" max="6" width="17.7109375" customWidth="1"/>
    <col min="7" max="7" width="1.7109375" customWidth="1"/>
    <col min="8" max="8" width="17.7109375" customWidth="1"/>
    <col min="9" max="9" width="1.7109375" customWidth="1"/>
    <col min="10" max="10" width="17.7109375" customWidth="1"/>
    <col min="11" max="11" width="1.7109375" customWidth="1"/>
    <col min="12" max="12" width="17.7109375" customWidth="1"/>
  </cols>
  <sheetData>
    <row r="1" spans="1:14" s="38" customFormat="1" ht="15.75">
      <c r="A1" s="368" t="s">
        <v>134</v>
      </c>
      <c r="B1" s="368"/>
      <c r="C1" s="368"/>
      <c r="D1" s="368"/>
      <c r="E1" s="368"/>
      <c r="F1" s="368"/>
      <c r="G1" s="368"/>
      <c r="H1" s="368"/>
      <c r="I1" s="368"/>
      <c r="J1" s="368"/>
      <c r="K1" s="368"/>
      <c r="L1" s="368"/>
    </row>
    <row r="2" spans="1:14" s="38" customFormat="1" ht="15.75">
      <c r="A2" s="368" t="s">
        <v>1172</v>
      </c>
      <c r="B2" s="368"/>
      <c r="C2" s="368"/>
      <c r="D2" s="368"/>
      <c r="E2" s="368"/>
      <c r="F2" s="368"/>
      <c r="G2" s="368"/>
      <c r="H2" s="368"/>
      <c r="I2" s="368"/>
      <c r="J2" s="368"/>
      <c r="K2" s="368"/>
      <c r="L2" s="368"/>
    </row>
    <row r="3" spans="1:14">
      <c r="A3" s="357" t="str">
        <f>'Summary - Cost - PG 1 (PA)'!A3:N3</f>
        <v>MARCH 2012</v>
      </c>
      <c r="B3" s="357"/>
      <c r="C3" s="357"/>
      <c r="D3" s="357"/>
      <c r="E3" s="357"/>
      <c r="F3" s="357"/>
      <c r="G3" s="357"/>
      <c r="H3" s="357"/>
      <c r="I3" s="357"/>
      <c r="J3" s="357"/>
      <c r="K3" s="357"/>
      <c r="L3" s="357"/>
    </row>
    <row r="4" spans="1:14">
      <c r="A4" s="50"/>
      <c r="B4" s="50"/>
      <c r="C4" s="50"/>
      <c r="D4" s="50"/>
      <c r="E4" s="50"/>
      <c r="F4" s="50"/>
      <c r="G4" s="50"/>
      <c r="H4" s="50"/>
      <c r="I4" s="50"/>
      <c r="J4" s="50"/>
      <c r="K4" s="50"/>
      <c r="L4" s="50"/>
    </row>
    <row r="6" spans="1:14">
      <c r="B6" s="41" t="s">
        <v>25</v>
      </c>
      <c r="D6" s="33"/>
      <c r="F6" s="33"/>
      <c r="H6" s="41" t="s">
        <v>612</v>
      </c>
      <c r="J6" s="33"/>
      <c r="L6" s="41" t="s">
        <v>26</v>
      </c>
    </row>
    <row r="7" spans="1:14" s="10" customFormat="1">
      <c r="B7" s="42" t="s">
        <v>27</v>
      </c>
      <c r="C7"/>
      <c r="D7" s="42" t="s">
        <v>107</v>
      </c>
      <c r="E7"/>
      <c r="F7" s="42" t="s">
        <v>108</v>
      </c>
      <c r="G7"/>
      <c r="H7" s="42" t="s">
        <v>613</v>
      </c>
      <c r="I7"/>
      <c r="J7" s="42" t="s">
        <v>109</v>
      </c>
      <c r="K7"/>
      <c r="L7" s="42" t="s">
        <v>27</v>
      </c>
    </row>
    <row r="8" spans="1:14" s="10" customFormat="1">
      <c r="B8"/>
      <c r="C8"/>
      <c r="D8"/>
      <c r="E8"/>
      <c r="F8"/>
      <c r="G8"/>
      <c r="H8"/>
      <c r="I8"/>
      <c r="J8"/>
      <c r="K8"/>
      <c r="L8"/>
    </row>
    <row r="9" spans="1:14" s="10" customFormat="1">
      <c r="A9" s="12" t="s">
        <v>687</v>
      </c>
      <c r="B9" s="49"/>
      <c r="C9" s="49"/>
      <c r="D9" s="49"/>
      <c r="E9" s="49"/>
      <c r="F9" s="49"/>
      <c r="G9" s="49"/>
      <c r="H9" s="49"/>
      <c r="I9" s="49"/>
      <c r="J9" s="49"/>
      <c r="K9" s="49"/>
      <c r="L9" s="49"/>
    </row>
    <row r="10" spans="1:14">
      <c r="A10" t="s">
        <v>845</v>
      </c>
      <c r="B10" s="33">
        <v>0</v>
      </c>
      <c r="C10" s="182"/>
      <c r="D10" s="182"/>
      <c r="E10" s="182"/>
      <c r="F10" s="182"/>
      <c r="G10" s="182"/>
      <c r="H10" s="182"/>
      <c r="I10" s="182"/>
      <c r="J10" s="182">
        <f>D10+F10+H10</f>
        <v>0</v>
      </c>
      <c r="K10" s="182">
        <v>0</v>
      </c>
      <c r="L10" s="182">
        <f>J10+B10</f>
        <v>0</v>
      </c>
      <c r="M10" s="4"/>
      <c r="N10" s="4"/>
    </row>
    <row r="11" spans="1:14" ht="13.5" thickBot="1">
      <c r="B11" s="46">
        <f>SUM(B10:B10)</f>
        <v>0</v>
      </c>
      <c r="C11" s="182"/>
      <c r="D11" s="46">
        <f>SUM(D10:D10)</f>
        <v>0</v>
      </c>
      <c r="E11" s="182"/>
      <c r="F11" s="46">
        <f>SUM(F10:F10)</f>
        <v>0</v>
      </c>
      <c r="G11" s="182"/>
      <c r="H11" s="46">
        <f>SUM(H10:H10)</f>
        <v>0</v>
      </c>
      <c r="I11" s="182"/>
      <c r="J11" s="46">
        <f>SUM(J10:J10)</f>
        <v>0</v>
      </c>
      <c r="K11" s="182"/>
      <c r="L11" s="46">
        <f>SUM(L10:L10)</f>
        <v>0</v>
      </c>
      <c r="M11" s="4"/>
      <c r="N11" s="4"/>
    </row>
    <row r="12" spans="1:14" ht="13.5" thickTop="1">
      <c r="B12" s="182"/>
      <c r="C12" s="182"/>
      <c r="D12" s="182"/>
      <c r="E12" s="182"/>
      <c r="F12" s="182"/>
      <c r="G12" s="182"/>
      <c r="H12" s="182"/>
      <c r="I12" s="182"/>
      <c r="J12" s="182"/>
      <c r="K12" s="182"/>
      <c r="L12" s="182"/>
      <c r="M12" s="4"/>
      <c r="N12" s="4"/>
    </row>
    <row r="13" spans="1:14">
      <c r="B13" s="4"/>
      <c r="C13" s="4"/>
      <c r="D13" s="4"/>
      <c r="E13" s="4"/>
      <c r="F13" s="4"/>
      <c r="G13" s="4"/>
      <c r="H13" s="4"/>
      <c r="I13" s="4"/>
      <c r="J13" s="4"/>
      <c r="K13" s="4"/>
      <c r="L13" s="4"/>
      <c r="M13" s="4"/>
      <c r="N13" s="4"/>
    </row>
    <row r="14" spans="1:14">
      <c r="B14" s="4"/>
      <c r="C14" s="4"/>
      <c r="D14" s="4"/>
      <c r="E14" s="4"/>
      <c r="F14" s="4"/>
      <c r="G14" s="4"/>
      <c r="H14" s="4"/>
      <c r="I14" s="4"/>
      <c r="J14" s="4"/>
      <c r="K14" s="4"/>
      <c r="L14" s="4"/>
      <c r="M14" s="4"/>
      <c r="N14" s="4"/>
    </row>
    <row r="15" spans="1:14">
      <c r="B15" s="4"/>
      <c r="C15" s="4"/>
      <c r="D15" s="4"/>
      <c r="E15" s="4"/>
      <c r="F15" s="4"/>
      <c r="G15" s="4"/>
      <c r="H15" s="4"/>
      <c r="I15" s="4"/>
      <c r="J15" s="4"/>
      <c r="K15" s="4"/>
      <c r="L15" s="4"/>
      <c r="M15" s="4"/>
      <c r="N15" s="4"/>
    </row>
    <row r="16" spans="1:14">
      <c r="B16" s="4"/>
      <c r="C16" s="4"/>
      <c r="D16" s="4"/>
      <c r="E16" s="4"/>
      <c r="F16" s="4"/>
      <c r="G16" s="4"/>
      <c r="H16" s="4"/>
      <c r="I16" s="4"/>
      <c r="J16" s="4"/>
      <c r="K16" s="4"/>
      <c r="L16" s="4"/>
      <c r="M16" s="4"/>
      <c r="N16" s="4"/>
    </row>
    <row r="17" spans="2:14">
      <c r="B17" s="4"/>
      <c r="C17" s="4"/>
      <c r="D17" s="4"/>
      <c r="E17" s="4"/>
      <c r="F17" s="4"/>
      <c r="G17" s="4"/>
      <c r="H17" s="4"/>
      <c r="I17" s="4"/>
      <c r="J17" s="4"/>
      <c r="K17" s="4"/>
      <c r="L17" s="4"/>
      <c r="M17" s="4"/>
      <c r="N17" s="4"/>
    </row>
    <row r="18" spans="2:14">
      <c r="B18" s="4"/>
      <c r="C18" s="4"/>
      <c r="D18" s="4"/>
      <c r="E18" s="4"/>
      <c r="F18" s="4"/>
      <c r="G18" s="4"/>
      <c r="H18" s="4"/>
      <c r="I18" s="4"/>
      <c r="J18" s="4"/>
      <c r="K18" s="4"/>
      <c r="L18" s="4"/>
      <c r="M18" s="4"/>
      <c r="N18" s="4"/>
    </row>
    <row r="19" spans="2:14">
      <c r="B19" s="4"/>
      <c r="C19" s="4"/>
      <c r="D19" s="4"/>
      <c r="E19" s="4"/>
      <c r="F19" s="4"/>
      <c r="G19" s="4"/>
      <c r="H19" s="4"/>
      <c r="I19" s="4"/>
      <c r="J19" s="4"/>
      <c r="K19" s="4"/>
      <c r="L19" s="4"/>
      <c r="M19" s="4"/>
      <c r="N19" s="4"/>
    </row>
    <row r="20" spans="2:14">
      <c r="B20" s="4"/>
      <c r="C20" s="4"/>
      <c r="D20" s="4"/>
      <c r="E20" s="4"/>
      <c r="F20" s="4"/>
      <c r="G20" s="4"/>
      <c r="H20" s="4"/>
      <c r="I20" s="4"/>
      <c r="J20" s="4"/>
      <c r="K20" s="4"/>
      <c r="L20" s="4"/>
      <c r="M20" s="4"/>
      <c r="N20" s="4"/>
    </row>
    <row r="21" spans="2:14">
      <c r="B21" s="4"/>
      <c r="C21" s="4"/>
      <c r="D21" s="4"/>
      <c r="E21" s="4"/>
      <c r="F21" s="4"/>
      <c r="G21" s="4"/>
      <c r="H21" s="4"/>
      <c r="I21" s="4"/>
      <c r="J21" s="4"/>
      <c r="K21" s="4"/>
      <c r="L21" s="4"/>
      <c r="M21" s="4"/>
      <c r="N21" s="4"/>
    </row>
    <row r="22" spans="2:14">
      <c r="B22" s="4"/>
      <c r="C22" s="4"/>
      <c r="D22" s="4"/>
      <c r="E22" s="4"/>
      <c r="F22" s="4"/>
      <c r="G22" s="4"/>
      <c r="H22" s="4"/>
      <c r="I22" s="4"/>
      <c r="J22" s="4"/>
      <c r="K22" s="4"/>
      <c r="L22" s="4"/>
      <c r="M22" s="4"/>
      <c r="N22" s="4"/>
    </row>
    <row r="23" spans="2:14">
      <c r="B23" s="4"/>
      <c r="C23" s="4"/>
      <c r="D23" s="4"/>
      <c r="E23" s="4"/>
      <c r="F23" s="4"/>
      <c r="G23" s="4"/>
      <c r="H23" s="4"/>
      <c r="I23" s="4"/>
      <c r="J23" s="4"/>
      <c r="K23" s="4"/>
      <c r="L23" s="4"/>
      <c r="M23" s="4"/>
      <c r="N23" s="4"/>
    </row>
    <row r="24" spans="2:14">
      <c r="B24" s="4"/>
      <c r="C24" s="4"/>
      <c r="D24" s="4"/>
      <c r="E24" s="4"/>
      <c r="F24" s="4"/>
      <c r="G24" s="4"/>
      <c r="H24" s="4"/>
      <c r="I24" s="4"/>
      <c r="J24" s="4"/>
      <c r="K24" s="4"/>
      <c r="L24" s="4"/>
      <c r="M24" s="4"/>
      <c r="N24" s="4"/>
    </row>
    <row r="25" spans="2:14">
      <c r="B25" s="4"/>
      <c r="C25" s="4"/>
      <c r="D25" s="4"/>
      <c r="E25" s="4"/>
      <c r="F25" s="4"/>
      <c r="G25" s="4"/>
      <c r="H25" s="4"/>
      <c r="I25" s="4"/>
      <c r="J25" s="4"/>
      <c r="K25" s="4"/>
      <c r="L25" s="4"/>
      <c r="M25" s="4"/>
      <c r="N25" s="4"/>
    </row>
    <row r="26" spans="2:14">
      <c r="B26" s="4"/>
      <c r="C26" s="4"/>
      <c r="D26" s="4"/>
      <c r="E26" s="4"/>
      <c r="F26" s="4"/>
      <c r="G26" s="4"/>
      <c r="H26" s="4"/>
      <c r="I26" s="4"/>
      <c r="J26" s="4"/>
      <c r="K26" s="4"/>
      <c r="L26" s="4"/>
      <c r="M26" s="4"/>
      <c r="N26" s="4"/>
    </row>
    <row r="27" spans="2:14">
      <c r="B27" s="4"/>
      <c r="C27" s="4"/>
      <c r="D27" s="4"/>
      <c r="E27" s="4"/>
      <c r="F27" s="4"/>
      <c r="G27" s="4"/>
      <c r="H27" s="4"/>
      <c r="I27" s="4"/>
      <c r="J27" s="4"/>
      <c r="K27" s="4"/>
      <c r="L27" s="4"/>
      <c r="M27" s="4"/>
      <c r="N27" s="4"/>
    </row>
    <row r="28" spans="2:14">
      <c r="B28" s="4"/>
      <c r="C28" s="4"/>
      <c r="D28" s="4"/>
      <c r="E28" s="4"/>
      <c r="F28" s="4"/>
      <c r="G28" s="4"/>
      <c r="H28" s="4"/>
      <c r="I28" s="4"/>
      <c r="J28" s="4"/>
      <c r="K28" s="4"/>
      <c r="L28" s="4"/>
      <c r="M28" s="4"/>
      <c r="N28" s="4"/>
    </row>
    <row r="29" spans="2:14">
      <c r="B29" s="4"/>
      <c r="C29" s="4"/>
      <c r="D29" s="4"/>
      <c r="E29" s="4"/>
      <c r="F29" s="4"/>
      <c r="G29" s="4"/>
      <c r="H29" s="4"/>
      <c r="I29" s="4"/>
      <c r="J29" s="4"/>
      <c r="K29" s="4"/>
      <c r="L29" s="4"/>
      <c r="M29" s="4"/>
      <c r="N29" s="4"/>
    </row>
    <row r="30" spans="2:14">
      <c r="B30" s="4"/>
      <c r="C30" s="4"/>
      <c r="D30" s="4"/>
      <c r="E30" s="4"/>
      <c r="F30" s="4"/>
      <c r="G30" s="4"/>
      <c r="H30" s="4"/>
      <c r="I30" s="4"/>
      <c r="J30" s="4"/>
      <c r="K30" s="4"/>
      <c r="L30" s="4"/>
      <c r="M30" s="4"/>
      <c r="N30" s="4"/>
    </row>
    <row r="31" spans="2:14">
      <c r="B31" s="4"/>
      <c r="C31" s="4"/>
      <c r="D31" s="4"/>
      <c r="E31" s="4"/>
      <c r="F31" s="4"/>
      <c r="G31" s="4"/>
      <c r="H31" s="4"/>
      <c r="I31" s="4"/>
      <c r="J31" s="4"/>
      <c r="K31" s="4"/>
      <c r="L31" s="4"/>
      <c r="M31" s="4"/>
      <c r="N31" s="4"/>
    </row>
    <row r="32" spans="2:14">
      <c r="B32" s="4"/>
      <c r="C32" s="4"/>
      <c r="D32" s="4"/>
      <c r="E32" s="4"/>
      <c r="F32" s="4"/>
      <c r="G32" s="4"/>
      <c r="H32" s="4"/>
      <c r="I32" s="4"/>
      <c r="J32" s="4"/>
      <c r="K32" s="4"/>
      <c r="L32" s="4"/>
      <c r="M32" s="4"/>
      <c r="N32" s="4"/>
    </row>
    <row r="33" spans="2:14">
      <c r="B33" s="4"/>
      <c r="C33" s="4"/>
      <c r="D33" s="4"/>
      <c r="E33" s="4"/>
      <c r="F33" s="4"/>
      <c r="G33" s="4"/>
      <c r="H33" s="4"/>
      <c r="I33" s="4"/>
      <c r="J33" s="4"/>
      <c r="K33" s="4"/>
      <c r="L33" s="4"/>
      <c r="M33" s="4"/>
      <c r="N33" s="4"/>
    </row>
    <row r="34" spans="2:14">
      <c r="B34" s="4"/>
      <c r="C34" s="4"/>
      <c r="D34" s="4"/>
      <c r="E34" s="4"/>
      <c r="F34" s="4"/>
      <c r="G34" s="4"/>
      <c r="H34" s="4"/>
      <c r="I34" s="4"/>
      <c r="J34" s="4"/>
      <c r="K34" s="4"/>
      <c r="L34" s="4"/>
      <c r="M34" s="4"/>
      <c r="N34" s="4"/>
    </row>
    <row r="35" spans="2:14">
      <c r="B35" s="4"/>
      <c r="C35" s="4"/>
      <c r="D35" s="4"/>
      <c r="E35" s="4"/>
      <c r="F35" s="4"/>
      <c r="G35" s="4"/>
      <c r="H35" s="4"/>
      <c r="I35" s="4"/>
      <c r="J35" s="4"/>
      <c r="K35" s="4"/>
      <c r="L35" s="4"/>
      <c r="M35" s="4"/>
      <c r="N35" s="4"/>
    </row>
    <row r="36" spans="2:14">
      <c r="B36" s="4"/>
      <c r="C36" s="4"/>
      <c r="D36" s="4"/>
      <c r="E36" s="4"/>
      <c r="F36" s="4"/>
      <c r="G36" s="4"/>
      <c r="H36" s="4"/>
      <c r="I36" s="4"/>
      <c r="J36" s="4"/>
      <c r="K36" s="4"/>
      <c r="L36" s="4"/>
      <c r="M36" s="4"/>
      <c r="N36" s="4"/>
    </row>
    <row r="37" spans="2:14">
      <c r="B37" s="4"/>
      <c r="C37" s="4"/>
      <c r="D37" s="4"/>
      <c r="E37" s="4"/>
      <c r="F37" s="4"/>
      <c r="G37" s="4"/>
      <c r="H37" s="4"/>
      <c r="I37" s="4"/>
      <c r="J37" s="4"/>
      <c r="K37" s="4"/>
      <c r="L37" s="4"/>
      <c r="M37" s="4"/>
      <c r="N37" s="4"/>
    </row>
    <row r="38" spans="2:14">
      <c r="B38" s="4"/>
      <c r="C38" s="4"/>
      <c r="D38" s="4"/>
      <c r="E38" s="4"/>
      <c r="F38" s="4"/>
      <c r="G38" s="4"/>
      <c r="H38" s="4"/>
      <c r="I38" s="4"/>
      <c r="J38" s="4"/>
      <c r="K38" s="4"/>
      <c r="L38" s="4"/>
      <c r="M38" s="4"/>
      <c r="N38" s="4"/>
    </row>
    <row r="39" spans="2:14">
      <c r="B39" s="4"/>
      <c r="C39" s="4"/>
      <c r="D39" s="4"/>
      <c r="E39" s="4"/>
      <c r="F39" s="4"/>
      <c r="G39" s="4"/>
      <c r="H39" s="4"/>
      <c r="I39" s="4"/>
      <c r="J39" s="4"/>
      <c r="K39" s="4"/>
      <c r="L39" s="4"/>
      <c r="M39" s="4"/>
      <c r="N39" s="4"/>
    </row>
    <row r="40" spans="2:14">
      <c r="B40" s="4"/>
      <c r="C40" s="4"/>
      <c r="D40" s="4"/>
      <c r="E40" s="4"/>
      <c r="F40" s="4"/>
      <c r="G40" s="4"/>
      <c r="H40" s="4"/>
      <c r="I40" s="4"/>
      <c r="J40" s="4"/>
      <c r="K40" s="4"/>
      <c r="L40" s="4"/>
      <c r="M40" s="4"/>
      <c r="N40" s="4"/>
    </row>
    <row r="41" spans="2:14">
      <c r="B41" s="4"/>
      <c r="C41" s="4"/>
      <c r="D41" s="4"/>
      <c r="E41" s="4"/>
      <c r="F41" s="4"/>
      <c r="G41" s="4"/>
      <c r="H41" s="4"/>
      <c r="I41" s="4"/>
      <c r="J41" s="4"/>
      <c r="K41" s="4"/>
      <c r="L41" s="4"/>
      <c r="M41" s="4"/>
      <c r="N41" s="4"/>
    </row>
    <row r="42" spans="2:14">
      <c r="B42" s="4"/>
      <c r="C42" s="4"/>
      <c r="D42" s="4"/>
      <c r="E42" s="4"/>
      <c r="F42" s="4"/>
      <c r="G42" s="4"/>
      <c r="H42" s="4"/>
      <c r="I42" s="4"/>
      <c r="J42" s="4"/>
      <c r="K42" s="4"/>
      <c r="L42" s="4"/>
      <c r="M42" s="4"/>
      <c r="N42" s="4"/>
    </row>
    <row r="43" spans="2:14">
      <c r="B43" s="4"/>
      <c r="C43" s="4"/>
      <c r="D43" s="4"/>
      <c r="E43" s="4"/>
      <c r="F43" s="4"/>
      <c r="G43" s="4"/>
      <c r="H43" s="4"/>
      <c r="I43" s="4"/>
      <c r="J43" s="4"/>
      <c r="K43" s="4"/>
      <c r="L43" s="4"/>
      <c r="M43" s="4"/>
      <c r="N43" s="4"/>
    </row>
    <row r="44" spans="2:14">
      <c r="B44" s="4"/>
      <c r="C44" s="4"/>
      <c r="D44" s="4"/>
      <c r="E44" s="4"/>
      <c r="F44" s="4"/>
      <c r="G44" s="4"/>
      <c r="H44" s="4"/>
      <c r="I44" s="4"/>
      <c r="J44" s="4"/>
      <c r="K44" s="4"/>
      <c r="L44" s="4"/>
      <c r="M44" s="4"/>
      <c r="N44" s="4"/>
    </row>
    <row r="45" spans="2:14">
      <c r="B45" s="4"/>
      <c r="C45" s="4"/>
      <c r="D45" s="4"/>
      <c r="E45" s="4"/>
      <c r="F45" s="4"/>
      <c r="G45" s="4"/>
      <c r="H45" s="4"/>
      <c r="I45" s="4"/>
      <c r="J45" s="4"/>
      <c r="K45" s="4"/>
      <c r="L45" s="4"/>
      <c r="M45" s="4"/>
      <c r="N45" s="4"/>
    </row>
    <row r="46" spans="2:14">
      <c r="B46" s="4"/>
      <c r="C46" s="4"/>
      <c r="D46" s="4"/>
      <c r="E46" s="4"/>
      <c r="F46" s="4"/>
      <c r="G46" s="4"/>
      <c r="H46" s="4"/>
      <c r="I46" s="4"/>
      <c r="J46" s="4"/>
      <c r="K46" s="4"/>
      <c r="L46" s="4"/>
      <c r="M46" s="4"/>
      <c r="N46" s="4"/>
    </row>
    <row r="47" spans="2:14">
      <c r="B47" s="4"/>
      <c r="C47" s="4"/>
      <c r="D47" s="4"/>
      <c r="E47" s="4"/>
      <c r="F47" s="4"/>
      <c r="G47" s="4"/>
      <c r="H47" s="4"/>
      <c r="I47" s="4"/>
      <c r="J47" s="4"/>
      <c r="K47" s="4"/>
      <c r="L47" s="4"/>
      <c r="M47" s="4"/>
      <c r="N47" s="4"/>
    </row>
    <row r="48" spans="2:14">
      <c r="B48" s="4"/>
      <c r="C48" s="4"/>
      <c r="D48" s="4"/>
      <c r="E48" s="4"/>
      <c r="F48" s="4"/>
      <c r="G48" s="4"/>
      <c r="H48" s="4"/>
      <c r="I48" s="4"/>
      <c r="J48" s="4"/>
      <c r="K48" s="4"/>
      <c r="L48" s="4"/>
      <c r="M48" s="4"/>
      <c r="N48" s="4"/>
    </row>
    <row r="49" spans="2:14">
      <c r="B49" s="4"/>
      <c r="C49" s="4"/>
      <c r="D49" s="4"/>
      <c r="E49" s="4"/>
      <c r="F49" s="4"/>
      <c r="G49" s="4"/>
      <c r="H49" s="4"/>
      <c r="I49" s="4"/>
      <c r="J49" s="4"/>
      <c r="K49" s="4"/>
      <c r="L49" s="4"/>
      <c r="M49" s="4"/>
      <c r="N49" s="4"/>
    </row>
    <row r="50" spans="2:14">
      <c r="B50" s="4"/>
      <c r="C50" s="4"/>
      <c r="D50" s="4"/>
      <c r="E50" s="4"/>
      <c r="F50" s="4"/>
      <c r="G50" s="4"/>
      <c r="H50" s="4"/>
      <c r="I50" s="4"/>
      <c r="J50" s="4"/>
      <c r="K50" s="4"/>
      <c r="L50" s="4"/>
      <c r="M50" s="4"/>
      <c r="N50" s="4"/>
    </row>
    <row r="51" spans="2:14">
      <c r="B51" s="4"/>
      <c r="C51" s="4"/>
      <c r="D51" s="4"/>
      <c r="E51" s="4"/>
      <c r="F51" s="4"/>
      <c r="G51" s="4"/>
      <c r="H51" s="4"/>
      <c r="I51" s="4"/>
      <c r="J51" s="4"/>
      <c r="K51" s="4"/>
      <c r="L51" s="4"/>
      <c r="M51" s="4"/>
      <c r="N51" s="4"/>
    </row>
    <row r="52" spans="2:14">
      <c r="B52" s="4"/>
      <c r="C52" s="4"/>
      <c r="D52" s="4"/>
      <c r="E52" s="4"/>
      <c r="F52" s="4"/>
      <c r="G52" s="4"/>
      <c r="H52" s="4"/>
      <c r="I52" s="4"/>
      <c r="J52" s="4"/>
      <c r="K52" s="4"/>
      <c r="L52" s="4"/>
      <c r="M52" s="4"/>
      <c r="N52" s="4"/>
    </row>
    <row r="53" spans="2:14">
      <c r="B53" s="4"/>
      <c r="C53" s="4"/>
      <c r="D53" s="4"/>
      <c r="E53" s="4"/>
      <c r="F53" s="4"/>
      <c r="G53" s="4"/>
      <c r="H53" s="4"/>
      <c r="I53" s="4"/>
      <c r="J53" s="4"/>
      <c r="K53" s="4"/>
      <c r="L53" s="4"/>
      <c r="M53" s="4"/>
      <c r="N53" s="4"/>
    </row>
    <row r="54" spans="2:14">
      <c r="B54" s="4"/>
      <c r="C54" s="4"/>
      <c r="D54" s="4"/>
      <c r="E54" s="4"/>
      <c r="F54" s="4"/>
      <c r="G54" s="4"/>
      <c r="H54" s="4"/>
      <c r="I54" s="4"/>
      <c r="J54" s="4"/>
      <c r="K54" s="4"/>
      <c r="L54" s="4"/>
      <c r="M54" s="4"/>
      <c r="N54" s="4"/>
    </row>
    <row r="55" spans="2:14">
      <c r="B55" s="4"/>
      <c r="C55" s="4"/>
      <c r="D55" s="4"/>
      <c r="E55" s="4"/>
      <c r="F55" s="4"/>
      <c r="G55" s="4"/>
      <c r="H55" s="4"/>
      <c r="I55" s="4"/>
      <c r="J55" s="4"/>
      <c r="K55" s="4"/>
      <c r="L55" s="4"/>
      <c r="M55" s="4"/>
      <c r="N55" s="4"/>
    </row>
    <row r="56" spans="2:14">
      <c r="B56" s="4"/>
      <c r="C56" s="4"/>
      <c r="D56" s="4"/>
      <c r="E56" s="4"/>
      <c r="F56" s="4"/>
      <c r="G56" s="4"/>
      <c r="H56" s="4"/>
      <c r="I56" s="4"/>
      <c r="J56" s="4"/>
      <c r="K56" s="4"/>
      <c r="L56" s="4"/>
      <c r="M56" s="4"/>
      <c r="N56" s="4"/>
    </row>
    <row r="57" spans="2:14">
      <c r="B57" s="4"/>
      <c r="C57" s="4"/>
      <c r="D57" s="4"/>
      <c r="E57" s="4"/>
      <c r="F57" s="4"/>
      <c r="G57" s="4"/>
      <c r="H57" s="4"/>
      <c r="I57" s="4"/>
      <c r="J57" s="4"/>
      <c r="K57" s="4"/>
      <c r="L57" s="4"/>
      <c r="M57" s="4"/>
      <c r="N57" s="4"/>
    </row>
    <row r="58" spans="2:14">
      <c r="B58" s="4"/>
      <c r="C58" s="4"/>
      <c r="D58" s="4"/>
      <c r="E58" s="4"/>
      <c r="F58" s="4"/>
      <c r="G58" s="4"/>
      <c r="H58" s="4"/>
      <c r="I58" s="4"/>
      <c r="J58" s="4"/>
      <c r="K58" s="4"/>
      <c r="L58" s="4"/>
      <c r="M58" s="4"/>
      <c r="N58" s="4"/>
    </row>
    <row r="59" spans="2:14">
      <c r="B59" s="4"/>
      <c r="C59" s="4"/>
      <c r="D59" s="4"/>
      <c r="E59" s="4"/>
      <c r="F59" s="4"/>
      <c r="G59" s="4"/>
      <c r="H59" s="4"/>
      <c r="I59" s="4"/>
      <c r="J59" s="4"/>
      <c r="K59" s="4"/>
      <c r="L59" s="4"/>
      <c r="M59" s="4"/>
      <c r="N59" s="4"/>
    </row>
    <row r="60" spans="2:14">
      <c r="B60" s="4"/>
      <c r="C60" s="4"/>
      <c r="D60" s="4"/>
      <c r="E60" s="4"/>
      <c r="F60" s="4"/>
      <c r="G60" s="4"/>
      <c r="H60" s="4"/>
      <c r="I60" s="4"/>
      <c r="J60" s="4"/>
      <c r="K60" s="4"/>
      <c r="L60" s="4"/>
      <c r="M60" s="4"/>
      <c r="N60" s="4"/>
    </row>
    <row r="61" spans="2:14">
      <c r="B61" s="4"/>
      <c r="C61" s="4"/>
      <c r="D61" s="4"/>
      <c r="E61" s="4"/>
      <c r="F61" s="4"/>
      <c r="G61" s="4"/>
      <c r="H61" s="4"/>
      <c r="I61" s="4"/>
      <c r="J61" s="4"/>
      <c r="K61" s="4"/>
      <c r="L61" s="4"/>
      <c r="M61" s="4"/>
      <c r="N61" s="4"/>
    </row>
    <row r="62" spans="2:14">
      <c r="B62" s="4"/>
      <c r="C62" s="4"/>
      <c r="D62" s="4"/>
      <c r="E62" s="4"/>
      <c r="F62" s="4"/>
      <c r="G62" s="4"/>
      <c r="H62" s="4"/>
      <c r="I62" s="4"/>
      <c r="J62" s="4"/>
      <c r="K62" s="4"/>
      <c r="L62" s="4"/>
      <c r="M62" s="4"/>
      <c r="N62" s="4"/>
    </row>
    <row r="63" spans="2:14">
      <c r="B63" s="4"/>
      <c r="C63" s="4"/>
      <c r="D63" s="4"/>
      <c r="E63" s="4"/>
      <c r="F63" s="4"/>
      <c r="G63" s="4"/>
      <c r="H63" s="4"/>
      <c r="I63" s="4"/>
      <c r="J63" s="4"/>
      <c r="K63" s="4"/>
      <c r="L63" s="4"/>
      <c r="M63" s="4"/>
      <c r="N63" s="4"/>
    </row>
    <row r="64" spans="2:14">
      <c r="B64" s="4"/>
      <c r="C64" s="4"/>
      <c r="D64" s="4"/>
      <c r="E64" s="4"/>
      <c r="F64" s="4"/>
      <c r="G64" s="4"/>
      <c r="H64" s="4"/>
      <c r="I64" s="4"/>
      <c r="J64" s="4"/>
      <c r="K64" s="4"/>
      <c r="L64" s="4"/>
      <c r="M64" s="4"/>
      <c r="N64" s="4"/>
    </row>
    <row r="65" spans="2:14">
      <c r="B65" s="4"/>
      <c r="C65" s="4"/>
      <c r="D65" s="4"/>
      <c r="E65" s="4"/>
      <c r="F65" s="4"/>
      <c r="G65" s="4"/>
      <c r="H65" s="4"/>
      <c r="I65" s="4"/>
      <c r="J65" s="4"/>
      <c r="K65" s="4"/>
      <c r="L65" s="4"/>
      <c r="M65" s="4"/>
      <c r="N65" s="4"/>
    </row>
    <row r="66" spans="2:14">
      <c r="B66" s="4"/>
      <c r="C66" s="4"/>
      <c r="D66" s="4"/>
      <c r="E66" s="4"/>
      <c r="F66" s="4"/>
      <c r="G66" s="4"/>
      <c r="H66" s="4"/>
      <c r="I66" s="4"/>
      <c r="J66" s="4"/>
      <c r="K66" s="4"/>
      <c r="L66" s="4"/>
      <c r="M66" s="4"/>
      <c r="N66" s="4"/>
    </row>
    <row r="67" spans="2:14">
      <c r="B67" s="4"/>
      <c r="C67" s="4"/>
      <c r="D67" s="4"/>
      <c r="E67" s="4"/>
      <c r="F67" s="4"/>
      <c r="G67" s="4"/>
      <c r="H67" s="4"/>
      <c r="I67" s="4"/>
      <c r="J67" s="4"/>
      <c r="K67" s="4"/>
      <c r="L67" s="4"/>
      <c r="M67" s="4"/>
      <c r="N67" s="4"/>
    </row>
    <row r="68" spans="2:14">
      <c r="B68" s="4"/>
      <c r="C68" s="4"/>
      <c r="D68" s="4"/>
      <c r="E68" s="4"/>
      <c r="F68" s="4"/>
      <c r="G68" s="4"/>
      <c r="H68" s="4"/>
      <c r="I68" s="4"/>
      <c r="J68" s="4"/>
      <c r="K68" s="4"/>
      <c r="L68" s="4"/>
      <c r="M68" s="4"/>
      <c r="N68" s="4"/>
    </row>
    <row r="69" spans="2:14">
      <c r="B69" s="4"/>
      <c r="C69" s="4"/>
      <c r="D69" s="4"/>
      <c r="E69" s="4"/>
      <c r="F69" s="4"/>
      <c r="G69" s="4"/>
      <c r="H69" s="4"/>
      <c r="I69" s="4"/>
      <c r="J69" s="4"/>
      <c r="K69" s="4"/>
      <c r="L69" s="4"/>
      <c r="M69" s="4"/>
      <c r="N69" s="4"/>
    </row>
    <row r="70" spans="2:14">
      <c r="B70" s="4"/>
      <c r="C70" s="4"/>
      <c r="D70" s="4"/>
      <c r="E70" s="4"/>
      <c r="F70" s="4"/>
      <c r="G70" s="4"/>
      <c r="H70" s="4"/>
      <c r="I70" s="4"/>
      <c r="J70" s="4"/>
      <c r="K70" s="4"/>
      <c r="L70" s="4"/>
      <c r="M70" s="4"/>
      <c r="N70" s="4"/>
    </row>
    <row r="71" spans="2:14">
      <c r="B71" s="4"/>
      <c r="C71" s="4"/>
      <c r="D71" s="4"/>
      <c r="E71" s="4"/>
      <c r="F71" s="4"/>
      <c r="G71" s="4"/>
      <c r="H71" s="4"/>
      <c r="I71" s="4"/>
      <c r="J71" s="4"/>
      <c r="K71" s="4"/>
      <c r="L71" s="4"/>
      <c r="M71" s="4"/>
      <c r="N71" s="4"/>
    </row>
    <row r="72" spans="2:14">
      <c r="B72" s="4"/>
      <c r="C72" s="4"/>
      <c r="D72" s="4"/>
      <c r="E72" s="4"/>
      <c r="F72" s="4"/>
      <c r="G72" s="4"/>
      <c r="H72" s="4"/>
      <c r="I72" s="4"/>
      <c r="J72" s="4"/>
      <c r="K72" s="4"/>
      <c r="L72" s="4"/>
      <c r="M72" s="4"/>
      <c r="N72" s="4"/>
    </row>
    <row r="73" spans="2:14">
      <c r="B73" s="4"/>
      <c r="C73" s="4"/>
      <c r="D73" s="4"/>
      <c r="E73" s="4"/>
      <c r="F73" s="4"/>
      <c r="G73" s="4"/>
      <c r="H73" s="4"/>
      <c r="I73" s="4"/>
      <c r="J73" s="4"/>
      <c r="K73" s="4"/>
      <c r="L73" s="4"/>
      <c r="M73" s="4"/>
      <c r="N73" s="4"/>
    </row>
    <row r="74" spans="2:14">
      <c r="B74" s="4"/>
      <c r="C74" s="4"/>
      <c r="D74" s="4"/>
      <c r="E74" s="4"/>
      <c r="F74" s="4"/>
      <c r="G74" s="4"/>
      <c r="H74" s="4"/>
      <c r="I74" s="4"/>
      <c r="J74" s="4"/>
      <c r="K74" s="4"/>
      <c r="L74" s="4"/>
      <c r="M74" s="4"/>
      <c r="N74" s="4"/>
    </row>
    <row r="75" spans="2:14">
      <c r="B75" s="4"/>
      <c r="C75" s="4"/>
      <c r="D75" s="4"/>
      <c r="E75" s="4"/>
      <c r="F75" s="4"/>
      <c r="G75" s="4"/>
      <c r="H75" s="4"/>
      <c r="I75" s="4"/>
      <c r="J75" s="4"/>
      <c r="K75" s="4"/>
      <c r="L75" s="4"/>
      <c r="M75" s="4"/>
      <c r="N75" s="4"/>
    </row>
    <row r="76" spans="2:14">
      <c r="B76" s="4"/>
      <c r="C76" s="4"/>
      <c r="D76" s="4"/>
      <c r="E76" s="4"/>
      <c r="F76" s="4"/>
      <c r="G76" s="4"/>
      <c r="H76" s="4"/>
      <c r="I76" s="4"/>
      <c r="J76" s="4"/>
      <c r="K76" s="4"/>
      <c r="L76" s="4"/>
      <c r="M76" s="4"/>
      <c r="N76" s="4"/>
    </row>
    <row r="77" spans="2:14">
      <c r="B77" s="4"/>
      <c r="C77" s="4"/>
      <c r="D77" s="4"/>
      <c r="E77" s="4"/>
      <c r="F77" s="4"/>
      <c r="G77" s="4"/>
      <c r="H77" s="4"/>
      <c r="I77" s="4"/>
      <c r="J77" s="4"/>
      <c r="K77" s="4"/>
      <c r="L77" s="4"/>
      <c r="M77" s="4"/>
      <c r="N77" s="4"/>
    </row>
    <row r="78" spans="2:14">
      <c r="B78" s="4"/>
      <c r="C78" s="4"/>
      <c r="D78" s="4"/>
      <c r="E78" s="4"/>
      <c r="F78" s="4"/>
      <c r="G78" s="4"/>
      <c r="H78" s="4"/>
      <c r="I78" s="4"/>
      <c r="J78" s="4"/>
      <c r="K78" s="4"/>
      <c r="L78" s="4"/>
      <c r="M78" s="4"/>
      <c r="N78" s="4"/>
    </row>
    <row r="79" spans="2:14">
      <c r="B79" s="4"/>
      <c r="C79" s="4"/>
      <c r="D79" s="4"/>
      <c r="E79" s="4"/>
      <c r="F79" s="4"/>
      <c r="G79" s="4"/>
      <c r="H79" s="4"/>
      <c r="I79" s="4"/>
      <c r="J79" s="4"/>
      <c r="K79" s="4"/>
      <c r="L79" s="4"/>
      <c r="M79" s="4"/>
      <c r="N79" s="4"/>
    </row>
    <row r="80" spans="2:14">
      <c r="B80" s="4"/>
      <c r="C80" s="4"/>
      <c r="D80" s="4"/>
      <c r="E80" s="4"/>
      <c r="F80" s="4"/>
      <c r="G80" s="4"/>
      <c r="H80" s="4"/>
      <c r="I80" s="4"/>
      <c r="J80" s="4"/>
      <c r="K80" s="4"/>
      <c r="L80" s="4"/>
      <c r="M80" s="4"/>
      <c r="N80" s="4"/>
    </row>
    <row r="81" spans="2:14">
      <c r="B81" s="4"/>
      <c r="C81" s="4"/>
      <c r="D81" s="4"/>
      <c r="E81" s="4"/>
      <c r="F81" s="4"/>
      <c r="G81" s="4"/>
      <c r="H81" s="4"/>
      <c r="I81" s="4"/>
      <c r="J81" s="4"/>
      <c r="K81" s="4"/>
      <c r="L81" s="4"/>
      <c r="M81" s="4"/>
      <c r="N81" s="4"/>
    </row>
    <row r="82" spans="2:14">
      <c r="B82" s="4"/>
      <c r="C82" s="4"/>
      <c r="D82" s="4"/>
      <c r="E82" s="4"/>
      <c r="F82" s="4"/>
      <c r="G82" s="4"/>
      <c r="H82" s="4"/>
      <c r="I82" s="4"/>
      <c r="J82" s="4"/>
      <c r="K82" s="4"/>
      <c r="L82" s="4"/>
      <c r="M82" s="4"/>
      <c r="N82" s="4"/>
    </row>
    <row r="83" spans="2:14">
      <c r="B83" s="4"/>
      <c r="C83" s="4"/>
      <c r="D83" s="4"/>
      <c r="E83" s="4"/>
      <c r="F83" s="4"/>
      <c r="G83" s="4"/>
      <c r="H83" s="4"/>
      <c r="I83" s="4"/>
      <c r="J83" s="4"/>
      <c r="K83" s="4"/>
      <c r="L83" s="4"/>
      <c r="M83" s="4"/>
      <c r="N83" s="4"/>
    </row>
    <row r="84" spans="2:14">
      <c r="B84" s="4"/>
      <c r="C84" s="4"/>
      <c r="D84" s="4"/>
      <c r="E84" s="4"/>
      <c r="F84" s="4"/>
      <c r="G84" s="4"/>
      <c r="H84" s="4"/>
      <c r="I84" s="4"/>
      <c r="J84" s="4"/>
      <c r="K84" s="4"/>
      <c r="L84" s="4"/>
      <c r="M84" s="4"/>
      <c r="N84" s="4"/>
    </row>
    <row r="85" spans="2:14">
      <c r="B85" s="4"/>
      <c r="C85" s="4"/>
      <c r="D85" s="4"/>
      <c r="E85" s="4"/>
      <c r="F85" s="4"/>
      <c r="G85" s="4"/>
      <c r="H85" s="4"/>
      <c r="I85" s="4"/>
      <c r="J85" s="4"/>
      <c r="K85" s="4"/>
      <c r="L85" s="4"/>
      <c r="M85" s="4"/>
      <c r="N85" s="4"/>
    </row>
    <row r="86" spans="2:14">
      <c r="B86" s="4"/>
      <c r="C86" s="4"/>
      <c r="D86" s="4"/>
      <c r="E86" s="4"/>
      <c r="F86" s="4"/>
      <c r="G86" s="4"/>
      <c r="H86" s="4"/>
      <c r="I86" s="4"/>
      <c r="J86" s="4"/>
      <c r="K86" s="4"/>
      <c r="L86" s="4"/>
      <c r="M86" s="4"/>
      <c r="N86" s="4"/>
    </row>
    <row r="87" spans="2:14">
      <c r="B87" s="4"/>
      <c r="C87" s="4"/>
      <c r="D87" s="4"/>
      <c r="E87" s="4"/>
      <c r="F87" s="4"/>
      <c r="G87" s="4"/>
      <c r="H87" s="4"/>
      <c r="I87" s="4"/>
      <c r="J87" s="4"/>
      <c r="K87" s="4"/>
      <c r="L87" s="4"/>
      <c r="M87" s="4"/>
      <c r="N87" s="4"/>
    </row>
    <row r="88" spans="2:14">
      <c r="B88" s="4"/>
      <c r="C88" s="4"/>
      <c r="D88" s="4"/>
      <c r="E88" s="4"/>
      <c r="F88" s="4"/>
      <c r="G88" s="4"/>
      <c r="H88" s="4"/>
      <c r="I88" s="4"/>
      <c r="J88" s="4"/>
      <c r="K88" s="4"/>
      <c r="L88" s="4"/>
      <c r="M88" s="4"/>
      <c r="N88" s="4"/>
    </row>
    <row r="89" spans="2:14">
      <c r="B89" s="4"/>
      <c r="C89" s="4"/>
      <c r="D89" s="4"/>
      <c r="E89" s="4"/>
      <c r="F89" s="4"/>
      <c r="G89" s="4"/>
      <c r="H89" s="4"/>
      <c r="I89" s="4"/>
      <c r="J89" s="4"/>
      <c r="K89" s="4"/>
      <c r="L89" s="4"/>
      <c r="M89" s="4"/>
      <c r="N89" s="4"/>
    </row>
    <row r="90" spans="2:14">
      <c r="B90" s="4"/>
      <c r="C90" s="4"/>
      <c r="D90" s="4"/>
      <c r="E90" s="4"/>
      <c r="F90" s="4"/>
      <c r="G90" s="4"/>
      <c r="H90" s="4"/>
      <c r="I90" s="4"/>
      <c r="J90" s="4"/>
      <c r="K90" s="4"/>
      <c r="L90" s="4"/>
      <c r="M90" s="4"/>
      <c r="N90" s="4"/>
    </row>
    <row r="91" spans="2:14">
      <c r="B91" s="4"/>
      <c r="C91" s="4"/>
      <c r="D91" s="4"/>
      <c r="E91" s="4"/>
      <c r="F91" s="4"/>
      <c r="G91" s="4"/>
      <c r="H91" s="4"/>
      <c r="I91" s="4"/>
      <c r="J91" s="4"/>
      <c r="K91" s="4"/>
      <c r="L91" s="4"/>
      <c r="M91" s="4"/>
      <c r="N91" s="4"/>
    </row>
    <row r="92" spans="2:14">
      <c r="B92" s="4"/>
      <c r="C92" s="4"/>
      <c r="D92" s="4"/>
      <c r="E92" s="4"/>
      <c r="F92" s="4"/>
      <c r="G92" s="4"/>
      <c r="H92" s="4"/>
      <c r="I92" s="4"/>
      <c r="J92" s="4"/>
      <c r="K92" s="4"/>
      <c r="L92" s="4"/>
      <c r="M92" s="4"/>
      <c r="N92" s="4"/>
    </row>
    <row r="93" spans="2:14">
      <c r="B93" s="4"/>
      <c r="C93" s="4"/>
      <c r="D93" s="4"/>
      <c r="E93" s="4"/>
      <c r="F93" s="4"/>
      <c r="G93" s="4"/>
      <c r="H93" s="4"/>
      <c r="I93" s="4"/>
      <c r="J93" s="4"/>
      <c r="K93" s="4"/>
      <c r="L93" s="4"/>
      <c r="M93" s="4"/>
      <c r="N93" s="4"/>
    </row>
    <row r="94" spans="2:14">
      <c r="B94" s="4"/>
      <c r="C94" s="4"/>
      <c r="D94" s="4"/>
      <c r="E94" s="4"/>
      <c r="F94" s="4"/>
      <c r="G94" s="4"/>
      <c r="H94" s="4"/>
      <c r="I94" s="4"/>
      <c r="J94" s="4"/>
      <c r="K94" s="4"/>
      <c r="L94" s="4"/>
      <c r="M94" s="4"/>
      <c r="N94" s="4"/>
    </row>
    <row r="95" spans="2:14">
      <c r="B95" s="4"/>
      <c r="C95" s="4"/>
      <c r="D95" s="4"/>
      <c r="E95" s="4"/>
      <c r="F95" s="4"/>
      <c r="G95" s="4"/>
      <c r="H95" s="4"/>
      <c r="I95" s="4"/>
      <c r="J95" s="4"/>
      <c r="K95" s="4"/>
      <c r="L95" s="4"/>
      <c r="M95" s="4"/>
      <c r="N95" s="4"/>
    </row>
    <row r="96" spans="2:14">
      <c r="B96" s="4"/>
      <c r="C96" s="4"/>
      <c r="D96" s="4"/>
      <c r="E96" s="4"/>
      <c r="F96" s="4"/>
      <c r="G96" s="4"/>
      <c r="H96" s="4"/>
      <c r="I96" s="4"/>
      <c r="J96" s="4"/>
      <c r="K96" s="4"/>
      <c r="L96" s="4"/>
      <c r="M96" s="4"/>
      <c r="N96" s="4"/>
    </row>
    <row r="97" spans="2:14">
      <c r="B97" s="4"/>
      <c r="C97" s="4"/>
      <c r="D97" s="4"/>
      <c r="E97" s="4"/>
      <c r="F97" s="4"/>
      <c r="G97" s="4"/>
      <c r="H97" s="4"/>
      <c r="I97" s="4"/>
      <c r="J97" s="4"/>
      <c r="K97" s="4"/>
      <c r="L97" s="4"/>
      <c r="M97" s="4"/>
      <c r="N97" s="4"/>
    </row>
    <row r="98" spans="2:14">
      <c r="B98" s="4"/>
      <c r="C98" s="4"/>
      <c r="D98" s="4"/>
      <c r="E98" s="4"/>
      <c r="F98" s="4"/>
      <c r="G98" s="4"/>
      <c r="H98" s="4"/>
      <c r="I98" s="4"/>
      <c r="J98" s="4"/>
      <c r="K98" s="4"/>
      <c r="L98" s="4"/>
      <c r="M98" s="4"/>
      <c r="N98" s="4"/>
    </row>
    <row r="99" spans="2:14">
      <c r="B99" s="4"/>
      <c r="C99" s="4"/>
      <c r="D99" s="4"/>
      <c r="E99" s="4"/>
      <c r="F99" s="4"/>
      <c r="G99" s="4"/>
      <c r="H99" s="4"/>
      <c r="I99" s="4"/>
      <c r="J99" s="4"/>
      <c r="K99" s="4"/>
      <c r="L99" s="4"/>
      <c r="M99" s="4"/>
      <c r="N99" s="4"/>
    </row>
    <row r="100" spans="2:14">
      <c r="B100" s="4"/>
      <c r="C100" s="4"/>
      <c r="D100" s="4"/>
      <c r="E100" s="4"/>
      <c r="F100" s="4"/>
      <c r="G100" s="4"/>
      <c r="H100" s="4"/>
      <c r="I100" s="4"/>
      <c r="J100" s="4"/>
      <c r="K100" s="4"/>
      <c r="L100" s="4"/>
      <c r="M100" s="4"/>
      <c r="N100" s="4"/>
    </row>
    <row r="101" spans="2:14">
      <c r="B101" s="4"/>
      <c r="C101" s="4"/>
      <c r="D101" s="4"/>
      <c r="E101" s="4"/>
      <c r="F101" s="4"/>
      <c r="G101" s="4"/>
      <c r="H101" s="4"/>
      <c r="I101" s="4"/>
      <c r="J101" s="4"/>
      <c r="K101" s="4"/>
      <c r="L101" s="4"/>
      <c r="M101" s="4"/>
      <c r="N101" s="4"/>
    </row>
    <row r="102" spans="2:14">
      <c r="B102" s="4"/>
      <c r="C102" s="4"/>
      <c r="D102" s="4"/>
      <c r="E102" s="4"/>
      <c r="F102" s="4"/>
      <c r="G102" s="4"/>
      <c r="H102" s="4"/>
      <c r="I102" s="4"/>
      <c r="J102" s="4"/>
      <c r="K102" s="4"/>
      <c r="L102" s="4"/>
      <c r="M102" s="4"/>
      <c r="N102" s="4"/>
    </row>
    <row r="103" spans="2:14">
      <c r="B103" s="4"/>
      <c r="C103" s="4"/>
      <c r="D103" s="4"/>
      <c r="E103" s="4"/>
      <c r="F103" s="4"/>
      <c r="G103" s="4"/>
      <c r="H103" s="4"/>
      <c r="I103" s="4"/>
      <c r="J103" s="4"/>
      <c r="K103" s="4"/>
      <c r="L103" s="4"/>
      <c r="M103" s="4"/>
      <c r="N103" s="4"/>
    </row>
    <row r="104" spans="2:14">
      <c r="B104" s="4"/>
      <c r="C104" s="4"/>
      <c r="D104" s="4"/>
      <c r="E104" s="4"/>
      <c r="F104" s="4"/>
      <c r="G104" s="4"/>
      <c r="H104" s="4"/>
      <c r="I104" s="4"/>
      <c r="J104" s="4"/>
      <c r="K104" s="4"/>
      <c r="L104" s="4"/>
      <c r="M104" s="4"/>
      <c r="N104" s="4"/>
    </row>
    <row r="105" spans="2:14">
      <c r="B105" s="4"/>
      <c r="C105" s="4"/>
      <c r="D105" s="4"/>
      <c r="E105" s="4"/>
      <c r="F105" s="4"/>
      <c r="G105" s="4"/>
      <c r="H105" s="4"/>
      <c r="I105" s="4"/>
      <c r="J105" s="4"/>
      <c r="K105" s="4"/>
      <c r="L105" s="4"/>
      <c r="M105" s="4"/>
      <c r="N105" s="4"/>
    </row>
    <row r="106" spans="2:14">
      <c r="B106" s="4"/>
      <c r="C106" s="4"/>
      <c r="D106" s="4"/>
      <c r="E106" s="4"/>
      <c r="F106" s="4"/>
      <c r="G106" s="4"/>
      <c r="H106" s="4"/>
      <c r="I106" s="4"/>
      <c r="J106" s="4"/>
      <c r="K106" s="4"/>
      <c r="L106" s="4"/>
      <c r="M106" s="4"/>
      <c r="N106" s="4"/>
    </row>
    <row r="107" spans="2:14">
      <c r="B107" s="4"/>
      <c r="C107" s="4"/>
      <c r="D107" s="4"/>
      <c r="E107" s="4"/>
      <c r="F107" s="4"/>
      <c r="G107" s="4"/>
      <c r="H107" s="4"/>
      <c r="I107" s="4"/>
      <c r="J107" s="4"/>
      <c r="K107" s="4"/>
      <c r="L107" s="4"/>
      <c r="M107" s="4"/>
      <c r="N107" s="4"/>
    </row>
    <row r="108" spans="2:14">
      <c r="B108" s="4"/>
      <c r="C108" s="4"/>
      <c r="D108" s="4"/>
      <c r="E108" s="4"/>
      <c r="F108" s="4"/>
      <c r="G108" s="4"/>
      <c r="H108" s="4"/>
      <c r="I108" s="4"/>
      <c r="J108" s="4"/>
      <c r="K108" s="4"/>
      <c r="L108" s="4"/>
      <c r="M108" s="4"/>
      <c r="N108" s="4"/>
    </row>
    <row r="109" spans="2:14">
      <c r="B109" s="4"/>
      <c r="C109" s="4"/>
      <c r="D109" s="4"/>
      <c r="E109" s="4"/>
      <c r="F109" s="4"/>
      <c r="G109" s="4"/>
      <c r="H109" s="4"/>
      <c r="I109" s="4"/>
      <c r="J109" s="4"/>
      <c r="K109" s="4"/>
      <c r="L109" s="4"/>
      <c r="M109" s="4"/>
      <c r="N109" s="4"/>
    </row>
    <row r="110" spans="2:14">
      <c r="B110" s="4"/>
      <c r="C110" s="4"/>
      <c r="D110" s="4"/>
      <c r="E110" s="4"/>
      <c r="F110" s="4"/>
      <c r="G110" s="4"/>
      <c r="H110" s="4"/>
      <c r="I110" s="4"/>
      <c r="J110" s="4"/>
      <c r="K110" s="4"/>
      <c r="L110" s="4"/>
      <c r="M110" s="4"/>
      <c r="N110" s="4"/>
    </row>
    <row r="111" spans="2:14">
      <c r="B111" s="4"/>
      <c r="C111" s="4"/>
      <c r="D111" s="4"/>
      <c r="E111" s="4"/>
      <c r="F111" s="4"/>
      <c r="G111" s="4"/>
      <c r="H111" s="4"/>
      <c r="I111" s="4"/>
      <c r="J111" s="4"/>
      <c r="K111" s="4"/>
      <c r="L111" s="4"/>
      <c r="M111" s="4"/>
      <c r="N111" s="4"/>
    </row>
    <row r="112" spans="2:14">
      <c r="B112" s="4"/>
      <c r="C112" s="4"/>
      <c r="D112" s="4"/>
      <c r="E112" s="4"/>
      <c r="F112" s="4"/>
      <c r="G112" s="4"/>
      <c r="H112" s="4"/>
      <c r="I112" s="4"/>
      <c r="J112" s="4"/>
      <c r="K112" s="4"/>
      <c r="L112" s="4"/>
      <c r="M112" s="4"/>
      <c r="N112" s="4"/>
    </row>
    <row r="113" spans="2:14">
      <c r="B113" s="4"/>
      <c r="C113" s="4"/>
      <c r="D113" s="4"/>
      <c r="E113" s="4"/>
      <c r="F113" s="4"/>
      <c r="G113" s="4"/>
      <c r="H113" s="4"/>
      <c r="I113" s="4"/>
      <c r="J113" s="4"/>
      <c r="K113" s="4"/>
      <c r="L113" s="4"/>
      <c r="M113" s="4"/>
      <c r="N113" s="4"/>
    </row>
    <row r="114" spans="2:14">
      <c r="B114" s="4"/>
      <c r="C114" s="4"/>
      <c r="D114" s="4"/>
      <c r="E114" s="4"/>
      <c r="F114" s="4"/>
      <c r="G114" s="4"/>
      <c r="H114" s="4"/>
      <c r="I114" s="4"/>
      <c r="J114" s="4"/>
      <c r="K114" s="4"/>
      <c r="L114" s="4"/>
      <c r="M114" s="4"/>
      <c r="N114" s="4"/>
    </row>
    <row r="115" spans="2:14">
      <c r="B115" s="4"/>
      <c r="C115" s="4"/>
      <c r="D115" s="4"/>
      <c r="E115" s="4"/>
      <c r="F115" s="4"/>
      <c r="G115" s="4"/>
      <c r="H115" s="4"/>
      <c r="I115" s="4"/>
      <c r="J115" s="4"/>
      <c r="K115" s="4"/>
      <c r="L115" s="4"/>
      <c r="M115" s="4"/>
      <c r="N115" s="4"/>
    </row>
    <row r="116" spans="2:14">
      <c r="B116" s="4"/>
      <c r="C116" s="4"/>
      <c r="D116" s="4"/>
      <c r="E116" s="4"/>
      <c r="F116" s="4"/>
      <c r="G116" s="4"/>
      <c r="H116" s="4"/>
      <c r="I116" s="4"/>
      <c r="J116" s="4"/>
      <c r="K116" s="4"/>
      <c r="L116" s="4"/>
      <c r="M116" s="4"/>
      <c r="N116" s="4"/>
    </row>
    <row r="117" spans="2:14">
      <c r="B117" s="4"/>
      <c r="C117" s="4"/>
      <c r="D117" s="4"/>
      <c r="E117" s="4"/>
      <c r="F117" s="4"/>
      <c r="G117" s="4"/>
      <c r="H117" s="4"/>
      <c r="I117" s="4"/>
      <c r="J117" s="4"/>
      <c r="K117" s="4"/>
      <c r="L117" s="4"/>
      <c r="M117" s="4"/>
      <c r="N117" s="4"/>
    </row>
    <row r="118" spans="2:14">
      <c r="B118" s="4"/>
      <c r="C118" s="4"/>
      <c r="D118" s="4"/>
      <c r="E118" s="4"/>
      <c r="F118" s="4"/>
      <c r="G118" s="4"/>
      <c r="H118" s="4"/>
      <c r="I118" s="4"/>
      <c r="J118" s="4"/>
      <c r="K118" s="4"/>
      <c r="L118" s="4"/>
      <c r="M118" s="4"/>
      <c r="N118" s="4"/>
    </row>
    <row r="119" spans="2:14">
      <c r="B119" s="4"/>
      <c r="C119" s="4"/>
      <c r="D119" s="4"/>
      <c r="E119" s="4"/>
      <c r="F119" s="4"/>
      <c r="G119" s="4"/>
      <c r="H119" s="4"/>
      <c r="I119" s="4"/>
      <c r="J119" s="4"/>
      <c r="K119" s="4"/>
      <c r="L119" s="4"/>
      <c r="M119" s="4"/>
      <c r="N119" s="4"/>
    </row>
    <row r="120" spans="2:14">
      <c r="B120" s="4"/>
      <c r="C120" s="4"/>
      <c r="D120" s="4"/>
      <c r="E120" s="4"/>
      <c r="F120" s="4"/>
      <c r="G120" s="4"/>
      <c r="H120" s="4"/>
      <c r="I120" s="4"/>
      <c r="J120" s="4"/>
      <c r="K120" s="4"/>
      <c r="L120" s="4"/>
      <c r="M120" s="4"/>
      <c r="N120" s="4"/>
    </row>
    <row r="121" spans="2:14">
      <c r="B121" s="4"/>
      <c r="C121" s="4"/>
      <c r="D121" s="4"/>
      <c r="E121" s="4"/>
      <c r="F121" s="4"/>
      <c r="G121" s="4"/>
      <c r="H121" s="4"/>
      <c r="I121" s="4"/>
      <c r="J121" s="4"/>
      <c r="K121" s="4"/>
      <c r="L121" s="4"/>
      <c r="M121" s="4"/>
      <c r="N121" s="4"/>
    </row>
    <row r="122" spans="2:14">
      <c r="B122" s="4"/>
      <c r="C122" s="4"/>
      <c r="D122" s="4"/>
      <c r="E122" s="4"/>
      <c r="F122" s="4"/>
      <c r="G122" s="4"/>
      <c r="H122" s="4"/>
      <c r="I122" s="4"/>
      <c r="J122" s="4"/>
      <c r="K122" s="4"/>
      <c r="L122" s="4"/>
      <c r="M122" s="4"/>
      <c r="N122" s="4"/>
    </row>
    <row r="123" spans="2:14">
      <c r="B123" s="4"/>
      <c r="C123" s="4"/>
      <c r="D123" s="4"/>
      <c r="E123" s="4"/>
      <c r="F123" s="4"/>
      <c r="G123" s="4"/>
      <c r="H123" s="4"/>
      <c r="I123" s="4"/>
      <c r="J123" s="4"/>
      <c r="K123" s="4"/>
      <c r="L123" s="4"/>
      <c r="M123" s="4"/>
      <c r="N123" s="4"/>
    </row>
    <row r="124" spans="2:14">
      <c r="B124" s="4"/>
      <c r="C124" s="4"/>
      <c r="D124" s="4"/>
      <c r="E124" s="4"/>
      <c r="F124" s="4"/>
      <c r="G124" s="4"/>
      <c r="H124" s="4"/>
      <c r="I124" s="4"/>
      <c r="J124" s="4"/>
      <c r="K124" s="4"/>
      <c r="L124" s="4"/>
      <c r="M124" s="4"/>
      <c r="N124" s="4"/>
    </row>
    <row r="125" spans="2:14">
      <c r="B125" s="4"/>
      <c r="C125" s="4"/>
      <c r="D125" s="4"/>
      <c r="E125" s="4"/>
      <c r="F125" s="4"/>
      <c r="G125" s="4"/>
      <c r="H125" s="4"/>
      <c r="I125" s="4"/>
      <c r="J125" s="4"/>
      <c r="K125" s="4"/>
      <c r="L125" s="4"/>
      <c r="M125" s="4"/>
      <c r="N125" s="4"/>
    </row>
  </sheetData>
  <mergeCells count="3">
    <mergeCell ref="A1:L1"/>
    <mergeCell ref="A2:L2"/>
    <mergeCell ref="A3:L3"/>
  </mergeCells>
  <pageMargins left="0.75" right="0.75" top="1" bottom="1" header="0.5" footer="0.5"/>
  <pageSetup scale="79" orientation="landscape" r:id="rId1"/>
  <headerFooter alignWithMargins="0">
    <oddFooter>&amp;L&amp;Z
&amp;F&amp;C&amp;A&amp;R25.&amp;P</oddFooter>
  </headerFooter>
</worksheet>
</file>

<file path=xl/worksheets/sheet145.xml><?xml version="1.0" encoding="utf-8"?>
<worksheet xmlns="http://schemas.openxmlformats.org/spreadsheetml/2006/main" xmlns:r="http://schemas.openxmlformats.org/officeDocument/2006/relationships">
  <sheetPr codeName="Sheet148">
    <pageSetUpPr fitToPage="1"/>
  </sheetPr>
  <dimension ref="A1:N130"/>
  <sheetViews>
    <sheetView zoomScale="90" zoomScaleNormal="90" workbookViewId="0">
      <selection sqref="A1:L1"/>
    </sheetView>
  </sheetViews>
  <sheetFormatPr defaultRowHeight="12.75"/>
  <cols>
    <col min="1" max="1" width="40.5703125" bestFit="1" customWidth="1"/>
    <col min="2" max="2" width="17.7109375" customWidth="1"/>
    <col min="3" max="3" width="1.7109375" customWidth="1"/>
    <col min="4" max="4" width="17.7109375" customWidth="1"/>
    <col min="5" max="5" width="1.7109375" customWidth="1"/>
    <col min="6" max="6" width="17.7109375" customWidth="1"/>
    <col min="7" max="7" width="1.7109375" customWidth="1"/>
    <col min="8" max="8" width="17.7109375" customWidth="1"/>
    <col min="9" max="9" width="1.7109375" customWidth="1"/>
    <col min="10" max="10" width="17.7109375" customWidth="1"/>
    <col min="11" max="11" width="1.7109375" customWidth="1"/>
    <col min="12" max="12" width="17.7109375" customWidth="1"/>
  </cols>
  <sheetData>
    <row r="1" spans="1:14" s="38" customFormat="1" ht="15.75">
      <c r="A1" s="366" t="s">
        <v>134</v>
      </c>
      <c r="B1" s="366"/>
      <c r="C1" s="366"/>
      <c r="D1" s="366"/>
      <c r="E1" s="366"/>
      <c r="F1" s="366"/>
      <c r="G1" s="366"/>
      <c r="H1" s="366"/>
      <c r="I1" s="366"/>
      <c r="J1" s="366"/>
      <c r="K1" s="366"/>
      <c r="L1" s="366"/>
    </row>
    <row r="2" spans="1:14" s="38" customFormat="1" ht="15.75">
      <c r="A2" s="366" t="s">
        <v>1173</v>
      </c>
      <c r="B2" s="366"/>
      <c r="C2" s="366"/>
      <c r="D2" s="366"/>
      <c r="E2" s="366"/>
      <c r="F2" s="366"/>
      <c r="G2" s="366"/>
      <c r="H2" s="366"/>
      <c r="I2" s="366"/>
      <c r="J2" s="366"/>
      <c r="K2" s="366"/>
      <c r="L2" s="366"/>
    </row>
    <row r="3" spans="1:14">
      <c r="A3" s="357" t="str">
        <f>'Summary - Cost - PG 1 (PA)'!A3:N3</f>
        <v>MARCH 2012</v>
      </c>
      <c r="B3" s="357"/>
      <c r="C3" s="357"/>
      <c r="D3" s="357"/>
      <c r="E3" s="357"/>
      <c r="F3" s="357"/>
      <c r="G3" s="357"/>
      <c r="H3" s="357"/>
      <c r="I3" s="357"/>
      <c r="J3" s="357"/>
      <c r="K3" s="357"/>
      <c r="L3" s="357"/>
    </row>
    <row r="4" spans="1:14">
      <c r="A4" s="190"/>
      <c r="B4" s="190"/>
      <c r="C4" s="190"/>
      <c r="D4" s="190"/>
      <c r="E4" s="190"/>
      <c r="F4" s="190"/>
      <c r="G4" s="190"/>
      <c r="H4" s="190"/>
      <c r="I4" s="190"/>
      <c r="J4" s="190"/>
      <c r="K4" s="190"/>
      <c r="L4" s="190"/>
    </row>
    <row r="6" spans="1:14">
      <c r="B6" s="41" t="s">
        <v>25</v>
      </c>
      <c r="D6" s="33"/>
      <c r="F6" s="33"/>
      <c r="H6" s="41" t="s">
        <v>612</v>
      </c>
      <c r="J6" s="33"/>
      <c r="L6" s="41" t="s">
        <v>26</v>
      </c>
    </row>
    <row r="7" spans="1:14" s="10" customFormat="1">
      <c r="B7" s="42" t="s">
        <v>27</v>
      </c>
      <c r="C7"/>
      <c r="D7" s="42" t="s">
        <v>107</v>
      </c>
      <c r="E7"/>
      <c r="F7" s="42" t="s">
        <v>108</v>
      </c>
      <c r="G7"/>
      <c r="H7" s="42" t="s">
        <v>613</v>
      </c>
      <c r="I7"/>
      <c r="J7" s="42" t="s">
        <v>109</v>
      </c>
      <c r="K7"/>
      <c r="L7" s="42" t="s">
        <v>27</v>
      </c>
    </row>
    <row r="8" spans="1:14" s="10" customFormat="1">
      <c r="B8" s="54"/>
      <c r="C8"/>
      <c r="D8" s="54"/>
      <c r="E8"/>
      <c r="F8" s="54"/>
      <c r="G8"/>
      <c r="H8" s="54"/>
      <c r="I8"/>
      <c r="J8" s="54"/>
      <c r="K8"/>
      <c r="L8" s="54"/>
    </row>
    <row r="9" spans="1:14" s="10" customFormat="1">
      <c r="A9" s="12" t="s">
        <v>686</v>
      </c>
      <c r="B9"/>
      <c r="C9"/>
      <c r="D9"/>
      <c r="E9"/>
      <c r="F9"/>
      <c r="G9"/>
      <c r="H9"/>
      <c r="I9"/>
      <c r="J9"/>
      <c r="K9"/>
      <c r="L9"/>
    </row>
    <row r="10" spans="1:14" s="10" customFormat="1">
      <c r="A10" s="12" t="s">
        <v>691</v>
      </c>
      <c r="B10" s="33"/>
      <c r="C10" s="33"/>
      <c r="D10" s="33"/>
      <c r="E10" s="33"/>
      <c r="F10" s="33"/>
      <c r="G10" s="33"/>
      <c r="H10" s="33"/>
      <c r="I10" s="33"/>
      <c r="J10" s="33"/>
      <c r="K10" s="33"/>
      <c r="L10" s="33"/>
    </row>
    <row r="11" spans="1:14">
      <c r="A11" t="s">
        <v>846</v>
      </c>
      <c r="B11" s="33">
        <v>0</v>
      </c>
      <c r="C11" s="33"/>
      <c r="D11" s="33">
        <v>0</v>
      </c>
      <c r="E11" s="33"/>
      <c r="F11" s="33">
        <v>0</v>
      </c>
      <c r="G11" s="33"/>
      <c r="H11" s="33">
        <v>0</v>
      </c>
      <c r="I11" s="33"/>
      <c r="J11" s="33">
        <f>D11+F11+H11</f>
        <v>0</v>
      </c>
      <c r="K11" s="33">
        <v>0</v>
      </c>
      <c r="L11" s="33">
        <f>J11+B11</f>
        <v>0</v>
      </c>
      <c r="M11" s="4"/>
      <c r="N11" s="4"/>
    </row>
    <row r="12" spans="1:14">
      <c r="A12" t="s">
        <v>847</v>
      </c>
      <c r="B12" s="35">
        <v>0</v>
      </c>
      <c r="C12" s="37"/>
      <c r="D12" s="35">
        <v>0</v>
      </c>
      <c r="E12" s="37"/>
      <c r="F12" s="35">
        <v>0</v>
      </c>
      <c r="G12" s="37"/>
      <c r="H12" s="35">
        <v>0</v>
      </c>
      <c r="I12" s="37"/>
      <c r="J12" s="35">
        <f>D12+F12+H12</f>
        <v>0</v>
      </c>
      <c r="K12" s="37">
        <v>0</v>
      </c>
      <c r="L12" s="35">
        <f>J12+B12</f>
        <v>0</v>
      </c>
      <c r="M12" s="55"/>
      <c r="N12" s="4"/>
    </row>
    <row r="13" spans="1:14">
      <c r="B13" s="52">
        <f>SUM(B11:B12)</f>
        <v>0</v>
      </c>
      <c r="C13" s="52"/>
      <c r="D13" s="52">
        <f>SUM(D11:D12)</f>
        <v>0</v>
      </c>
      <c r="E13" s="52"/>
      <c r="F13" s="52">
        <f>SUM(F11:F12)</f>
        <v>0</v>
      </c>
      <c r="G13" s="52"/>
      <c r="H13" s="52">
        <f>SUM(H11:H12)</f>
        <v>0</v>
      </c>
      <c r="I13" s="52"/>
      <c r="J13" s="52">
        <f>SUM(J11:J12)</f>
        <v>0</v>
      </c>
      <c r="K13" s="52"/>
      <c r="L13" s="52">
        <f>SUM(L11:L12)</f>
        <v>0</v>
      </c>
      <c r="M13" s="55"/>
      <c r="N13" s="4"/>
    </row>
    <row r="14" spans="1:14">
      <c r="B14" s="52"/>
      <c r="C14" s="52"/>
      <c r="D14" s="52"/>
      <c r="E14" s="52"/>
      <c r="F14" s="52"/>
      <c r="G14" s="52"/>
      <c r="H14" s="52"/>
      <c r="I14" s="52"/>
      <c r="J14" s="52"/>
      <c r="K14" s="52"/>
      <c r="L14" s="52"/>
      <c r="M14" s="55"/>
      <c r="N14" s="4"/>
    </row>
    <row r="15" spans="1:14">
      <c r="A15" s="3" t="s">
        <v>812</v>
      </c>
      <c r="B15" s="52"/>
      <c r="C15" s="52"/>
      <c r="D15" s="52"/>
      <c r="E15" s="52"/>
      <c r="F15" s="52"/>
      <c r="G15" s="52"/>
      <c r="H15" s="52"/>
      <c r="I15" s="52"/>
      <c r="J15" s="52"/>
      <c r="K15" s="52"/>
      <c r="L15" s="52"/>
      <c r="M15" s="55"/>
      <c r="N15" s="4"/>
    </row>
    <row r="16" spans="1:14">
      <c r="A16" t="s">
        <v>832</v>
      </c>
      <c r="B16" s="52">
        <v>0</v>
      </c>
      <c r="C16" s="52"/>
      <c r="D16" s="52">
        <v>0</v>
      </c>
      <c r="E16" s="52"/>
      <c r="F16" s="52">
        <v>0</v>
      </c>
      <c r="G16" s="52"/>
      <c r="H16" s="52">
        <v>0</v>
      </c>
      <c r="I16" s="52"/>
      <c r="J16" s="37">
        <f>D16+F16+H16</f>
        <v>0</v>
      </c>
      <c r="K16" s="52"/>
      <c r="L16" s="37">
        <f>J16+B16</f>
        <v>0</v>
      </c>
      <c r="M16" s="55"/>
      <c r="N16" s="4"/>
    </row>
    <row r="17" spans="1:14">
      <c r="A17" t="s">
        <v>834</v>
      </c>
      <c r="B17" s="52">
        <v>0</v>
      </c>
      <c r="C17" s="52"/>
      <c r="D17" s="52">
        <v>0</v>
      </c>
      <c r="E17" s="52"/>
      <c r="F17" s="52">
        <v>0</v>
      </c>
      <c r="G17" s="52"/>
      <c r="H17" s="52">
        <v>0</v>
      </c>
      <c r="I17" s="52"/>
      <c r="J17" s="37">
        <f>D17+F17+H17</f>
        <v>0</v>
      </c>
      <c r="K17" s="52"/>
      <c r="L17" s="37">
        <f>J17+B17</f>
        <v>0</v>
      </c>
      <c r="M17" s="55"/>
      <c r="N17" s="4"/>
    </row>
    <row r="18" spans="1:14">
      <c r="A18" t="s">
        <v>836</v>
      </c>
      <c r="B18" s="52">
        <v>0</v>
      </c>
      <c r="C18" s="52"/>
      <c r="D18" s="52">
        <v>0</v>
      </c>
      <c r="E18" s="52"/>
      <c r="F18" s="52">
        <v>0</v>
      </c>
      <c r="G18" s="52"/>
      <c r="H18" s="52">
        <v>0</v>
      </c>
      <c r="I18" s="52"/>
      <c r="J18" s="37">
        <f>D18+F18+H18</f>
        <v>0</v>
      </c>
      <c r="K18" s="52"/>
      <c r="L18" s="37">
        <f>J18+B18</f>
        <v>0</v>
      </c>
      <c r="M18" s="55"/>
      <c r="N18" s="4"/>
    </row>
    <row r="19" spans="1:14">
      <c r="A19" t="s">
        <v>606</v>
      </c>
      <c r="B19" s="48">
        <v>0</v>
      </c>
      <c r="C19" s="52"/>
      <c r="D19" s="48">
        <v>0</v>
      </c>
      <c r="E19" s="52"/>
      <c r="F19" s="48">
        <v>0</v>
      </c>
      <c r="G19" s="52"/>
      <c r="H19" s="48">
        <v>0</v>
      </c>
      <c r="I19" s="52"/>
      <c r="J19" s="35">
        <f>D19+F19+H19</f>
        <v>0</v>
      </c>
      <c r="K19" s="52"/>
      <c r="L19" s="35">
        <f>J19+B19</f>
        <v>0</v>
      </c>
      <c r="M19" s="55"/>
      <c r="N19" s="4"/>
    </row>
    <row r="20" spans="1:14">
      <c r="B20" s="52">
        <f>SUM(B16:B19)</f>
        <v>0</v>
      </c>
      <c r="C20" s="52"/>
      <c r="D20" s="52">
        <f>SUM(D16:D19)</f>
        <v>0</v>
      </c>
      <c r="E20" s="52"/>
      <c r="F20" s="52">
        <f>SUM(F16:F19)</f>
        <v>0</v>
      </c>
      <c r="G20" s="52"/>
      <c r="H20" s="52">
        <f>SUM(H16:H19)</f>
        <v>0</v>
      </c>
      <c r="I20" s="52"/>
      <c r="J20" s="52">
        <f>SUM(J16:J19)</f>
        <v>0</v>
      </c>
      <c r="K20" s="52"/>
      <c r="L20" s="52">
        <f>SUM(L16:L19)</f>
        <v>0</v>
      </c>
      <c r="M20" s="55"/>
      <c r="N20" s="4"/>
    </row>
    <row r="21" spans="1:14">
      <c r="B21" s="52"/>
      <c r="C21" s="182"/>
      <c r="D21" s="52"/>
      <c r="E21" s="182"/>
      <c r="F21" s="52"/>
      <c r="G21" s="182"/>
      <c r="H21" s="52"/>
      <c r="I21" s="182"/>
      <c r="J21" s="52"/>
      <c r="K21" s="182"/>
      <c r="L21" s="52"/>
      <c r="M21" s="4"/>
      <c r="N21" s="4"/>
    </row>
    <row r="22" spans="1:14">
      <c r="B22" s="182"/>
      <c r="C22" s="182"/>
      <c r="D22" s="182"/>
      <c r="E22" s="182"/>
      <c r="F22" s="182"/>
      <c r="G22" s="182"/>
      <c r="H22" s="182"/>
      <c r="I22" s="182"/>
      <c r="J22" s="182"/>
      <c r="K22" s="182"/>
      <c r="L22" s="182"/>
      <c r="M22" s="4"/>
      <c r="N22" s="4"/>
    </row>
    <row r="23" spans="1:14" ht="13.5" thickBot="1">
      <c r="A23" s="3" t="s">
        <v>607</v>
      </c>
      <c r="B23" s="46">
        <f>B20+B13</f>
        <v>0</v>
      </c>
      <c r="C23" s="182"/>
      <c r="D23" s="46">
        <f>D20+D13</f>
        <v>0</v>
      </c>
      <c r="E23" s="182"/>
      <c r="F23" s="46">
        <f>F20+F13</f>
        <v>0</v>
      </c>
      <c r="G23" s="182"/>
      <c r="H23" s="46">
        <f>H20+H13</f>
        <v>0</v>
      </c>
      <c r="I23" s="182"/>
      <c r="J23" s="46">
        <f>J20+J13</f>
        <v>0</v>
      </c>
      <c r="K23" s="182"/>
      <c r="L23" s="46">
        <f>L20+L13</f>
        <v>0</v>
      </c>
      <c r="M23" s="4"/>
      <c r="N23" s="4"/>
    </row>
    <row r="24" spans="1:14" ht="13.5" thickTop="1">
      <c r="B24" s="182"/>
      <c r="C24" s="182"/>
      <c r="D24" s="182"/>
      <c r="E24" s="182"/>
      <c r="F24" s="182"/>
      <c r="G24" s="182"/>
      <c r="H24" s="182"/>
      <c r="I24" s="182"/>
      <c r="J24" s="182"/>
      <c r="K24" s="182"/>
      <c r="L24" s="182"/>
      <c r="M24" s="4"/>
      <c r="N24" s="4"/>
    </row>
    <row r="25" spans="1:14">
      <c r="B25" s="4"/>
      <c r="C25" s="4"/>
      <c r="D25" s="4"/>
      <c r="E25" s="4"/>
      <c r="F25" s="4"/>
      <c r="G25" s="4"/>
      <c r="H25" s="4"/>
      <c r="I25" s="4"/>
      <c r="J25" s="4"/>
      <c r="K25" s="4"/>
      <c r="L25" s="4"/>
      <c r="M25" s="4"/>
      <c r="N25" s="4"/>
    </row>
    <row r="26" spans="1:14">
      <c r="B26" s="4"/>
      <c r="C26" s="4"/>
      <c r="D26" s="4"/>
      <c r="E26" s="4"/>
      <c r="F26" s="4"/>
      <c r="G26" s="4"/>
      <c r="H26" s="4"/>
      <c r="I26" s="4"/>
      <c r="J26" s="4"/>
      <c r="K26" s="4"/>
      <c r="L26" s="4"/>
      <c r="M26" s="4"/>
      <c r="N26" s="4"/>
    </row>
    <row r="27" spans="1:14">
      <c r="B27" s="4"/>
      <c r="C27" s="4"/>
      <c r="D27" s="4"/>
      <c r="E27" s="4"/>
      <c r="F27" s="4"/>
      <c r="G27" s="4"/>
      <c r="H27" s="4"/>
      <c r="I27" s="4"/>
      <c r="J27" s="4"/>
      <c r="K27" s="4"/>
      <c r="L27" s="4"/>
      <c r="M27" s="4"/>
      <c r="N27" s="4"/>
    </row>
    <row r="28" spans="1:14">
      <c r="B28" s="4"/>
      <c r="C28" s="4"/>
      <c r="D28" s="4"/>
      <c r="E28" s="4"/>
      <c r="F28" s="4"/>
      <c r="G28" s="4"/>
      <c r="H28" s="4"/>
      <c r="I28" s="4"/>
      <c r="J28" s="4"/>
      <c r="K28" s="4"/>
      <c r="L28" s="4"/>
      <c r="M28" s="4"/>
      <c r="N28" s="4"/>
    </row>
    <row r="29" spans="1:14">
      <c r="B29" s="4"/>
      <c r="C29" s="4"/>
      <c r="D29" s="4"/>
      <c r="E29" s="4"/>
      <c r="F29" s="4"/>
      <c r="G29" s="4"/>
      <c r="H29" s="4"/>
      <c r="I29" s="4"/>
      <c r="J29" s="4"/>
      <c r="K29" s="4"/>
      <c r="L29" s="4"/>
      <c r="M29" s="4"/>
      <c r="N29" s="4"/>
    </row>
    <row r="30" spans="1:14">
      <c r="B30" s="4"/>
      <c r="C30" s="4"/>
      <c r="D30" s="4"/>
      <c r="E30" s="4"/>
      <c r="F30" s="4"/>
      <c r="G30" s="4"/>
      <c r="H30" s="4"/>
      <c r="I30" s="4"/>
      <c r="J30" s="4"/>
      <c r="K30" s="4"/>
      <c r="L30" s="4"/>
      <c r="M30" s="4"/>
      <c r="N30" s="4"/>
    </row>
    <row r="31" spans="1:14">
      <c r="B31" s="4"/>
      <c r="C31" s="4"/>
      <c r="D31" s="4"/>
      <c r="E31" s="4"/>
      <c r="F31" s="4"/>
      <c r="G31" s="4"/>
      <c r="H31" s="4"/>
      <c r="I31" s="4"/>
      <c r="J31" s="4"/>
      <c r="K31" s="4"/>
      <c r="L31" s="4"/>
      <c r="M31" s="4"/>
      <c r="N31" s="4"/>
    </row>
    <row r="32" spans="1:14">
      <c r="B32" s="4"/>
      <c r="C32" s="4"/>
      <c r="D32" s="4"/>
      <c r="E32" s="4"/>
      <c r="F32" s="4"/>
      <c r="G32" s="4"/>
      <c r="H32" s="4"/>
      <c r="I32" s="4"/>
      <c r="J32" s="4"/>
      <c r="K32" s="4"/>
      <c r="L32" s="4"/>
      <c r="M32" s="4"/>
      <c r="N32" s="4"/>
    </row>
    <row r="33" spans="2:14">
      <c r="B33" s="4"/>
      <c r="C33" s="4"/>
      <c r="D33" s="4"/>
      <c r="E33" s="4"/>
      <c r="F33" s="4"/>
      <c r="G33" s="4"/>
      <c r="H33" s="4"/>
      <c r="I33" s="4"/>
      <c r="J33" s="4"/>
      <c r="K33" s="4"/>
      <c r="L33" s="4"/>
      <c r="M33" s="4"/>
      <c r="N33" s="4"/>
    </row>
    <row r="34" spans="2:14">
      <c r="B34" s="4"/>
      <c r="C34" s="4"/>
      <c r="D34" s="4"/>
      <c r="E34" s="4"/>
      <c r="F34" s="4"/>
      <c r="G34" s="4"/>
      <c r="H34" s="4"/>
      <c r="I34" s="4"/>
      <c r="J34" s="4"/>
      <c r="K34" s="4"/>
      <c r="L34" s="4"/>
      <c r="M34" s="4"/>
      <c r="N34" s="4"/>
    </row>
    <row r="35" spans="2:14">
      <c r="B35" s="4"/>
      <c r="C35" s="4"/>
      <c r="D35" s="4"/>
      <c r="E35" s="4"/>
      <c r="F35" s="4"/>
      <c r="G35" s="4"/>
      <c r="H35" s="4"/>
      <c r="I35" s="4"/>
      <c r="J35" s="4"/>
      <c r="K35" s="4"/>
      <c r="L35" s="4"/>
      <c r="M35" s="4"/>
      <c r="N35" s="4"/>
    </row>
    <row r="36" spans="2:14">
      <c r="B36" s="4"/>
      <c r="C36" s="4"/>
      <c r="D36" s="4"/>
      <c r="E36" s="4"/>
      <c r="F36" s="4"/>
      <c r="G36" s="4"/>
      <c r="H36" s="4"/>
      <c r="I36" s="4"/>
      <c r="J36" s="4"/>
      <c r="K36" s="4"/>
      <c r="L36" s="4"/>
      <c r="M36" s="4"/>
      <c r="N36" s="4"/>
    </row>
    <row r="37" spans="2:14">
      <c r="B37" s="4"/>
      <c r="C37" s="4"/>
      <c r="D37" s="4"/>
      <c r="E37" s="4"/>
      <c r="F37" s="4"/>
      <c r="G37" s="4"/>
      <c r="H37" s="4"/>
      <c r="I37" s="4"/>
      <c r="J37" s="4"/>
      <c r="K37" s="4"/>
      <c r="L37" s="4"/>
      <c r="M37" s="4"/>
      <c r="N37" s="4"/>
    </row>
    <row r="38" spans="2:14">
      <c r="B38" s="4"/>
      <c r="C38" s="4"/>
      <c r="D38" s="4"/>
      <c r="E38" s="4"/>
      <c r="F38" s="4"/>
      <c r="G38" s="4"/>
      <c r="H38" s="4"/>
      <c r="I38" s="4"/>
      <c r="J38" s="4"/>
      <c r="K38" s="4"/>
      <c r="L38" s="4"/>
      <c r="M38" s="4"/>
      <c r="N38" s="4"/>
    </row>
    <row r="39" spans="2:14">
      <c r="B39" s="4"/>
      <c r="C39" s="4"/>
      <c r="D39" s="4"/>
      <c r="E39" s="4"/>
      <c r="F39" s="4"/>
      <c r="G39" s="4"/>
      <c r="H39" s="4"/>
      <c r="I39" s="4"/>
      <c r="J39" s="4"/>
      <c r="K39" s="4"/>
      <c r="L39" s="4"/>
      <c r="M39" s="4"/>
      <c r="N39" s="4"/>
    </row>
    <row r="40" spans="2:14">
      <c r="B40" s="4"/>
      <c r="C40" s="4"/>
      <c r="D40" s="4"/>
      <c r="E40" s="4"/>
      <c r="F40" s="4"/>
      <c r="G40" s="4"/>
      <c r="H40" s="4"/>
      <c r="I40" s="4"/>
      <c r="J40" s="4"/>
      <c r="K40" s="4"/>
      <c r="L40" s="4"/>
      <c r="M40" s="4"/>
      <c r="N40" s="4"/>
    </row>
    <row r="41" spans="2:14">
      <c r="B41" s="4"/>
      <c r="C41" s="4"/>
      <c r="D41" s="4"/>
      <c r="E41" s="4"/>
      <c r="F41" s="4"/>
      <c r="G41" s="4"/>
      <c r="H41" s="4"/>
      <c r="I41" s="4"/>
      <c r="J41" s="4"/>
      <c r="K41" s="4"/>
      <c r="L41" s="4"/>
      <c r="M41" s="4"/>
      <c r="N41" s="4"/>
    </row>
    <row r="42" spans="2:14">
      <c r="B42" s="4"/>
      <c r="C42" s="4"/>
      <c r="D42" s="4"/>
      <c r="E42" s="4"/>
      <c r="F42" s="4"/>
      <c r="G42" s="4"/>
      <c r="H42" s="4"/>
      <c r="I42" s="4"/>
      <c r="J42" s="4"/>
      <c r="K42" s="4"/>
      <c r="L42" s="4"/>
      <c r="M42" s="4"/>
      <c r="N42" s="4"/>
    </row>
    <row r="43" spans="2:14">
      <c r="B43" s="4"/>
      <c r="C43" s="4"/>
      <c r="D43" s="4"/>
      <c r="E43" s="4"/>
      <c r="F43" s="4"/>
      <c r="G43" s="4"/>
      <c r="H43" s="4"/>
      <c r="I43" s="4"/>
      <c r="J43" s="4"/>
      <c r="K43" s="4"/>
      <c r="L43" s="4"/>
      <c r="M43" s="4"/>
      <c r="N43" s="4"/>
    </row>
    <row r="44" spans="2:14">
      <c r="B44" s="4"/>
      <c r="C44" s="4"/>
      <c r="D44" s="4"/>
      <c r="E44" s="4"/>
      <c r="F44" s="4"/>
      <c r="G44" s="4"/>
      <c r="H44" s="4"/>
      <c r="I44" s="4"/>
      <c r="J44" s="4"/>
      <c r="K44" s="4"/>
      <c r="L44" s="4"/>
      <c r="M44" s="4"/>
      <c r="N44" s="4"/>
    </row>
    <row r="45" spans="2:14">
      <c r="B45" s="4"/>
      <c r="C45" s="4"/>
      <c r="D45" s="4"/>
      <c r="E45" s="4"/>
      <c r="F45" s="4"/>
      <c r="G45" s="4"/>
      <c r="H45" s="4"/>
      <c r="I45" s="4"/>
      <c r="J45" s="4"/>
      <c r="K45" s="4"/>
      <c r="L45" s="4"/>
      <c r="M45" s="4"/>
      <c r="N45" s="4"/>
    </row>
    <row r="46" spans="2:14">
      <c r="B46" s="4"/>
      <c r="C46" s="4"/>
      <c r="D46" s="4"/>
      <c r="E46" s="4"/>
      <c r="F46" s="4"/>
      <c r="G46" s="4"/>
      <c r="H46" s="4"/>
      <c r="I46" s="4"/>
      <c r="J46" s="4"/>
      <c r="K46" s="4"/>
      <c r="L46" s="4"/>
      <c r="M46" s="4"/>
      <c r="N46" s="4"/>
    </row>
    <row r="47" spans="2:14">
      <c r="B47" s="4"/>
      <c r="C47" s="4"/>
      <c r="D47" s="4"/>
      <c r="E47" s="4"/>
      <c r="F47" s="4"/>
      <c r="G47" s="4"/>
      <c r="H47" s="4"/>
      <c r="I47" s="4"/>
      <c r="J47" s="4"/>
      <c r="K47" s="4"/>
      <c r="L47" s="4"/>
      <c r="M47" s="4"/>
      <c r="N47" s="4"/>
    </row>
    <row r="48" spans="2:14">
      <c r="B48" s="4"/>
      <c r="C48" s="4"/>
      <c r="D48" s="4"/>
      <c r="E48" s="4"/>
      <c r="F48" s="4"/>
      <c r="G48" s="4"/>
      <c r="H48" s="4"/>
      <c r="I48" s="4"/>
      <c r="J48" s="4"/>
      <c r="K48" s="4"/>
      <c r="L48" s="4"/>
      <c r="M48" s="4"/>
      <c r="N48" s="4"/>
    </row>
    <row r="49" spans="2:14">
      <c r="B49" s="4"/>
      <c r="C49" s="4"/>
      <c r="D49" s="4"/>
      <c r="E49" s="4"/>
      <c r="F49" s="4"/>
      <c r="G49" s="4"/>
      <c r="H49" s="4"/>
      <c r="I49" s="4"/>
      <c r="J49" s="4"/>
      <c r="K49" s="4"/>
      <c r="L49" s="4"/>
      <c r="M49" s="4"/>
      <c r="N49" s="4"/>
    </row>
    <row r="50" spans="2:14">
      <c r="B50" s="4"/>
      <c r="C50" s="4"/>
      <c r="D50" s="4"/>
      <c r="E50" s="4"/>
      <c r="F50" s="4"/>
      <c r="G50" s="4"/>
      <c r="H50" s="4"/>
      <c r="I50" s="4"/>
      <c r="J50" s="4"/>
      <c r="K50" s="4"/>
      <c r="L50" s="4"/>
      <c r="M50" s="4"/>
      <c r="N50" s="4"/>
    </row>
    <row r="51" spans="2:14">
      <c r="B51" s="4"/>
      <c r="C51" s="4"/>
      <c r="D51" s="4"/>
      <c r="E51" s="4"/>
      <c r="F51" s="4"/>
      <c r="G51" s="4"/>
      <c r="H51" s="4"/>
      <c r="I51" s="4"/>
      <c r="J51" s="4"/>
      <c r="K51" s="4"/>
      <c r="L51" s="4"/>
      <c r="M51" s="4"/>
      <c r="N51" s="4"/>
    </row>
    <row r="52" spans="2:14">
      <c r="B52" s="4"/>
      <c r="C52" s="4"/>
      <c r="D52" s="4"/>
      <c r="E52" s="4"/>
      <c r="F52" s="4"/>
      <c r="G52" s="4"/>
      <c r="H52" s="4"/>
      <c r="I52" s="4"/>
      <c r="J52" s="4"/>
      <c r="K52" s="4"/>
      <c r="L52" s="4"/>
      <c r="M52" s="4"/>
      <c r="N52" s="4"/>
    </row>
    <row r="53" spans="2:14">
      <c r="B53" s="4"/>
      <c r="C53" s="4"/>
      <c r="D53" s="4"/>
      <c r="E53" s="4"/>
      <c r="F53" s="4"/>
      <c r="G53" s="4"/>
      <c r="H53" s="4"/>
      <c r="I53" s="4"/>
      <c r="J53" s="4"/>
      <c r="K53" s="4"/>
      <c r="L53" s="4"/>
      <c r="M53" s="4"/>
      <c r="N53" s="4"/>
    </row>
    <row r="54" spans="2:14">
      <c r="B54" s="4"/>
      <c r="C54" s="4"/>
      <c r="D54" s="4"/>
      <c r="E54" s="4"/>
      <c r="F54" s="4"/>
      <c r="G54" s="4"/>
      <c r="H54" s="4"/>
      <c r="I54" s="4"/>
      <c r="J54" s="4"/>
      <c r="K54" s="4"/>
      <c r="L54" s="4"/>
      <c r="M54" s="4"/>
      <c r="N54" s="4"/>
    </row>
    <row r="55" spans="2:14">
      <c r="B55" s="4"/>
      <c r="C55" s="4"/>
      <c r="D55" s="4"/>
      <c r="E55" s="4"/>
      <c r="F55" s="4"/>
      <c r="G55" s="4"/>
      <c r="H55" s="4"/>
      <c r="I55" s="4"/>
      <c r="J55" s="4"/>
      <c r="K55" s="4"/>
      <c r="L55" s="4"/>
      <c r="M55" s="4"/>
      <c r="N55" s="4"/>
    </row>
    <row r="56" spans="2:14">
      <c r="B56" s="4"/>
      <c r="C56" s="4"/>
      <c r="D56" s="4"/>
      <c r="E56" s="4"/>
      <c r="F56" s="4"/>
      <c r="G56" s="4"/>
      <c r="H56" s="4"/>
      <c r="I56" s="4"/>
      <c r="J56" s="4"/>
      <c r="K56" s="4"/>
      <c r="L56" s="4"/>
      <c r="M56" s="4"/>
      <c r="N56" s="4"/>
    </row>
    <row r="57" spans="2:14">
      <c r="B57" s="4"/>
      <c r="C57" s="4"/>
      <c r="D57" s="4"/>
      <c r="E57" s="4"/>
      <c r="F57" s="4"/>
      <c r="G57" s="4"/>
      <c r="H57" s="4"/>
      <c r="I57" s="4"/>
      <c r="J57" s="4"/>
      <c r="K57" s="4"/>
      <c r="L57" s="4"/>
      <c r="M57" s="4"/>
      <c r="N57" s="4"/>
    </row>
    <row r="58" spans="2:14">
      <c r="B58" s="4"/>
      <c r="C58" s="4"/>
      <c r="D58" s="4"/>
      <c r="E58" s="4"/>
      <c r="F58" s="4"/>
      <c r="G58" s="4"/>
      <c r="H58" s="4"/>
      <c r="I58" s="4"/>
      <c r="J58" s="4"/>
      <c r="K58" s="4"/>
      <c r="L58" s="4"/>
      <c r="M58" s="4"/>
      <c r="N58" s="4"/>
    </row>
    <row r="59" spans="2:14">
      <c r="B59" s="4"/>
      <c r="C59" s="4"/>
      <c r="D59" s="4"/>
      <c r="E59" s="4"/>
      <c r="F59" s="4"/>
      <c r="G59" s="4"/>
      <c r="H59" s="4"/>
      <c r="I59" s="4"/>
      <c r="J59" s="4"/>
      <c r="K59" s="4"/>
      <c r="L59" s="4"/>
      <c r="M59" s="4"/>
      <c r="N59" s="4"/>
    </row>
    <row r="60" spans="2:14">
      <c r="B60" s="4"/>
      <c r="C60" s="4"/>
      <c r="D60" s="4"/>
      <c r="E60" s="4"/>
      <c r="F60" s="4"/>
      <c r="G60" s="4"/>
      <c r="H60" s="4"/>
      <c r="I60" s="4"/>
      <c r="J60" s="4"/>
      <c r="K60" s="4"/>
      <c r="L60" s="4"/>
      <c r="M60" s="4"/>
      <c r="N60" s="4"/>
    </row>
    <row r="61" spans="2:14">
      <c r="B61" s="4"/>
      <c r="C61" s="4"/>
      <c r="D61" s="4"/>
      <c r="E61" s="4"/>
      <c r="F61" s="4"/>
      <c r="G61" s="4"/>
      <c r="H61" s="4"/>
      <c r="I61" s="4"/>
      <c r="J61" s="4"/>
      <c r="K61" s="4"/>
      <c r="L61" s="4"/>
      <c r="M61" s="4"/>
      <c r="N61" s="4"/>
    </row>
    <row r="62" spans="2:14">
      <c r="B62" s="4"/>
      <c r="C62" s="4"/>
      <c r="D62" s="4"/>
      <c r="E62" s="4"/>
      <c r="F62" s="4"/>
      <c r="G62" s="4"/>
      <c r="H62" s="4"/>
      <c r="I62" s="4"/>
      <c r="J62" s="4"/>
      <c r="K62" s="4"/>
      <c r="L62" s="4"/>
      <c r="M62" s="4"/>
      <c r="N62" s="4"/>
    </row>
    <row r="63" spans="2:14">
      <c r="B63" s="4"/>
      <c r="C63" s="4"/>
      <c r="D63" s="4"/>
      <c r="E63" s="4"/>
      <c r="F63" s="4"/>
      <c r="G63" s="4"/>
      <c r="H63" s="4"/>
      <c r="I63" s="4"/>
      <c r="J63" s="4"/>
      <c r="K63" s="4"/>
      <c r="L63" s="4"/>
      <c r="M63" s="4"/>
      <c r="N63" s="4"/>
    </row>
    <row r="64" spans="2:14">
      <c r="B64" s="4"/>
      <c r="C64" s="4"/>
      <c r="D64" s="4"/>
      <c r="E64" s="4"/>
      <c r="F64" s="4"/>
      <c r="G64" s="4"/>
      <c r="H64" s="4"/>
      <c r="I64" s="4"/>
      <c r="J64" s="4"/>
      <c r="K64" s="4"/>
      <c r="L64" s="4"/>
      <c r="M64" s="4"/>
      <c r="N64" s="4"/>
    </row>
    <row r="65" spans="2:14">
      <c r="B65" s="4"/>
      <c r="C65" s="4"/>
      <c r="D65" s="4"/>
      <c r="E65" s="4"/>
      <c r="F65" s="4"/>
      <c r="G65" s="4"/>
      <c r="H65" s="4"/>
      <c r="I65" s="4"/>
      <c r="J65" s="4"/>
      <c r="K65" s="4"/>
      <c r="L65" s="4"/>
      <c r="M65" s="4"/>
      <c r="N65" s="4"/>
    </row>
    <row r="66" spans="2:14">
      <c r="B66" s="4"/>
      <c r="C66" s="4"/>
      <c r="D66" s="4"/>
      <c r="E66" s="4"/>
      <c r="F66" s="4"/>
      <c r="G66" s="4"/>
      <c r="H66" s="4"/>
      <c r="I66" s="4"/>
      <c r="J66" s="4"/>
      <c r="K66" s="4"/>
      <c r="L66" s="4"/>
      <c r="M66" s="4"/>
      <c r="N66" s="4"/>
    </row>
    <row r="67" spans="2:14">
      <c r="B67" s="4"/>
      <c r="C67" s="4"/>
      <c r="D67" s="4"/>
      <c r="E67" s="4"/>
      <c r="F67" s="4"/>
      <c r="G67" s="4"/>
      <c r="H67" s="4"/>
      <c r="I67" s="4"/>
      <c r="J67" s="4"/>
      <c r="K67" s="4"/>
      <c r="L67" s="4"/>
      <c r="M67" s="4"/>
      <c r="N67" s="4"/>
    </row>
    <row r="68" spans="2:14">
      <c r="B68" s="4"/>
      <c r="C68" s="4"/>
      <c r="D68" s="4"/>
      <c r="E68" s="4"/>
      <c r="F68" s="4"/>
      <c r="G68" s="4"/>
      <c r="H68" s="4"/>
      <c r="I68" s="4"/>
      <c r="J68" s="4"/>
      <c r="K68" s="4"/>
      <c r="L68" s="4"/>
      <c r="M68" s="4"/>
      <c r="N68" s="4"/>
    </row>
    <row r="69" spans="2:14">
      <c r="B69" s="4"/>
      <c r="C69" s="4"/>
      <c r="D69" s="4"/>
      <c r="E69" s="4"/>
      <c r="F69" s="4"/>
      <c r="G69" s="4"/>
      <c r="H69" s="4"/>
      <c r="I69" s="4"/>
      <c r="J69" s="4"/>
      <c r="K69" s="4"/>
      <c r="L69" s="4"/>
      <c r="M69" s="4"/>
      <c r="N69" s="4"/>
    </row>
    <row r="70" spans="2:14">
      <c r="B70" s="4"/>
      <c r="C70" s="4"/>
      <c r="D70" s="4"/>
      <c r="E70" s="4"/>
      <c r="F70" s="4"/>
      <c r="G70" s="4"/>
      <c r="H70" s="4"/>
      <c r="I70" s="4"/>
      <c r="J70" s="4"/>
      <c r="K70" s="4"/>
      <c r="L70" s="4"/>
      <c r="M70" s="4"/>
      <c r="N70" s="4"/>
    </row>
    <row r="71" spans="2:14">
      <c r="B71" s="4"/>
      <c r="C71" s="4"/>
      <c r="D71" s="4"/>
      <c r="E71" s="4"/>
      <c r="F71" s="4"/>
      <c r="G71" s="4"/>
      <c r="H71" s="4"/>
      <c r="I71" s="4"/>
      <c r="J71" s="4"/>
      <c r="K71" s="4"/>
      <c r="L71" s="4"/>
      <c r="M71" s="4"/>
      <c r="N71" s="4"/>
    </row>
    <row r="72" spans="2:14">
      <c r="B72" s="4"/>
      <c r="C72" s="4"/>
      <c r="D72" s="4"/>
      <c r="E72" s="4"/>
      <c r="F72" s="4"/>
      <c r="G72" s="4"/>
      <c r="H72" s="4"/>
      <c r="I72" s="4"/>
      <c r="J72" s="4"/>
      <c r="K72" s="4"/>
      <c r="L72" s="4"/>
      <c r="M72" s="4"/>
      <c r="N72" s="4"/>
    </row>
    <row r="73" spans="2:14">
      <c r="B73" s="4"/>
      <c r="C73" s="4"/>
      <c r="D73" s="4"/>
      <c r="E73" s="4"/>
      <c r="F73" s="4"/>
      <c r="G73" s="4"/>
      <c r="H73" s="4"/>
      <c r="I73" s="4"/>
      <c r="J73" s="4"/>
      <c r="K73" s="4"/>
      <c r="L73" s="4"/>
      <c r="M73" s="4"/>
      <c r="N73" s="4"/>
    </row>
    <row r="74" spans="2:14">
      <c r="B74" s="4"/>
      <c r="C74" s="4"/>
      <c r="D74" s="4"/>
      <c r="E74" s="4"/>
      <c r="F74" s="4"/>
      <c r="G74" s="4"/>
      <c r="H74" s="4"/>
      <c r="I74" s="4"/>
      <c r="J74" s="4"/>
      <c r="K74" s="4"/>
      <c r="L74" s="4"/>
      <c r="M74" s="4"/>
      <c r="N74" s="4"/>
    </row>
    <row r="75" spans="2:14">
      <c r="B75" s="4"/>
      <c r="C75" s="4"/>
      <c r="D75" s="4"/>
      <c r="E75" s="4"/>
      <c r="F75" s="4"/>
      <c r="G75" s="4"/>
      <c r="H75" s="4"/>
      <c r="I75" s="4"/>
      <c r="J75" s="4"/>
      <c r="K75" s="4"/>
      <c r="L75" s="4"/>
      <c r="M75" s="4"/>
      <c r="N75" s="4"/>
    </row>
    <row r="76" spans="2:14">
      <c r="B76" s="4"/>
      <c r="C76" s="4"/>
      <c r="D76" s="4"/>
      <c r="E76" s="4"/>
      <c r="F76" s="4"/>
      <c r="G76" s="4"/>
      <c r="H76" s="4"/>
      <c r="I76" s="4"/>
      <c r="J76" s="4"/>
      <c r="K76" s="4"/>
      <c r="L76" s="4"/>
      <c r="M76" s="4"/>
      <c r="N76" s="4"/>
    </row>
    <row r="77" spans="2:14">
      <c r="B77" s="4"/>
      <c r="C77" s="4"/>
      <c r="D77" s="4"/>
      <c r="E77" s="4"/>
      <c r="F77" s="4"/>
      <c r="G77" s="4"/>
      <c r="H77" s="4"/>
      <c r="I77" s="4"/>
      <c r="J77" s="4"/>
      <c r="K77" s="4"/>
      <c r="L77" s="4"/>
      <c r="M77" s="4"/>
      <c r="N77" s="4"/>
    </row>
    <row r="78" spans="2:14">
      <c r="B78" s="4"/>
      <c r="C78" s="4"/>
      <c r="D78" s="4"/>
      <c r="E78" s="4"/>
      <c r="F78" s="4"/>
      <c r="G78" s="4"/>
      <c r="H78" s="4"/>
      <c r="I78" s="4"/>
      <c r="J78" s="4"/>
      <c r="K78" s="4"/>
      <c r="L78" s="4"/>
      <c r="M78" s="4"/>
      <c r="N78" s="4"/>
    </row>
    <row r="79" spans="2:14">
      <c r="B79" s="4"/>
      <c r="C79" s="4"/>
      <c r="D79" s="4"/>
      <c r="E79" s="4"/>
      <c r="F79" s="4"/>
      <c r="G79" s="4"/>
      <c r="H79" s="4"/>
      <c r="I79" s="4"/>
      <c r="J79" s="4"/>
      <c r="K79" s="4"/>
      <c r="L79" s="4"/>
      <c r="M79" s="4"/>
      <c r="N79" s="4"/>
    </row>
    <row r="80" spans="2:14">
      <c r="B80" s="4"/>
      <c r="C80" s="4"/>
      <c r="D80" s="4"/>
      <c r="E80" s="4"/>
      <c r="F80" s="4"/>
      <c r="G80" s="4"/>
      <c r="H80" s="4"/>
      <c r="I80" s="4"/>
      <c r="J80" s="4"/>
      <c r="K80" s="4"/>
      <c r="L80" s="4"/>
      <c r="M80" s="4"/>
      <c r="N80" s="4"/>
    </row>
    <row r="81" spans="2:14">
      <c r="B81" s="4"/>
      <c r="C81" s="4"/>
      <c r="D81" s="4"/>
      <c r="E81" s="4"/>
      <c r="F81" s="4"/>
      <c r="G81" s="4"/>
      <c r="H81" s="4"/>
      <c r="I81" s="4"/>
      <c r="J81" s="4"/>
      <c r="K81" s="4"/>
      <c r="L81" s="4"/>
      <c r="M81" s="4"/>
      <c r="N81" s="4"/>
    </row>
    <row r="82" spans="2:14">
      <c r="B82" s="4"/>
      <c r="C82" s="4"/>
      <c r="D82" s="4"/>
      <c r="E82" s="4"/>
      <c r="F82" s="4"/>
      <c r="G82" s="4"/>
      <c r="H82" s="4"/>
      <c r="I82" s="4"/>
      <c r="J82" s="4"/>
      <c r="K82" s="4"/>
      <c r="L82" s="4"/>
      <c r="M82" s="4"/>
      <c r="N82" s="4"/>
    </row>
    <row r="83" spans="2:14">
      <c r="B83" s="4"/>
      <c r="C83" s="4"/>
      <c r="D83" s="4"/>
      <c r="E83" s="4"/>
      <c r="F83" s="4"/>
      <c r="G83" s="4"/>
      <c r="H83" s="4"/>
      <c r="I83" s="4"/>
      <c r="J83" s="4"/>
      <c r="K83" s="4"/>
      <c r="L83" s="4"/>
      <c r="M83" s="4"/>
      <c r="N83" s="4"/>
    </row>
    <row r="84" spans="2:14">
      <c r="B84" s="4"/>
      <c r="C84" s="4"/>
      <c r="D84" s="4"/>
      <c r="E84" s="4"/>
      <c r="F84" s="4"/>
      <c r="G84" s="4"/>
      <c r="H84" s="4"/>
      <c r="I84" s="4"/>
      <c r="J84" s="4"/>
      <c r="K84" s="4"/>
      <c r="L84" s="4"/>
      <c r="M84" s="4"/>
      <c r="N84" s="4"/>
    </row>
    <row r="85" spans="2:14">
      <c r="B85" s="4"/>
      <c r="C85" s="4"/>
      <c r="D85" s="4"/>
      <c r="E85" s="4"/>
      <c r="F85" s="4"/>
      <c r="G85" s="4"/>
      <c r="H85" s="4"/>
      <c r="I85" s="4"/>
      <c r="J85" s="4"/>
      <c r="K85" s="4"/>
      <c r="L85" s="4"/>
      <c r="M85" s="4"/>
      <c r="N85" s="4"/>
    </row>
    <row r="86" spans="2:14">
      <c r="B86" s="4"/>
      <c r="C86" s="4"/>
      <c r="D86" s="4"/>
      <c r="E86" s="4"/>
      <c r="F86" s="4"/>
      <c r="G86" s="4"/>
      <c r="H86" s="4"/>
      <c r="I86" s="4"/>
      <c r="J86" s="4"/>
      <c r="K86" s="4"/>
      <c r="L86" s="4"/>
      <c r="M86" s="4"/>
      <c r="N86" s="4"/>
    </row>
    <row r="87" spans="2:14">
      <c r="B87" s="4"/>
      <c r="C87" s="4"/>
      <c r="D87" s="4"/>
      <c r="E87" s="4"/>
      <c r="F87" s="4"/>
      <c r="G87" s="4"/>
      <c r="H87" s="4"/>
      <c r="I87" s="4"/>
      <c r="J87" s="4"/>
      <c r="K87" s="4"/>
      <c r="L87" s="4"/>
      <c r="M87" s="4"/>
      <c r="N87" s="4"/>
    </row>
    <row r="88" spans="2:14">
      <c r="B88" s="4"/>
      <c r="C88" s="4"/>
      <c r="D88" s="4"/>
      <c r="E88" s="4"/>
      <c r="F88" s="4"/>
      <c r="G88" s="4"/>
      <c r="H88" s="4"/>
      <c r="I88" s="4"/>
      <c r="J88" s="4"/>
      <c r="K88" s="4"/>
      <c r="L88" s="4"/>
      <c r="M88" s="4"/>
      <c r="N88" s="4"/>
    </row>
    <row r="89" spans="2:14">
      <c r="B89" s="4"/>
      <c r="C89" s="4"/>
      <c r="D89" s="4"/>
      <c r="E89" s="4"/>
      <c r="F89" s="4"/>
      <c r="G89" s="4"/>
      <c r="H89" s="4"/>
      <c r="I89" s="4"/>
      <c r="J89" s="4"/>
      <c r="K89" s="4"/>
      <c r="L89" s="4"/>
      <c r="M89" s="4"/>
      <c r="N89" s="4"/>
    </row>
    <row r="90" spans="2:14">
      <c r="B90" s="4"/>
      <c r="C90" s="4"/>
      <c r="D90" s="4"/>
      <c r="E90" s="4"/>
      <c r="F90" s="4"/>
      <c r="G90" s="4"/>
      <c r="H90" s="4"/>
      <c r="I90" s="4"/>
      <c r="J90" s="4"/>
      <c r="K90" s="4"/>
      <c r="L90" s="4"/>
      <c r="M90" s="4"/>
      <c r="N90" s="4"/>
    </row>
    <row r="91" spans="2:14">
      <c r="B91" s="4"/>
      <c r="C91" s="4"/>
      <c r="D91" s="4"/>
      <c r="E91" s="4"/>
      <c r="F91" s="4"/>
      <c r="G91" s="4"/>
      <c r="H91" s="4"/>
      <c r="I91" s="4"/>
      <c r="J91" s="4"/>
      <c r="K91" s="4"/>
      <c r="L91" s="4"/>
      <c r="M91" s="4"/>
      <c r="N91" s="4"/>
    </row>
    <row r="92" spans="2:14">
      <c r="B92" s="4"/>
      <c r="C92" s="4"/>
      <c r="D92" s="4"/>
      <c r="E92" s="4"/>
      <c r="F92" s="4"/>
      <c r="G92" s="4"/>
      <c r="H92" s="4"/>
      <c r="I92" s="4"/>
      <c r="J92" s="4"/>
      <c r="K92" s="4"/>
      <c r="L92" s="4"/>
      <c r="M92" s="4"/>
      <c r="N92" s="4"/>
    </row>
    <row r="93" spans="2:14">
      <c r="B93" s="4"/>
      <c r="C93" s="4"/>
      <c r="D93" s="4"/>
      <c r="E93" s="4"/>
      <c r="F93" s="4"/>
      <c r="G93" s="4"/>
      <c r="H93" s="4"/>
      <c r="I93" s="4"/>
      <c r="J93" s="4"/>
      <c r="K93" s="4"/>
      <c r="L93" s="4"/>
      <c r="M93" s="4"/>
      <c r="N93" s="4"/>
    </row>
    <row r="94" spans="2:14">
      <c r="B94" s="4"/>
      <c r="C94" s="4"/>
      <c r="D94" s="4"/>
      <c r="E94" s="4"/>
      <c r="F94" s="4"/>
      <c r="G94" s="4"/>
      <c r="H94" s="4"/>
      <c r="I94" s="4"/>
      <c r="J94" s="4"/>
      <c r="K94" s="4"/>
      <c r="L94" s="4"/>
      <c r="M94" s="4"/>
      <c r="N94" s="4"/>
    </row>
    <row r="95" spans="2:14">
      <c r="B95" s="4"/>
      <c r="C95" s="4"/>
      <c r="D95" s="4"/>
      <c r="E95" s="4"/>
      <c r="F95" s="4"/>
      <c r="G95" s="4"/>
      <c r="H95" s="4"/>
      <c r="I95" s="4"/>
      <c r="J95" s="4"/>
      <c r="K95" s="4"/>
      <c r="L95" s="4"/>
      <c r="M95" s="4"/>
      <c r="N95" s="4"/>
    </row>
    <row r="96" spans="2:14">
      <c r="B96" s="4"/>
      <c r="C96" s="4"/>
      <c r="D96" s="4"/>
      <c r="E96" s="4"/>
      <c r="F96" s="4"/>
      <c r="G96" s="4"/>
      <c r="H96" s="4"/>
      <c r="I96" s="4"/>
      <c r="J96" s="4"/>
      <c r="K96" s="4"/>
      <c r="L96" s="4"/>
      <c r="M96" s="4"/>
      <c r="N96" s="4"/>
    </row>
    <row r="97" spans="2:14">
      <c r="B97" s="4"/>
      <c r="C97" s="4"/>
      <c r="D97" s="4"/>
      <c r="E97" s="4"/>
      <c r="F97" s="4"/>
      <c r="G97" s="4"/>
      <c r="H97" s="4"/>
      <c r="I97" s="4"/>
      <c r="J97" s="4"/>
      <c r="K97" s="4"/>
      <c r="L97" s="4"/>
      <c r="M97" s="4"/>
      <c r="N97" s="4"/>
    </row>
    <row r="98" spans="2:14">
      <c r="B98" s="4"/>
      <c r="C98" s="4"/>
      <c r="D98" s="4"/>
      <c r="E98" s="4"/>
      <c r="F98" s="4"/>
      <c r="G98" s="4"/>
      <c r="H98" s="4"/>
      <c r="I98" s="4"/>
      <c r="J98" s="4"/>
      <c r="K98" s="4"/>
      <c r="L98" s="4"/>
      <c r="M98" s="4"/>
      <c r="N98" s="4"/>
    </row>
    <row r="99" spans="2:14">
      <c r="B99" s="4"/>
      <c r="C99" s="4"/>
      <c r="D99" s="4"/>
      <c r="E99" s="4"/>
      <c r="F99" s="4"/>
      <c r="G99" s="4"/>
      <c r="H99" s="4"/>
      <c r="I99" s="4"/>
      <c r="J99" s="4"/>
      <c r="K99" s="4"/>
      <c r="L99" s="4"/>
      <c r="M99" s="4"/>
      <c r="N99" s="4"/>
    </row>
    <row r="100" spans="2:14">
      <c r="B100" s="4"/>
      <c r="C100" s="4"/>
      <c r="D100" s="4"/>
      <c r="E100" s="4"/>
      <c r="F100" s="4"/>
      <c r="G100" s="4"/>
      <c r="H100" s="4"/>
      <c r="I100" s="4"/>
      <c r="J100" s="4"/>
      <c r="K100" s="4"/>
      <c r="L100" s="4"/>
      <c r="M100" s="4"/>
      <c r="N100" s="4"/>
    </row>
    <row r="101" spans="2:14">
      <c r="B101" s="4"/>
      <c r="C101" s="4"/>
      <c r="D101" s="4"/>
      <c r="E101" s="4"/>
      <c r="F101" s="4"/>
      <c r="G101" s="4"/>
      <c r="H101" s="4"/>
      <c r="I101" s="4"/>
      <c r="J101" s="4"/>
      <c r="K101" s="4"/>
      <c r="L101" s="4"/>
      <c r="M101" s="4"/>
      <c r="N101" s="4"/>
    </row>
    <row r="102" spans="2:14">
      <c r="B102" s="4"/>
      <c r="C102" s="4"/>
      <c r="D102" s="4"/>
      <c r="E102" s="4"/>
      <c r="F102" s="4"/>
      <c r="G102" s="4"/>
      <c r="H102" s="4"/>
      <c r="I102" s="4"/>
      <c r="J102" s="4"/>
      <c r="K102" s="4"/>
      <c r="L102" s="4"/>
      <c r="M102" s="4"/>
      <c r="N102" s="4"/>
    </row>
    <row r="103" spans="2:14">
      <c r="B103" s="4"/>
      <c r="C103" s="4"/>
      <c r="D103" s="4"/>
      <c r="E103" s="4"/>
      <c r="F103" s="4"/>
      <c r="G103" s="4"/>
      <c r="H103" s="4"/>
      <c r="I103" s="4"/>
      <c r="J103" s="4"/>
      <c r="K103" s="4"/>
      <c r="L103" s="4"/>
      <c r="M103" s="4"/>
      <c r="N103" s="4"/>
    </row>
    <row r="104" spans="2:14">
      <c r="B104" s="4"/>
      <c r="C104" s="4"/>
      <c r="D104" s="4"/>
      <c r="E104" s="4"/>
      <c r="F104" s="4"/>
      <c r="G104" s="4"/>
      <c r="H104" s="4"/>
      <c r="I104" s="4"/>
      <c r="J104" s="4"/>
      <c r="K104" s="4"/>
      <c r="L104" s="4"/>
      <c r="M104" s="4"/>
      <c r="N104" s="4"/>
    </row>
    <row r="105" spans="2:14">
      <c r="B105" s="4"/>
      <c r="C105" s="4"/>
      <c r="D105" s="4"/>
      <c r="E105" s="4"/>
      <c r="F105" s="4"/>
      <c r="G105" s="4"/>
      <c r="H105" s="4"/>
      <c r="I105" s="4"/>
      <c r="J105" s="4"/>
      <c r="K105" s="4"/>
      <c r="L105" s="4"/>
      <c r="M105" s="4"/>
      <c r="N105" s="4"/>
    </row>
    <row r="106" spans="2:14">
      <c r="B106" s="4"/>
      <c r="C106" s="4"/>
      <c r="D106" s="4"/>
      <c r="E106" s="4"/>
      <c r="F106" s="4"/>
      <c r="G106" s="4"/>
      <c r="H106" s="4"/>
      <c r="I106" s="4"/>
      <c r="J106" s="4"/>
      <c r="K106" s="4"/>
      <c r="L106" s="4"/>
      <c r="M106" s="4"/>
      <c r="N106" s="4"/>
    </row>
    <row r="107" spans="2:14">
      <c r="B107" s="4"/>
      <c r="C107" s="4"/>
      <c r="D107" s="4"/>
      <c r="E107" s="4"/>
      <c r="F107" s="4"/>
      <c r="G107" s="4"/>
      <c r="H107" s="4"/>
      <c r="I107" s="4"/>
      <c r="J107" s="4"/>
      <c r="K107" s="4"/>
      <c r="L107" s="4"/>
      <c r="M107" s="4"/>
      <c r="N107" s="4"/>
    </row>
    <row r="108" spans="2:14">
      <c r="B108" s="4"/>
      <c r="C108" s="4"/>
      <c r="D108" s="4"/>
      <c r="E108" s="4"/>
      <c r="F108" s="4"/>
      <c r="G108" s="4"/>
      <c r="H108" s="4"/>
      <c r="I108" s="4"/>
      <c r="J108" s="4"/>
      <c r="K108" s="4"/>
      <c r="L108" s="4"/>
      <c r="M108" s="4"/>
      <c r="N108" s="4"/>
    </row>
    <row r="109" spans="2:14">
      <c r="B109" s="4"/>
      <c r="C109" s="4"/>
      <c r="D109" s="4"/>
      <c r="E109" s="4"/>
      <c r="F109" s="4"/>
      <c r="G109" s="4"/>
      <c r="H109" s="4"/>
      <c r="I109" s="4"/>
      <c r="J109" s="4"/>
      <c r="K109" s="4"/>
      <c r="L109" s="4"/>
      <c r="M109" s="4"/>
      <c r="N109" s="4"/>
    </row>
    <row r="110" spans="2:14">
      <c r="B110" s="4"/>
      <c r="C110" s="4"/>
      <c r="D110" s="4"/>
      <c r="E110" s="4"/>
      <c r="F110" s="4"/>
      <c r="G110" s="4"/>
      <c r="H110" s="4"/>
      <c r="I110" s="4"/>
      <c r="J110" s="4"/>
      <c r="K110" s="4"/>
      <c r="L110" s="4"/>
      <c r="M110" s="4"/>
      <c r="N110" s="4"/>
    </row>
    <row r="111" spans="2:14">
      <c r="B111" s="4"/>
      <c r="C111" s="4"/>
      <c r="D111" s="4"/>
      <c r="E111" s="4"/>
      <c r="F111" s="4"/>
      <c r="G111" s="4"/>
      <c r="H111" s="4"/>
      <c r="I111" s="4"/>
      <c r="J111" s="4"/>
      <c r="K111" s="4"/>
      <c r="L111" s="4"/>
      <c r="M111" s="4"/>
      <c r="N111" s="4"/>
    </row>
    <row r="112" spans="2:14">
      <c r="B112" s="4"/>
      <c r="C112" s="4"/>
      <c r="D112" s="4"/>
      <c r="E112" s="4"/>
      <c r="F112" s="4"/>
      <c r="G112" s="4"/>
      <c r="H112" s="4"/>
      <c r="I112" s="4"/>
      <c r="J112" s="4"/>
      <c r="K112" s="4"/>
      <c r="L112" s="4"/>
      <c r="M112" s="4"/>
      <c r="N112" s="4"/>
    </row>
    <row r="113" spans="2:14">
      <c r="B113" s="4"/>
      <c r="C113" s="4"/>
      <c r="D113" s="4"/>
      <c r="E113" s="4"/>
      <c r="F113" s="4"/>
      <c r="G113" s="4"/>
      <c r="H113" s="4"/>
      <c r="I113" s="4"/>
      <c r="J113" s="4"/>
      <c r="K113" s="4"/>
      <c r="L113" s="4"/>
      <c r="M113" s="4"/>
      <c r="N113" s="4"/>
    </row>
    <row r="114" spans="2:14">
      <c r="B114" s="4"/>
      <c r="C114" s="4"/>
      <c r="D114" s="4"/>
      <c r="E114" s="4"/>
      <c r="F114" s="4"/>
      <c r="G114" s="4"/>
      <c r="H114" s="4"/>
      <c r="I114" s="4"/>
      <c r="J114" s="4"/>
      <c r="K114" s="4"/>
      <c r="L114" s="4"/>
      <c r="M114" s="4"/>
      <c r="N114" s="4"/>
    </row>
    <row r="115" spans="2:14">
      <c r="B115" s="4"/>
      <c r="C115" s="4"/>
      <c r="D115" s="4"/>
      <c r="E115" s="4"/>
      <c r="F115" s="4"/>
      <c r="G115" s="4"/>
      <c r="H115" s="4"/>
      <c r="I115" s="4"/>
      <c r="J115" s="4"/>
      <c r="K115" s="4"/>
      <c r="L115" s="4"/>
      <c r="M115" s="4"/>
      <c r="N115" s="4"/>
    </row>
    <row r="116" spans="2:14">
      <c r="B116" s="4"/>
      <c r="C116" s="4"/>
      <c r="D116" s="4"/>
      <c r="E116" s="4"/>
      <c r="F116" s="4"/>
      <c r="G116" s="4"/>
      <c r="H116" s="4"/>
      <c r="I116" s="4"/>
      <c r="J116" s="4"/>
      <c r="K116" s="4"/>
      <c r="L116" s="4"/>
      <c r="M116" s="4"/>
      <c r="N116" s="4"/>
    </row>
    <row r="117" spans="2:14">
      <c r="B117" s="4"/>
      <c r="C117" s="4"/>
      <c r="D117" s="4"/>
      <c r="E117" s="4"/>
      <c r="F117" s="4"/>
      <c r="G117" s="4"/>
      <c r="H117" s="4"/>
      <c r="I117" s="4"/>
      <c r="J117" s="4"/>
      <c r="K117" s="4"/>
      <c r="L117" s="4"/>
      <c r="M117" s="4"/>
      <c r="N117" s="4"/>
    </row>
    <row r="118" spans="2:14">
      <c r="B118" s="4"/>
      <c r="C118" s="4"/>
      <c r="D118" s="4"/>
      <c r="E118" s="4"/>
      <c r="F118" s="4"/>
      <c r="G118" s="4"/>
      <c r="H118" s="4"/>
      <c r="I118" s="4"/>
      <c r="J118" s="4"/>
      <c r="K118" s="4"/>
      <c r="L118" s="4"/>
      <c r="M118" s="4"/>
      <c r="N118" s="4"/>
    </row>
    <row r="119" spans="2:14">
      <c r="B119" s="4"/>
      <c r="C119" s="4"/>
      <c r="D119" s="4"/>
      <c r="E119" s="4"/>
      <c r="F119" s="4"/>
      <c r="G119" s="4"/>
      <c r="H119" s="4"/>
      <c r="I119" s="4"/>
      <c r="J119" s="4"/>
      <c r="K119" s="4"/>
      <c r="L119" s="4"/>
      <c r="M119" s="4"/>
      <c r="N119" s="4"/>
    </row>
    <row r="120" spans="2:14">
      <c r="B120" s="4"/>
      <c r="C120" s="4"/>
      <c r="D120" s="4"/>
      <c r="E120" s="4"/>
      <c r="F120" s="4"/>
      <c r="G120" s="4"/>
      <c r="H120" s="4"/>
      <c r="I120" s="4"/>
      <c r="J120" s="4"/>
      <c r="K120" s="4"/>
      <c r="L120" s="4"/>
      <c r="M120" s="4"/>
      <c r="N120" s="4"/>
    </row>
    <row r="121" spans="2:14">
      <c r="B121" s="4"/>
      <c r="C121" s="4"/>
      <c r="D121" s="4"/>
      <c r="E121" s="4"/>
      <c r="F121" s="4"/>
      <c r="G121" s="4"/>
      <c r="H121" s="4"/>
      <c r="I121" s="4"/>
      <c r="J121" s="4"/>
      <c r="K121" s="4"/>
      <c r="L121" s="4"/>
      <c r="M121" s="4"/>
      <c r="N121" s="4"/>
    </row>
    <row r="122" spans="2:14">
      <c r="B122" s="4"/>
      <c r="C122" s="4"/>
      <c r="D122" s="4"/>
      <c r="E122" s="4"/>
      <c r="F122" s="4"/>
      <c r="G122" s="4"/>
      <c r="H122" s="4"/>
      <c r="I122" s="4"/>
      <c r="J122" s="4"/>
      <c r="K122" s="4"/>
      <c r="L122" s="4"/>
      <c r="M122" s="4"/>
      <c r="N122" s="4"/>
    </row>
    <row r="123" spans="2:14">
      <c r="B123" s="4"/>
      <c r="C123" s="4"/>
      <c r="D123" s="4"/>
      <c r="E123" s="4"/>
      <c r="F123" s="4"/>
      <c r="G123" s="4"/>
      <c r="H123" s="4"/>
      <c r="I123" s="4"/>
      <c r="J123" s="4"/>
      <c r="K123" s="4"/>
      <c r="L123" s="4"/>
      <c r="M123" s="4"/>
      <c r="N123" s="4"/>
    </row>
    <row r="124" spans="2:14">
      <c r="B124" s="4"/>
      <c r="C124" s="4"/>
      <c r="D124" s="4"/>
      <c r="E124" s="4"/>
      <c r="F124" s="4"/>
      <c r="G124" s="4"/>
      <c r="H124" s="4"/>
      <c r="I124" s="4"/>
      <c r="J124" s="4"/>
      <c r="K124" s="4"/>
      <c r="L124" s="4"/>
      <c r="M124" s="4"/>
      <c r="N124" s="4"/>
    </row>
    <row r="125" spans="2:14">
      <c r="B125" s="4"/>
      <c r="C125" s="4"/>
      <c r="D125" s="4"/>
      <c r="E125" s="4"/>
      <c r="F125" s="4"/>
      <c r="G125" s="4"/>
      <c r="H125" s="4"/>
      <c r="I125" s="4"/>
      <c r="J125" s="4"/>
      <c r="K125" s="4"/>
      <c r="L125" s="4"/>
      <c r="M125" s="4"/>
      <c r="N125" s="4"/>
    </row>
    <row r="126" spans="2:14">
      <c r="B126" s="4"/>
      <c r="C126" s="4"/>
      <c r="D126" s="4"/>
      <c r="E126" s="4"/>
      <c r="F126" s="4"/>
      <c r="G126" s="4"/>
      <c r="H126" s="4"/>
      <c r="I126" s="4"/>
      <c r="J126" s="4"/>
      <c r="K126" s="4"/>
      <c r="L126" s="4"/>
      <c r="M126" s="4"/>
      <c r="N126" s="4"/>
    </row>
    <row r="127" spans="2:14">
      <c r="B127" s="4"/>
      <c r="C127" s="4"/>
      <c r="D127" s="4"/>
      <c r="E127" s="4"/>
      <c r="F127" s="4"/>
      <c r="G127" s="4"/>
      <c r="H127" s="4"/>
      <c r="I127" s="4"/>
      <c r="J127" s="4"/>
      <c r="K127" s="4"/>
      <c r="L127" s="4"/>
      <c r="M127" s="4"/>
      <c r="N127" s="4"/>
    </row>
    <row r="128" spans="2:14">
      <c r="B128" s="4"/>
      <c r="C128" s="4"/>
      <c r="D128" s="4"/>
      <c r="E128" s="4"/>
      <c r="F128" s="4"/>
      <c r="G128" s="4"/>
      <c r="H128" s="4"/>
      <c r="I128" s="4"/>
      <c r="J128" s="4"/>
      <c r="K128" s="4"/>
      <c r="L128" s="4"/>
      <c r="M128" s="4"/>
      <c r="N128" s="4"/>
    </row>
    <row r="129" spans="2:14">
      <c r="B129" s="4"/>
      <c r="C129" s="4"/>
      <c r="D129" s="4"/>
      <c r="E129" s="4"/>
      <c r="F129" s="4"/>
      <c r="G129" s="4"/>
      <c r="H129" s="4"/>
      <c r="I129" s="4"/>
      <c r="J129" s="4"/>
      <c r="K129" s="4"/>
      <c r="L129" s="4"/>
      <c r="M129" s="4"/>
      <c r="N129" s="4"/>
    </row>
    <row r="130" spans="2:14">
      <c r="B130" s="4"/>
      <c r="C130" s="4"/>
      <c r="D130" s="4"/>
      <c r="E130" s="4"/>
      <c r="F130" s="4"/>
      <c r="G130" s="4"/>
      <c r="H130" s="4"/>
      <c r="I130" s="4"/>
      <c r="J130" s="4"/>
      <c r="K130" s="4"/>
      <c r="L130" s="4"/>
      <c r="M130" s="4"/>
      <c r="N130" s="4"/>
    </row>
  </sheetData>
  <mergeCells count="3">
    <mergeCell ref="A1:L1"/>
    <mergeCell ref="A2:L2"/>
    <mergeCell ref="A3:L3"/>
  </mergeCells>
  <pageMargins left="0.75" right="0.75" top="1" bottom="1" header="0.5" footer="0.5"/>
  <pageSetup scale="79" orientation="landscape" r:id="rId1"/>
  <headerFooter alignWithMargins="0">
    <oddFooter>&amp;L&amp;Z
&amp;F&amp;C&amp;A&amp;R26.&amp;P</oddFooter>
  </headerFooter>
</worksheet>
</file>

<file path=xl/worksheets/sheet146.xml><?xml version="1.0" encoding="utf-8"?>
<worksheet xmlns="http://schemas.openxmlformats.org/spreadsheetml/2006/main" xmlns:r="http://schemas.openxmlformats.org/officeDocument/2006/relationships">
  <sheetPr codeName="Sheet149">
    <pageSetUpPr fitToPage="1"/>
  </sheetPr>
  <dimension ref="A1:N129"/>
  <sheetViews>
    <sheetView zoomScale="90" zoomScaleNormal="90" workbookViewId="0">
      <selection sqref="A1:L1"/>
    </sheetView>
  </sheetViews>
  <sheetFormatPr defaultRowHeight="12.75"/>
  <cols>
    <col min="1" max="1" width="40.5703125" bestFit="1" customWidth="1"/>
    <col min="2" max="2" width="17.7109375" customWidth="1"/>
    <col min="3" max="3" width="1.7109375" customWidth="1"/>
    <col min="4" max="4" width="17.7109375" customWidth="1"/>
    <col min="5" max="5" width="1.7109375" customWidth="1"/>
    <col min="6" max="6" width="17.7109375" customWidth="1"/>
    <col min="7" max="7" width="1.7109375" customWidth="1"/>
    <col min="8" max="8" width="17.7109375" customWidth="1"/>
    <col min="9" max="9" width="1.7109375" customWidth="1"/>
    <col min="10" max="10" width="17.7109375" customWidth="1"/>
    <col min="11" max="11" width="1.7109375" customWidth="1"/>
    <col min="12" max="12" width="17.7109375" customWidth="1"/>
  </cols>
  <sheetData>
    <row r="1" spans="1:14" s="38" customFormat="1" ht="15.75">
      <c r="A1" s="366" t="s">
        <v>134</v>
      </c>
      <c r="B1" s="366"/>
      <c r="C1" s="366"/>
      <c r="D1" s="366"/>
      <c r="E1" s="366"/>
      <c r="F1" s="366"/>
      <c r="G1" s="366"/>
      <c r="H1" s="366"/>
      <c r="I1" s="366"/>
      <c r="J1" s="366"/>
      <c r="K1" s="366"/>
      <c r="L1" s="366"/>
    </row>
    <row r="2" spans="1:14" s="38" customFormat="1" ht="15.75">
      <c r="A2" s="366" t="s">
        <v>1174</v>
      </c>
      <c r="B2" s="366"/>
      <c r="C2" s="366"/>
      <c r="D2" s="366"/>
      <c r="E2" s="366"/>
      <c r="F2" s="366"/>
      <c r="G2" s="366"/>
      <c r="H2" s="366"/>
      <c r="I2" s="366"/>
      <c r="J2" s="366"/>
      <c r="K2" s="366"/>
      <c r="L2" s="366"/>
    </row>
    <row r="3" spans="1:14">
      <c r="A3" s="357" t="str">
        <f>'Summary - Cost - PG 1 (PA)'!A3:N3</f>
        <v>MARCH 2012</v>
      </c>
      <c r="B3" s="357"/>
      <c r="C3" s="357"/>
      <c r="D3" s="357"/>
      <c r="E3" s="357"/>
      <c r="F3" s="357"/>
      <c r="G3" s="357"/>
      <c r="H3" s="357"/>
      <c r="I3" s="357"/>
      <c r="J3" s="357"/>
      <c r="K3" s="357"/>
      <c r="L3" s="357"/>
    </row>
    <row r="4" spans="1:14">
      <c r="A4" s="190"/>
      <c r="B4" s="190"/>
      <c r="C4" s="190"/>
      <c r="D4" s="190"/>
      <c r="E4" s="190"/>
      <c r="F4" s="190"/>
      <c r="G4" s="190"/>
      <c r="H4" s="190"/>
      <c r="I4" s="190"/>
      <c r="J4" s="190"/>
      <c r="K4" s="190"/>
      <c r="L4" s="190"/>
    </row>
    <row r="6" spans="1:14">
      <c r="B6" s="41" t="s">
        <v>25</v>
      </c>
      <c r="D6" s="33"/>
      <c r="F6" s="33"/>
      <c r="H6" s="41" t="s">
        <v>612</v>
      </c>
      <c r="J6" s="33"/>
      <c r="L6" s="41" t="s">
        <v>26</v>
      </c>
    </row>
    <row r="7" spans="1:14" s="10" customFormat="1">
      <c r="B7" s="42" t="s">
        <v>27</v>
      </c>
      <c r="C7"/>
      <c r="D7" s="42" t="s">
        <v>107</v>
      </c>
      <c r="E7"/>
      <c r="F7" s="42" t="s">
        <v>108</v>
      </c>
      <c r="G7"/>
      <c r="H7" s="42" t="s">
        <v>613</v>
      </c>
      <c r="I7"/>
      <c r="J7" s="42" t="s">
        <v>109</v>
      </c>
      <c r="K7"/>
      <c r="L7" s="42" t="s">
        <v>27</v>
      </c>
    </row>
    <row r="8" spans="1:14" s="10" customFormat="1">
      <c r="B8"/>
      <c r="C8"/>
      <c r="D8"/>
      <c r="E8"/>
      <c r="F8"/>
      <c r="G8"/>
      <c r="H8"/>
      <c r="I8"/>
      <c r="J8"/>
      <c r="K8"/>
      <c r="L8"/>
    </row>
    <row r="9" spans="1:14" s="10" customFormat="1">
      <c r="A9" s="12" t="s">
        <v>684</v>
      </c>
      <c r="B9"/>
      <c r="C9"/>
      <c r="D9"/>
      <c r="E9"/>
      <c r="F9"/>
      <c r="G9"/>
      <c r="H9"/>
      <c r="I9"/>
      <c r="J9"/>
      <c r="K9"/>
      <c r="L9"/>
    </row>
    <row r="10" spans="1:14">
      <c r="A10" t="s">
        <v>270</v>
      </c>
      <c r="B10" s="182">
        <v>0</v>
      </c>
      <c r="C10" s="182"/>
      <c r="D10" s="182">
        <v>0</v>
      </c>
      <c r="E10" s="182"/>
      <c r="F10" s="182">
        <v>0</v>
      </c>
      <c r="G10" s="182"/>
      <c r="H10" s="182">
        <v>0</v>
      </c>
      <c r="I10" s="182"/>
      <c r="J10" s="182">
        <f>+D10+F10+H10</f>
        <v>0</v>
      </c>
      <c r="K10" s="182"/>
      <c r="L10" s="182">
        <f>+B10+J10</f>
        <v>0</v>
      </c>
      <c r="M10" s="4"/>
      <c r="N10" s="4"/>
    </row>
    <row r="11" spans="1:14">
      <c r="A11" t="s">
        <v>271</v>
      </c>
      <c r="B11" s="182">
        <v>-63110.43</v>
      </c>
      <c r="C11" s="182"/>
      <c r="D11" s="182">
        <v>0</v>
      </c>
      <c r="E11" s="182"/>
      <c r="F11" s="182">
        <v>0</v>
      </c>
      <c r="G11" s="182"/>
      <c r="H11" s="182">
        <v>0</v>
      </c>
      <c r="I11" s="182"/>
      <c r="J11" s="182">
        <f>+D11+F11+H11</f>
        <v>0</v>
      </c>
      <c r="K11" s="182"/>
      <c r="L11" s="182">
        <f>+B11+J11</f>
        <v>-63110.43</v>
      </c>
      <c r="M11" s="4"/>
      <c r="N11" s="4"/>
    </row>
    <row r="12" spans="1:14">
      <c r="A12" t="s">
        <v>272</v>
      </c>
      <c r="B12" s="182">
        <v>-249.93</v>
      </c>
      <c r="C12" s="182"/>
      <c r="D12" s="182">
        <v>0</v>
      </c>
      <c r="E12" s="182"/>
      <c r="F12" s="182">
        <v>0</v>
      </c>
      <c r="G12" s="182"/>
      <c r="H12" s="182">
        <v>0</v>
      </c>
      <c r="I12" s="182"/>
      <c r="J12" s="182">
        <f>+D12+F12+H12</f>
        <v>0</v>
      </c>
      <c r="K12" s="182"/>
      <c r="L12" s="182">
        <f>+B12+J12</f>
        <v>-249.93</v>
      </c>
      <c r="M12" s="4"/>
      <c r="N12" s="4"/>
    </row>
    <row r="13" spans="1:14">
      <c r="A13" t="s">
        <v>273</v>
      </c>
      <c r="B13" s="182">
        <v>0</v>
      </c>
      <c r="C13" s="182"/>
      <c r="D13" s="182">
        <v>0</v>
      </c>
      <c r="E13" s="182"/>
      <c r="F13" s="182">
        <v>0</v>
      </c>
      <c r="G13" s="182"/>
      <c r="H13" s="182">
        <v>0</v>
      </c>
      <c r="I13" s="182"/>
      <c r="J13" s="182">
        <f>+D13+F13+H13</f>
        <v>0</v>
      </c>
      <c r="K13" s="182"/>
      <c r="L13" s="182">
        <f>+B13+J13</f>
        <v>0</v>
      </c>
      <c r="M13" s="4"/>
      <c r="N13" s="4"/>
    </row>
    <row r="14" spans="1:14" ht="13.5" thickBot="1">
      <c r="B14" s="46">
        <f>SUM(B10:B13)</f>
        <v>-63360.36</v>
      </c>
      <c r="C14" s="182"/>
      <c r="D14" s="46">
        <f>SUM(D10:D13)</f>
        <v>0</v>
      </c>
      <c r="E14" s="182"/>
      <c r="F14" s="46">
        <f>SUM(F10:F13)</f>
        <v>0</v>
      </c>
      <c r="G14" s="182"/>
      <c r="H14" s="46">
        <f>SUM(H10:H13)</f>
        <v>0</v>
      </c>
      <c r="I14" s="182"/>
      <c r="J14" s="46">
        <f>SUM(J10:J13)</f>
        <v>0</v>
      </c>
      <c r="K14" s="182"/>
      <c r="L14" s="46">
        <f>SUM(L10:L13)</f>
        <v>-63360.36</v>
      </c>
      <c r="M14" s="4"/>
      <c r="N14" s="4"/>
    </row>
    <row r="15" spans="1:14" ht="13.5" thickTop="1">
      <c r="B15" s="182"/>
      <c r="C15" s="182"/>
      <c r="D15" s="182"/>
      <c r="E15" s="182"/>
      <c r="F15" s="182"/>
      <c r="G15" s="182"/>
      <c r="H15" s="182"/>
      <c r="I15" s="182"/>
      <c r="J15" s="182"/>
      <c r="K15" s="182"/>
      <c r="L15" s="182"/>
      <c r="M15" s="4"/>
      <c r="N15" s="4"/>
    </row>
    <row r="16" spans="1:14">
      <c r="B16" s="4"/>
      <c r="C16" s="4"/>
      <c r="D16" s="4"/>
      <c r="E16" s="4"/>
      <c r="F16" s="4"/>
      <c r="G16" s="4"/>
      <c r="H16" s="4"/>
      <c r="I16" s="4"/>
      <c r="J16" s="4"/>
      <c r="K16" s="4"/>
      <c r="L16" s="4"/>
      <c r="M16" s="4"/>
      <c r="N16" s="4"/>
    </row>
    <row r="17" spans="2:14">
      <c r="B17" s="4"/>
      <c r="C17" s="4"/>
      <c r="D17" s="4"/>
      <c r="E17" s="4"/>
      <c r="F17" s="4"/>
      <c r="G17" s="4"/>
      <c r="H17" s="4"/>
      <c r="I17" s="4"/>
      <c r="J17" s="4"/>
      <c r="K17" s="4"/>
      <c r="L17" s="4"/>
      <c r="M17" s="4"/>
      <c r="N17" s="4"/>
    </row>
    <row r="18" spans="2:14">
      <c r="B18" s="4"/>
      <c r="C18" s="4"/>
      <c r="D18" s="4"/>
      <c r="E18" s="4"/>
      <c r="F18" s="4"/>
      <c r="G18" s="4"/>
      <c r="H18" s="4"/>
      <c r="I18" s="4"/>
      <c r="J18" s="4"/>
      <c r="K18" s="4"/>
      <c r="L18" s="4"/>
      <c r="M18" s="4"/>
      <c r="N18" s="4"/>
    </row>
    <row r="19" spans="2:14">
      <c r="B19" s="4"/>
      <c r="C19" s="4"/>
      <c r="D19" s="4"/>
      <c r="E19" s="4"/>
      <c r="F19" s="4"/>
      <c r="G19" s="4"/>
      <c r="H19" s="4"/>
      <c r="I19" s="4"/>
      <c r="J19" s="4"/>
      <c r="K19" s="4"/>
      <c r="L19" s="4"/>
      <c r="M19" s="4"/>
      <c r="N19" s="4"/>
    </row>
    <row r="20" spans="2:14">
      <c r="B20" s="4"/>
      <c r="C20" s="4"/>
      <c r="D20" s="4"/>
      <c r="E20" s="4"/>
      <c r="F20" s="4"/>
      <c r="G20" s="4"/>
      <c r="H20" s="4"/>
      <c r="I20" s="4"/>
      <c r="J20" s="4"/>
      <c r="K20" s="4"/>
      <c r="L20" s="4"/>
      <c r="M20" s="4"/>
      <c r="N20" s="4"/>
    </row>
    <row r="21" spans="2:14">
      <c r="B21" s="4"/>
      <c r="C21" s="4"/>
      <c r="D21" s="4"/>
      <c r="E21" s="4"/>
      <c r="F21" s="4"/>
      <c r="G21" s="4"/>
      <c r="H21" s="4"/>
      <c r="I21" s="4"/>
      <c r="J21" s="4"/>
      <c r="K21" s="4"/>
      <c r="L21" s="4"/>
      <c r="M21" s="4"/>
      <c r="N21" s="4"/>
    </row>
    <row r="22" spans="2:14">
      <c r="B22" s="4"/>
      <c r="C22" s="4"/>
      <c r="D22" s="4"/>
      <c r="E22" s="4"/>
      <c r="F22" s="4"/>
      <c r="G22" s="4"/>
      <c r="H22" s="4"/>
      <c r="I22" s="4"/>
      <c r="J22" s="4"/>
      <c r="K22" s="4"/>
      <c r="L22" s="4"/>
      <c r="M22" s="4"/>
      <c r="N22" s="4"/>
    </row>
    <row r="23" spans="2:14">
      <c r="B23" s="4"/>
      <c r="C23" s="4"/>
      <c r="D23" s="4"/>
      <c r="E23" s="4"/>
      <c r="F23" s="4"/>
      <c r="G23" s="4"/>
      <c r="H23" s="4"/>
      <c r="I23" s="4"/>
      <c r="J23" s="4"/>
      <c r="K23" s="4"/>
      <c r="L23" s="4"/>
      <c r="M23" s="4"/>
      <c r="N23" s="4"/>
    </row>
    <row r="24" spans="2:14">
      <c r="B24" s="4"/>
      <c r="C24" s="4"/>
      <c r="D24" s="4"/>
      <c r="E24" s="4"/>
      <c r="F24" s="4"/>
      <c r="G24" s="4"/>
      <c r="H24" s="4"/>
      <c r="I24" s="4"/>
      <c r="J24" s="4"/>
      <c r="K24" s="4"/>
      <c r="L24" s="4"/>
      <c r="M24" s="4"/>
      <c r="N24" s="4"/>
    </row>
    <row r="25" spans="2:14">
      <c r="B25" s="4"/>
      <c r="C25" s="4"/>
      <c r="D25" s="4"/>
      <c r="E25" s="4"/>
      <c r="F25" s="4"/>
      <c r="G25" s="4"/>
      <c r="H25" s="4"/>
      <c r="I25" s="4"/>
      <c r="J25" s="4"/>
      <c r="K25" s="4"/>
      <c r="L25" s="4"/>
      <c r="M25" s="4"/>
      <c r="N25" s="4"/>
    </row>
    <row r="26" spans="2:14">
      <c r="B26" s="4"/>
      <c r="C26" s="4"/>
      <c r="D26" s="4"/>
      <c r="E26" s="4"/>
      <c r="F26" s="4"/>
      <c r="G26" s="4"/>
      <c r="H26" s="4"/>
      <c r="I26" s="4"/>
      <c r="J26" s="4"/>
      <c r="K26" s="4"/>
      <c r="L26" s="4"/>
      <c r="M26" s="4"/>
      <c r="N26" s="4"/>
    </row>
    <row r="27" spans="2:14">
      <c r="B27" s="4"/>
      <c r="C27" s="4"/>
      <c r="D27" s="4"/>
      <c r="E27" s="4"/>
      <c r="F27" s="4"/>
      <c r="G27" s="4"/>
      <c r="H27" s="4"/>
      <c r="I27" s="4"/>
      <c r="J27" s="4"/>
      <c r="K27" s="4"/>
      <c r="L27" s="4"/>
      <c r="M27" s="4"/>
      <c r="N27" s="4"/>
    </row>
    <row r="28" spans="2:14">
      <c r="B28" s="4"/>
      <c r="C28" s="4"/>
      <c r="D28" s="4"/>
      <c r="E28" s="4"/>
      <c r="F28" s="4"/>
      <c r="G28" s="4"/>
      <c r="H28" s="4"/>
      <c r="I28" s="4"/>
      <c r="J28" s="4"/>
      <c r="K28" s="4"/>
      <c r="L28" s="4"/>
      <c r="M28" s="4"/>
      <c r="N28" s="4"/>
    </row>
    <row r="29" spans="2:14">
      <c r="B29" s="4"/>
      <c r="C29" s="4"/>
      <c r="D29" s="4"/>
      <c r="E29" s="4"/>
      <c r="F29" s="4"/>
      <c r="G29" s="4"/>
      <c r="H29" s="4"/>
      <c r="I29" s="4"/>
      <c r="J29" s="4"/>
      <c r="K29" s="4"/>
      <c r="L29" s="4"/>
      <c r="M29" s="4"/>
      <c r="N29" s="4"/>
    </row>
    <row r="30" spans="2:14">
      <c r="B30" s="4"/>
      <c r="C30" s="4"/>
      <c r="D30" s="4"/>
      <c r="E30" s="4"/>
      <c r="F30" s="4"/>
      <c r="G30" s="4"/>
      <c r="H30" s="4"/>
      <c r="I30" s="4"/>
      <c r="J30" s="4"/>
      <c r="K30" s="4"/>
      <c r="L30" s="4"/>
      <c r="M30" s="4"/>
      <c r="N30" s="4"/>
    </row>
    <row r="31" spans="2:14">
      <c r="B31" s="4"/>
      <c r="C31" s="4"/>
      <c r="D31" s="4"/>
      <c r="E31" s="4"/>
      <c r="F31" s="4"/>
      <c r="G31" s="4"/>
      <c r="H31" s="4"/>
      <c r="I31" s="4"/>
      <c r="J31" s="4"/>
      <c r="K31" s="4"/>
      <c r="L31" s="4"/>
      <c r="M31" s="4"/>
      <c r="N31" s="4"/>
    </row>
    <row r="32" spans="2:14">
      <c r="B32" s="4"/>
      <c r="C32" s="4"/>
      <c r="D32" s="4"/>
      <c r="E32" s="4"/>
      <c r="F32" s="4"/>
      <c r="G32" s="4"/>
      <c r="H32" s="4"/>
      <c r="I32" s="4"/>
      <c r="J32" s="4"/>
      <c r="K32" s="4"/>
      <c r="L32" s="4"/>
      <c r="M32" s="4"/>
      <c r="N32" s="4"/>
    </row>
    <row r="33" spans="2:14">
      <c r="B33" s="4"/>
      <c r="C33" s="4"/>
      <c r="D33" s="4"/>
      <c r="E33" s="4"/>
      <c r="F33" s="4"/>
      <c r="G33" s="4"/>
      <c r="H33" s="4"/>
      <c r="I33" s="4"/>
      <c r="J33" s="4"/>
      <c r="K33" s="4"/>
      <c r="L33" s="4"/>
      <c r="M33" s="4"/>
      <c r="N33" s="4"/>
    </row>
    <row r="34" spans="2:14">
      <c r="B34" s="4"/>
      <c r="C34" s="4"/>
      <c r="D34" s="4"/>
      <c r="E34" s="4"/>
      <c r="F34" s="4"/>
      <c r="G34" s="4"/>
      <c r="H34" s="4"/>
      <c r="I34" s="4"/>
      <c r="J34" s="4"/>
      <c r="K34" s="4"/>
      <c r="L34" s="4"/>
      <c r="M34" s="4"/>
      <c r="N34" s="4"/>
    </row>
    <row r="35" spans="2:14">
      <c r="B35" s="4"/>
      <c r="C35" s="4"/>
      <c r="D35" s="4"/>
      <c r="E35" s="4"/>
      <c r="F35" s="4"/>
      <c r="G35" s="4"/>
      <c r="H35" s="4"/>
      <c r="I35" s="4"/>
      <c r="J35" s="4"/>
      <c r="K35" s="4"/>
      <c r="L35" s="4"/>
      <c r="M35" s="4"/>
      <c r="N35" s="4"/>
    </row>
    <row r="36" spans="2:14">
      <c r="B36" s="4"/>
      <c r="C36" s="4"/>
      <c r="D36" s="4"/>
      <c r="E36" s="4"/>
      <c r="F36" s="4"/>
      <c r="G36" s="4"/>
      <c r="H36" s="4"/>
      <c r="I36" s="4"/>
      <c r="J36" s="4"/>
      <c r="K36" s="4"/>
      <c r="L36" s="4"/>
      <c r="M36" s="4"/>
      <c r="N36" s="4"/>
    </row>
    <row r="37" spans="2:14">
      <c r="B37" s="4"/>
      <c r="C37" s="4"/>
      <c r="D37" s="4"/>
      <c r="E37" s="4"/>
      <c r="F37" s="4"/>
      <c r="G37" s="4"/>
      <c r="H37" s="4"/>
      <c r="I37" s="4"/>
      <c r="J37" s="4"/>
      <c r="K37" s="4"/>
      <c r="L37" s="4"/>
      <c r="M37" s="4"/>
      <c r="N37" s="4"/>
    </row>
    <row r="38" spans="2:14">
      <c r="B38" s="4"/>
      <c r="C38" s="4"/>
      <c r="D38" s="4"/>
      <c r="E38" s="4"/>
      <c r="F38" s="4"/>
      <c r="G38" s="4"/>
      <c r="H38" s="4"/>
      <c r="I38" s="4"/>
      <c r="J38" s="4"/>
      <c r="K38" s="4"/>
      <c r="L38" s="4"/>
      <c r="M38" s="4"/>
      <c r="N38" s="4"/>
    </row>
    <row r="39" spans="2:14">
      <c r="B39" s="4"/>
      <c r="C39" s="4"/>
      <c r="D39" s="4"/>
      <c r="E39" s="4"/>
      <c r="F39" s="4"/>
      <c r="G39" s="4"/>
      <c r="H39" s="4"/>
      <c r="I39" s="4"/>
      <c r="J39" s="4"/>
      <c r="K39" s="4"/>
      <c r="L39" s="4"/>
      <c r="M39" s="4"/>
      <c r="N39" s="4"/>
    </row>
    <row r="40" spans="2:14">
      <c r="B40" s="4"/>
      <c r="C40" s="4"/>
      <c r="D40" s="4"/>
      <c r="E40" s="4"/>
      <c r="F40" s="4"/>
      <c r="G40" s="4"/>
      <c r="H40" s="4"/>
      <c r="I40" s="4"/>
      <c r="J40" s="4"/>
      <c r="K40" s="4"/>
      <c r="L40" s="4"/>
      <c r="M40" s="4"/>
      <c r="N40" s="4"/>
    </row>
    <row r="41" spans="2:14">
      <c r="B41" s="4"/>
      <c r="C41" s="4"/>
      <c r="D41" s="4"/>
      <c r="E41" s="4"/>
      <c r="F41" s="4"/>
      <c r="G41" s="4"/>
      <c r="H41" s="4"/>
      <c r="I41" s="4"/>
      <c r="J41" s="4"/>
      <c r="K41" s="4"/>
      <c r="L41" s="4"/>
      <c r="M41" s="4"/>
      <c r="N41" s="4"/>
    </row>
    <row r="42" spans="2:14">
      <c r="B42" s="4"/>
      <c r="C42" s="4"/>
      <c r="D42" s="4"/>
      <c r="E42" s="4"/>
      <c r="F42" s="4"/>
      <c r="G42" s="4"/>
      <c r="H42" s="4"/>
      <c r="I42" s="4"/>
      <c r="J42" s="4"/>
      <c r="K42" s="4"/>
      <c r="L42" s="4"/>
      <c r="M42" s="4"/>
      <c r="N42" s="4"/>
    </row>
    <row r="43" spans="2:14">
      <c r="B43" s="4"/>
      <c r="C43" s="4"/>
      <c r="D43" s="4"/>
      <c r="E43" s="4"/>
      <c r="F43" s="4"/>
      <c r="G43" s="4"/>
      <c r="H43" s="4"/>
      <c r="I43" s="4"/>
      <c r="J43" s="4"/>
      <c r="K43" s="4"/>
      <c r="L43" s="4"/>
      <c r="M43" s="4"/>
      <c r="N43" s="4"/>
    </row>
    <row r="44" spans="2:14">
      <c r="B44" s="4"/>
      <c r="C44" s="4"/>
      <c r="D44" s="4"/>
      <c r="E44" s="4"/>
      <c r="F44" s="4"/>
      <c r="G44" s="4"/>
      <c r="H44" s="4"/>
      <c r="I44" s="4"/>
      <c r="J44" s="4"/>
      <c r="K44" s="4"/>
      <c r="L44" s="4"/>
      <c r="M44" s="4"/>
      <c r="N44" s="4"/>
    </row>
    <row r="45" spans="2:14">
      <c r="B45" s="4"/>
      <c r="C45" s="4"/>
      <c r="D45" s="4"/>
      <c r="E45" s="4"/>
      <c r="F45" s="4"/>
      <c r="G45" s="4"/>
      <c r="H45" s="4"/>
      <c r="I45" s="4"/>
      <c r="J45" s="4"/>
      <c r="K45" s="4"/>
      <c r="L45" s="4"/>
      <c r="M45" s="4"/>
      <c r="N45" s="4"/>
    </row>
    <row r="46" spans="2:14">
      <c r="B46" s="4"/>
      <c r="C46" s="4"/>
      <c r="D46" s="4"/>
      <c r="E46" s="4"/>
      <c r="F46" s="4"/>
      <c r="G46" s="4"/>
      <c r="H46" s="4"/>
      <c r="I46" s="4"/>
      <c r="J46" s="4"/>
      <c r="K46" s="4"/>
      <c r="L46" s="4"/>
      <c r="M46" s="4"/>
      <c r="N46" s="4"/>
    </row>
    <row r="47" spans="2:14">
      <c r="B47" s="4"/>
      <c r="C47" s="4"/>
      <c r="D47" s="4"/>
      <c r="E47" s="4"/>
      <c r="F47" s="4"/>
      <c r="G47" s="4"/>
      <c r="H47" s="4"/>
      <c r="I47" s="4"/>
      <c r="J47" s="4"/>
      <c r="K47" s="4"/>
      <c r="L47" s="4"/>
      <c r="M47" s="4"/>
      <c r="N47" s="4"/>
    </row>
    <row r="48" spans="2:14">
      <c r="B48" s="4"/>
      <c r="C48" s="4"/>
      <c r="D48" s="4"/>
      <c r="E48" s="4"/>
      <c r="F48" s="4"/>
      <c r="G48" s="4"/>
      <c r="H48" s="4"/>
      <c r="I48" s="4"/>
      <c r="J48" s="4"/>
      <c r="K48" s="4"/>
      <c r="L48" s="4"/>
      <c r="M48" s="4"/>
      <c r="N48" s="4"/>
    </row>
    <row r="49" spans="2:14">
      <c r="B49" s="4"/>
      <c r="C49" s="4"/>
      <c r="D49" s="4"/>
      <c r="E49" s="4"/>
      <c r="F49" s="4"/>
      <c r="G49" s="4"/>
      <c r="H49" s="4"/>
      <c r="I49" s="4"/>
      <c r="J49" s="4"/>
      <c r="K49" s="4"/>
      <c r="L49" s="4"/>
      <c r="M49" s="4"/>
      <c r="N49" s="4"/>
    </row>
    <row r="50" spans="2:14">
      <c r="B50" s="4"/>
      <c r="C50" s="4"/>
      <c r="D50" s="4"/>
      <c r="E50" s="4"/>
      <c r="F50" s="4"/>
      <c r="G50" s="4"/>
      <c r="H50" s="4"/>
      <c r="I50" s="4"/>
      <c r="J50" s="4"/>
      <c r="K50" s="4"/>
      <c r="L50" s="4"/>
      <c r="M50" s="4"/>
      <c r="N50" s="4"/>
    </row>
    <row r="51" spans="2:14">
      <c r="B51" s="4"/>
      <c r="C51" s="4"/>
      <c r="D51" s="4"/>
      <c r="E51" s="4"/>
      <c r="F51" s="4"/>
      <c r="G51" s="4"/>
      <c r="H51" s="4"/>
      <c r="I51" s="4"/>
      <c r="J51" s="4"/>
      <c r="K51" s="4"/>
      <c r="L51" s="4"/>
      <c r="M51" s="4"/>
      <c r="N51" s="4"/>
    </row>
    <row r="52" spans="2:14">
      <c r="B52" s="4"/>
      <c r="C52" s="4"/>
      <c r="D52" s="4"/>
      <c r="E52" s="4"/>
      <c r="F52" s="4"/>
      <c r="G52" s="4"/>
      <c r="H52" s="4"/>
      <c r="I52" s="4"/>
      <c r="J52" s="4"/>
      <c r="K52" s="4"/>
      <c r="L52" s="4"/>
      <c r="M52" s="4"/>
      <c r="N52" s="4"/>
    </row>
    <row r="53" spans="2:14">
      <c r="B53" s="4"/>
      <c r="C53" s="4"/>
      <c r="D53" s="4"/>
      <c r="E53" s="4"/>
      <c r="F53" s="4"/>
      <c r="G53" s="4"/>
      <c r="H53" s="4"/>
      <c r="I53" s="4"/>
      <c r="J53" s="4"/>
      <c r="K53" s="4"/>
      <c r="L53" s="4"/>
      <c r="M53" s="4"/>
      <c r="N53" s="4"/>
    </row>
    <row r="54" spans="2:14">
      <c r="B54" s="4"/>
      <c r="C54" s="4"/>
      <c r="D54" s="4"/>
      <c r="E54" s="4"/>
      <c r="F54" s="4"/>
      <c r="G54" s="4"/>
      <c r="H54" s="4"/>
      <c r="I54" s="4"/>
      <c r="J54" s="4"/>
      <c r="K54" s="4"/>
      <c r="L54" s="4"/>
      <c r="M54" s="4"/>
      <c r="N54" s="4"/>
    </row>
    <row r="55" spans="2:14">
      <c r="B55" s="4"/>
      <c r="C55" s="4"/>
      <c r="D55" s="4"/>
      <c r="E55" s="4"/>
      <c r="F55" s="4"/>
      <c r="G55" s="4"/>
      <c r="H55" s="4"/>
      <c r="I55" s="4"/>
      <c r="J55" s="4"/>
      <c r="K55" s="4"/>
      <c r="L55" s="4"/>
      <c r="M55" s="4"/>
      <c r="N55" s="4"/>
    </row>
    <row r="56" spans="2:14">
      <c r="B56" s="4"/>
      <c r="C56" s="4"/>
      <c r="D56" s="4"/>
      <c r="E56" s="4"/>
      <c r="F56" s="4"/>
      <c r="G56" s="4"/>
      <c r="H56" s="4"/>
      <c r="I56" s="4"/>
      <c r="J56" s="4"/>
      <c r="K56" s="4"/>
      <c r="L56" s="4"/>
      <c r="M56" s="4"/>
      <c r="N56" s="4"/>
    </row>
    <row r="57" spans="2:14">
      <c r="B57" s="4"/>
      <c r="C57" s="4"/>
      <c r="D57" s="4"/>
      <c r="E57" s="4"/>
      <c r="F57" s="4"/>
      <c r="G57" s="4"/>
      <c r="H57" s="4"/>
      <c r="I57" s="4"/>
      <c r="J57" s="4"/>
      <c r="K57" s="4"/>
      <c r="L57" s="4"/>
      <c r="M57" s="4"/>
      <c r="N57" s="4"/>
    </row>
    <row r="58" spans="2:14">
      <c r="B58" s="4"/>
      <c r="C58" s="4"/>
      <c r="D58" s="4"/>
      <c r="E58" s="4"/>
      <c r="F58" s="4"/>
      <c r="G58" s="4"/>
      <c r="H58" s="4"/>
      <c r="I58" s="4"/>
      <c r="J58" s="4"/>
      <c r="K58" s="4"/>
      <c r="L58" s="4"/>
      <c r="M58" s="4"/>
      <c r="N58" s="4"/>
    </row>
    <row r="59" spans="2:14">
      <c r="B59" s="4"/>
      <c r="C59" s="4"/>
      <c r="D59" s="4"/>
      <c r="E59" s="4"/>
      <c r="F59" s="4"/>
      <c r="G59" s="4"/>
      <c r="H59" s="4"/>
      <c r="I59" s="4"/>
      <c r="J59" s="4"/>
      <c r="K59" s="4"/>
      <c r="L59" s="4"/>
      <c r="M59" s="4"/>
      <c r="N59" s="4"/>
    </row>
    <row r="60" spans="2:14">
      <c r="B60" s="4"/>
      <c r="C60" s="4"/>
      <c r="D60" s="4"/>
      <c r="E60" s="4"/>
      <c r="F60" s="4"/>
      <c r="G60" s="4"/>
      <c r="H60" s="4"/>
      <c r="I60" s="4"/>
      <c r="J60" s="4"/>
      <c r="K60" s="4"/>
      <c r="L60" s="4"/>
      <c r="M60" s="4"/>
      <c r="N60" s="4"/>
    </row>
    <row r="61" spans="2:14">
      <c r="B61" s="4"/>
      <c r="C61" s="4"/>
      <c r="D61" s="4"/>
      <c r="E61" s="4"/>
      <c r="F61" s="4"/>
      <c r="G61" s="4"/>
      <c r="H61" s="4"/>
      <c r="I61" s="4"/>
      <c r="J61" s="4"/>
      <c r="K61" s="4"/>
      <c r="L61" s="4"/>
      <c r="M61" s="4"/>
      <c r="N61" s="4"/>
    </row>
    <row r="62" spans="2:14">
      <c r="B62" s="4"/>
      <c r="C62" s="4"/>
      <c r="D62" s="4"/>
      <c r="E62" s="4"/>
      <c r="F62" s="4"/>
      <c r="G62" s="4"/>
      <c r="H62" s="4"/>
      <c r="I62" s="4"/>
      <c r="J62" s="4"/>
      <c r="K62" s="4"/>
      <c r="L62" s="4"/>
      <c r="M62" s="4"/>
      <c r="N62" s="4"/>
    </row>
    <row r="63" spans="2:14">
      <c r="B63" s="4"/>
      <c r="C63" s="4"/>
      <c r="D63" s="4"/>
      <c r="E63" s="4"/>
      <c r="F63" s="4"/>
      <c r="G63" s="4"/>
      <c r="H63" s="4"/>
      <c r="I63" s="4"/>
      <c r="J63" s="4"/>
      <c r="K63" s="4"/>
      <c r="L63" s="4"/>
      <c r="M63" s="4"/>
      <c r="N63" s="4"/>
    </row>
    <row r="64" spans="2:14">
      <c r="B64" s="4"/>
      <c r="C64" s="4"/>
      <c r="D64" s="4"/>
      <c r="E64" s="4"/>
      <c r="F64" s="4"/>
      <c r="G64" s="4"/>
      <c r="H64" s="4"/>
      <c r="I64" s="4"/>
      <c r="J64" s="4"/>
      <c r="K64" s="4"/>
      <c r="L64" s="4"/>
      <c r="M64" s="4"/>
      <c r="N64" s="4"/>
    </row>
    <row r="65" spans="2:14">
      <c r="B65" s="4"/>
      <c r="C65" s="4"/>
      <c r="D65" s="4"/>
      <c r="E65" s="4"/>
      <c r="F65" s="4"/>
      <c r="G65" s="4"/>
      <c r="H65" s="4"/>
      <c r="I65" s="4"/>
      <c r="J65" s="4"/>
      <c r="K65" s="4"/>
      <c r="L65" s="4"/>
      <c r="M65" s="4"/>
      <c r="N65" s="4"/>
    </row>
    <row r="66" spans="2:14">
      <c r="B66" s="4"/>
      <c r="C66" s="4"/>
      <c r="D66" s="4"/>
      <c r="E66" s="4"/>
      <c r="F66" s="4"/>
      <c r="G66" s="4"/>
      <c r="H66" s="4"/>
      <c r="I66" s="4"/>
      <c r="J66" s="4"/>
      <c r="K66" s="4"/>
      <c r="L66" s="4"/>
      <c r="M66" s="4"/>
      <c r="N66" s="4"/>
    </row>
    <row r="67" spans="2:14">
      <c r="B67" s="4"/>
      <c r="C67" s="4"/>
      <c r="D67" s="4"/>
      <c r="E67" s="4"/>
      <c r="F67" s="4"/>
      <c r="G67" s="4"/>
      <c r="H67" s="4"/>
      <c r="I67" s="4"/>
      <c r="J67" s="4"/>
      <c r="K67" s="4"/>
      <c r="L67" s="4"/>
      <c r="M67" s="4"/>
      <c r="N67" s="4"/>
    </row>
    <row r="68" spans="2:14">
      <c r="B68" s="4"/>
      <c r="C68" s="4"/>
      <c r="D68" s="4"/>
      <c r="E68" s="4"/>
      <c r="F68" s="4"/>
      <c r="G68" s="4"/>
      <c r="H68" s="4"/>
      <c r="I68" s="4"/>
      <c r="J68" s="4"/>
      <c r="K68" s="4"/>
      <c r="L68" s="4"/>
      <c r="M68" s="4"/>
      <c r="N68" s="4"/>
    </row>
    <row r="69" spans="2:14">
      <c r="B69" s="4"/>
      <c r="C69" s="4"/>
      <c r="D69" s="4"/>
      <c r="E69" s="4"/>
      <c r="F69" s="4"/>
      <c r="G69" s="4"/>
      <c r="H69" s="4"/>
      <c r="I69" s="4"/>
      <c r="J69" s="4"/>
      <c r="K69" s="4"/>
      <c r="L69" s="4"/>
      <c r="M69" s="4"/>
      <c r="N69" s="4"/>
    </row>
    <row r="70" spans="2:14">
      <c r="B70" s="4"/>
      <c r="C70" s="4"/>
      <c r="D70" s="4"/>
      <c r="E70" s="4"/>
      <c r="F70" s="4"/>
      <c r="G70" s="4"/>
      <c r="H70" s="4"/>
      <c r="I70" s="4"/>
      <c r="J70" s="4"/>
      <c r="K70" s="4"/>
      <c r="L70" s="4"/>
      <c r="M70" s="4"/>
      <c r="N70" s="4"/>
    </row>
    <row r="71" spans="2:14">
      <c r="B71" s="4"/>
      <c r="C71" s="4"/>
      <c r="D71" s="4"/>
      <c r="E71" s="4"/>
      <c r="F71" s="4"/>
      <c r="G71" s="4"/>
      <c r="H71" s="4"/>
      <c r="I71" s="4"/>
      <c r="J71" s="4"/>
      <c r="K71" s="4"/>
      <c r="L71" s="4"/>
      <c r="M71" s="4"/>
      <c r="N71" s="4"/>
    </row>
    <row r="72" spans="2:14">
      <c r="B72" s="4"/>
      <c r="C72" s="4"/>
      <c r="D72" s="4"/>
      <c r="E72" s="4"/>
      <c r="F72" s="4"/>
      <c r="G72" s="4"/>
      <c r="H72" s="4"/>
      <c r="I72" s="4"/>
      <c r="J72" s="4"/>
      <c r="K72" s="4"/>
      <c r="L72" s="4"/>
      <c r="M72" s="4"/>
      <c r="N72" s="4"/>
    </row>
    <row r="73" spans="2:14">
      <c r="B73" s="4"/>
      <c r="C73" s="4"/>
      <c r="D73" s="4"/>
      <c r="E73" s="4"/>
      <c r="F73" s="4"/>
      <c r="G73" s="4"/>
      <c r="H73" s="4"/>
      <c r="I73" s="4"/>
      <c r="J73" s="4"/>
      <c r="K73" s="4"/>
      <c r="L73" s="4"/>
      <c r="M73" s="4"/>
      <c r="N73" s="4"/>
    </row>
    <row r="74" spans="2:14">
      <c r="B74" s="4"/>
      <c r="C74" s="4"/>
      <c r="D74" s="4"/>
      <c r="E74" s="4"/>
      <c r="F74" s="4"/>
      <c r="G74" s="4"/>
      <c r="H74" s="4"/>
      <c r="I74" s="4"/>
      <c r="J74" s="4"/>
      <c r="K74" s="4"/>
      <c r="L74" s="4"/>
      <c r="M74" s="4"/>
      <c r="N74" s="4"/>
    </row>
    <row r="75" spans="2:14">
      <c r="B75" s="4"/>
      <c r="C75" s="4"/>
      <c r="D75" s="4"/>
      <c r="E75" s="4"/>
      <c r="F75" s="4"/>
      <c r="G75" s="4"/>
      <c r="H75" s="4"/>
      <c r="I75" s="4"/>
      <c r="J75" s="4"/>
      <c r="K75" s="4"/>
      <c r="L75" s="4"/>
      <c r="M75" s="4"/>
      <c r="N75" s="4"/>
    </row>
    <row r="76" spans="2:14">
      <c r="B76" s="4"/>
      <c r="C76" s="4"/>
      <c r="D76" s="4"/>
      <c r="E76" s="4"/>
      <c r="F76" s="4"/>
      <c r="G76" s="4"/>
      <c r="H76" s="4"/>
      <c r="I76" s="4"/>
      <c r="J76" s="4"/>
      <c r="K76" s="4"/>
      <c r="L76" s="4"/>
      <c r="M76" s="4"/>
      <c r="N76" s="4"/>
    </row>
    <row r="77" spans="2:14">
      <c r="B77" s="4"/>
      <c r="C77" s="4"/>
      <c r="D77" s="4"/>
      <c r="E77" s="4"/>
      <c r="F77" s="4"/>
      <c r="G77" s="4"/>
      <c r="H77" s="4"/>
      <c r="I77" s="4"/>
      <c r="J77" s="4"/>
      <c r="K77" s="4"/>
      <c r="L77" s="4"/>
      <c r="M77" s="4"/>
      <c r="N77" s="4"/>
    </row>
    <row r="78" spans="2:14">
      <c r="B78" s="4"/>
      <c r="C78" s="4"/>
      <c r="D78" s="4"/>
      <c r="E78" s="4"/>
      <c r="F78" s="4"/>
      <c r="G78" s="4"/>
      <c r="H78" s="4"/>
      <c r="I78" s="4"/>
      <c r="J78" s="4"/>
      <c r="K78" s="4"/>
      <c r="L78" s="4"/>
      <c r="M78" s="4"/>
      <c r="N78" s="4"/>
    </row>
    <row r="79" spans="2:14">
      <c r="B79" s="4"/>
      <c r="C79" s="4"/>
      <c r="D79" s="4"/>
      <c r="E79" s="4"/>
      <c r="F79" s="4"/>
      <c r="G79" s="4"/>
      <c r="H79" s="4"/>
      <c r="I79" s="4"/>
      <c r="J79" s="4"/>
      <c r="K79" s="4"/>
      <c r="L79" s="4"/>
      <c r="M79" s="4"/>
      <c r="N79" s="4"/>
    </row>
    <row r="80" spans="2:14">
      <c r="B80" s="4"/>
      <c r="C80" s="4"/>
      <c r="D80" s="4"/>
      <c r="E80" s="4"/>
      <c r="F80" s="4"/>
      <c r="G80" s="4"/>
      <c r="H80" s="4"/>
      <c r="I80" s="4"/>
      <c r="J80" s="4"/>
      <c r="K80" s="4"/>
      <c r="L80" s="4"/>
      <c r="M80" s="4"/>
      <c r="N80" s="4"/>
    </row>
    <row r="81" spans="2:14">
      <c r="B81" s="4"/>
      <c r="C81" s="4"/>
      <c r="D81" s="4"/>
      <c r="E81" s="4"/>
      <c r="F81" s="4"/>
      <c r="G81" s="4"/>
      <c r="H81" s="4"/>
      <c r="I81" s="4"/>
      <c r="J81" s="4"/>
      <c r="K81" s="4"/>
      <c r="L81" s="4"/>
      <c r="M81" s="4"/>
      <c r="N81" s="4"/>
    </row>
    <row r="82" spans="2:14">
      <c r="B82" s="4"/>
      <c r="C82" s="4"/>
      <c r="D82" s="4"/>
      <c r="E82" s="4"/>
      <c r="F82" s="4"/>
      <c r="G82" s="4"/>
      <c r="H82" s="4"/>
      <c r="I82" s="4"/>
      <c r="J82" s="4"/>
      <c r="K82" s="4"/>
      <c r="L82" s="4"/>
      <c r="M82" s="4"/>
      <c r="N82" s="4"/>
    </row>
    <row r="83" spans="2:14">
      <c r="B83" s="4"/>
      <c r="C83" s="4"/>
      <c r="D83" s="4"/>
      <c r="E83" s="4"/>
      <c r="F83" s="4"/>
      <c r="G83" s="4"/>
      <c r="H83" s="4"/>
      <c r="I83" s="4"/>
      <c r="J83" s="4"/>
      <c r="K83" s="4"/>
      <c r="L83" s="4"/>
      <c r="M83" s="4"/>
      <c r="N83" s="4"/>
    </row>
    <row r="84" spans="2:14">
      <c r="B84" s="4"/>
      <c r="C84" s="4"/>
      <c r="D84" s="4"/>
      <c r="E84" s="4"/>
      <c r="F84" s="4"/>
      <c r="G84" s="4"/>
      <c r="H84" s="4"/>
      <c r="I84" s="4"/>
      <c r="J84" s="4"/>
      <c r="K84" s="4"/>
      <c r="L84" s="4"/>
      <c r="M84" s="4"/>
      <c r="N84" s="4"/>
    </row>
    <row r="85" spans="2:14">
      <c r="B85" s="4"/>
      <c r="C85" s="4"/>
      <c r="D85" s="4"/>
      <c r="E85" s="4"/>
      <c r="F85" s="4"/>
      <c r="G85" s="4"/>
      <c r="H85" s="4"/>
      <c r="I85" s="4"/>
      <c r="J85" s="4"/>
      <c r="K85" s="4"/>
      <c r="L85" s="4"/>
      <c r="M85" s="4"/>
      <c r="N85" s="4"/>
    </row>
    <row r="86" spans="2:14">
      <c r="B86" s="4"/>
      <c r="C86" s="4"/>
      <c r="D86" s="4"/>
      <c r="E86" s="4"/>
      <c r="F86" s="4"/>
      <c r="G86" s="4"/>
      <c r="H86" s="4"/>
      <c r="I86" s="4"/>
      <c r="J86" s="4"/>
      <c r="K86" s="4"/>
      <c r="L86" s="4"/>
      <c r="M86" s="4"/>
      <c r="N86" s="4"/>
    </row>
    <row r="87" spans="2:14">
      <c r="B87" s="4"/>
      <c r="C87" s="4"/>
      <c r="D87" s="4"/>
      <c r="E87" s="4"/>
      <c r="F87" s="4"/>
      <c r="G87" s="4"/>
      <c r="H87" s="4"/>
      <c r="I87" s="4"/>
      <c r="J87" s="4"/>
      <c r="K87" s="4"/>
      <c r="L87" s="4"/>
      <c r="M87" s="4"/>
      <c r="N87" s="4"/>
    </row>
    <row r="88" spans="2:14">
      <c r="B88" s="4"/>
      <c r="C88" s="4"/>
      <c r="D88" s="4"/>
      <c r="E88" s="4"/>
      <c r="F88" s="4"/>
      <c r="G88" s="4"/>
      <c r="H88" s="4"/>
      <c r="I88" s="4"/>
      <c r="J88" s="4"/>
      <c r="K88" s="4"/>
      <c r="L88" s="4"/>
      <c r="M88" s="4"/>
      <c r="N88" s="4"/>
    </row>
    <row r="89" spans="2:14">
      <c r="B89" s="4"/>
      <c r="C89" s="4"/>
      <c r="D89" s="4"/>
      <c r="E89" s="4"/>
      <c r="F89" s="4"/>
      <c r="G89" s="4"/>
      <c r="H89" s="4"/>
      <c r="I89" s="4"/>
      <c r="J89" s="4"/>
      <c r="K89" s="4"/>
      <c r="L89" s="4"/>
      <c r="M89" s="4"/>
      <c r="N89" s="4"/>
    </row>
    <row r="90" spans="2:14">
      <c r="B90" s="4"/>
      <c r="C90" s="4"/>
      <c r="D90" s="4"/>
      <c r="E90" s="4"/>
      <c r="F90" s="4"/>
      <c r="G90" s="4"/>
      <c r="H90" s="4"/>
      <c r="I90" s="4"/>
      <c r="J90" s="4"/>
      <c r="K90" s="4"/>
      <c r="L90" s="4"/>
      <c r="M90" s="4"/>
      <c r="N90" s="4"/>
    </row>
    <row r="91" spans="2:14">
      <c r="B91" s="4"/>
      <c r="C91" s="4"/>
      <c r="D91" s="4"/>
      <c r="E91" s="4"/>
      <c r="F91" s="4"/>
      <c r="G91" s="4"/>
      <c r="H91" s="4"/>
      <c r="I91" s="4"/>
      <c r="J91" s="4"/>
      <c r="K91" s="4"/>
      <c r="L91" s="4"/>
      <c r="M91" s="4"/>
      <c r="N91" s="4"/>
    </row>
    <row r="92" spans="2:14">
      <c r="B92" s="4"/>
      <c r="C92" s="4"/>
      <c r="D92" s="4"/>
      <c r="E92" s="4"/>
      <c r="F92" s="4"/>
      <c r="G92" s="4"/>
      <c r="H92" s="4"/>
      <c r="I92" s="4"/>
      <c r="J92" s="4"/>
      <c r="K92" s="4"/>
      <c r="L92" s="4"/>
      <c r="M92" s="4"/>
      <c r="N92" s="4"/>
    </row>
    <row r="93" spans="2:14">
      <c r="B93" s="4"/>
      <c r="C93" s="4"/>
      <c r="D93" s="4"/>
      <c r="E93" s="4"/>
      <c r="F93" s="4"/>
      <c r="G93" s="4"/>
      <c r="H93" s="4"/>
      <c r="I93" s="4"/>
      <c r="J93" s="4"/>
      <c r="K93" s="4"/>
      <c r="L93" s="4"/>
      <c r="M93" s="4"/>
      <c r="N93" s="4"/>
    </row>
    <row r="94" spans="2:14">
      <c r="B94" s="4"/>
      <c r="C94" s="4"/>
      <c r="D94" s="4"/>
      <c r="E94" s="4"/>
      <c r="F94" s="4"/>
      <c r="G94" s="4"/>
      <c r="H94" s="4"/>
      <c r="I94" s="4"/>
      <c r="J94" s="4"/>
      <c r="K94" s="4"/>
      <c r="L94" s="4"/>
      <c r="M94" s="4"/>
      <c r="N94" s="4"/>
    </row>
    <row r="95" spans="2:14">
      <c r="B95" s="4"/>
      <c r="C95" s="4"/>
      <c r="D95" s="4"/>
      <c r="E95" s="4"/>
      <c r="F95" s="4"/>
      <c r="G95" s="4"/>
      <c r="H95" s="4"/>
      <c r="I95" s="4"/>
      <c r="J95" s="4"/>
      <c r="K95" s="4"/>
      <c r="L95" s="4"/>
      <c r="M95" s="4"/>
      <c r="N95" s="4"/>
    </row>
    <row r="96" spans="2:14">
      <c r="B96" s="4"/>
      <c r="C96" s="4"/>
      <c r="D96" s="4"/>
      <c r="E96" s="4"/>
      <c r="F96" s="4"/>
      <c r="G96" s="4"/>
      <c r="H96" s="4"/>
      <c r="I96" s="4"/>
      <c r="J96" s="4"/>
      <c r="K96" s="4"/>
      <c r="L96" s="4"/>
      <c r="M96" s="4"/>
      <c r="N96" s="4"/>
    </row>
    <row r="97" spans="2:14">
      <c r="B97" s="4"/>
      <c r="C97" s="4"/>
      <c r="D97" s="4"/>
      <c r="E97" s="4"/>
      <c r="F97" s="4"/>
      <c r="G97" s="4"/>
      <c r="H97" s="4"/>
      <c r="I97" s="4"/>
      <c r="J97" s="4"/>
      <c r="K97" s="4"/>
      <c r="L97" s="4"/>
      <c r="M97" s="4"/>
      <c r="N97" s="4"/>
    </row>
    <row r="98" spans="2:14">
      <c r="B98" s="4"/>
      <c r="C98" s="4"/>
      <c r="D98" s="4"/>
      <c r="E98" s="4"/>
      <c r="F98" s="4"/>
      <c r="G98" s="4"/>
      <c r="H98" s="4"/>
      <c r="I98" s="4"/>
      <c r="J98" s="4"/>
      <c r="K98" s="4"/>
      <c r="L98" s="4"/>
      <c r="M98" s="4"/>
      <c r="N98" s="4"/>
    </row>
    <row r="99" spans="2:14">
      <c r="B99" s="4"/>
      <c r="C99" s="4"/>
      <c r="D99" s="4"/>
      <c r="E99" s="4"/>
      <c r="F99" s="4"/>
      <c r="G99" s="4"/>
      <c r="H99" s="4"/>
      <c r="I99" s="4"/>
      <c r="J99" s="4"/>
      <c r="K99" s="4"/>
      <c r="L99" s="4"/>
      <c r="M99" s="4"/>
      <c r="N99" s="4"/>
    </row>
    <row r="100" spans="2:14">
      <c r="B100" s="4"/>
      <c r="C100" s="4"/>
      <c r="D100" s="4"/>
      <c r="E100" s="4"/>
      <c r="F100" s="4"/>
      <c r="G100" s="4"/>
      <c r="H100" s="4"/>
      <c r="I100" s="4"/>
      <c r="J100" s="4"/>
      <c r="K100" s="4"/>
      <c r="L100" s="4"/>
      <c r="M100" s="4"/>
      <c r="N100" s="4"/>
    </row>
    <row r="101" spans="2:14">
      <c r="B101" s="4"/>
      <c r="C101" s="4"/>
      <c r="D101" s="4"/>
      <c r="E101" s="4"/>
      <c r="F101" s="4"/>
      <c r="G101" s="4"/>
      <c r="H101" s="4"/>
      <c r="I101" s="4"/>
      <c r="J101" s="4"/>
      <c r="K101" s="4"/>
      <c r="L101" s="4"/>
      <c r="M101" s="4"/>
      <c r="N101" s="4"/>
    </row>
    <row r="102" spans="2:14">
      <c r="B102" s="4"/>
      <c r="C102" s="4"/>
      <c r="D102" s="4"/>
      <c r="E102" s="4"/>
      <c r="F102" s="4"/>
      <c r="G102" s="4"/>
      <c r="H102" s="4"/>
      <c r="I102" s="4"/>
      <c r="J102" s="4"/>
      <c r="K102" s="4"/>
      <c r="L102" s="4"/>
      <c r="M102" s="4"/>
      <c r="N102" s="4"/>
    </row>
    <row r="103" spans="2:14">
      <c r="B103" s="4"/>
      <c r="C103" s="4"/>
      <c r="D103" s="4"/>
      <c r="E103" s="4"/>
      <c r="F103" s="4"/>
      <c r="G103" s="4"/>
      <c r="H103" s="4"/>
      <c r="I103" s="4"/>
      <c r="J103" s="4"/>
      <c r="K103" s="4"/>
      <c r="L103" s="4"/>
      <c r="M103" s="4"/>
      <c r="N103" s="4"/>
    </row>
    <row r="104" spans="2:14">
      <c r="B104" s="4"/>
      <c r="C104" s="4"/>
      <c r="D104" s="4"/>
      <c r="E104" s="4"/>
      <c r="F104" s="4"/>
      <c r="G104" s="4"/>
      <c r="H104" s="4"/>
      <c r="I104" s="4"/>
      <c r="J104" s="4"/>
      <c r="K104" s="4"/>
      <c r="L104" s="4"/>
      <c r="M104" s="4"/>
      <c r="N104" s="4"/>
    </row>
    <row r="105" spans="2:14">
      <c r="B105" s="4"/>
      <c r="C105" s="4"/>
      <c r="D105" s="4"/>
      <c r="E105" s="4"/>
      <c r="F105" s="4"/>
      <c r="G105" s="4"/>
      <c r="H105" s="4"/>
      <c r="I105" s="4"/>
      <c r="J105" s="4"/>
      <c r="K105" s="4"/>
      <c r="L105" s="4"/>
      <c r="M105" s="4"/>
      <c r="N105" s="4"/>
    </row>
    <row r="106" spans="2:14">
      <c r="B106" s="4"/>
      <c r="C106" s="4"/>
      <c r="D106" s="4"/>
      <c r="E106" s="4"/>
      <c r="F106" s="4"/>
      <c r="G106" s="4"/>
      <c r="H106" s="4"/>
      <c r="I106" s="4"/>
      <c r="J106" s="4"/>
      <c r="K106" s="4"/>
      <c r="L106" s="4"/>
      <c r="M106" s="4"/>
      <c r="N106" s="4"/>
    </row>
    <row r="107" spans="2:14">
      <c r="B107" s="4"/>
      <c r="C107" s="4"/>
      <c r="D107" s="4"/>
      <c r="E107" s="4"/>
      <c r="F107" s="4"/>
      <c r="G107" s="4"/>
      <c r="H107" s="4"/>
      <c r="I107" s="4"/>
      <c r="J107" s="4"/>
      <c r="K107" s="4"/>
      <c r="L107" s="4"/>
      <c r="M107" s="4"/>
      <c r="N107" s="4"/>
    </row>
    <row r="108" spans="2:14">
      <c r="B108" s="4"/>
      <c r="C108" s="4"/>
      <c r="D108" s="4"/>
      <c r="E108" s="4"/>
      <c r="F108" s="4"/>
      <c r="G108" s="4"/>
      <c r="H108" s="4"/>
      <c r="I108" s="4"/>
      <c r="J108" s="4"/>
      <c r="K108" s="4"/>
      <c r="L108" s="4"/>
      <c r="M108" s="4"/>
      <c r="N108" s="4"/>
    </row>
    <row r="109" spans="2:14">
      <c r="B109" s="4"/>
      <c r="C109" s="4"/>
      <c r="D109" s="4"/>
      <c r="E109" s="4"/>
      <c r="F109" s="4"/>
      <c r="G109" s="4"/>
      <c r="H109" s="4"/>
      <c r="I109" s="4"/>
      <c r="J109" s="4"/>
      <c r="K109" s="4"/>
      <c r="L109" s="4"/>
      <c r="M109" s="4"/>
      <c r="N109" s="4"/>
    </row>
    <row r="110" spans="2:14">
      <c r="B110" s="4"/>
      <c r="C110" s="4"/>
      <c r="D110" s="4"/>
      <c r="E110" s="4"/>
      <c r="F110" s="4"/>
      <c r="G110" s="4"/>
      <c r="H110" s="4"/>
      <c r="I110" s="4"/>
      <c r="J110" s="4"/>
      <c r="K110" s="4"/>
      <c r="L110" s="4"/>
      <c r="M110" s="4"/>
      <c r="N110" s="4"/>
    </row>
    <row r="111" spans="2:14">
      <c r="B111" s="4"/>
      <c r="C111" s="4"/>
      <c r="D111" s="4"/>
      <c r="E111" s="4"/>
      <c r="F111" s="4"/>
      <c r="G111" s="4"/>
      <c r="H111" s="4"/>
      <c r="I111" s="4"/>
      <c r="J111" s="4"/>
      <c r="K111" s="4"/>
      <c r="L111" s="4"/>
      <c r="M111" s="4"/>
      <c r="N111" s="4"/>
    </row>
    <row r="112" spans="2:14">
      <c r="B112" s="4"/>
      <c r="C112" s="4"/>
      <c r="D112" s="4"/>
      <c r="E112" s="4"/>
      <c r="F112" s="4"/>
      <c r="G112" s="4"/>
      <c r="H112" s="4"/>
      <c r="I112" s="4"/>
      <c r="J112" s="4"/>
      <c r="K112" s="4"/>
      <c r="L112" s="4"/>
      <c r="M112" s="4"/>
      <c r="N112" s="4"/>
    </row>
    <row r="113" spans="2:14">
      <c r="B113" s="4"/>
      <c r="C113" s="4"/>
      <c r="D113" s="4"/>
      <c r="E113" s="4"/>
      <c r="F113" s="4"/>
      <c r="G113" s="4"/>
      <c r="H113" s="4"/>
      <c r="I113" s="4"/>
      <c r="J113" s="4"/>
      <c r="K113" s="4"/>
      <c r="L113" s="4"/>
      <c r="M113" s="4"/>
      <c r="N113" s="4"/>
    </row>
    <row r="114" spans="2:14">
      <c r="B114" s="4"/>
      <c r="C114" s="4"/>
      <c r="D114" s="4"/>
      <c r="E114" s="4"/>
      <c r="F114" s="4"/>
      <c r="G114" s="4"/>
      <c r="H114" s="4"/>
      <c r="I114" s="4"/>
      <c r="J114" s="4"/>
      <c r="K114" s="4"/>
      <c r="L114" s="4"/>
      <c r="M114" s="4"/>
      <c r="N114" s="4"/>
    </row>
    <row r="115" spans="2:14">
      <c r="B115" s="4"/>
      <c r="C115" s="4"/>
      <c r="D115" s="4"/>
      <c r="E115" s="4"/>
      <c r="F115" s="4"/>
      <c r="G115" s="4"/>
      <c r="H115" s="4"/>
      <c r="I115" s="4"/>
      <c r="J115" s="4"/>
      <c r="K115" s="4"/>
      <c r="L115" s="4"/>
      <c r="M115" s="4"/>
      <c r="N115" s="4"/>
    </row>
    <row r="116" spans="2:14">
      <c r="B116" s="4"/>
      <c r="C116" s="4"/>
      <c r="D116" s="4"/>
      <c r="E116" s="4"/>
      <c r="F116" s="4"/>
      <c r="G116" s="4"/>
      <c r="H116" s="4"/>
      <c r="I116" s="4"/>
      <c r="J116" s="4"/>
      <c r="K116" s="4"/>
      <c r="L116" s="4"/>
      <c r="M116" s="4"/>
      <c r="N116" s="4"/>
    </row>
    <row r="117" spans="2:14">
      <c r="B117" s="4"/>
      <c r="C117" s="4"/>
      <c r="D117" s="4"/>
      <c r="E117" s="4"/>
      <c r="F117" s="4"/>
      <c r="G117" s="4"/>
      <c r="H117" s="4"/>
      <c r="I117" s="4"/>
      <c r="J117" s="4"/>
      <c r="K117" s="4"/>
      <c r="L117" s="4"/>
      <c r="M117" s="4"/>
      <c r="N117" s="4"/>
    </row>
    <row r="118" spans="2:14">
      <c r="B118" s="4"/>
      <c r="C118" s="4"/>
      <c r="D118" s="4"/>
      <c r="E118" s="4"/>
      <c r="F118" s="4"/>
      <c r="G118" s="4"/>
      <c r="H118" s="4"/>
      <c r="I118" s="4"/>
      <c r="J118" s="4"/>
      <c r="K118" s="4"/>
      <c r="L118" s="4"/>
      <c r="M118" s="4"/>
      <c r="N118" s="4"/>
    </row>
    <row r="119" spans="2:14">
      <c r="B119" s="4"/>
      <c r="C119" s="4"/>
      <c r="D119" s="4"/>
      <c r="E119" s="4"/>
      <c r="F119" s="4"/>
      <c r="G119" s="4"/>
      <c r="H119" s="4"/>
      <c r="I119" s="4"/>
      <c r="J119" s="4"/>
      <c r="K119" s="4"/>
      <c r="L119" s="4"/>
      <c r="M119" s="4"/>
      <c r="N119" s="4"/>
    </row>
    <row r="120" spans="2:14">
      <c r="B120" s="4"/>
      <c r="C120" s="4"/>
      <c r="D120" s="4"/>
      <c r="E120" s="4"/>
      <c r="F120" s="4"/>
      <c r="G120" s="4"/>
      <c r="H120" s="4"/>
      <c r="I120" s="4"/>
      <c r="J120" s="4"/>
      <c r="K120" s="4"/>
      <c r="L120" s="4"/>
      <c r="M120" s="4"/>
      <c r="N120" s="4"/>
    </row>
    <row r="121" spans="2:14">
      <c r="B121" s="4"/>
      <c r="C121" s="4"/>
      <c r="D121" s="4"/>
      <c r="E121" s="4"/>
      <c r="F121" s="4"/>
      <c r="G121" s="4"/>
      <c r="H121" s="4"/>
      <c r="I121" s="4"/>
      <c r="J121" s="4"/>
      <c r="K121" s="4"/>
      <c r="L121" s="4"/>
      <c r="M121" s="4"/>
      <c r="N121" s="4"/>
    </row>
    <row r="122" spans="2:14">
      <c r="B122" s="4"/>
      <c r="C122" s="4"/>
      <c r="D122" s="4"/>
      <c r="E122" s="4"/>
      <c r="F122" s="4"/>
      <c r="G122" s="4"/>
      <c r="H122" s="4"/>
      <c r="I122" s="4"/>
      <c r="J122" s="4"/>
      <c r="K122" s="4"/>
      <c r="L122" s="4"/>
      <c r="M122" s="4"/>
      <c r="N122" s="4"/>
    </row>
    <row r="123" spans="2:14">
      <c r="B123" s="4"/>
      <c r="C123" s="4"/>
      <c r="D123" s="4"/>
      <c r="E123" s="4"/>
      <c r="F123" s="4"/>
      <c r="G123" s="4"/>
      <c r="H123" s="4"/>
      <c r="I123" s="4"/>
      <c r="J123" s="4"/>
      <c r="K123" s="4"/>
      <c r="L123" s="4"/>
      <c r="M123" s="4"/>
      <c r="N123" s="4"/>
    </row>
    <row r="124" spans="2:14">
      <c r="B124" s="4"/>
      <c r="C124" s="4"/>
      <c r="D124" s="4"/>
      <c r="E124" s="4"/>
      <c r="F124" s="4"/>
      <c r="G124" s="4"/>
      <c r="H124" s="4"/>
      <c r="I124" s="4"/>
      <c r="J124" s="4"/>
      <c r="K124" s="4"/>
      <c r="L124" s="4"/>
      <c r="M124" s="4"/>
      <c r="N124" s="4"/>
    </row>
    <row r="125" spans="2:14">
      <c r="B125" s="4"/>
      <c r="C125" s="4"/>
      <c r="D125" s="4"/>
      <c r="E125" s="4"/>
      <c r="F125" s="4"/>
      <c r="G125" s="4"/>
      <c r="H125" s="4"/>
      <c r="I125" s="4"/>
      <c r="J125" s="4"/>
      <c r="K125" s="4"/>
      <c r="L125" s="4"/>
      <c r="M125" s="4"/>
      <c r="N125" s="4"/>
    </row>
    <row r="126" spans="2:14">
      <c r="B126" s="4"/>
      <c r="C126" s="4"/>
      <c r="D126" s="4"/>
      <c r="E126" s="4"/>
      <c r="F126" s="4"/>
      <c r="G126" s="4"/>
      <c r="H126" s="4"/>
      <c r="I126" s="4"/>
      <c r="J126" s="4"/>
      <c r="K126" s="4"/>
      <c r="L126" s="4"/>
      <c r="M126" s="4"/>
      <c r="N126" s="4"/>
    </row>
    <row r="127" spans="2:14">
      <c r="B127" s="4"/>
      <c r="C127" s="4"/>
      <c r="D127" s="4"/>
      <c r="E127" s="4"/>
      <c r="F127" s="4"/>
      <c r="G127" s="4"/>
      <c r="H127" s="4"/>
      <c r="I127" s="4"/>
      <c r="J127" s="4"/>
      <c r="K127" s="4"/>
      <c r="L127" s="4"/>
      <c r="M127" s="4"/>
      <c r="N127" s="4"/>
    </row>
    <row r="128" spans="2:14">
      <c r="B128" s="4"/>
      <c r="C128" s="4"/>
      <c r="D128" s="4"/>
      <c r="E128" s="4"/>
      <c r="F128" s="4"/>
      <c r="G128" s="4"/>
      <c r="H128" s="4"/>
      <c r="I128" s="4"/>
      <c r="J128" s="4"/>
      <c r="K128" s="4"/>
      <c r="L128" s="4"/>
      <c r="M128" s="4"/>
      <c r="N128" s="4"/>
    </row>
    <row r="129" spans="2:14">
      <c r="B129" s="4"/>
      <c r="C129" s="4"/>
      <c r="D129" s="4"/>
      <c r="E129" s="4"/>
      <c r="F129" s="4"/>
      <c r="G129" s="4"/>
      <c r="H129" s="4"/>
      <c r="I129" s="4"/>
      <c r="J129" s="4"/>
      <c r="K129" s="4"/>
      <c r="L129" s="4"/>
      <c r="M129" s="4"/>
      <c r="N129" s="4"/>
    </row>
  </sheetData>
  <mergeCells count="3">
    <mergeCell ref="A1:L1"/>
    <mergeCell ref="A2:L2"/>
    <mergeCell ref="A3:L3"/>
  </mergeCells>
  <pageMargins left="0.75" right="0.75" top="1" bottom="1" header="0.5" footer="0.5"/>
  <pageSetup scale="79" orientation="landscape" r:id="rId1"/>
  <headerFooter alignWithMargins="0">
    <oddFooter>&amp;L&amp;Z
&amp;F&amp;C&amp;A&amp;R27.&amp;P</oddFooter>
  </headerFooter>
</worksheet>
</file>

<file path=xl/worksheets/sheet147.xml><?xml version="1.0" encoding="utf-8"?>
<worksheet xmlns="http://schemas.openxmlformats.org/spreadsheetml/2006/main" xmlns:r="http://schemas.openxmlformats.org/officeDocument/2006/relationships">
  <sheetPr codeName="Sheet150">
    <pageSetUpPr fitToPage="1"/>
  </sheetPr>
  <dimension ref="A1:N126"/>
  <sheetViews>
    <sheetView zoomScale="75" workbookViewId="0">
      <selection activeCell="A2" sqref="A2:L2"/>
    </sheetView>
  </sheetViews>
  <sheetFormatPr defaultRowHeight="12.75"/>
  <cols>
    <col min="1" max="1" width="40.5703125" bestFit="1" customWidth="1"/>
    <col min="2" max="2" width="17.7109375" customWidth="1"/>
    <col min="3" max="3" width="1.7109375" customWidth="1"/>
    <col min="4" max="4" width="17.7109375" customWidth="1"/>
    <col min="5" max="5" width="1.7109375" customWidth="1"/>
    <col min="6" max="6" width="17.7109375" customWidth="1"/>
    <col min="7" max="7" width="1.7109375" customWidth="1"/>
    <col min="8" max="8" width="17.7109375" customWidth="1"/>
    <col min="9" max="9" width="1.7109375" customWidth="1"/>
    <col min="10" max="10" width="17.7109375" customWidth="1"/>
    <col min="11" max="11" width="1.7109375" customWidth="1"/>
    <col min="12" max="12" width="17.7109375" customWidth="1"/>
  </cols>
  <sheetData>
    <row r="1" spans="1:14" s="38" customFormat="1" ht="15.75">
      <c r="A1" s="366" t="s">
        <v>134</v>
      </c>
      <c r="B1" s="366"/>
      <c r="C1" s="366"/>
      <c r="D1" s="366"/>
      <c r="E1" s="366"/>
      <c r="F1" s="366"/>
      <c r="G1" s="366"/>
      <c r="H1" s="366"/>
      <c r="I1" s="366"/>
      <c r="J1" s="366"/>
      <c r="K1" s="366"/>
      <c r="L1" s="366"/>
    </row>
    <row r="2" spans="1:14" s="38" customFormat="1" ht="15.75">
      <c r="A2" s="366" t="s">
        <v>1175</v>
      </c>
      <c r="B2" s="366"/>
      <c r="C2" s="366"/>
      <c r="D2" s="366"/>
      <c r="E2" s="366"/>
      <c r="F2" s="366"/>
      <c r="G2" s="366"/>
      <c r="H2" s="366"/>
      <c r="I2" s="366"/>
      <c r="J2" s="366"/>
      <c r="K2" s="366"/>
      <c r="L2" s="366"/>
    </row>
    <row r="3" spans="1:14">
      <c r="A3" s="357" t="str">
        <f>'Summary - Cost - PG 1 (PA)'!A3:N3</f>
        <v>MARCH 2012</v>
      </c>
      <c r="B3" s="357"/>
      <c r="C3" s="357"/>
      <c r="D3" s="357"/>
      <c r="E3" s="357"/>
      <c r="F3" s="357"/>
      <c r="G3" s="357"/>
      <c r="H3" s="357"/>
      <c r="I3" s="357"/>
      <c r="J3" s="357"/>
      <c r="K3" s="357"/>
      <c r="L3" s="357"/>
    </row>
    <row r="4" spans="1:14">
      <c r="A4" s="190"/>
      <c r="B4" s="190"/>
      <c r="C4" s="190"/>
      <c r="D4" s="190"/>
      <c r="E4" s="190"/>
      <c r="F4" s="190"/>
      <c r="G4" s="190"/>
      <c r="H4" s="190"/>
      <c r="I4" s="190"/>
      <c r="J4" s="190"/>
      <c r="K4" s="190"/>
      <c r="L4" s="190"/>
    </row>
    <row r="6" spans="1:14">
      <c r="B6" s="41" t="s">
        <v>25</v>
      </c>
      <c r="D6" s="182"/>
      <c r="F6" s="182"/>
      <c r="H6" s="41" t="s">
        <v>612</v>
      </c>
      <c r="J6" s="182"/>
      <c r="L6" s="41" t="s">
        <v>26</v>
      </c>
    </row>
    <row r="7" spans="1:14" s="10" customFormat="1">
      <c r="B7" s="42" t="s">
        <v>27</v>
      </c>
      <c r="C7"/>
      <c r="D7" s="42" t="s">
        <v>107</v>
      </c>
      <c r="E7"/>
      <c r="F7" s="42" t="s">
        <v>108</v>
      </c>
      <c r="G7"/>
      <c r="H7" s="42" t="s">
        <v>613</v>
      </c>
      <c r="I7"/>
      <c r="J7" s="42" t="s">
        <v>109</v>
      </c>
      <c r="K7"/>
      <c r="L7" s="42" t="s">
        <v>27</v>
      </c>
    </row>
    <row r="8" spans="1:14" s="10" customFormat="1">
      <c r="B8"/>
      <c r="C8"/>
      <c r="D8"/>
      <c r="E8"/>
      <c r="F8"/>
      <c r="G8"/>
      <c r="H8"/>
      <c r="I8"/>
      <c r="J8"/>
      <c r="K8"/>
      <c r="L8"/>
    </row>
    <row r="9" spans="1:14" s="10" customFormat="1">
      <c r="A9" s="12" t="s">
        <v>499</v>
      </c>
      <c r="B9"/>
      <c r="C9"/>
      <c r="D9"/>
      <c r="E9"/>
      <c r="F9"/>
      <c r="G9"/>
      <c r="H9"/>
      <c r="I9"/>
      <c r="J9"/>
      <c r="K9"/>
      <c r="L9"/>
    </row>
    <row r="10" spans="1:14">
      <c r="A10" t="s">
        <v>500</v>
      </c>
      <c r="B10" s="182">
        <v>0</v>
      </c>
      <c r="C10" s="182"/>
      <c r="D10" s="182">
        <f>-74076.28+74076.28</f>
        <v>0</v>
      </c>
      <c r="E10" s="182"/>
      <c r="F10" s="182">
        <v>0</v>
      </c>
      <c r="G10" s="182"/>
      <c r="H10" s="182">
        <v>0</v>
      </c>
      <c r="I10" s="182"/>
      <c r="J10" s="182">
        <v>0</v>
      </c>
      <c r="K10" s="182"/>
      <c r="L10" s="182">
        <v>0</v>
      </c>
      <c r="M10" s="4"/>
      <c r="N10" s="4"/>
    </row>
    <row r="11" spans="1:14" ht="13.5" thickBot="1">
      <c r="B11" s="46">
        <f>SUM(B10:B10)</f>
        <v>0</v>
      </c>
      <c r="C11" s="182"/>
      <c r="D11" s="46">
        <f>SUM(D10:D10)</f>
        <v>0</v>
      </c>
      <c r="E11" s="182"/>
      <c r="F11" s="46">
        <f>SUM(F10:F10)</f>
        <v>0</v>
      </c>
      <c r="G11" s="182"/>
      <c r="H11" s="46">
        <f>SUM(H10:H10)</f>
        <v>0</v>
      </c>
      <c r="I11" s="182"/>
      <c r="J11" s="46">
        <f>SUM(J10:J10)</f>
        <v>0</v>
      </c>
      <c r="K11" s="182"/>
      <c r="L11" s="46">
        <f>SUM(L10:L10)</f>
        <v>0</v>
      </c>
      <c r="M11" s="4"/>
      <c r="N11" s="4"/>
    </row>
    <row r="12" spans="1:14" ht="13.5" thickTop="1">
      <c r="B12" s="182"/>
      <c r="C12" s="182"/>
      <c r="D12" s="182"/>
      <c r="E12" s="182"/>
      <c r="F12" s="182"/>
      <c r="G12" s="182"/>
      <c r="H12" s="182"/>
      <c r="I12" s="182"/>
      <c r="J12" s="182"/>
      <c r="K12" s="182"/>
      <c r="L12" s="182"/>
      <c r="M12" s="4"/>
      <c r="N12" s="4"/>
    </row>
    <row r="13" spans="1:14">
      <c r="B13" s="4"/>
      <c r="C13" s="4"/>
      <c r="D13" s="4"/>
      <c r="E13" s="4"/>
      <c r="F13" s="4"/>
      <c r="G13" s="4"/>
      <c r="H13" s="4"/>
      <c r="I13" s="4"/>
      <c r="J13" s="4"/>
      <c r="K13" s="4"/>
      <c r="L13" s="4"/>
      <c r="M13" s="4"/>
      <c r="N13" s="4"/>
    </row>
    <row r="14" spans="1:14">
      <c r="B14" s="4"/>
      <c r="C14" s="4"/>
      <c r="D14" s="4"/>
      <c r="E14" s="4"/>
      <c r="F14" s="4"/>
      <c r="G14" s="4"/>
      <c r="H14" s="4"/>
      <c r="I14" s="4"/>
      <c r="J14" s="4"/>
      <c r="K14" s="4"/>
      <c r="L14" s="4"/>
      <c r="M14" s="4"/>
      <c r="N14" s="4"/>
    </row>
    <row r="15" spans="1:14">
      <c r="B15" s="4"/>
      <c r="C15" s="4"/>
      <c r="D15" s="4"/>
      <c r="E15" s="4"/>
      <c r="F15" s="4"/>
      <c r="G15" s="4"/>
      <c r="H15" s="4"/>
      <c r="I15" s="4"/>
      <c r="J15" s="4"/>
      <c r="K15" s="4"/>
      <c r="L15" s="4"/>
      <c r="M15" s="4"/>
      <c r="N15" s="4"/>
    </row>
    <row r="16" spans="1:14">
      <c r="B16" s="4"/>
      <c r="C16" s="4"/>
      <c r="D16" s="4"/>
      <c r="E16" s="4"/>
      <c r="F16" s="4"/>
      <c r="G16" s="4"/>
      <c r="H16" s="4"/>
      <c r="I16" s="4"/>
      <c r="J16" s="4"/>
      <c r="K16" s="4"/>
      <c r="L16" s="4"/>
      <c r="M16" s="4"/>
      <c r="N16" s="4"/>
    </row>
    <row r="17" spans="2:14">
      <c r="B17" s="4"/>
      <c r="C17" s="4"/>
      <c r="D17" s="4"/>
      <c r="E17" s="4"/>
      <c r="F17" s="4"/>
      <c r="G17" s="4"/>
      <c r="H17" s="4"/>
      <c r="I17" s="4"/>
      <c r="J17" s="4"/>
      <c r="K17" s="4"/>
      <c r="L17" s="4"/>
      <c r="M17" s="4"/>
      <c r="N17" s="4"/>
    </row>
    <row r="18" spans="2:14">
      <c r="B18" s="4"/>
      <c r="C18" s="4"/>
      <c r="D18" s="4"/>
      <c r="E18" s="4"/>
      <c r="F18" s="4"/>
      <c r="G18" s="4"/>
      <c r="H18" s="4"/>
      <c r="I18" s="4"/>
      <c r="J18" s="4"/>
      <c r="K18" s="4"/>
      <c r="L18" s="4"/>
      <c r="M18" s="4"/>
      <c r="N18" s="4"/>
    </row>
    <row r="19" spans="2:14">
      <c r="B19" s="4"/>
      <c r="C19" s="4"/>
      <c r="D19" s="4"/>
      <c r="E19" s="4"/>
      <c r="F19" s="4"/>
      <c r="G19" s="4"/>
      <c r="H19" s="4"/>
      <c r="I19" s="4"/>
      <c r="J19" s="4"/>
      <c r="K19" s="4"/>
      <c r="L19" s="4"/>
      <c r="M19" s="4"/>
      <c r="N19" s="4"/>
    </row>
    <row r="20" spans="2:14">
      <c r="B20" s="4"/>
      <c r="C20" s="4"/>
      <c r="D20" s="4"/>
      <c r="E20" s="4"/>
      <c r="F20" s="4"/>
      <c r="G20" s="4"/>
      <c r="H20" s="4"/>
      <c r="I20" s="4"/>
      <c r="J20" s="4"/>
      <c r="K20" s="4"/>
      <c r="L20" s="4"/>
      <c r="M20" s="4"/>
      <c r="N20" s="4"/>
    </row>
    <row r="21" spans="2:14">
      <c r="B21" s="4"/>
      <c r="C21" s="4"/>
      <c r="D21" s="4"/>
      <c r="E21" s="4"/>
      <c r="F21" s="4"/>
      <c r="G21" s="4"/>
      <c r="H21" s="4"/>
      <c r="I21" s="4"/>
      <c r="J21" s="4"/>
      <c r="K21" s="4"/>
      <c r="L21" s="4"/>
      <c r="M21" s="4"/>
      <c r="N21" s="4"/>
    </row>
    <row r="22" spans="2:14">
      <c r="B22" s="4"/>
      <c r="C22" s="4"/>
      <c r="D22" s="4"/>
      <c r="E22" s="4"/>
      <c r="F22" s="4"/>
      <c r="G22" s="4"/>
      <c r="H22" s="4"/>
      <c r="I22" s="4"/>
      <c r="J22" s="4"/>
      <c r="K22" s="4"/>
      <c r="L22" s="4"/>
      <c r="M22" s="4"/>
      <c r="N22" s="4"/>
    </row>
    <row r="23" spans="2:14">
      <c r="B23" s="4"/>
      <c r="C23" s="4"/>
      <c r="D23" s="4"/>
      <c r="E23" s="4"/>
      <c r="F23" s="4"/>
      <c r="G23" s="4"/>
      <c r="H23" s="4"/>
      <c r="I23" s="4"/>
      <c r="J23" s="4"/>
      <c r="K23" s="4"/>
      <c r="L23" s="4"/>
      <c r="M23" s="4"/>
      <c r="N23" s="4"/>
    </row>
    <row r="24" spans="2:14">
      <c r="B24" s="4"/>
      <c r="C24" s="4"/>
      <c r="D24" s="4"/>
      <c r="E24" s="4"/>
      <c r="F24" s="4"/>
      <c r="G24" s="4"/>
      <c r="H24" s="4"/>
      <c r="I24" s="4"/>
      <c r="J24" s="4"/>
      <c r="K24" s="4"/>
      <c r="L24" s="4"/>
      <c r="M24" s="4"/>
      <c r="N24" s="4"/>
    </row>
    <row r="25" spans="2:14">
      <c r="B25" s="4"/>
      <c r="C25" s="4"/>
      <c r="D25" s="4"/>
      <c r="E25" s="4"/>
      <c r="F25" s="4"/>
      <c r="G25" s="4"/>
      <c r="H25" s="4"/>
      <c r="I25" s="4"/>
      <c r="J25" s="4"/>
      <c r="K25" s="4"/>
      <c r="L25" s="4"/>
      <c r="M25" s="4"/>
      <c r="N25" s="4"/>
    </row>
    <row r="26" spans="2:14">
      <c r="B26" s="4"/>
      <c r="C26" s="4"/>
      <c r="D26" s="4"/>
      <c r="E26" s="4"/>
      <c r="F26" s="4"/>
      <c r="G26" s="4"/>
      <c r="H26" s="4"/>
      <c r="I26" s="4"/>
      <c r="J26" s="4"/>
      <c r="K26" s="4"/>
      <c r="L26" s="4"/>
      <c r="M26" s="4"/>
      <c r="N26" s="4"/>
    </row>
    <row r="27" spans="2:14">
      <c r="B27" s="4"/>
      <c r="C27" s="4"/>
      <c r="D27" s="4"/>
      <c r="E27" s="4"/>
      <c r="F27" s="4"/>
      <c r="G27" s="4"/>
      <c r="H27" s="4"/>
      <c r="I27" s="4"/>
      <c r="J27" s="4"/>
      <c r="K27" s="4"/>
      <c r="L27" s="4"/>
      <c r="M27" s="4"/>
      <c r="N27" s="4"/>
    </row>
    <row r="28" spans="2:14">
      <c r="B28" s="4"/>
      <c r="C28" s="4"/>
      <c r="D28" s="4"/>
      <c r="E28" s="4"/>
      <c r="F28" s="4"/>
      <c r="G28" s="4"/>
      <c r="H28" s="4"/>
      <c r="I28" s="4"/>
      <c r="J28" s="4"/>
      <c r="K28" s="4"/>
      <c r="L28" s="4"/>
      <c r="M28" s="4"/>
      <c r="N28" s="4"/>
    </row>
    <row r="29" spans="2:14">
      <c r="B29" s="4"/>
      <c r="C29" s="4"/>
      <c r="D29" s="4"/>
      <c r="E29" s="4"/>
      <c r="F29" s="4"/>
      <c r="G29" s="4"/>
      <c r="H29" s="4"/>
      <c r="I29" s="4"/>
      <c r="J29" s="4"/>
      <c r="K29" s="4"/>
      <c r="L29" s="4"/>
      <c r="M29" s="4"/>
      <c r="N29" s="4"/>
    </row>
    <row r="30" spans="2:14">
      <c r="B30" s="4"/>
      <c r="C30" s="4"/>
      <c r="D30" s="4"/>
      <c r="E30" s="4"/>
      <c r="F30" s="4"/>
      <c r="G30" s="4"/>
      <c r="H30" s="4"/>
      <c r="I30" s="4"/>
      <c r="J30" s="4"/>
      <c r="K30" s="4"/>
      <c r="L30" s="4"/>
      <c r="M30" s="4"/>
      <c r="N30" s="4"/>
    </row>
    <row r="31" spans="2:14">
      <c r="B31" s="4"/>
      <c r="C31" s="4"/>
      <c r="D31" s="4"/>
      <c r="E31" s="4"/>
      <c r="F31" s="4"/>
      <c r="G31" s="4"/>
      <c r="H31" s="4"/>
      <c r="I31" s="4"/>
      <c r="J31" s="4"/>
      <c r="K31" s="4"/>
      <c r="L31" s="4"/>
      <c r="M31" s="4"/>
      <c r="N31" s="4"/>
    </row>
    <row r="32" spans="2:14">
      <c r="B32" s="4"/>
      <c r="C32" s="4"/>
      <c r="D32" s="4"/>
      <c r="E32" s="4"/>
      <c r="F32" s="4"/>
      <c r="G32" s="4"/>
      <c r="H32" s="4"/>
      <c r="I32" s="4"/>
      <c r="J32" s="4"/>
      <c r="K32" s="4"/>
      <c r="L32" s="4"/>
      <c r="M32" s="4"/>
      <c r="N32" s="4"/>
    </row>
    <row r="33" spans="2:14">
      <c r="B33" s="4"/>
      <c r="C33" s="4"/>
      <c r="D33" s="4"/>
      <c r="E33" s="4"/>
      <c r="F33" s="4"/>
      <c r="G33" s="4"/>
      <c r="H33" s="4"/>
      <c r="I33" s="4"/>
      <c r="J33" s="4"/>
      <c r="K33" s="4"/>
      <c r="L33" s="4"/>
      <c r="M33" s="4"/>
      <c r="N33" s="4"/>
    </row>
    <row r="34" spans="2:14">
      <c r="B34" s="4"/>
      <c r="C34" s="4"/>
      <c r="D34" s="4"/>
      <c r="E34" s="4"/>
      <c r="F34" s="4"/>
      <c r="G34" s="4"/>
      <c r="H34" s="4"/>
      <c r="I34" s="4"/>
      <c r="J34" s="4"/>
      <c r="K34" s="4"/>
      <c r="L34" s="4"/>
      <c r="M34" s="4"/>
      <c r="N34" s="4"/>
    </row>
    <row r="35" spans="2:14">
      <c r="B35" s="4"/>
      <c r="C35" s="4"/>
      <c r="D35" s="4"/>
      <c r="E35" s="4"/>
      <c r="F35" s="4"/>
      <c r="G35" s="4"/>
      <c r="H35" s="4"/>
      <c r="I35" s="4"/>
      <c r="J35" s="4"/>
      <c r="K35" s="4"/>
      <c r="L35" s="4"/>
      <c r="M35" s="4"/>
      <c r="N35" s="4"/>
    </row>
    <row r="36" spans="2:14">
      <c r="B36" s="4"/>
      <c r="C36" s="4"/>
      <c r="D36" s="4"/>
      <c r="E36" s="4"/>
      <c r="F36" s="4"/>
      <c r="G36" s="4"/>
      <c r="H36" s="4"/>
      <c r="I36" s="4"/>
      <c r="J36" s="4"/>
      <c r="K36" s="4"/>
      <c r="L36" s="4"/>
      <c r="M36" s="4"/>
      <c r="N36" s="4"/>
    </row>
    <row r="37" spans="2:14">
      <c r="B37" s="4"/>
      <c r="C37" s="4"/>
      <c r="D37" s="4"/>
      <c r="E37" s="4"/>
      <c r="F37" s="4"/>
      <c r="G37" s="4"/>
      <c r="H37" s="4"/>
      <c r="I37" s="4"/>
      <c r="J37" s="4"/>
      <c r="K37" s="4"/>
      <c r="L37" s="4"/>
      <c r="M37" s="4"/>
      <c r="N37" s="4"/>
    </row>
    <row r="38" spans="2:14">
      <c r="B38" s="4"/>
      <c r="C38" s="4"/>
      <c r="D38" s="4"/>
      <c r="E38" s="4"/>
      <c r="F38" s="4"/>
      <c r="G38" s="4"/>
      <c r="H38" s="4"/>
      <c r="I38" s="4"/>
      <c r="J38" s="4"/>
      <c r="K38" s="4"/>
      <c r="L38" s="4"/>
      <c r="M38" s="4"/>
      <c r="N38" s="4"/>
    </row>
    <row r="39" spans="2:14">
      <c r="B39" s="4"/>
      <c r="C39" s="4"/>
      <c r="D39" s="4"/>
      <c r="E39" s="4"/>
      <c r="F39" s="4"/>
      <c r="G39" s="4"/>
      <c r="H39" s="4"/>
      <c r="I39" s="4"/>
      <c r="J39" s="4"/>
      <c r="K39" s="4"/>
      <c r="L39" s="4"/>
      <c r="M39" s="4"/>
      <c r="N39" s="4"/>
    </row>
    <row r="40" spans="2:14">
      <c r="B40" s="4"/>
      <c r="C40" s="4"/>
      <c r="D40" s="4"/>
      <c r="E40" s="4"/>
      <c r="F40" s="4"/>
      <c r="G40" s="4"/>
      <c r="H40" s="4"/>
      <c r="I40" s="4"/>
      <c r="J40" s="4"/>
      <c r="K40" s="4"/>
      <c r="L40" s="4"/>
      <c r="M40" s="4"/>
      <c r="N40" s="4"/>
    </row>
    <row r="41" spans="2:14">
      <c r="B41" s="4"/>
      <c r="C41" s="4"/>
      <c r="D41" s="4"/>
      <c r="E41" s="4"/>
      <c r="F41" s="4"/>
      <c r="G41" s="4"/>
      <c r="H41" s="4"/>
      <c r="I41" s="4"/>
      <c r="J41" s="4"/>
      <c r="K41" s="4"/>
      <c r="L41" s="4"/>
      <c r="M41" s="4"/>
      <c r="N41" s="4"/>
    </row>
    <row r="42" spans="2:14">
      <c r="B42" s="4"/>
      <c r="C42" s="4"/>
      <c r="D42" s="4"/>
      <c r="E42" s="4"/>
      <c r="F42" s="4"/>
      <c r="G42" s="4"/>
      <c r="H42" s="4"/>
      <c r="I42" s="4"/>
      <c r="J42" s="4"/>
      <c r="K42" s="4"/>
      <c r="L42" s="4"/>
      <c r="M42" s="4"/>
      <c r="N42" s="4"/>
    </row>
    <row r="43" spans="2:14">
      <c r="B43" s="4"/>
      <c r="C43" s="4"/>
      <c r="D43" s="4"/>
      <c r="E43" s="4"/>
      <c r="F43" s="4"/>
      <c r="G43" s="4"/>
      <c r="H43" s="4"/>
      <c r="I43" s="4"/>
      <c r="J43" s="4"/>
      <c r="K43" s="4"/>
      <c r="L43" s="4"/>
      <c r="M43" s="4"/>
      <c r="N43" s="4"/>
    </row>
    <row r="44" spans="2:14">
      <c r="B44" s="4"/>
      <c r="C44" s="4"/>
      <c r="D44" s="4"/>
      <c r="E44" s="4"/>
      <c r="F44" s="4"/>
      <c r="G44" s="4"/>
      <c r="H44" s="4"/>
      <c r="I44" s="4"/>
      <c r="J44" s="4"/>
      <c r="K44" s="4"/>
      <c r="L44" s="4"/>
      <c r="M44" s="4"/>
      <c r="N44" s="4"/>
    </row>
    <row r="45" spans="2:14">
      <c r="B45" s="4"/>
      <c r="C45" s="4"/>
      <c r="D45" s="4"/>
      <c r="E45" s="4"/>
      <c r="F45" s="4"/>
      <c r="G45" s="4"/>
      <c r="H45" s="4"/>
      <c r="I45" s="4"/>
      <c r="J45" s="4"/>
      <c r="K45" s="4"/>
      <c r="L45" s="4"/>
      <c r="M45" s="4"/>
      <c r="N45" s="4"/>
    </row>
    <row r="46" spans="2:14">
      <c r="B46" s="4"/>
      <c r="C46" s="4"/>
      <c r="D46" s="4"/>
      <c r="E46" s="4"/>
      <c r="F46" s="4"/>
      <c r="G46" s="4"/>
      <c r="H46" s="4"/>
      <c r="I46" s="4"/>
      <c r="J46" s="4"/>
      <c r="K46" s="4"/>
      <c r="L46" s="4"/>
      <c r="M46" s="4"/>
      <c r="N46" s="4"/>
    </row>
    <row r="47" spans="2:14">
      <c r="B47" s="4"/>
      <c r="C47" s="4"/>
      <c r="D47" s="4"/>
      <c r="E47" s="4"/>
      <c r="F47" s="4"/>
      <c r="G47" s="4"/>
      <c r="H47" s="4"/>
      <c r="I47" s="4"/>
      <c r="J47" s="4"/>
      <c r="K47" s="4"/>
      <c r="L47" s="4"/>
      <c r="M47" s="4"/>
      <c r="N47" s="4"/>
    </row>
    <row r="48" spans="2:14">
      <c r="B48" s="4"/>
      <c r="C48" s="4"/>
      <c r="D48" s="4"/>
      <c r="E48" s="4"/>
      <c r="F48" s="4"/>
      <c r="G48" s="4"/>
      <c r="H48" s="4"/>
      <c r="I48" s="4"/>
      <c r="J48" s="4"/>
      <c r="K48" s="4"/>
      <c r="L48" s="4"/>
      <c r="M48" s="4"/>
      <c r="N48" s="4"/>
    </row>
    <row r="49" spans="2:14">
      <c r="B49" s="4"/>
      <c r="C49" s="4"/>
      <c r="D49" s="4"/>
      <c r="E49" s="4"/>
      <c r="F49" s="4"/>
      <c r="G49" s="4"/>
      <c r="H49" s="4"/>
      <c r="I49" s="4"/>
      <c r="J49" s="4"/>
      <c r="K49" s="4"/>
      <c r="L49" s="4"/>
      <c r="M49" s="4"/>
      <c r="N49" s="4"/>
    </row>
    <row r="50" spans="2:14">
      <c r="B50" s="4"/>
      <c r="C50" s="4"/>
      <c r="D50" s="4"/>
      <c r="E50" s="4"/>
      <c r="F50" s="4"/>
      <c r="G50" s="4"/>
      <c r="H50" s="4"/>
      <c r="I50" s="4"/>
      <c r="J50" s="4"/>
      <c r="K50" s="4"/>
      <c r="L50" s="4"/>
      <c r="M50" s="4"/>
      <c r="N50" s="4"/>
    </row>
    <row r="51" spans="2:14">
      <c r="B51" s="4"/>
      <c r="C51" s="4"/>
      <c r="D51" s="4"/>
      <c r="E51" s="4"/>
      <c r="F51" s="4"/>
      <c r="G51" s="4"/>
      <c r="H51" s="4"/>
      <c r="I51" s="4"/>
      <c r="J51" s="4"/>
      <c r="K51" s="4"/>
      <c r="L51" s="4"/>
      <c r="M51" s="4"/>
      <c r="N51" s="4"/>
    </row>
    <row r="52" spans="2:14">
      <c r="B52" s="4"/>
      <c r="C52" s="4"/>
      <c r="D52" s="4"/>
      <c r="E52" s="4"/>
      <c r="F52" s="4"/>
      <c r="G52" s="4"/>
      <c r="H52" s="4"/>
      <c r="I52" s="4"/>
      <c r="J52" s="4"/>
      <c r="K52" s="4"/>
      <c r="L52" s="4"/>
      <c r="M52" s="4"/>
      <c r="N52" s="4"/>
    </row>
    <row r="53" spans="2:14">
      <c r="B53" s="4"/>
      <c r="C53" s="4"/>
      <c r="D53" s="4"/>
      <c r="E53" s="4"/>
      <c r="F53" s="4"/>
      <c r="G53" s="4"/>
      <c r="H53" s="4"/>
      <c r="I53" s="4"/>
      <c r="J53" s="4"/>
      <c r="K53" s="4"/>
      <c r="L53" s="4"/>
      <c r="M53" s="4"/>
      <c r="N53" s="4"/>
    </row>
    <row r="54" spans="2:14">
      <c r="B54" s="4"/>
      <c r="C54" s="4"/>
      <c r="D54" s="4"/>
      <c r="E54" s="4"/>
      <c r="F54" s="4"/>
      <c r="G54" s="4"/>
      <c r="H54" s="4"/>
      <c r="I54" s="4"/>
      <c r="J54" s="4"/>
      <c r="K54" s="4"/>
      <c r="L54" s="4"/>
      <c r="M54" s="4"/>
      <c r="N54" s="4"/>
    </row>
    <row r="55" spans="2:14">
      <c r="B55" s="4"/>
      <c r="C55" s="4"/>
      <c r="D55" s="4"/>
      <c r="E55" s="4"/>
      <c r="F55" s="4"/>
      <c r="G55" s="4"/>
      <c r="H55" s="4"/>
      <c r="I55" s="4"/>
      <c r="J55" s="4"/>
      <c r="K55" s="4"/>
      <c r="L55" s="4"/>
      <c r="M55" s="4"/>
      <c r="N55" s="4"/>
    </row>
    <row r="56" spans="2:14">
      <c r="B56" s="4"/>
      <c r="C56" s="4"/>
      <c r="D56" s="4"/>
      <c r="E56" s="4"/>
      <c r="F56" s="4"/>
      <c r="G56" s="4"/>
      <c r="H56" s="4"/>
      <c r="I56" s="4"/>
      <c r="J56" s="4"/>
      <c r="K56" s="4"/>
      <c r="L56" s="4"/>
      <c r="M56" s="4"/>
      <c r="N56" s="4"/>
    </row>
    <row r="57" spans="2:14">
      <c r="B57" s="4"/>
      <c r="C57" s="4"/>
      <c r="D57" s="4"/>
      <c r="E57" s="4"/>
      <c r="F57" s="4"/>
      <c r="G57" s="4"/>
      <c r="H57" s="4"/>
      <c r="I57" s="4"/>
      <c r="J57" s="4"/>
      <c r="K57" s="4"/>
      <c r="L57" s="4"/>
      <c r="M57" s="4"/>
      <c r="N57" s="4"/>
    </row>
    <row r="58" spans="2:14">
      <c r="B58" s="4"/>
      <c r="C58" s="4"/>
      <c r="D58" s="4"/>
      <c r="E58" s="4"/>
      <c r="F58" s="4"/>
      <c r="G58" s="4"/>
      <c r="H58" s="4"/>
      <c r="I58" s="4"/>
      <c r="J58" s="4"/>
      <c r="K58" s="4"/>
      <c r="L58" s="4"/>
      <c r="M58" s="4"/>
      <c r="N58" s="4"/>
    </row>
    <row r="59" spans="2:14">
      <c r="B59" s="4"/>
      <c r="C59" s="4"/>
      <c r="D59" s="4"/>
      <c r="E59" s="4"/>
      <c r="F59" s="4"/>
      <c r="G59" s="4"/>
      <c r="H59" s="4"/>
      <c r="I59" s="4"/>
      <c r="J59" s="4"/>
      <c r="K59" s="4"/>
      <c r="L59" s="4"/>
      <c r="M59" s="4"/>
      <c r="N59" s="4"/>
    </row>
    <row r="60" spans="2:14">
      <c r="B60" s="4"/>
      <c r="C60" s="4"/>
      <c r="D60" s="4"/>
      <c r="E60" s="4"/>
      <c r="F60" s="4"/>
      <c r="G60" s="4"/>
      <c r="H60" s="4"/>
      <c r="I60" s="4"/>
      <c r="J60" s="4"/>
      <c r="K60" s="4"/>
      <c r="L60" s="4"/>
      <c r="M60" s="4"/>
      <c r="N60" s="4"/>
    </row>
    <row r="61" spans="2:14">
      <c r="B61" s="4"/>
      <c r="C61" s="4"/>
      <c r="D61" s="4"/>
      <c r="E61" s="4"/>
      <c r="F61" s="4"/>
      <c r="G61" s="4"/>
      <c r="H61" s="4"/>
      <c r="I61" s="4"/>
      <c r="J61" s="4"/>
      <c r="K61" s="4"/>
      <c r="L61" s="4"/>
      <c r="M61" s="4"/>
      <c r="N61" s="4"/>
    </row>
    <row r="62" spans="2:14">
      <c r="B62" s="4"/>
      <c r="C62" s="4"/>
      <c r="D62" s="4"/>
      <c r="E62" s="4"/>
      <c r="F62" s="4"/>
      <c r="G62" s="4"/>
      <c r="H62" s="4"/>
      <c r="I62" s="4"/>
      <c r="J62" s="4"/>
      <c r="K62" s="4"/>
      <c r="L62" s="4"/>
      <c r="M62" s="4"/>
      <c r="N62" s="4"/>
    </row>
    <row r="63" spans="2:14">
      <c r="B63" s="4"/>
      <c r="C63" s="4"/>
      <c r="D63" s="4"/>
      <c r="E63" s="4"/>
      <c r="F63" s="4"/>
      <c r="G63" s="4"/>
      <c r="H63" s="4"/>
      <c r="I63" s="4"/>
      <c r="J63" s="4"/>
      <c r="K63" s="4"/>
      <c r="L63" s="4"/>
      <c r="M63" s="4"/>
      <c r="N63" s="4"/>
    </row>
    <row r="64" spans="2:14">
      <c r="B64" s="4"/>
      <c r="C64" s="4"/>
      <c r="D64" s="4"/>
      <c r="E64" s="4"/>
      <c r="F64" s="4"/>
      <c r="G64" s="4"/>
      <c r="H64" s="4"/>
      <c r="I64" s="4"/>
      <c r="J64" s="4"/>
      <c r="K64" s="4"/>
      <c r="L64" s="4"/>
      <c r="M64" s="4"/>
      <c r="N64" s="4"/>
    </row>
    <row r="65" spans="2:14">
      <c r="B65" s="4"/>
      <c r="C65" s="4"/>
      <c r="D65" s="4"/>
      <c r="E65" s="4"/>
      <c r="F65" s="4"/>
      <c r="G65" s="4"/>
      <c r="H65" s="4"/>
      <c r="I65" s="4"/>
      <c r="J65" s="4"/>
      <c r="K65" s="4"/>
      <c r="L65" s="4"/>
      <c r="M65" s="4"/>
      <c r="N65" s="4"/>
    </row>
    <row r="66" spans="2:14">
      <c r="B66" s="4"/>
      <c r="C66" s="4"/>
      <c r="D66" s="4"/>
      <c r="E66" s="4"/>
      <c r="F66" s="4"/>
      <c r="G66" s="4"/>
      <c r="H66" s="4"/>
      <c r="I66" s="4"/>
      <c r="J66" s="4"/>
      <c r="K66" s="4"/>
      <c r="L66" s="4"/>
      <c r="M66" s="4"/>
      <c r="N66" s="4"/>
    </row>
    <row r="67" spans="2:14">
      <c r="B67" s="4"/>
      <c r="C67" s="4"/>
      <c r="D67" s="4"/>
      <c r="E67" s="4"/>
      <c r="F67" s="4"/>
      <c r="G67" s="4"/>
      <c r="H67" s="4"/>
      <c r="I67" s="4"/>
      <c r="J67" s="4"/>
      <c r="K67" s="4"/>
      <c r="L67" s="4"/>
      <c r="M67" s="4"/>
      <c r="N67" s="4"/>
    </row>
    <row r="68" spans="2:14">
      <c r="B68" s="4"/>
      <c r="C68" s="4"/>
      <c r="D68" s="4"/>
      <c r="E68" s="4"/>
      <c r="F68" s="4"/>
      <c r="G68" s="4"/>
      <c r="H68" s="4"/>
      <c r="I68" s="4"/>
      <c r="J68" s="4"/>
      <c r="K68" s="4"/>
      <c r="L68" s="4"/>
      <c r="M68" s="4"/>
      <c r="N68" s="4"/>
    </row>
    <row r="69" spans="2:14">
      <c r="B69" s="4"/>
      <c r="C69" s="4"/>
      <c r="D69" s="4"/>
      <c r="E69" s="4"/>
      <c r="F69" s="4"/>
      <c r="G69" s="4"/>
      <c r="H69" s="4"/>
      <c r="I69" s="4"/>
      <c r="J69" s="4"/>
      <c r="K69" s="4"/>
      <c r="L69" s="4"/>
      <c r="M69" s="4"/>
      <c r="N69" s="4"/>
    </row>
    <row r="70" spans="2:14">
      <c r="B70" s="4"/>
      <c r="C70" s="4"/>
      <c r="D70" s="4"/>
      <c r="E70" s="4"/>
      <c r="F70" s="4"/>
      <c r="G70" s="4"/>
      <c r="H70" s="4"/>
      <c r="I70" s="4"/>
      <c r="J70" s="4"/>
      <c r="K70" s="4"/>
      <c r="L70" s="4"/>
      <c r="M70" s="4"/>
      <c r="N70" s="4"/>
    </row>
    <row r="71" spans="2:14">
      <c r="B71" s="4"/>
      <c r="C71" s="4"/>
      <c r="D71" s="4"/>
      <c r="E71" s="4"/>
      <c r="F71" s="4"/>
      <c r="G71" s="4"/>
      <c r="H71" s="4"/>
      <c r="I71" s="4"/>
      <c r="J71" s="4"/>
      <c r="K71" s="4"/>
      <c r="L71" s="4"/>
      <c r="M71" s="4"/>
      <c r="N71" s="4"/>
    </row>
    <row r="72" spans="2:14">
      <c r="B72" s="4"/>
      <c r="C72" s="4"/>
      <c r="D72" s="4"/>
      <c r="E72" s="4"/>
      <c r="F72" s="4"/>
      <c r="G72" s="4"/>
      <c r="H72" s="4"/>
      <c r="I72" s="4"/>
      <c r="J72" s="4"/>
      <c r="K72" s="4"/>
      <c r="L72" s="4"/>
      <c r="M72" s="4"/>
      <c r="N72" s="4"/>
    </row>
    <row r="73" spans="2:14">
      <c r="B73" s="4"/>
      <c r="C73" s="4"/>
      <c r="D73" s="4"/>
      <c r="E73" s="4"/>
      <c r="F73" s="4"/>
      <c r="G73" s="4"/>
      <c r="H73" s="4"/>
      <c r="I73" s="4"/>
      <c r="J73" s="4"/>
      <c r="K73" s="4"/>
      <c r="L73" s="4"/>
      <c r="M73" s="4"/>
      <c r="N73" s="4"/>
    </row>
    <row r="74" spans="2:14">
      <c r="B74" s="4"/>
      <c r="C74" s="4"/>
      <c r="D74" s="4"/>
      <c r="E74" s="4"/>
      <c r="F74" s="4"/>
      <c r="G74" s="4"/>
      <c r="H74" s="4"/>
      <c r="I74" s="4"/>
      <c r="J74" s="4"/>
      <c r="K74" s="4"/>
      <c r="L74" s="4"/>
      <c r="M74" s="4"/>
      <c r="N74" s="4"/>
    </row>
    <row r="75" spans="2:14">
      <c r="B75" s="4"/>
      <c r="C75" s="4"/>
      <c r="D75" s="4"/>
      <c r="E75" s="4"/>
      <c r="F75" s="4"/>
      <c r="G75" s="4"/>
      <c r="H75" s="4"/>
      <c r="I75" s="4"/>
      <c r="J75" s="4"/>
      <c r="K75" s="4"/>
      <c r="L75" s="4"/>
      <c r="M75" s="4"/>
      <c r="N75" s="4"/>
    </row>
    <row r="76" spans="2:14">
      <c r="B76" s="4"/>
      <c r="C76" s="4"/>
      <c r="D76" s="4"/>
      <c r="E76" s="4"/>
      <c r="F76" s="4"/>
      <c r="G76" s="4"/>
      <c r="H76" s="4"/>
      <c r="I76" s="4"/>
      <c r="J76" s="4"/>
      <c r="K76" s="4"/>
      <c r="L76" s="4"/>
      <c r="M76" s="4"/>
      <c r="N76" s="4"/>
    </row>
    <row r="77" spans="2:14">
      <c r="B77" s="4"/>
      <c r="C77" s="4"/>
      <c r="D77" s="4"/>
      <c r="E77" s="4"/>
      <c r="F77" s="4"/>
      <c r="G77" s="4"/>
      <c r="H77" s="4"/>
      <c r="I77" s="4"/>
      <c r="J77" s="4"/>
      <c r="K77" s="4"/>
      <c r="L77" s="4"/>
      <c r="M77" s="4"/>
      <c r="N77" s="4"/>
    </row>
    <row r="78" spans="2:14">
      <c r="B78" s="4"/>
      <c r="C78" s="4"/>
      <c r="D78" s="4"/>
      <c r="E78" s="4"/>
      <c r="F78" s="4"/>
      <c r="G78" s="4"/>
      <c r="H78" s="4"/>
      <c r="I78" s="4"/>
      <c r="J78" s="4"/>
      <c r="K78" s="4"/>
      <c r="L78" s="4"/>
      <c r="M78" s="4"/>
      <c r="N78" s="4"/>
    </row>
    <row r="79" spans="2:14">
      <c r="B79" s="4"/>
      <c r="C79" s="4"/>
      <c r="D79" s="4"/>
      <c r="E79" s="4"/>
      <c r="F79" s="4"/>
      <c r="G79" s="4"/>
      <c r="H79" s="4"/>
      <c r="I79" s="4"/>
      <c r="J79" s="4"/>
      <c r="K79" s="4"/>
      <c r="L79" s="4"/>
      <c r="M79" s="4"/>
      <c r="N79" s="4"/>
    </row>
    <row r="80" spans="2:14">
      <c r="B80" s="4"/>
      <c r="C80" s="4"/>
      <c r="D80" s="4"/>
      <c r="E80" s="4"/>
      <c r="F80" s="4"/>
      <c r="G80" s="4"/>
      <c r="H80" s="4"/>
      <c r="I80" s="4"/>
      <c r="J80" s="4"/>
      <c r="K80" s="4"/>
      <c r="L80" s="4"/>
      <c r="M80" s="4"/>
      <c r="N80" s="4"/>
    </row>
    <row r="81" spans="2:14">
      <c r="B81" s="4"/>
      <c r="C81" s="4"/>
      <c r="D81" s="4"/>
      <c r="E81" s="4"/>
      <c r="F81" s="4"/>
      <c r="G81" s="4"/>
      <c r="H81" s="4"/>
      <c r="I81" s="4"/>
      <c r="J81" s="4"/>
      <c r="K81" s="4"/>
      <c r="L81" s="4"/>
      <c r="M81" s="4"/>
      <c r="N81" s="4"/>
    </row>
    <row r="82" spans="2:14">
      <c r="B82" s="4"/>
      <c r="C82" s="4"/>
      <c r="D82" s="4"/>
      <c r="E82" s="4"/>
      <c r="F82" s="4"/>
      <c r="G82" s="4"/>
      <c r="H82" s="4"/>
      <c r="I82" s="4"/>
      <c r="J82" s="4"/>
      <c r="K82" s="4"/>
      <c r="L82" s="4"/>
      <c r="M82" s="4"/>
      <c r="N82" s="4"/>
    </row>
    <row r="83" spans="2:14">
      <c r="B83" s="4"/>
      <c r="C83" s="4"/>
      <c r="D83" s="4"/>
      <c r="E83" s="4"/>
      <c r="F83" s="4"/>
      <c r="G83" s="4"/>
      <c r="H83" s="4"/>
      <c r="I83" s="4"/>
      <c r="J83" s="4"/>
      <c r="K83" s="4"/>
      <c r="L83" s="4"/>
      <c r="M83" s="4"/>
      <c r="N83" s="4"/>
    </row>
    <row r="84" spans="2:14">
      <c r="B84" s="4"/>
      <c r="C84" s="4"/>
      <c r="D84" s="4"/>
      <c r="E84" s="4"/>
      <c r="F84" s="4"/>
      <c r="G84" s="4"/>
      <c r="H84" s="4"/>
      <c r="I84" s="4"/>
      <c r="J84" s="4"/>
      <c r="K84" s="4"/>
      <c r="L84" s="4"/>
      <c r="M84" s="4"/>
      <c r="N84" s="4"/>
    </row>
    <row r="85" spans="2:14">
      <c r="B85" s="4"/>
      <c r="C85" s="4"/>
      <c r="D85" s="4"/>
      <c r="E85" s="4"/>
      <c r="F85" s="4"/>
      <c r="G85" s="4"/>
      <c r="H85" s="4"/>
      <c r="I85" s="4"/>
      <c r="J85" s="4"/>
      <c r="K85" s="4"/>
      <c r="L85" s="4"/>
      <c r="M85" s="4"/>
      <c r="N85" s="4"/>
    </row>
    <row r="86" spans="2:14">
      <c r="B86" s="4"/>
      <c r="C86" s="4"/>
      <c r="D86" s="4"/>
      <c r="E86" s="4"/>
      <c r="F86" s="4"/>
      <c r="G86" s="4"/>
      <c r="H86" s="4"/>
      <c r="I86" s="4"/>
      <c r="J86" s="4"/>
      <c r="K86" s="4"/>
      <c r="L86" s="4"/>
      <c r="M86" s="4"/>
      <c r="N86" s="4"/>
    </row>
    <row r="87" spans="2:14">
      <c r="B87" s="4"/>
      <c r="C87" s="4"/>
      <c r="D87" s="4"/>
      <c r="E87" s="4"/>
      <c r="F87" s="4"/>
      <c r="G87" s="4"/>
      <c r="H87" s="4"/>
      <c r="I87" s="4"/>
      <c r="J87" s="4"/>
      <c r="K87" s="4"/>
      <c r="L87" s="4"/>
      <c r="M87" s="4"/>
      <c r="N87" s="4"/>
    </row>
    <row r="88" spans="2:14">
      <c r="B88" s="4"/>
      <c r="C88" s="4"/>
      <c r="D88" s="4"/>
      <c r="E88" s="4"/>
      <c r="F88" s="4"/>
      <c r="G88" s="4"/>
      <c r="H88" s="4"/>
      <c r="I88" s="4"/>
      <c r="J88" s="4"/>
      <c r="K88" s="4"/>
      <c r="L88" s="4"/>
      <c r="M88" s="4"/>
      <c r="N88" s="4"/>
    </row>
    <row r="89" spans="2:14">
      <c r="B89" s="4"/>
      <c r="C89" s="4"/>
      <c r="D89" s="4"/>
      <c r="E89" s="4"/>
      <c r="F89" s="4"/>
      <c r="G89" s="4"/>
      <c r="H89" s="4"/>
      <c r="I89" s="4"/>
      <c r="J89" s="4"/>
      <c r="K89" s="4"/>
      <c r="L89" s="4"/>
      <c r="M89" s="4"/>
      <c r="N89" s="4"/>
    </row>
    <row r="90" spans="2:14">
      <c r="B90" s="4"/>
      <c r="C90" s="4"/>
      <c r="D90" s="4"/>
      <c r="E90" s="4"/>
      <c r="F90" s="4"/>
      <c r="G90" s="4"/>
      <c r="H90" s="4"/>
      <c r="I90" s="4"/>
      <c r="J90" s="4"/>
      <c r="K90" s="4"/>
      <c r="L90" s="4"/>
      <c r="M90" s="4"/>
      <c r="N90" s="4"/>
    </row>
    <row r="91" spans="2:14">
      <c r="B91" s="4"/>
      <c r="C91" s="4"/>
      <c r="D91" s="4"/>
      <c r="E91" s="4"/>
      <c r="F91" s="4"/>
      <c r="G91" s="4"/>
      <c r="H91" s="4"/>
      <c r="I91" s="4"/>
      <c r="J91" s="4"/>
      <c r="K91" s="4"/>
      <c r="L91" s="4"/>
      <c r="M91" s="4"/>
      <c r="N91" s="4"/>
    </row>
    <row r="92" spans="2:14">
      <c r="B92" s="4"/>
      <c r="C92" s="4"/>
      <c r="D92" s="4"/>
      <c r="E92" s="4"/>
      <c r="F92" s="4"/>
      <c r="G92" s="4"/>
      <c r="H92" s="4"/>
      <c r="I92" s="4"/>
      <c r="J92" s="4"/>
      <c r="K92" s="4"/>
      <c r="L92" s="4"/>
      <c r="M92" s="4"/>
      <c r="N92" s="4"/>
    </row>
    <row r="93" spans="2:14">
      <c r="B93" s="4"/>
      <c r="C93" s="4"/>
      <c r="D93" s="4"/>
      <c r="E93" s="4"/>
      <c r="F93" s="4"/>
      <c r="G93" s="4"/>
      <c r="H93" s="4"/>
      <c r="I93" s="4"/>
      <c r="J93" s="4"/>
      <c r="K93" s="4"/>
      <c r="L93" s="4"/>
      <c r="M93" s="4"/>
      <c r="N93" s="4"/>
    </row>
    <row r="94" spans="2:14">
      <c r="B94" s="4"/>
      <c r="C94" s="4"/>
      <c r="D94" s="4"/>
      <c r="E94" s="4"/>
      <c r="F94" s="4"/>
      <c r="G94" s="4"/>
      <c r="H94" s="4"/>
      <c r="I94" s="4"/>
      <c r="J94" s="4"/>
      <c r="K94" s="4"/>
      <c r="L94" s="4"/>
      <c r="M94" s="4"/>
      <c r="N94" s="4"/>
    </row>
    <row r="95" spans="2:14">
      <c r="B95" s="4"/>
      <c r="C95" s="4"/>
      <c r="D95" s="4"/>
      <c r="E95" s="4"/>
      <c r="F95" s="4"/>
      <c r="G95" s="4"/>
      <c r="H95" s="4"/>
      <c r="I95" s="4"/>
      <c r="J95" s="4"/>
      <c r="K95" s="4"/>
      <c r="L95" s="4"/>
      <c r="M95" s="4"/>
      <c r="N95" s="4"/>
    </row>
    <row r="96" spans="2:14">
      <c r="B96" s="4"/>
      <c r="C96" s="4"/>
      <c r="D96" s="4"/>
      <c r="E96" s="4"/>
      <c r="F96" s="4"/>
      <c r="G96" s="4"/>
      <c r="H96" s="4"/>
      <c r="I96" s="4"/>
      <c r="J96" s="4"/>
      <c r="K96" s="4"/>
      <c r="L96" s="4"/>
      <c r="M96" s="4"/>
      <c r="N96" s="4"/>
    </row>
    <row r="97" spans="2:14">
      <c r="B97" s="4"/>
      <c r="C97" s="4"/>
      <c r="D97" s="4"/>
      <c r="E97" s="4"/>
      <c r="F97" s="4"/>
      <c r="G97" s="4"/>
      <c r="H97" s="4"/>
      <c r="I97" s="4"/>
      <c r="J97" s="4"/>
      <c r="K97" s="4"/>
      <c r="L97" s="4"/>
      <c r="M97" s="4"/>
      <c r="N97" s="4"/>
    </row>
    <row r="98" spans="2:14">
      <c r="B98" s="4"/>
      <c r="C98" s="4"/>
      <c r="D98" s="4"/>
      <c r="E98" s="4"/>
      <c r="F98" s="4"/>
      <c r="G98" s="4"/>
      <c r="H98" s="4"/>
      <c r="I98" s="4"/>
      <c r="J98" s="4"/>
      <c r="K98" s="4"/>
      <c r="L98" s="4"/>
      <c r="M98" s="4"/>
      <c r="N98" s="4"/>
    </row>
    <row r="99" spans="2:14">
      <c r="B99" s="4"/>
      <c r="C99" s="4"/>
      <c r="D99" s="4"/>
      <c r="E99" s="4"/>
      <c r="F99" s="4"/>
      <c r="G99" s="4"/>
      <c r="H99" s="4"/>
      <c r="I99" s="4"/>
      <c r="J99" s="4"/>
      <c r="K99" s="4"/>
      <c r="L99" s="4"/>
      <c r="M99" s="4"/>
      <c r="N99" s="4"/>
    </row>
    <row r="100" spans="2:14">
      <c r="B100" s="4"/>
      <c r="C100" s="4"/>
      <c r="D100" s="4"/>
      <c r="E100" s="4"/>
      <c r="F100" s="4"/>
      <c r="G100" s="4"/>
      <c r="H100" s="4"/>
      <c r="I100" s="4"/>
      <c r="J100" s="4"/>
      <c r="K100" s="4"/>
      <c r="L100" s="4"/>
      <c r="M100" s="4"/>
      <c r="N100" s="4"/>
    </row>
    <row r="101" spans="2:14">
      <c r="B101" s="4"/>
      <c r="C101" s="4"/>
      <c r="D101" s="4"/>
      <c r="E101" s="4"/>
      <c r="F101" s="4"/>
      <c r="G101" s="4"/>
      <c r="H101" s="4"/>
      <c r="I101" s="4"/>
      <c r="J101" s="4"/>
      <c r="K101" s="4"/>
      <c r="L101" s="4"/>
      <c r="M101" s="4"/>
      <c r="N101" s="4"/>
    </row>
    <row r="102" spans="2:14">
      <c r="B102" s="4"/>
      <c r="C102" s="4"/>
      <c r="D102" s="4"/>
      <c r="E102" s="4"/>
      <c r="F102" s="4"/>
      <c r="G102" s="4"/>
      <c r="H102" s="4"/>
      <c r="I102" s="4"/>
      <c r="J102" s="4"/>
      <c r="K102" s="4"/>
      <c r="L102" s="4"/>
      <c r="M102" s="4"/>
      <c r="N102" s="4"/>
    </row>
    <row r="103" spans="2:14">
      <c r="B103" s="4"/>
      <c r="C103" s="4"/>
      <c r="D103" s="4"/>
      <c r="E103" s="4"/>
      <c r="F103" s="4"/>
      <c r="G103" s="4"/>
      <c r="H103" s="4"/>
      <c r="I103" s="4"/>
      <c r="J103" s="4"/>
      <c r="K103" s="4"/>
      <c r="L103" s="4"/>
      <c r="M103" s="4"/>
      <c r="N103" s="4"/>
    </row>
    <row r="104" spans="2:14">
      <c r="B104" s="4"/>
      <c r="C104" s="4"/>
      <c r="D104" s="4"/>
      <c r="E104" s="4"/>
      <c r="F104" s="4"/>
      <c r="G104" s="4"/>
      <c r="H104" s="4"/>
      <c r="I104" s="4"/>
      <c r="J104" s="4"/>
      <c r="K104" s="4"/>
      <c r="L104" s="4"/>
      <c r="M104" s="4"/>
      <c r="N104" s="4"/>
    </row>
    <row r="105" spans="2:14">
      <c r="B105" s="4"/>
      <c r="C105" s="4"/>
      <c r="D105" s="4"/>
      <c r="E105" s="4"/>
      <c r="F105" s="4"/>
      <c r="G105" s="4"/>
      <c r="H105" s="4"/>
      <c r="I105" s="4"/>
      <c r="J105" s="4"/>
      <c r="K105" s="4"/>
      <c r="L105" s="4"/>
      <c r="M105" s="4"/>
      <c r="N105" s="4"/>
    </row>
    <row r="106" spans="2:14">
      <c r="B106" s="4"/>
      <c r="C106" s="4"/>
      <c r="D106" s="4"/>
      <c r="E106" s="4"/>
      <c r="F106" s="4"/>
      <c r="G106" s="4"/>
      <c r="H106" s="4"/>
      <c r="I106" s="4"/>
      <c r="J106" s="4"/>
      <c r="K106" s="4"/>
      <c r="L106" s="4"/>
      <c r="M106" s="4"/>
      <c r="N106" s="4"/>
    </row>
    <row r="107" spans="2:14">
      <c r="B107" s="4"/>
      <c r="C107" s="4"/>
      <c r="D107" s="4"/>
      <c r="E107" s="4"/>
      <c r="F107" s="4"/>
      <c r="G107" s="4"/>
      <c r="H107" s="4"/>
      <c r="I107" s="4"/>
      <c r="J107" s="4"/>
      <c r="K107" s="4"/>
      <c r="L107" s="4"/>
      <c r="M107" s="4"/>
      <c r="N107" s="4"/>
    </row>
    <row r="108" spans="2:14">
      <c r="B108" s="4"/>
      <c r="C108" s="4"/>
      <c r="D108" s="4"/>
      <c r="E108" s="4"/>
      <c r="F108" s="4"/>
      <c r="G108" s="4"/>
      <c r="H108" s="4"/>
      <c r="I108" s="4"/>
      <c r="J108" s="4"/>
      <c r="K108" s="4"/>
      <c r="L108" s="4"/>
      <c r="M108" s="4"/>
      <c r="N108" s="4"/>
    </row>
    <row r="109" spans="2:14">
      <c r="B109" s="4"/>
      <c r="C109" s="4"/>
      <c r="D109" s="4"/>
      <c r="E109" s="4"/>
      <c r="F109" s="4"/>
      <c r="G109" s="4"/>
      <c r="H109" s="4"/>
      <c r="I109" s="4"/>
      <c r="J109" s="4"/>
      <c r="K109" s="4"/>
      <c r="L109" s="4"/>
      <c r="M109" s="4"/>
      <c r="N109" s="4"/>
    </row>
    <row r="110" spans="2:14">
      <c r="B110" s="4"/>
      <c r="C110" s="4"/>
      <c r="D110" s="4"/>
      <c r="E110" s="4"/>
      <c r="F110" s="4"/>
      <c r="G110" s="4"/>
      <c r="H110" s="4"/>
      <c r="I110" s="4"/>
      <c r="J110" s="4"/>
      <c r="K110" s="4"/>
      <c r="L110" s="4"/>
      <c r="M110" s="4"/>
      <c r="N110" s="4"/>
    </row>
    <row r="111" spans="2:14">
      <c r="B111" s="4"/>
      <c r="C111" s="4"/>
      <c r="D111" s="4"/>
      <c r="E111" s="4"/>
      <c r="F111" s="4"/>
      <c r="G111" s="4"/>
      <c r="H111" s="4"/>
      <c r="I111" s="4"/>
      <c r="J111" s="4"/>
      <c r="K111" s="4"/>
      <c r="L111" s="4"/>
      <c r="M111" s="4"/>
      <c r="N111" s="4"/>
    </row>
    <row r="112" spans="2:14">
      <c r="B112" s="4"/>
      <c r="C112" s="4"/>
      <c r="D112" s="4"/>
      <c r="E112" s="4"/>
      <c r="F112" s="4"/>
      <c r="G112" s="4"/>
      <c r="H112" s="4"/>
      <c r="I112" s="4"/>
      <c r="J112" s="4"/>
      <c r="K112" s="4"/>
      <c r="L112" s="4"/>
      <c r="M112" s="4"/>
      <c r="N112" s="4"/>
    </row>
    <row r="113" spans="2:14">
      <c r="B113" s="4"/>
      <c r="C113" s="4"/>
      <c r="D113" s="4"/>
      <c r="E113" s="4"/>
      <c r="F113" s="4"/>
      <c r="G113" s="4"/>
      <c r="H113" s="4"/>
      <c r="I113" s="4"/>
      <c r="J113" s="4"/>
      <c r="K113" s="4"/>
      <c r="L113" s="4"/>
      <c r="M113" s="4"/>
      <c r="N113" s="4"/>
    </row>
    <row r="114" spans="2:14">
      <c r="B114" s="4"/>
      <c r="C114" s="4"/>
      <c r="D114" s="4"/>
      <c r="E114" s="4"/>
      <c r="F114" s="4"/>
      <c r="G114" s="4"/>
      <c r="H114" s="4"/>
      <c r="I114" s="4"/>
      <c r="J114" s="4"/>
      <c r="K114" s="4"/>
      <c r="L114" s="4"/>
      <c r="M114" s="4"/>
      <c r="N114" s="4"/>
    </row>
    <row r="115" spans="2:14">
      <c r="B115" s="4"/>
      <c r="C115" s="4"/>
      <c r="D115" s="4"/>
      <c r="E115" s="4"/>
      <c r="F115" s="4"/>
      <c r="G115" s="4"/>
      <c r="H115" s="4"/>
      <c r="I115" s="4"/>
      <c r="J115" s="4"/>
      <c r="K115" s="4"/>
      <c r="L115" s="4"/>
      <c r="M115" s="4"/>
      <c r="N115" s="4"/>
    </row>
    <row r="116" spans="2:14">
      <c r="B116" s="4"/>
      <c r="C116" s="4"/>
      <c r="D116" s="4"/>
      <c r="E116" s="4"/>
      <c r="F116" s="4"/>
      <c r="G116" s="4"/>
      <c r="H116" s="4"/>
      <c r="I116" s="4"/>
      <c r="J116" s="4"/>
      <c r="K116" s="4"/>
      <c r="L116" s="4"/>
      <c r="M116" s="4"/>
      <c r="N116" s="4"/>
    </row>
    <row r="117" spans="2:14">
      <c r="B117" s="4"/>
      <c r="C117" s="4"/>
      <c r="D117" s="4"/>
      <c r="E117" s="4"/>
      <c r="F117" s="4"/>
      <c r="G117" s="4"/>
      <c r="H117" s="4"/>
      <c r="I117" s="4"/>
      <c r="J117" s="4"/>
      <c r="K117" s="4"/>
      <c r="L117" s="4"/>
      <c r="M117" s="4"/>
      <c r="N117" s="4"/>
    </row>
    <row r="118" spans="2:14">
      <c r="B118" s="4"/>
      <c r="C118" s="4"/>
      <c r="D118" s="4"/>
      <c r="E118" s="4"/>
      <c r="F118" s="4"/>
      <c r="G118" s="4"/>
      <c r="H118" s="4"/>
      <c r="I118" s="4"/>
      <c r="J118" s="4"/>
      <c r="K118" s="4"/>
      <c r="L118" s="4"/>
      <c r="M118" s="4"/>
      <c r="N118" s="4"/>
    </row>
    <row r="119" spans="2:14">
      <c r="B119" s="4"/>
      <c r="C119" s="4"/>
      <c r="D119" s="4"/>
      <c r="E119" s="4"/>
      <c r="F119" s="4"/>
      <c r="G119" s="4"/>
      <c r="H119" s="4"/>
      <c r="I119" s="4"/>
      <c r="J119" s="4"/>
      <c r="K119" s="4"/>
      <c r="L119" s="4"/>
      <c r="M119" s="4"/>
      <c r="N119" s="4"/>
    </row>
    <row r="120" spans="2:14">
      <c r="B120" s="4"/>
      <c r="C120" s="4"/>
      <c r="D120" s="4"/>
      <c r="E120" s="4"/>
      <c r="F120" s="4"/>
      <c r="G120" s="4"/>
      <c r="H120" s="4"/>
      <c r="I120" s="4"/>
      <c r="J120" s="4"/>
      <c r="K120" s="4"/>
      <c r="L120" s="4"/>
      <c r="M120" s="4"/>
      <c r="N120" s="4"/>
    </row>
    <row r="121" spans="2:14">
      <c r="B121" s="4"/>
      <c r="C121" s="4"/>
      <c r="D121" s="4"/>
      <c r="E121" s="4"/>
      <c r="F121" s="4"/>
      <c r="G121" s="4"/>
      <c r="H121" s="4"/>
      <c r="I121" s="4"/>
      <c r="J121" s="4"/>
      <c r="K121" s="4"/>
      <c r="L121" s="4"/>
      <c r="M121" s="4"/>
      <c r="N121" s="4"/>
    </row>
    <row r="122" spans="2:14">
      <c r="B122" s="4"/>
      <c r="C122" s="4"/>
      <c r="D122" s="4"/>
      <c r="E122" s="4"/>
      <c r="F122" s="4"/>
      <c r="G122" s="4"/>
      <c r="H122" s="4"/>
      <c r="I122" s="4"/>
      <c r="J122" s="4"/>
      <c r="K122" s="4"/>
      <c r="L122" s="4"/>
      <c r="M122" s="4"/>
      <c r="N122" s="4"/>
    </row>
    <row r="123" spans="2:14">
      <c r="B123" s="4"/>
      <c r="C123" s="4"/>
      <c r="D123" s="4"/>
      <c r="E123" s="4"/>
      <c r="F123" s="4"/>
      <c r="G123" s="4"/>
      <c r="H123" s="4"/>
      <c r="I123" s="4"/>
      <c r="J123" s="4"/>
      <c r="K123" s="4"/>
      <c r="L123" s="4"/>
      <c r="M123" s="4"/>
      <c r="N123" s="4"/>
    </row>
    <row r="124" spans="2:14">
      <c r="B124" s="4"/>
      <c r="C124" s="4"/>
      <c r="D124" s="4"/>
      <c r="E124" s="4"/>
      <c r="F124" s="4"/>
      <c r="G124" s="4"/>
      <c r="H124" s="4"/>
      <c r="I124" s="4"/>
      <c r="J124" s="4"/>
      <c r="K124" s="4"/>
      <c r="L124" s="4"/>
      <c r="M124" s="4"/>
      <c r="N124" s="4"/>
    </row>
    <row r="125" spans="2:14">
      <c r="B125" s="4"/>
      <c r="C125" s="4"/>
      <c r="D125" s="4"/>
      <c r="E125" s="4"/>
      <c r="F125" s="4"/>
      <c r="G125" s="4"/>
      <c r="H125" s="4"/>
      <c r="I125" s="4"/>
      <c r="J125" s="4"/>
      <c r="K125" s="4"/>
      <c r="L125" s="4"/>
      <c r="M125" s="4"/>
      <c r="N125" s="4"/>
    </row>
    <row r="126" spans="2:14">
      <c r="B126" s="4"/>
      <c r="C126" s="4"/>
      <c r="D126" s="4"/>
      <c r="E126" s="4"/>
      <c r="F126" s="4"/>
      <c r="G126" s="4"/>
      <c r="H126" s="4"/>
      <c r="I126" s="4"/>
      <c r="J126" s="4"/>
      <c r="K126" s="4"/>
      <c r="L126" s="4"/>
      <c r="M126" s="4"/>
      <c r="N126" s="4"/>
    </row>
  </sheetData>
  <mergeCells count="3">
    <mergeCell ref="A1:L1"/>
    <mergeCell ref="A2:L2"/>
    <mergeCell ref="A3:L3"/>
  </mergeCells>
  <pageMargins left="0.75" right="0.75" top="1" bottom="1" header="0.5" footer="0.5"/>
  <pageSetup scale="79" orientation="landscape" r:id="rId1"/>
  <headerFooter alignWithMargins="0">
    <oddFooter>&amp;L&amp;Z
&amp;F&amp;C&amp;A&amp;R28.&amp;P</oddFooter>
  </headerFooter>
</worksheet>
</file>

<file path=xl/worksheets/sheet148.xml><?xml version="1.0" encoding="utf-8"?>
<worksheet xmlns="http://schemas.openxmlformats.org/spreadsheetml/2006/main" xmlns:r="http://schemas.openxmlformats.org/officeDocument/2006/relationships">
  <sheetPr codeName="Sheet151">
    <tabColor rgb="FF00B050"/>
    <pageSetUpPr fitToPage="1"/>
  </sheetPr>
  <dimension ref="A1:AA457"/>
  <sheetViews>
    <sheetView zoomScale="87" zoomScaleNormal="87" workbookViewId="0">
      <pane xSplit="3" ySplit="8" topLeftCell="D415" activePane="bottomRight" state="frozen"/>
      <selection activeCell="C38" sqref="C38"/>
      <selection pane="topRight" activeCell="C38" sqref="C38"/>
      <selection pane="bottomLeft" activeCell="C38" sqref="C38"/>
      <selection pane="bottomRight" activeCell="D420" sqref="D420"/>
    </sheetView>
  </sheetViews>
  <sheetFormatPr defaultRowHeight="12.75" outlineLevelRow="1"/>
  <cols>
    <col min="1" max="1" width="43.7109375" customWidth="1"/>
    <col min="2" max="2" width="19" bestFit="1" customWidth="1"/>
    <col min="3" max="3" width="1.7109375" style="7" customWidth="1"/>
    <col min="4" max="4" width="17.7109375" customWidth="1"/>
    <col min="5" max="5" width="1.7109375" style="7" customWidth="1"/>
    <col min="6" max="6" width="17.7109375" customWidth="1"/>
    <col min="7" max="7" width="1.7109375" style="7" customWidth="1"/>
    <col min="8" max="8" width="17.7109375" customWidth="1"/>
    <col min="9" max="9" width="1.7109375" style="7" customWidth="1"/>
    <col min="10" max="10" width="17.7109375" customWidth="1"/>
    <col min="11" max="11" width="1.7109375" style="7" customWidth="1"/>
    <col min="12" max="12" width="17.7109375" customWidth="1"/>
    <col min="13" max="13" width="1.7109375" style="7" customWidth="1"/>
    <col min="14" max="14" width="17.7109375" customWidth="1"/>
    <col min="15" max="15" width="1.7109375" style="7" customWidth="1"/>
    <col min="16" max="16" width="17.7109375" customWidth="1"/>
    <col min="17" max="17" width="1.7109375" style="7" customWidth="1"/>
    <col min="18" max="18" width="19.7109375" bestFit="1" customWidth="1"/>
    <col min="19" max="19" width="12.85546875" bestFit="1" customWidth="1"/>
    <col min="20" max="20" width="17.28515625" bestFit="1" customWidth="1"/>
    <col min="22" max="22" width="13.5703125" bestFit="1" customWidth="1"/>
  </cols>
  <sheetData>
    <row r="1" spans="1:27" s="38" customFormat="1" ht="15.75">
      <c r="A1" s="366" t="s">
        <v>134</v>
      </c>
      <c r="B1" s="366"/>
      <c r="C1" s="366"/>
      <c r="D1" s="366"/>
      <c r="E1" s="366"/>
      <c r="F1" s="366"/>
      <c r="G1" s="366"/>
      <c r="H1" s="366"/>
      <c r="I1" s="366"/>
      <c r="J1" s="366"/>
      <c r="K1" s="366"/>
      <c r="L1" s="366"/>
      <c r="M1" s="366"/>
      <c r="N1" s="366"/>
      <c r="O1" s="366"/>
      <c r="P1" s="366"/>
      <c r="Q1" s="366"/>
      <c r="R1" s="366"/>
      <c r="W1" s="39"/>
    </row>
    <row r="2" spans="1:27" s="38" customFormat="1" ht="15.75">
      <c r="A2" s="366" t="s">
        <v>1176</v>
      </c>
      <c r="B2" s="367"/>
      <c r="C2" s="367"/>
      <c r="D2" s="367"/>
      <c r="E2" s="367"/>
      <c r="F2" s="367"/>
      <c r="G2" s="367"/>
      <c r="H2" s="367"/>
      <c r="I2" s="367"/>
      <c r="J2" s="367"/>
      <c r="K2" s="367"/>
      <c r="L2" s="367"/>
      <c r="M2" s="367"/>
      <c r="N2" s="367"/>
      <c r="O2" s="367"/>
      <c r="P2" s="367"/>
      <c r="Q2" s="367"/>
      <c r="R2" s="367"/>
      <c r="W2" s="39"/>
    </row>
    <row r="3" spans="1:27">
      <c r="A3" s="357" t="str">
        <f>'Summary - Cost - PG 1 (PA)'!A3:N3</f>
        <v>MARCH 2012</v>
      </c>
      <c r="B3" s="357"/>
      <c r="C3" s="357"/>
      <c r="D3" s="357"/>
      <c r="E3" s="357"/>
      <c r="F3" s="357"/>
      <c r="G3" s="357"/>
      <c r="H3" s="357"/>
      <c r="I3" s="357"/>
      <c r="J3" s="357"/>
      <c r="K3" s="357"/>
      <c r="L3" s="357"/>
      <c r="M3" s="357"/>
      <c r="N3" s="357"/>
      <c r="O3" s="357"/>
      <c r="P3" s="357"/>
      <c r="Q3" s="357"/>
      <c r="R3" s="357"/>
      <c r="S3" s="40"/>
      <c r="T3" s="40"/>
      <c r="U3" s="40"/>
      <c r="V3" s="40"/>
      <c r="W3" s="40"/>
      <c r="X3" s="40"/>
      <c r="Y3" s="40"/>
      <c r="Z3" s="40"/>
      <c r="AA3" s="40"/>
    </row>
    <row r="4" spans="1:27">
      <c r="A4" s="190"/>
      <c r="B4" s="190"/>
      <c r="C4" s="53"/>
      <c r="D4" s="190"/>
      <c r="E4" s="53"/>
      <c r="F4" s="190"/>
      <c r="G4" s="53"/>
      <c r="H4" s="190"/>
      <c r="I4" s="53"/>
      <c r="J4" s="190"/>
      <c r="K4" s="53"/>
      <c r="L4" s="190"/>
      <c r="M4" s="53"/>
      <c r="N4" s="190"/>
      <c r="O4" s="53"/>
      <c r="P4" s="190"/>
      <c r="Q4" s="53"/>
      <c r="R4" s="190"/>
      <c r="S4" s="40"/>
      <c r="T4" s="40"/>
      <c r="U4" s="40"/>
      <c r="V4" s="40"/>
      <c r="W4" s="40"/>
      <c r="X4" s="40"/>
      <c r="Y4" s="40"/>
      <c r="Z4" s="40"/>
      <c r="AA4" s="40"/>
    </row>
    <row r="6" spans="1:27">
      <c r="B6" s="41" t="s">
        <v>25</v>
      </c>
      <c r="D6" s="33"/>
      <c r="F6" s="33"/>
      <c r="H6" s="41" t="s">
        <v>612</v>
      </c>
      <c r="I6" s="54"/>
      <c r="J6" s="41" t="s">
        <v>28</v>
      </c>
      <c r="K6" s="54"/>
      <c r="L6" s="54" t="s">
        <v>37</v>
      </c>
      <c r="P6" s="41" t="s">
        <v>39</v>
      </c>
      <c r="Q6" s="54"/>
      <c r="R6" s="41" t="s">
        <v>26</v>
      </c>
      <c r="S6" s="41"/>
      <c r="U6" s="41"/>
    </row>
    <row r="7" spans="1:27">
      <c r="B7" s="42" t="s">
        <v>27</v>
      </c>
      <c r="D7" s="42" t="s">
        <v>954</v>
      </c>
      <c r="F7" s="42" t="s">
        <v>108</v>
      </c>
      <c r="H7" s="42" t="s">
        <v>613</v>
      </c>
      <c r="I7" s="54"/>
      <c r="J7" s="42" t="s">
        <v>29</v>
      </c>
      <c r="K7" s="54"/>
      <c r="L7" s="42" t="s">
        <v>38</v>
      </c>
      <c r="M7" s="54"/>
      <c r="N7" s="42" t="s">
        <v>955</v>
      </c>
      <c r="O7" s="54"/>
      <c r="P7" s="42" t="s">
        <v>105</v>
      </c>
      <c r="Q7" s="54"/>
      <c r="R7" s="42" t="s">
        <v>27</v>
      </c>
    </row>
    <row r="9" spans="1:27">
      <c r="A9" s="3" t="s">
        <v>113</v>
      </c>
      <c r="B9" s="4"/>
      <c r="C9" s="55"/>
      <c r="D9" s="4"/>
      <c r="E9" s="55"/>
      <c r="F9" s="4"/>
      <c r="G9" s="55"/>
      <c r="H9" s="4"/>
      <c r="I9" s="55"/>
      <c r="J9" s="4"/>
      <c r="K9" s="55"/>
      <c r="L9" s="4"/>
      <c r="M9" s="55"/>
      <c r="N9" s="4"/>
      <c r="O9" s="55"/>
      <c r="P9" s="4"/>
      <c r="Q9" s="55"/>
      <c r="R9" s="4"/>
    </row>
    <row r="10" spans="1:27">
      <c r="A10" t="s">
        <v>347</v>
      </c>
      <c r="B10" s="182">
        <v>0</v>
      </c>
      <c r="C10" s="52"/>
      <c r="D10" s="182">
        <v>0</v>
      </c>
      <c r="E10" s="52"/>
      <c r="F10" s="325">
        <v>0</v>
      </c>
      <c r="G10" s="52"/>
      <c r="H10" s="325">
        <v>0</v>
      </c>
      <c r="I10" s="52"/>
      <c r="J10" s="325">
        <v>0</v>
      </c>
      <c r="K10" s="52"/>
      <c r="L10" s="325">
        <v>0</v>
      </c>
      <c r="M10" s="52"/>
      <c r="N10" s="325">
        <v>0</v>
      </c>
      <c r="O10" s="52"/>
      <c r="P10" s="325">
        <v>0</v>
      </c>
      <c r="Q10" s="52"/>
      <c r="R10" s="182">
        <f>SUM(B10:P10)</f>
        <v>0</v>
      </c>
      <c r="S10" s="33"/>
      <c r="T10" s="33"/>
      <c r="U10" s="33"/>
    </row>
    <row r="11" spans="1:27">
      <c r="A11" t="s">
        <v>57</v>
      </c>
      <c r="B11" s="182">
        <v>0</v>
      </c>
      <c r="C11" s="52"/>
      <c r="D11" s="182">
        <v>0</v>
      </c>
      <c r="E11" s="52"/>
      <c r="F11" s="325">
        <v>0</v>
      </c>
      <c r="G11" s="52"/>
      <c r="H11" s="325">
        <v>0</v>
      </c>
      <c r="I11" s="52"/>
      <c r="J11" s="325">
        <v>0</v>
      </c>
      <c r="K11" s="52"/>
      <c r="L11" s="325">
        <v>0</v>
      </c>
      <c r="M11" s="52"/>
      <c r="N11" s="325">
        <v>0</v>
      </c>
      <c r="O11" s="52"/>
      <c r="P11" s="325">
        <v>0</v>
      </c>
      <c r="Q11" s="52"/>
      <c r="R11" s="182">
        <f t="shared" ref="R11:R26" si="0">SUM(B11:P11)</f>
        <v>0</v>
      </c>
      <c r="S11" s="33"/>
      <c r="T11" s="33"/>
      <c r="U11" s="33"/>
    </row>
    <row r="12" spans="1:27">
      <c r="A12" t="s">
        <v>349</v>
      </c>
      <c r="B12" s="182">
        <v>1441239.4600000002</v>
      </c>
      <c r="C12" s="52"/>
      <c r="D12" s="182">
        <v>0</v>
      </c>
      <c r="E12" s="52"/>
      <c r="F12" s="325">
        <v>-288.01</v>
      </c>
      <c r="G12" s="52"/>
      <c r="H12" s="325">
        <v>0</v>
      </c>
      <c r="I12" s="52"/>
      <c r="J12" s="325">
        <v>0</v>
      </c>
      <c r="K12" s="52"/>
      <c r="L12" s="325">
        <v>0</v>
      </c>
      <c r="M12" s="52"/>
      <c r="N12" s="325">
        <v>0</v>
      </c>
      <c r="O12" s="52"/>
      <c r="P12" s="325">
        <v>0</v>
      </c>
      <c r="Q12" s="52"/>
      <c r="R12" s="182">
        <f t="shared" si="0"/>
        <v>1440951.4500000002</v>
      </c>
      <c r="S12" s="33"/>
      <c r="T12" s="33"/>
      <c r="U12" s="33"/>
    </row>
    <row r="13" spans="1:27">
      <c r="A13" t="s">
        <v>819</v>
      </c>
      <c r="B13" s="182">
        <v>33468799.5</v>
      </c>
      <c r="C13" s="52"/>
      <c r="D13" s="182">
        <v>0</v>
      </c>
      <c r="E13" s="52"/>
      <c r="F13" s="325">
        <f>-686.79-365.81-62717.74-3903.03</f>
        <v>-67673.37</v>
      </c>
      <c r="G13" s="52"/>
      <c r="H13" s="325">
        <v>0</v>
      </c>
      <c r="I13" s="52"/>
      <c r="J13" s="325">
        <v>0</v>
      </c>
      <c r="K13" s="52"/>
      <c r="L13" s="325">
        <v>0</v>
      </c>
      <c r="M13" s="52"/>
      <c r="N13" s="325">
        <v>0</v>
      </c>
      <c r="O13" s="52"/>
      <c r="P13" s="325">
        <v>0</v>
      </c>
      <c r="Q13" s="52"/>
      <c r="R13" s="182">
        <f t="shared" si="0"/>
        <v>33401126.129999999</v>
      </c>
      <c r="S13" s="33"/>
      <c r="T13" s="33"/>
      <c r="U13" s="33"/>
    </row>
    <row r="14" spans="1:27">
      <c r="A14" t="s">
        <v>348</v>
      </c>
      <c r="B14" s="182">
        <v>0</v>
      </c>
      <c r="C14" s="52"/>
      <c r="D14" s="182">
        <v>0</v>
      </c>
      <c r="E14" s="52"/>
      <c r="F14" s="325">
        <v>0</v>
      </c>
      <c r="G14" s="52"/>
      <c r="H14" s="325">
        <v>0</v>
      </c>
      <c r="I14" s="52"/>
      <c r="J14" s="325">
        <v>0</v>
      </c>
      <c r="K14" s="52"/>
      <c r="L14" s="325">
        <v>0</v>
      </c>
      <c r="M14" s="52"/>
      <c r="N14" s="325">
        <v>0</v>
      </c>
      <c r="O14" s="52"/>
      <c r="P14" s="325">
        <v>0</v>
      </c>
      <c r="Q14" s="52"/>
      <c r="R14" s="182">
        <f t="shared" si="0"/>
        <v>0</v>
      </c>
      <c r="S14" s="33"/>
      <c r="T14" s="33"/>
      <c r="U14" s="33"/>
    </row>
    <row r="15" spans="1:27">
      <c r="A15" t="s">
        <v>60</v>
      </c>
      <c r="B15" s="182">
        <v>11374952.300000001</v>
      </c>
      <c r="C15" s="52"/>
      <c r="D15" s="182">
        <v>0</v>
      </c>
      <c r="E15" s="52"/>
      <c r="F15" s="325">
        <f>-14658.62-5982.95-108.83-891.91-77.23-18311.2</f>
        <v>-40030.740000000005</v>
      </c>
      <c r="G15" s="52"/>
      <c r="H15" s="325">
        <v>0</v>
      </c>
      <c r="I15" s="52"/>
      <c r="J15" s="325">
        <v>0</v>
      </c>
      <c r="K15" s="52"/>
      <c r="L15" s="325">
        <v>0</v>
      </c>
      <c r="M15" s="52"/>
      <c r="N15" s="325">
        <v>0</v>
      </c>
      <c r="O15" s="52"/>
      <c r="P15" s="325">
        <v>0</v>
      </c>
      <c r="Q15" s="52"/>
      <c r="R15" s="182">
        <f t="shared" si="0"/>
        <v>11334921.560000001</v>
      </c>
      <c r="S15" s="33"/>
      <c r="T15" s="33"/>
      <c r="U15" s="33"/>
    </row>
    <row r="16" spans="1:27">
      <c r="A16" t="s">
        <v>345</v>
      </c>
      <c r="B16" s="182">
        <v>53734454.489999995</v>
      </c>
      <c r="C16" s="52"/>
      <c r="D16" s="182">
        <v>0</v>
      </c>
      <c r="E16" s="52"/>
      <c r="F16" s="325">
        <f>-56953.25-21610.25-770.66-1166.78-1821.03-40844.13</f>
        <v>-123166.1</v>
      </c>
      <c r="G16" s="52"/>
      <c r="H16" s="325">
        <v>0</v>
      </c>
      <c r="I16" s="52"/>
      <c r="J16" s="325">
        <v>0</v>
      </c>
      <c r="K16" s="52"/>
      <c r="L16" s="325">
        <v>0</v>
      </c>
      <c r="M16" s="52"/>
      <c r="N16" s="325">
        <v>0</v>
      </c>
      <c r="O16" s="52"/>
      <c r="P16" s="325">
        <v>0</v>
      </c>
      <c r="Q16" s="52"/>
      <c r="R16" s="182">
        <f t="shared" si="0"/>
        <v>53611288.389999993</v>
      </c>
      <c r="S16" s="33"/>
      <c r="T16" s="33"/>
      <c r="U16" s="33"/>
    </row>
    <row r="17" spans="1:21">
      <c r="A17" t="s">
        <v>56</v>
      </c>
      <c r="B17" s="182">
        <v>23991898.469999999</v>
      </c>
      <c r="C17" s="52"/>
      <c r="D17" s="182">
        <v>0</v>
      </c>
      <c r="E17" s="52"/>
      <c r="F17" s="325">
        <f>-1459.95-230.69-10300.74</f>
        <v>-11991.38</v>
      </c>
      <c r="G17" s="52"/>
      <c r="H17" s="325">
        <v>0</v>
      </c>
      <c r="I17" s="52"/>
      <c r="J17" s="325">
        <v>0</v>
      </c>
      <c r="K17" s="52"/>
      <c r="L17" s="325">
        <v>0</v>
      </c>
      <c r="M17" s="52"/>
      <c r="N17" s="325">
        <v>0</v>
      </c>
      <c r="O17" s="52"/>
      <c r="P17" s="325">
        <v>0</v>
      </c>
      <c r="Q17" s="52"/>
      <c r="R17" s="182">
        <f t="shared" si="0"/>
        <v>23979907.09</v>
      </c>
      <c r="S17" s="33"/>
      <c r="T17" s="33"/>
      <c r="U17" s="33"/>
    </row>
    <row r="18" spans="1:21">
      <c r="A18" t="s">
        <v>346</v>
      </c>
      <c r="B18" s="182">
        <v>36163954.720000006</v>
      </c>
      <c r="C18" s="52"/>
      <c r="D18" s="182">
        <v>0</v>
      </c>
      <c r="E18" s="52"/>
      <c r="F18" s="325">
        <f>-28656.98-35859.65-25376.82</f>
        <v>-89893.450000000012</v>
      </c>
      <c r="G18" s="52"/>
      <c r="H18" s="325">
        <v>0</v>
      </c>
      <c r="I18" s="52"/>
      <c r="J18" s="325">
        <v>0</v>
      </c>
      <c r="K18" s="52"/>
      <c r="L18" s="325">
        <v>0</v>
      </c>
      <c r="M18" s="52"/>
      <c r="N18" s="325">
        <v>0</v>
      </c>
      <c r="O18" s="52"/>
      <c r="P18" s="325">
        <v>0</v>
      </c>
      <c r="Q18" s="52"/>
      <c r="R18" s="182">
        <f t="shared" si="0"/>
        <v>36074061.270000003</v>
      </c>
      <c r="S18" s="33"/>
      <c r="T18" s="33"/>
      <c r="U18" s="33"/>
    </row>
    <row r="19" spans="1:21">
      <c r="A19" t="s">
        <v>59</v>
      </c>
      <c r="B19" s="182">
        <v>55453111.340000004</v>
      </c>
      <c r="C19" s="52"/>
      <c r="D19" s="182">
        <v>0</v>
      </c>
      <c r="E19" s="52"/>
      <c r="F19" s="325">
        <f>-72.07-30546.86-45.98</f>
        <v>-30664.91</v>
      </c>
      <c r="G19" s="52"/>
      <c r="H19" s="325">
        <v>0</v>
      </c>
      <c r="I19" s="52"/>
      <c r="J19" s="325">
        <v>0</v>
      </c>
      <c r="K19" s="52"/>
      <c r="L19" s="325">
        <v>0</v>
      </c>
      <c r="M19" s="52"/>
      <c r="N19" s="325">
        <v>0</v>
      </c>
      <c r="O19" s="52"/>
      <c r="P19" s="325">
        <v>0</v>
      </c>
      <c r="Q19" s="52"/>
      <c r="R19" s="182">
        <f t="shared" si="0"/>
        <v>55422446.430000007</v>
      </c>
      <c r="S19" s="33"/>
      <c r="T19" s="33"/>
      <c r="U19" s="33"/>
    </row>
    <row r="20" spans="1:21">
      <c r="A20" t="s">
        <v>61</v>
      </c>
      <c r="B20" s="182">
        <v>1962085.49</v>
      </c>
      <c r="C20" s="52"/>
      <c r="D20" s="182">
        <v>0</v>
      </c>
      <c r="E20" s="52"/>
      <c r="F20" s="325">
        <f>-7602.35-4445.78-10198.69</f>
        <v>-22246.82</v>
      </c>
      <c r="G20" s="52"/>
      <c r="H20" s="325">
        <v>0</v>
      </c>
      <c r="I20" s="52"/>
      <c r="J20" s="325">
        <v>0</v>
      </c>
      <c r="K20" s="52"/>
      <c r="L20" s="325">
        <v>0</v>
      </c>
      <c r="M20" s="52"/>
      <c r="N20" s="325">
        <v>0</v>
      </c>
      <c r="O20" s="52"/>
      <c r="P20" s="325">
        <v>0</v>
      </c>
      <c r="Q20" s="52"/>
      <c r="R20" s="182">
        <f t="shared" si="0"/>
        <v>1939838.67</v>
      </c>
      <c r="S20" s="33"/>
      <c r="T20" s="33"/>
      <c r="U20" s="33"/>
    </row>
    <row r="21" spans="1:21">
      <c r="A21" t="s">
        <v>58</v>
      </c>
      <c r="B21" s="182">
        <v>6888518.79</v>
      </c>
      <c r="C21" s="52"/>
      <c r="D21" s="182">
        <v>0</v>
      </c>
      <c r="E21" s="52"/>
      <c r="F21" s="325">
        <f>-7022.9-722.08</f>
        <v>-7744.98</v>
      </c>
      <c r="G21" s="52"/>
      <c r="H21" s="325">
        <v>0</v>
      </c>
      <c r="I21" s="52"/>
      <c r="J21" s="325">
        <v>0</v>
      </c>
      <c r="K21" s="52"/>
      <c r="L21" s="325">
        <v>0</v>
      </c>
      <c r="M21" s="52"/>
      <c r="N21" s="325">
        <v>0</v>
      </c>
      <c r="O21" s="52"/>
      <c r="P21" s="325">
        <v>0</v>
      </c>
      <c r="Q21" s="52"/>
      <c r="R21" s="182">
        <f t="shared" si="0"/>
        <v>6880773.8099999996</v>
      </c>
      <c r="S21" s="33"/>
      <c r="T21" s="33"/>
      <c r="U21" s="33"/>
    </row>
    <row r="22" spans="1:21">
      <c r="A22" t="s">
        <v>343</v>
      </c>
      <c r="B22" s="182">
        <v>15937025.810000001</v>
      </c>
      <c r="C22" s="52"/>
      <c r="D22" s="182">
        <v>0</v>
      </c>
      <c r="E22" s="52"/>
      <c r="F22" s="325">
        <v>0</v>
      </c>
      <c r="G22" s="52"/>
      <c r="H22" s="325">
        <v>0</v>
      </c>
      <c r="I22" s="52"/>
      <c r="J22" s="325">
        <v>0</v>
      </c>
      <c r="K22" s="52"/>
      <c r="L22" s="325">
        <v>0</v>
      </c>
      <c r="M22" s="52"/>
      <c r="N22" s="325">
        <v>0</v>
      </c>
      <c r="O22" s="52"/>
      <c r="P22" s="325">
        <v>0</v>
      </c>
      <c r="Q22" s="52"/>
      <c r="R22" s="182">
        <f t="shared" si="0"/>
        <v>15937025.810000001</v>
      </c>
      <c r="S22" s="33"/>
      <c r="T22" s="33"/>
      <c r="U22" s="33"/>
    </row>
    <row r="23" spans="1:21">
      <c r="A23" t="s">
        <v>62</v>
      </c>
      <c r="B23" s="182">
        <v>12801012.93</v>
      </c>
      <c r="C23" s="52"/>
      <c r="D23" s="182">
        <v>0</v>
      </c>
      <c r="E23" s="52"/>
      <c r="F23" s="325">
        <f>-1855.58-151490.6</f>
        <v>-153346.18</v>
      </c>
      <c r="G23" s="52"/>
      <c r="H23" s="325">
        <v>0</v>
      </c>
      <c r="I23" s="52"/>
      <c r="J23" s="325">
        <v>0</v>
      </c>
      <c r="K23" s="52"/>
      <c r="L23" s="325">
        <v>0</v>
      </c>
      <c r="M23" s="52"/>
      <c r="N23" s="325">
        <v>0</v>
      </c>
      <c r="O23" s="52"/>
      <c r="P23" s="325">
        <v>0</v>
      </c>
      <c r="Q23" s="52"/>
      <c r="R23" s="182">
        <f t="shared" si="0"/>
        <v>12647666.75</v>
      </c>
      <c r="S23" s="33"/>
      <c r="T23" s="33"/>
      <c r="U23" s="33"/>
    </row>
    <row r="24" spans="1:21">
      <c r="A24" t="s">
        <v>344</v>
      </c>
      <c r="B24" s="182">
        <v>18281224.620000001</v>
      </c>
      <c r="C24" s="52"/>
      <c r="D24" s="182">
        <v>0</v>
      </c>
      <c r="E24" s="52"/>
      <c r="F24" s="325">
        <f>-1683.56-202.14-37207.29</f>
        <v>-39092.99</v>
      </c>
      <c r="G24" s="52"/>
      <c r="H24" s="325">
        <v>0</v>
      </c>
      <c r="I24" s="52"/>
      <c r="J24" s="325">
        <v>0</v>
      </c>
      <c r="K24" s="52"/>
      <c r="L24" s="325">
        <v>0</v>
      </c>
      <c r="M24" s="52"/>
      <c r="N24" s="325">
        <v>0</v>
      </c>
      <c r="O24" s="52"/>
      <c r="P24" s="325">
        <v>0</v>
      </c>
      <c r="Q24" s="52"/>
      <c r="R24" s="182">
        <f t="shared" si="0"/>
        <v>18242131.630000003</v>
      </c>
      <c r="S24" s="33"/>
      <c r="T24" s="33"/>
      <c r="U24" s="33"/>
    </row>
    <row r="25" spans="1:21">
      <c r="A25" t="s">
        <v>63</v>
      </c>
      <c r="B25" s="182">
        <v>0</v>
      </c>
      <c r="C25" s="52"/>
      <c r="D25" s="182">
        <v>0</v>
      </c>
      <c r="E25" s="52"/>
      <c r="F25" s="325">
        <v>0</v>
      </c>
      <c r="G25" s="52"/>
      <c r="H25" s="325">
        <v>0</v>
      </c>
      <c r="I25" s="52"/>
      <c r="J25" s="325">
        <v>0</v>
      </c>
      <c r="K25" s="52"/>
      <c r="L25" s="325">
        <v>0</v>
      </c>
      <c r="M25" s="52"/>
      <c r="N25" s="325">
        <v>0</v>
      </c>
      <c r="O25" s="52"/>
      <c r="P25" s="325">
        <v>0</v>
      </c>
      <c r="Q25" s="52"/>
      <c r="R25" s="182">
        <f t="shared" si="0"/>
        <v>0</v>
      </c>
      <c r="S25" s="33"/>
      <c r="T25" s="33"/>
      <c r="U25" s="33"/>
    </row>
    <row r="26" spans="1:21">
      <c r="A26" t="s">
        <v>64</v>
      </c>
      <c r="B26" s="48">
        <v>0</v>
      </c>
      <c r="C26" s="52"/>
      <c r="D26" s="48">
        <v>0</v>
      </c>
      <c r="E26" s="52"/>
      <c r="F26" s="327">
        <v>0</v>
      </c>
      <c r="G26" s="52"/>
      <c r="H26" s="327">
        <v>0</v>
      </c>
      <c r="I26" s="52"/>
      <c r="J26" s="327">
        <v>0</v>
      </c>
      <c r="K26" s="52"/>
      <c r="L26" s="327">
        <v>0</v>
      </c>
      <c r="M26" s="52"/>
      <c r="N26" s="327">
        <v>0</v>
      </c>
      <c r="O26" s="52"/>
      <c r="P26" s="327">
        <v>0</v>
      </c>
      <c r="Q26" s="52"/>
      <c r="R26" s="48">
        <f t="shared" si="0"/>
        <v>0</v>
      </c>
      <c r="S26" s="33"/>
      <c r="T26" s="33"/>
      <c r="U26" s="33"/>
    </row>
    <row r="27" spans="1:21">
      <c r="B27" s="52">
        <f>SUM(B10:B26)</f>
        <v>271498277.92000002</v>
      </c>
      <c r="C27" s="52"/>
      <c r="D27" s="52">
        <f>SUM(D10:D26)</f>
        <v>0</v>
      </c>
      <c r="E27" s="52"/>
      <c r="F27" s="52">
        <f>SUM(F10:F26)</f>
        <v>-586138.92999999993</v>
      </c>
      <c r="G27" s="52"/>
      <c r="H27" s="52">
        <f t="shared" ref="H27:R27" si="1">SUM(H10:H26)</f>
        <v>0</v>
      </c>
      <c r="I27" s="52"/>
      <c r="J27" s="52">
        <f>SUM(J10:J26)</f>
        <v>0</v>
      </c>
      <c r="K27" s="52"/>
      <c r="L27" s="52">
        <f>SUM(L10:L26)</f>
        <v>0</v>
      </c>
      <c r="M27" s="52"/>
      <c r="N27" s="52">
        <f>SUM(N10:N26)</f>
        <v>0</v>
      </c>
      <c r="O27" s="52"/>
      <c r="P27" s="52">
        <f>SUM(P10:P26)</f>
        <v>0</v>
      </c>
      <c r="Q27" s="52"/>
      <c r="R27" s="52">
        <f t="shared" si="1"/>
        <v>270912138.99000001</v>
      </c>
      <c r="S27" s="33"/>
      <c r="T27" s="33"/>
      <c r="U27" s="33"/>
    </row>
    <row r="28" spans="1:21">
      <c r="B28" s="52"/>
      <c r="C28" s="52"/>
      <c r="D28" s="52"/>
      <c r="E28" s="52"/>
      <c r="F28" s="52"/>
      <c r="G28" s="52"/>
      <c r="H28" s="52"/>
      <c r="I28" s="52"/>
      <c r="J28" s="52"/>
      <c r="K28" s="52"/>
      <c r="L28" s="52"/>
      <c r="M28" s="52"/>
      <c r="N28" s="52"/>
      <c r="O28" s="52"/>
      <c r="P28" s="52"/>
      <c r="Q28" s="52"/>
      <c r="R28" s="52"/>
      <c r="S28" s="33"/>
      <c r="T28" s="33"/>
      <c r="U28" s="33"/>
    </row>
    <row r="29" spans="1:21">
      <c r="A29" s="3" t="s">
        <v>114</v>
      </c>
      <c r="B29" s="52"/>
      <c r="C29" s="52"/>
      <c r="D29" s="52"/>
      <c r="E29" s="52"/>
      <c r="F29" s="52"/>
      <c r="G29" s="52"/>
      <c r="H29" s="52"/>
      <c r="I29" s="52"/>
      <c r="J29" s="52"/>
      <c r="K29" s="52"/>
      <c r="L29" s="52"/>
      <c r="M29" s="52"/>
      <c r="N29" s="52"/>
      <c r="O29" s="52"/>
      <c r="P29" s="52"/>
      <c r="Q29" s="52"/>
      <c r="R29" s="52"/>
      <c r="S29" s="33"/>
      <c r="T29" s="33"/>
      <c r="U29" s="33"/>
    </row>
    <row r="30" spans="1:21">
      <c r="A30" t="s">
        <v>68</v>
      </c>
      <c r="B30" s="52">
        <v>6981474.3899999997</v>
      </c>
      <c r="C30" s="52"/>
      <c r="D30" s="52">
        <v>0</v>
      </c>
      <c r="E30" s="52"/>
      <c r="F30" s="326">
        <v>-39209.64</v>
      </c>
      <c r="G30" s="52"/>
      <c r="H30" s="326">
        <v>0</v>
      </c>
      <c r="I30" s="52"/>
      <c r="J30" s="326">
        <v>0</v>
      </c>
      <c r="K30" s="52"/>
      <c r="L30" s="326">
        <v>0</v>
      </c>
      <c r="M30" s="52"/>
      <c r="N30" s="326">
        <v>0</v>
      </c>
      <c r="O30" s="52"/>
      <c r="P30" s="326">
        <v>0</v>
      </c>
      <c r="Q30" s="52"/>
      <c r="R30" s="52">
        <f t="shared" ref="R30:R35" si="2">SUM(B30:P30)</f>
        <v>6942264.75</v>
      </c>
      <c r="S30" s="33"/>
      <c r="T30" s="33"/>
      <c r="U30" s="33"/>
    </row>
    <row r="31" spans="1:21">
      <c r="A31" t="s">
        <v>70</v>
      </c>
      <c r="B31" s="52">
        <v>253776.4</v>
      </c>
      <c r="C31" s="52"/>
      <c r="D31" s="52">
        <v>0</v>
      </c>
      <c r="E31" s="52"/>
      <c r="F31" s="326">
        <v>0</v>
      </c>
      <c r="G31" s="52"/>
      <c r="H31" s="326">
        <v>0</v>
      </c>
      <c r="I31" s="52"/>
      <c r="J31" s="326">
        <v>0</v>
      </c>
      <c r="K31" s="52"/>
      <c r="L31" s="326">
        <v>0</v>
      </c>
      <c r="M31" s="52"/>
      <c r="N31" s="326">
        <v>0</v>
      </c>
      <c r="O31" s="52"/>
      <c r="P31" s="326">
        <v>0</v>
      </c>
      <c r="Q31" s="52"/>
      <c r="R31" s="52">
        <f t="shared" si="2"/>
        <v>253776.4</v>
      </c>
      <c r="S31" s="33"/>
      <c r="T31" s="33"/>
      <c r="U31" s="33"/>
    </row>
    <row r="32" spans="1:21">
      <c r="A32" t="s">
        <v>66</v>
      </c>
      <c r="B32" s="52">
        <v>1385213.31</v>
      </c>
      <c r="C32" s="52"/>
      <c r="D32" s="52">
        <v>0</v>
      </c>
      <c r="E32" s="52"/>
      <c r="F32" s="326">
        <v>0</v>
      </c>
      <c r="G32" s="52"/>
      <c r="H32" s="326">
        <v>0</v>
      </c>
      <c r="I32" s="52"/>
      <c r="J32" s="326">
        <v>0</v>
      </c>
      <c r="K32" s="52"/>
      <c r="L32" s="326">
        <v>0</v>
      </c>
      <c r="M32" s="52"/>
      <c r="N32" s="326">
        <v>0</v>
      </c>
      <c r="O32" s="52"/>
      <c r="P32" s="326">
        <v>0</v>
      </c>
      <c r="Q32" s="52"/>
      <c r="R32" s="52">
        <f t="shared" si="2"/>
        <v>1385213.31</v>
      </c>
      <c r="S32" s="33"/>
      <c r="T32" s="33"/>
      <c r="U32" s="33"/>
    </row>
    <row r="33" spans="1:21">
      <c r="A33" t="s">
        <v>69</v>
      </c>
      <c r="B33" s="52">
        <v>21504.75</v>
      </c>
      <c r="C33" s="52"/>
      <c r="D33" s="52">
        <v>0</v>
      </c>
      <c r="E33" s="52"/>
      <c r="F33" s="326">
        <v>0</v>
      </c>
      <c r="G33" s="52"/>
      <c r="H33" s="326">
        <v>0</v>
      </c>
      <c r="I33" s="52"/>
      <c r="J33" s="326">
        <v>0</v>
      </c>
      <c r="K33" s="52"/>
      <c r="L33" s="326">
        <v>0</v>
      </c>
      <c r="M33" s="52"/>
      <c r="N33" s="326">
        <v>0</v>
      </c>
      <c r="O33" s="52"/>
      <c r="P33" s="326">
        <v>0</v>
      </c>
      <c r="Q33" s="52"/>
      <c r="R33" s="52">
        <f t="shared" si="2"/>
        <v>21504.75</v>
      </c>
      <c r="S33" s="33"/>
      <c r="T33" s="33"/>
      <c r="U33" s="33"/>
    </row>
    <row r="34" spans="1:21">
      <c r="A34" t="s">
        <v>67</v>
      </c>
      <c r="B34" s="52">
        <v>2156793.0200000005</v>
      </c>
      <c r="C34" s="52"/>
      <c r="D34" s="52">
        <v>0</v>
      </c>
      <c r="E34" s="52"/>
      <c r="F34" s="326">
        <v>0</v>
      </c>
      <c r="G34" s="52"/>
      <c r="H34" s="326">
        <v>0</v>
      </c>
      <c r="I34" s="52"/>
      <c r="J34" s="326">
        <v>0</v>
      </c>
      <c r="K34" s="52"/>
      <c r="L34" s="326">
        <v>0</v>
      </c>
      <c r="M34" s="52"/>
      <c r="N34" s="326">
        <v>0</v>
      </c>
      <c r="O34" s="52"/>
      <c r="P34" s="326">
        <v>0</v>
      </c>
      <c r="Q34" s="52"/>
      <c r="R34" s="52">
        <f t="shared" si="2"/>
        <v>2156793.0200000005</v>
      </c>
      <c r="S34" s="33"/>
      <c r="T34" s="33"/>
      <c r="U34" s="33"/>
    </row>
    <row r="35" spans="1:21">
      <c r="A35" t="s">
        <v>65</v>
      </c>
      <c r="B35" s="48">
        <v>26510.82</v>
      </c>
      <c r="C35" s="52"/>
      <c r="D35" s="48">
        <v>0</v>
      </c>
      <c r="E35" s="52"/>
      <c r="F35" s="327">
        <v>0</v>
      </c>
      <c r="G35" s="52"/>
      <c r="H35" s="327">
        <v>0</v>
      </c>
      <c r="I35" s="52"/>
      <c r="J35" s="327">
        <v>0</v>
      </c>
      <c r="K35" s="52"/>
      <c r="L35" s="327">
        <v>0</v>
      </c>
      <c r="M35" s="52"/>
      <c r="N35" s="327">
        <v>0</v>
      </c>
      <c r="O35" s="52"/>
      <c r="P35" s="327">
        <v>0</v>
      </c>
      <c r="Q35" s="52"/>
      <c r="R35" s="48">
        <f t="shared" si="2"/>
        <v>26510.82</v>
      </c>
      <c r="S35" s="33"/>
      <c r="T35" s="33"/>
      <c r="U35" s="33"/>
    </row>
    <row r="36" spans="1:21">
      <c r="B36" s="52">
        <f>SUM(B30:B35)</f>
        <v>10825272.690000001</v>
      </c>
      <c r="C36" s="52"/>
      <c r="D36" s="52">
        <f>SUM(D30:D35)</f>
        <v>0</v>
      </c>
      <c r="E36" s="52"/>
      <c r="F36" s="52">
        <f>SUM(F30:F35)</f>
        <v>-39209.64</v>
      </c>
      <c r="G36" s="52"/>
      <c r="H36" s="52">
        <f t="shared" ref="H36:R36" si="3">SUM(H30:H35)</f>
        <v>0</v>
      </c>
      <c r="I36" s="52"/>
      <c r="J36" s="52">
        <f>SUM(J30:J35)</f>
        <v>0</v>
      </c>
      <c r="K36" s="52"/>
      <c r="L36" s="52">
        <f>SUM(L30:L35)</f>
        <v>0</v>
      </c>
      <c r="M36" s="52"/>
      <c r="N36" s="52">
        <f>SUM(N30:N35)</f>
        <v>0</v>
      </c>
      <c r="O36" s="52"/>
      <c r="P36" s="52">
        <f>SUM(P30:P35)</f>
        <v>0</v>
      </c>
      <c r="Q36" s="52"/>
      <c r="R36" s="52">
        <f t="shared" si="3"/>
        <v>10786063.050000001</v>
      </c>
      <c r="S36" s="33"/>
      <c r="T36" s="33"/>
      <c r="U36" s="33"/>
    </row>
    <row r="37" spans="1:21">
      <c r="B37" s="52"/>
      <c r="C37" s="52"/>
      <c r="D37" s="52"/>
      <c r="E37" s="52"/>
      <c r="F37" s="52"/>
      <c r="G37" s="52"/>
      <c r="H37" s="52"/>
      <c r="I37" s="52"/>
      <c r="J37" s="52"/>
      <c r="K37" s="52"/>
      <c r="L37" s="52"/>
      <c r="M37" s="52"/>
      <c r="N37" s="52"/>
      <c r="O37" s="52"/>
      <c r="P37" s="52"/>
      <c r="Q37" s="52"/>
      <c r="R37" s="52"/>
      <c r="S37" s="33"/>
      <c r="T37" s="33"/>
      <c r="U37" s="33"/>
    </row>
    <row r="38" spans="1:21">
      <c r="A38" s="3" t="s">
        <v>115</v>
      </c>
      <c r="B38" s="182"/>
      <c r="C38" s="52"/>
      <c r="D38" s="182"/>
      <c r="E38" s="52"/>
      <c r="F38" s="182"/>
      <c r="G38" s="52"/>
      <c r="H38" s="182"/>
      <c r="I38" s="52"/>
      <c r="J38" s="182"/>
      <c r="K38" s="52"/>
      <c r="L38" s="182"/>
      <c r="M38" s="52"/>
      <c r="N38" s="182"/>
      <c r="O38" s="52"/>
      <c r="P38" s="182"/>
      <c r="Q38" s="52"/>
      <c r="R38" s="182"/>
      <c r="S38" s="33"/>
      <c r="T38" s="33"/>
      <c r="U38" s="33"/>
    </row>
    <row r="39" spans="1:21">
      <c r="A39" t="s">
        <v>423</v>
      </c>
      <c r="B39" s="182">
        <v>0</v>
      </c>
      <c r="C39" s="52"/>
      <c r="D39" s="182">
        <v>0</v>
      </c>
      <c r="E39" s="52"/>
      <c r="F39" s="325">
        <v>0</v>
      </c>
      <c r="G39" s="52"/>
      <c r="H39" s="325">
        <v>0</v>
      </c>
      <c r="I39" s="52"/>
      <c r="J39" s="325">
        <v>0</v>
      </c>
      <c r="K39" s="52"/>
      <c r="L39" s="325">
        <v>0</v>
      </c>
      <c r="M39" s="52"/>
      <c r="N39" s="325">
        <v>0</v>
      </c>
      <c r="O39" s="52"/>
      <c r="P39" s="325">
        <v>0</v>
      </c>
      <c r="Q39" s="52"/>
      <c r="R39" s="182">
        <f t="shared" ref="R39:R50" si="4">SUM(B39:P39)</f>
        <v>0</v>
      </c>
      <c r="S39" s="33"/>
      <c r="T39" s="33"/>
      <c r="U39" s="33"/>
    </row>
    <row r="40" spans="1:21">
      <c r="A40" t="s">
        <v>426</v>
      </c>
      <c r="B40" s="182">
        <v>0</v>
      </c>
      <c r="C40" s="52"/>
      <c r="D40" s="182">
        <v>0</v>
      </c>
      <c r="E40" s="52"/>
      <c r="F40" s="325">
        <v>0</v>
      </c>
      <c r="G40" s="52"/>
      <c r="H40" s="325">
        <v>0</v>
      </c>
      <c r="I40" s="52"/>
      <c r="J40" s="325">
        <v>0</v>
      </c>
      <c r="K40" s="52"/>
      <c r="L40" s="325">
        <v>0</v>
      </c>
      <c r="M40" s="52"/>
      <c r="N40" s="325">
        <v>0</v>
      </c>
      <c r="O40" s="52"/>
      <c r="P40" s="325">
        <v>0</v>
      </c>
      <c r="Q40" s="52"/>
      <c r="R40" s="182">
        <f t="shared" si="4"/>
        <v>0</v>
      </c>
      <c r="S40" s="33"/>
      <c r="T40" s="33"/>
      <c r="U40" s="33"/>
    </row>
    <row r="41" spans="1:21">
      <c r="A41" t="s">
        <v>432</v>
      </c>
      <c r="B41" s="182">
        <v>36772.400000000001</v>
      </c>
      <c r="C41" s="52"/>
      <c r="D41" s="182">
        <v>0</v>
      </c>
      <c r="E41" s="52"/>
      <c r="F41" s="325">
        <v>0</v>
      </c>
      <c r="G41" s="52"/>
      <c r="H41" s="325">
        <v>0</v>
      </c>
      <c r="I41" s="52"/>
      <c r="J41" s="325">
        <v>0</v>
      </c>
      <c r="K41" s="52"/>
      <c r="L41" s="325">
        <v>0</v>
      </c>
      <c r="M41" s="52"/>
      <c r="N41" s="325">
        <v>0</v>
      </c>
      <c r="O41" s="52"/>
      <c r="P41" s="325">
        <v>0</v>
      </c>
      <c r="Q41" s="52"/>
      <c r="R41" s="182">
        <f t="shared" si="4"/>
        <v>36772.400000000001</v>
      </c>
      <c r="S41" s="33"/>
      <c r="T41" s="33"/>
      <c r="U41" s="33"/>
    </row>
    <row r="42" spans="1:21">
      <c r="A42" t="s">
        <v>424</v>
      </c>
      <c r="B42" s="182">
        <v>4415470.67</v>
      </c>
      <c r="C42" s="52"/>
      <c r="D42" s="182">
        <v>0</v>
      </c>
      <c r="E42" s="52"/>
      <c r="F42" s="325">
        <v>-526.02</v>
      </c>
      <c r="G42" s="52"/>
      <c r="H42" s="325">
        <v>0</v>
      </c>
      <c r="I42" s="52"/>
      <c r="J42" s="325">
        <v>0</v>
      </c>
      <c r="K42" s="52"/>
      <c r="L42" s="325">
        <v>0</v>
      </c>
      <c r="M42" s="52"/>
      <c r="N42" s="325">
        <v>0</v>
      </c>
      <c r="O42" s="52"/>
      <c r="P42" s="325">
        <v>0</v>
      </c>
      <c r="Q42" s="52"/>
      <c r="R42" s="182">
        <f t="shared" si="4"/>
        <v>4414944.6500000004</v>
      </c>
      <c r="S42" s="33"/>
      <c r="T42" s="33"/>
      <c r="U42" s="33"/>
    </row>
    <row r="43" spans="1:21">
      <c r="A43" t="s">
        <v>425</v>
      </c>
      <c r="B43" s="182">
        <v>1281388.3500000001</v>
      </c>
      <c r="C43" s="52"/>
      <c r="D43" s="182">
        <v>0</v>
      </c>
      <c r="E43" s="52"/>
      <c r="F43" s="325">
        <v>0</v>
      </c>
      <c r="G43" s="52"/>
      <c r="H43" s="325">
        <v>0</v>
      </c>
      <c r="I43" s="52"/>
      <c r="J43" s="325">
        <v>0</v>
      </c>
      <c r="K43" s="52"/>
      <c r="L43" s="325">
        <v>0</v>
      </c>
      <c r="M43" s="52"/>
      <c r="N43" s="325">
        <v>0</v>
      </c>
      <c r="O43" s="52"/>
      <c r="P43" s="325">
        <v>0</v>
      </c>
      <c r="Q43" s="52"/>
      <c r="R43" s="182">
        <f t="shared" si="4"/>
        <v>1281388.3500000001</v>
      </c>
      <c r="S43" s="33"/>
      <c r="T43" s="33"/>
      <c r="U43" s="33"/>
    </row>
    <row r="44" spans="1:21">
      <c r="A44" t="s">
        <v>430</v>
      </c>
      <c r="B44" s="182">
        <v>2014448.6399999999</v>
      </c>
      <c r="C44" s="52"/>
      <c r="D44" s="182">
        <v>0</v>
      </c>
      <c r="E44" s="52"/>
      <c r="F44" s="325">
        <v>0</v>
      </c>
      <c r="G44" s="52"/>
      <c r="H44" s="325">
        <v>0</v>
      </c>
      <c r="I44" s="52"/>
      <c r="J44" s="325">
        <v>0</v>
      </c>
      <c r="K44" s="52"/>
      <c r="L44" s="325">
        <v>0</v>
      </c>
      <c r="M44" s="52"/>
      <c r="N44" s="325">
        <v>0</v>
      </c>
      <c r="O44" s="52"/>
      <c r="P44" s="325">
        <v>0</v>
      </c>
      <c r="Q44" s="52"/>
      <c r="R44" s="182">
        <f t="shared" si="4"/>
        <v>2014448.6399999999</v>
      </c>
      <c r="S44" s="33"/>
      <c r="T44" s="33"/>
      <c r="U44" s="33"/>
    </row>
    <row r="45" spans="1:21">
      <c r="A45" t="s">
        <v>427</v>
      </c>
      <c r="B45" s="182">
        <v>1656772.48</v>
      </c>
      <c r="C45" s="52"/>
      <c r="D45" s="182">
        <v>0</v>
      </c>
      <c r="E45" s="52"/>
      <c r="F45" s="325">
        <v>0</v>
      </c>
      <c r="G45" s="52"/>
      <c r="H45" s="325">
        <v>0</v>
      </c>
      <c r="I45" s="52"/>
      <c r="J45" s="325">
        <v>0</v>
      </c>
      <c r="K45" s="52"/>
      <c r="L45" s="325">
        <v>0</v>
      </c>
      <c r="M45" s="52"/>
      <c r="N45" s="325">
        <v>0</v>
      </c>
      <c r="O45" s="52"/>
      <c r="P45" s="325">
        <v>0</v>
      </c>
      <c r="Q45" s="52"/>
      <c r="R45" s="182">
        <f t="shared" si="4"/>
        <v>1656772.48</v>
      </c>
      <c r="S45" s="33"/>
      <c r="T45" s="33"/>
      <c r="U45" s="33"/>
    </row>
    <row r="46" spans="1:21">
      <c r="A46" t="s">
        <v>429</v>
      </c>
      <c r="B46" s="182">
        <v>1806.94</v>
      </c>
      <c r="C46" s="52"/>
      <c r="D46" s="182">
        <v>0</v>
      </c>
      <c r="E46" s="52"/>
      <c r="F46" s="325">
        <v>0</v>
      </c>
      <c r="G46" s="52"/>
      <c r="H46" s="325">
        <v>0</v>
      </c>
      <c r="I46" s="52"/>
      <c r="J46" s="325">
        <v>0</v>
      </c>
      <c r="K46" s="52"/>
      <c r="L46" s="325">
        <v>0</v>
      </c>
      <c r="M46" s="52"/>
      <c r="N46" s="325">
        <v>0</v>
      </c>
      <c r="O46" s="52"/>
      <c r="P46" s="325">
        <v>0</v>
      </c>
      <c r="Q46" s="52"/>
      <c r="R46" s="182">
        <f t="shared" si="4"/>
        <v>1806.94</v>
      </c>
      <c r="S46" s="33"/>
      <c r="T46" s="33"/>
      <c r="U46" s="33"/>
    </row>
    <row r="47" spans="1:21">
      <c r="A47" t="s">
        <v>431</v>
      </c>
      <c r="B47" s="182">
        <v>39986.230000000003</v>
      </c>
      <c r="C47" s="52"/>
      <c r="D47" s="182">
        <v>0</v>
      </c>
      <c r="E47" s="52"/>
      <c r="F47" s="325">
        <v>0</v>
      </c>
      <c r="G47" s="52"/>
      <c r="H47" s="325">
        <v>0</v>
      </c>
      <c r="I47" s="52"/>
      <c r="J47" s="325">
        <v>0</v>
      </c>
      <c r="K47" s="52"/>
      <c r="L47" s="325">
        <v>0</v>
      </c>
      <c r="M47" s="52"/>
      <c r="N47" s="325">
        <v>0</v>
      </c>
      <c r="O47" s="52"/>
      <c r="P47" s="325">
        <v>0</v>
      </c>
      <c r="Q47" s="52"/>
      <c r="R47" s="182">
        <f t="shared" si="4"/>
        <v>39986.230000000003</v>
      </c>
      <c r="S47" s="33"/>
      <c r="T47" s="33"/>
      <c r="U47" s="33"/>
    </row>
    <row r="48" spans="1:21">
      <c r="A48" t="s">
        <v>428</v>
      </c>
      <c r="B48" s="182">
        <v>872.13</v>
      </c>
      <c r="C48" s="52"/>
      <c r="D48" s="182">
        <v>0</v>
      </c>
      <c r="E48" s="52"/>
      <c r="F48" s="325">
        <v>0</v>
      </c>
      <c r="G48" s="52"/>
      <c r="H48" s="325">
        <v>0</v>
      </c>
      <c r="I48" s="52"/>
      <c r="J48" s="325">
        <v>0</v>
      </c>
      <c r="K48" s="52"/>
      <c r="L48" s="325">
        <v>0</v>
      </c>
      <c r="M48" s="52"/>
      <c r="N48" s="325">
        <v>0</v>
      </c>
      <c r="O48" s="52"/>
      <c r="P48" s="325">
        <v>0</v>
      </c>
      <c r="Q48" s="52"/>
      <c r="R48" s="182">
        <f t="shared" si="4"/>
        <v>872.13</v>
      </c>
      <c r="S48" s="33"/>
      <c r="T48" s="33"/>
      <c r="U48" s="33"/>
    </row>
    <row r="49" spans="1:21">
      <c r="A49" t="s">
        <v>433</v>
      </c>
      <c r="B49" s="182">
        <v>73814.61</v>
      </c>
      <c r="C49" s="52"/>
      <c r="D49" s="182">
        <v>0</v>
      </c>
      <c r="E49" s="52"/>
      <c r="F49" s="325">
        <v>0</v>
      </c>
      <c r="G49" s="52"/>
      <c r="H49" s="325">
        <v>0</v>
      </c>
      <c r="I49" s="52"/>
      <c r="J49" s="325">
        <v>0</v>
      </c>
      <c r="K49" s="52"/>
      <c r="L49" s="325">
        <v>0</v>
      </c>
      <c r="M49" s="52"/>
      <c r="N49" s="325">
        <v>0</v>
      </c>
      <c r="O49" s="52"/>
      <c r="P49" s="325">
        <v>0</v>
      </c>
      <c r="Q49" s="52"/>
      <c r="R49" s="182">
        <f t="shared" si="4"/>
        <v>73814.61</v>
      </c>
      <c r="S49" s="33"/>
      <c r="T49" s="33"/>
      <c r="U49" s="33"/>
    </row>
    <row r="50" spans="1:21">
      <c r="A50" t="s">
        <v>434</v>
      </c>
      <c r="B50" s="48">
        <v>0</v>
      </c>
      <c r="C50" s="52"/>
      <c r="D50" s="48">
        <v>0</v>
      </c>
      <c r="E50" s="52"/>
      <c r="F50" s="327">
        <v>0</v>
      </c>
      <c r="G50" s="52"/>
      <c r="H50" s="327">
        <v>0</v>
      </c>
      <c r="I50" s="52"/>
      <c r="J50" s="327">
        <v>0</v>
      </c>
      <c r="K50" s="52"/>
      <c r="L50" s="327">
        <v>0</v>
      </c>
      <c r="M50" s="52"/>
      <c r="N50" s="327">
        <v>0</v>
      </c>
      <c r="O50" s="52"/>
      <c r="P50" s="327">
        <v>0</v>
      </c>
      <c r="Q50" s="52"/>
      <c r="R50" s="48">
        <f t="shared" si="4"/>
        <v>0</v>
      </c>
      <c r="S50" s="37"/>
      <c r="T50" s="33"/>
      <c r="U50" s="33"/>
    </row>
    <row r="51" spans="1:21">
      <c r="B51" s="52">
        <f>SUM(B39:B50)</f>
        <v>9521332.4499999993</v>
      </c>
      <c r="C51" s="52"/>
      <c r="D51" s="52">
        <f>SUM(D39:D50)</f>
        <v>0</v>
      </c>
      <c r="E51" s="52"/>
      <c r="F51" s="52">
        <f>SUM(F39:F50)</f>
        <v>-526.02</v>
      </c>
      <c r="G51" s="52"/>
      <c r="H51" s="52">
        <f t="shared" ref="H51:R51" si="5">SUM(H39:H50)</f>
        <v>0</v>
      </c>
      <c r="I51" s="52"/>
      <c r="J51" s="52">
        <f>SUM(J39:J50)</f>
        <v>0</v>
      </c>
      <c r="K51" s="52"/>
      <c r="L51" s="52">
        <f>SUM(L39:L50)</f>
        <v>0</v>
      </c>
      <c r="M51" s="52"/>
      <c r="N51" s="52">
        <f>SUM(N39:N50)</f>
        <v>0</v>
      </c>
      <c r="O51" s="52"/>
      <c r="P51" s="52">
        <f>SUM(P39:P50)</f>
        <v>0</v>
      </c>
      <c r="Q51" s="52"/>
      <c r="R51" s="52">
        <f t="shared" si="5"/>
        <v>9520806.4299999997</v>
      </c>
      <c r="S51" s="37"/>
      <c r="T51" s="33"/>
      <c r="U51" s="33"/>
    </row>
    <row r="52" spans="1:21">
      <c r="B52" s="182"/>
      <c r="C52" s="52"/>
      <c r="D52" s="182"/>
      <c r="E52" s="52"/>
      <c r="F52" s="182"/>
      <c r="G52" s="52"/>
      <c r="H52" s="182"/>
      <c r="I52" s="52"/>
      <c r="J52" s="182"/>
      <c r="K52" s="52"/>
      <c r="L52" s="182"/>
      <c r="M52" s="52"/>
      <c r="N52" s="182"/>
      <c r="O52" s="52"/>
      <c r="P52" s="182"/>
      <c r="Q52" s="52"/>
      <c r="R52" s="182"/>
      <c r="S52" s="33"/>
      <c r="T52" s="33"/>
      <c r="U52" s="33"/>
    </row>
    <row r="53" spans="1:21">
      <c r="A53" s="3" t="s">
        <v>117</v>
      </c>
      <c r="B53" s="182"/>
      <c r="C53" s="52"/>
      <c r="D53" s="182"/>
      <c r="E53" s="52"/>
      <c r="F53" s="182"/>
      <c r="G53" s="52"/>
      <c r="H53" s="182"/>
      <c r="I53" s="52"/>
      <c r="J53" s="182"/>
      <c r="K53" s="52"/>
      <c r="L53" s="182"/>
      <c r="M53" s="52"/>
      <c r="N53" s="182"/>
      <c r="O53" s="52"/>
      <c r="P53" s="182"/>
      <c r="Q53" s="52"/>
      <c r="R53" s="182"/>
      <c r="S53" s="33"/>
      <c r="T53" s="33"/>
      <c r="U53" s="33"/>
    </row>
    <row r="54" spans="1:21">
      <c r="A54" t="s">
        <v>417</v>
      </c>
      <c r="B54" s="182">
        <v>0</v>
      </c>
      <c r="C54" s="52"/>
      <c r="D54" s="182">
        <v>0</v>
      </c>
      <c r="E54" s="52"/>
      <c r="F54" s="182">
        <v>0</v>
      </c>
      <c r="G54" s="52"/>
      <c r="H54" s="182">
        <v>0</v>
      </c>
      <c r="I54" s="52"/>
      <c r="J54" s="182">
        <v>0</v>
      </c>
      <c r="K54" s="52"/>
      <c r="L54" s="182">
        <v>0</v>
      </c>
      <c r="M54" s="52"/>
      <c r="N54" s="182">
        <v>0</v>
      </c>
      <c r="O54" s="52"/>
      <c r="P54" s="182">
        <v>0</v>
      </c>
      <c r="Q54" s="52"/>
      <c r="R54" s="182">
        <f t="shared" ref="R54:R121" si="6">SUM(B54:P54)</f>
        <v>0</v>
      </c>
      <c r="S54" s="33"/>
      <c r="T54" s="33"/>
      <c r="U54" s="33"/>
    </row>
    <row r="55" spans="1:21">
      <c r="A55" t="s">
        <v>980</v>
      </c>
      <c r="B55" s="182">
        <v>0</v>
      </c>
      <c r="C55" s="52"/>
      <c r="D55" s="182">
        <v>0</v>
      </c>
      <c r="E55" s="52"/>
      <c r="F55" s="182">
        <v>0</v>
      </c>
      <c r="G55" s="52"/>
      <c r="H55" s="182">
        <v>0</v>
      </c>
      <c r="I55" s="52"/>
      <c r="J55" s="182">
        <v>0</v>
      </c>
      <c r="K55" s="52"/>
      <c r="L55" s="182">
        <v>0</v>
      </c>
      <c r="M55" s="52"/>
      <c r="N55" s="182">
        <v>0</v>
      </c>
      <c r="O55" s="52"/>
      <c r="P55" s="182">
        <v>0</v>
      </c>
      <c r="Q55" s="52"/>
      <c r="R55" s="182">
        <f t="shared" si="6"/>
        <v>0</v>
      </c>
      <c r="S55" s="33"/>
      <c r="T55" s="33"/>
      <c r="U55" s="33"/>
    </row>
    <row r="56" spans="1:21" s="60" customFormat="1" hidden="1" outlineLevel="1">
      <c r="A56" s="60" t="s">
        <v>668</v>
      </c>
      <c r="B56" s="61">
        <v>32205.119999999999</v>
      </c>
      <c r="C56" s="62"/>
      <c r="D56" s="61">
        <v>0</v>
      </c>
      <c r="E56" s="62"/>
      <c r="F56" s="328">
        <v>0</v>
      </c>
      <c r="G56" s="62"/>
      <c r="H56" s="328">
        <v>0</v>
      </c>
      <c r="I56" s="62"/>
      <c r="J56" s="328">
        <v>0</v>
      </c>
      <c r="K56" s="62"/>
      <c r="L56" s="328">
        <v>0</v>
      </c>
      <c r="M56" s="62"/>
      <c r="N56" s="328">
        <v>0</v>
      </c>
      <c r="O56" s="62"/>
      <c r="P56" s="328">
        <v>0</v>
      </c>
      <c r="Q56" s="62"/>
      <c r="R56" s="61">
        <f t="shared" si="6"/>
        <v>32205.119999999999</v>
      </c>
      <c r="S56" s="63"/>
      <c r="T56" s="63"/>
      <c r="U56" s="63"/>
    </row>
    <row r="57" spans="1:21" s="60" customFormat="1" hidden="1" outlineLevel="1">
      <c r="A57" s="60" t="s">
        <v>982</v>
      </c>
      <c r="B57" s="61">
        <v>264079.82</v>
      </c>
      <c r="C57" s="62"/>
      <c r="D57" s="61">
        <v>0</v>
      </c>
      <c r="E57" s="62"/>
      <c r="F57" s="328">
        <v>0</v>
      </c>
      <c r="G57" s="62"/>
      <c r="H57" s="328">
        <v>0</v>
      </c>
      <c r="I57" s="62"/>
      <c r="J57" s="328">
        <v>0</v>
      </c>
      <c r="K57" s="62"/>
      <c r="L57" s="328">
        <v>0</v>
      </c>
      <c r="M57" s="62"/>
      <c r="N57" s="328">
        <v>0</v>
      </c>
      <c r="O57" s="62"/>
      <c r="P57" s="328">
        <v>0</v>
      </c>
      <c r="Q57" s="62"/>
      <c r="R57" s="61">
        <f t="shared" si="6"/>
        <v>264079.82</v>
      </c>
      <c r="S57" s="63"/>
      <c r="T57" s="63"/>
      <c r="U57" s="63"/>
    </row>
    <row r="58" spans="1:21" s="60" customFormat="1" hidden="1" outlineLevel="1">
      <c r="A58" s="60" t="s">
        <v>1017</v>
      </c>
      <c r="B58" s="61">
        <v>29929.73</v>
      </c>
      <c r="C58" s="62"/>
      <c r="D58" s="61">
        <v>0</v>
      </c>
      <c r="E58" s="62"/>
      <c r="F58" s="328">
        <v>0</v>
      </c>
      <c r="G58" s="62"/>
      <c r="H58" s="328">
        <v>0</v>
      </c>
      <c r="I58" s="62"/>
      <c r="J58" s="328">
        <v>0</v>
      </c>
      <c r="K58" s="62"/>
      <c r="L58" s="328">
        <v>0</v>
      </c>
      <c r="M58" s="62"/>
      <c r="N58" s="328">
        <v>0</v>
      </c>
      <c r="O58" s="62"/>
      <c r="P58" s="328">
        <v>0</v>
      </c>
      <c r="Q58" s="62"/>
      <c r="R58" s="61">
        <f t="shared" si="6"/>
        <v>29929.73</v>
      </c>
      <c r="S58" s="63"/>
      <c r="T58" s="63"/>
      <c r="U58" s="63"/>
    </row>
    <row r="59" spans="1:21" s="60" customFormat="1" hidden="1" outlineLevel="1">
      <c r="A59" s="60" t="s">
        <v>1048</v>
      </c>
      <c r="B59" s="61">
        <v>41153.9</v>
      </c>
      <c r="C59" s="62"/>
      <c r="D59" s="61">
        <v>0</v>
      </c>
      <c r="E59" s="62"/>
      <c r="F59" s="328">
        <v>0</v>
      </c>
      <c r="G59" s="62"/>
      <c r="H59" s="328">
        <v>0</v>
      </c>
      <c r="I59" s="62"/>
      <c r="J59" s="328">
        <v>0</v>
      </c>
      <c r="K59" s="62"/>
      <c r="L59" s="328">
        <v>0</v>
      </c>
      <c r="M59" s="62"/>
      <c r="N59" s="328">
        <v>0</v>
      </c>
      <c r="O59" s="62"/>
      <c r="P59" s="328">
        <v>0</v>
      </c>
      <c r="Q59" s="62"/>
      <c r="R59" s="61">
        <f t="shared" si="6"/>
        <v>41153.9</v>
      </c>
      <c r="S59" s="63"/>
      <c r="T59" s="63"/>
      <c r="U59" s="63"/>
    </row>
    <row r="60" spans="1:21" s="60" customFormat="1" hidden="1" outlineLevel="1">
      <c r="A60" s="60" t="s">
        <v>264</v>
      </c>
      <c r="B60" s="61">
        <v>49156.45</v>
      </c>
      <c r="C60" s="62"/>
      <c r="D60" s="61">
        <v>0</v>
      </c>
      <c r="E60" s="62"/>
      <c r="F60" s="328">
        <v>0</v>
      </c>
      <c r="G60" s="62"/>
      <c r="H60" s="328">
        <v>0</v>
      </c>
      <c r="I60" s="62"/>
      <c r="J60" s="328">
        <v>0</v>
      </c>
      <c r="K60" s="62"/>
      <c r="L60" s="328">
        <v>0</v>
      </c>
      <c r="M60" s="62"/>
      <c r="N60" s="328">
        <v>0</v>
      </c>
      <c r="O60" s="62"/>
      <c r="P60" s="328">
        <v>0</v>
      </c>
      <c r="Q60" s="62"/>
      <c r="R60" s="61">
        <f t="shared" si="6"/>
        <v>49156.45</v>
      </c>
      <c r="S60" s="63"/>
      <c r="T60" s="63"/>
      <c r="U60" s="63"/>
    </row>
    <row r="61" spans="1:21" s="60" customFormat="1" hidden="1" outlineLevel="1">
      <c r="A61" s="60" t="s">
        <v>663</v>
      </c>
      <c r="B61" s="61">
        <v>663767.91</v>
      </c>
      <c r="C61" s="62"/>
      <c r="D61" s="61">
        <v>0</v>
      </c>
      <c r="E61" s="62"/>
      <c r="F61" s="328">
        <v>0</v>
      </c>
      <c r="G61" s="62"/>
      <c r="H61" s="328">
        <v>0</v>
      </c>
      <c r="I61" s="62"/>
      <c r="J61" s="328">
        <v>0</v>
      </c>
      <c r="K61" s="62"/>
      <c r="L61" s="328">
        <v>0</v>
      </c>
      <c r="M61" s="62"/>
      <c r="N61" s="328">
        <v>0</v>
      </c>
      <c r="O61" s="62"/>
      <c r="P61" s="328">
        <v>0</v>
      </c>
      <c r="Q61" s="62"/>
      <c r="R61" s="61">
        <f t="shared" si="6"/>
        <v>663767.91</v>
      </c>
      <c r="S61" s="63"/>
      <c r="T61" s="63"/>
      <c r="U61" s="63"/>
    </row>
    <row r="62" spans="1:21" s="60" customFormat="1" hidden="1" outlineLevel="1">
      <c r="A62" s="60" t="s">
        <v>1019</v>
      </c>
      <c r="B62" s="61">
        <v>452426.78</v>
      </c>
      <c r="C62" s="62"/>
      <c r="D62" s="61">
        <v>0</v>
      </c>
      <c r="E62" s="62"/>
      <c r="F62" s="328">
        <v>0</v>
      </c>
      <c r="G62" s="62"/>
      <c r="H62" s="328">
        <v>0</v>
      </c>
      <c r="I62" s="62"/>
      <c r="J62" s="328">
        <v>0</v>
      </c>
      <c r="K62" s="62"/>
      <c r="L62" s="328">
        <v>0</v>
      </c>
      <c r="M62" s="62"/>
      <c r="N62" s="328">
        <v>0</v>
      </c>
      <c r="O62" s="62"/>
      <c r="P62" s="328">
        <v>0</v>
      </c>
      <c r="Q62" s="62"/>
      <c r="R62" s="61">
        <f t="shared" si="6"/>
        <v>452426.78</v>
      </c>
      <c r="S62" s="63"/>
      <c r="T62" s="63"/>
      <c r="U62" s="63"/>
    </row>
    <row r="63" spans="1:21" s="60" customFormat="1" hidden="1" outlineLevel="1">
      <c r="A63" s="60" t="s">
        <v>265</v>
      </c>
      <c r="B63" s="61">
        <v>423712.79</v>
      </c>
      <c r="C63" s="62"/>
      <c r="D63" s="61">
        <v>0</v>
      </c>
      <c r="E63" s="62"/>
      <c r="F63" s="328">
        <v>0</v>
      </c>
      <c r="G63" s="62"/>
      <c r="H63" s="328">
        <v>0</v>
      </c>
      <c r="I63" s="62"/>
      <c r="J63" s="328">
        <v>0</v>
      </c>
      <c r="K63" s="62"/>
      <c r="L63" s="328">
        <v>0</v>
      </c>
      <c r="M63" s="62"/>
      <c r="N63" s="328">
        <v>0</v>
      </c>
      <c r="O63" s="62"/>
      <c r="P63" s="328">
        <v>0</v>
      </c>
      <c r="Q63" s="62"/>
      <c r="R63" s="61">
        <f t="shared" si="6"/>
        <v>423712.79</v>
      </c>
      <c r="S63" s="63"/>
      <c r="T63" s="63"/>
      <c r="U63" s="63"/>
    </row>
    <row r="64" spans="1:21" s="60" customFormat="1" hidden="1" outlineLevel="1">
      <c r="A64" s="60" t="s">
        <v>261</v>
      </c>
      <c r="B64" s="61">
        <v>404310.66</v>
      </c>
      <c r="C64" s="62"/>
      <c r="D64" s="61">
        <v>0</v>
      </c>
      <c r="E64" s="62"/>
      <c r="F64" s="328">
        <v>0</v>
      </c>
      <c r="G64" s="62"/>
      <c r="H64" s="328">
        <v>0</v>
      </c>
      <c r="I64" s="62"/>
      <c r="J64" s="328">
        <v>0</v>
      </c>
      <c r="K64" s="62"/>
      <c r="L64" s="328">
        <v>0</v>
      </c>
      <c r="M64" s="62"/>
      <c r="N64" s="328">
        <v>0</v>
      </c>
      <c r="O64" s="62"/>
      <c r="P64" s="328">
        <v>0</v>
      </c>
      <c r="Q64" s="62"/>
      <c r="R64" s="61">
        <f t="shared" si="6"/>
        <v>404310.66</v>
      </c>
      <c r="S64" s="63"/>
      <c r="T64" s="63"/>
      <c r="U64" s="63"/>
    </row>
    <row r="65" spans="1:21" s="60" customFormat="1" hidden="1" outlineLevel="1">
      <c r="A65" s="60" t="s">
        <v>1038</v>
      </c>
      <c r="B65" s="61">
        <v>447968.91</v>
      </c>
      <c r="C65" s="62"/>
      <c r="D65" s="61">
        <v>0</v>
      </c>
      <c r="E65" s="62"/>
      <c r="F65" s="328">
        <v>0</v>
      </c>
      <c r="G65" s="62"/>
      <c r="H65" s="328">
        <v>0</v>
      </c>
      <c r="I65" s="62"/>
      <c r="J65" s="328">
        <v>0</v>
      </c>
      <c r="K65" s="62"/>
      <c r="L65" s="328">
        <v>0</v>
      </c>
      <c r="M65" s="62"/>
      <c r="N65" s="328">
        <v>0</v>
      </c>
      <c r="O65" s="62"/>
      <c r="P65" s="328">
        <v>0</v>
      </c>
      <c r="Q65" s="62"/>
      <c r="R65" s="61">
        <f t="shared" si="6"/>
        <v>447968.91</v>
      </c>
      <c r="S65" s="63"/>
      <c r="T65" s="63"/>
      <c r="U65" s="63"/>
    </row>
    <row r="66" spans="1:21" s="60" customFormat="1" hidden="1" outlineLevel="1">
      <c r="A66" s="60" t="s">
        <v>256</v>
      </c>
      <c r="B66" s="61">
        <v>446212.45</v>
      </c>
      <c r="C66" s="62"/>
      <c r="D66" s="61">
        <v>0</v>
      </c>
      <c r="E66" s="62"/>
      <c r="F66" s="328">
        <v>0</v>
      </c>
      <c r="G66" s="62"/>
      <c r="H66" s="328">
        <v>0</v>
      </c>
      <c r="I66" s="62"/>
      <c r="J66" s="328">
        <v>0</v>
      </c>
      <c r="K66" s="62"/>
      <c r="L66" s="328">
        <v>0</v>
      </c>
      <c r="M66" s="62"/>
      <c r="N66" s="328">
        <v>0</v>
      </c>
      <c r="O66" s="62"/>
      <c r="P66" s="328">
        <v>0</v>
      </c>
      <c r="Q66" s="62"/>
      <c r="R66" s="61">
        <f t="shared" si="6"/>
        <v>446212.45</v>
      </c>
      <c r="S66" s="63"/>
      <c r="T66" s="63"/>
      <c r="U66" s="63"/>
    </row>
    <row r="67" spans="1:21" s="60" customFormat="1" hidden="1" outlineLevel="1">
      <c r="A67" s="60" t="s">
        <v>694</v>
      </c>
      <c r="B67" s="61">
        <v>453405.4</v>
      </c>
      <c r="C67" s="62"/>
      <c r="D67" s="61">
        <v>0</v>
      </c>
      <c r="E67" s="62"/>
      <c r="F67" s="328">
        <v>0</v>
      </c>
      <c r="G67" s="62"/>
      <c r="H67" s="328">
        <v>0</v>
      </c>
      <c r="I67" s="62"/>
      <c r="J67" s="328">
        <v>0</v>
      </c>
      <c r="K67" s="62"/>
      <c r="L67" s="328">
        <v>0</v>
      </c>
      <c r="M67" s="62"/>
      <c r="N67" s="328">
        <v>0</v>
      </c>
      <c r="O67" s="62"/>
      <c r="P67" s="328">
        <v>0</v>
      </c>
      <c r="Q67" s="62"/>
      <c r="R67" s="61">
        <f t="shared" si="6"/>
        <v>453405.4</v>
      </c>
      <c r="S67" s="63"/>
      <c r="T67" s="63"/>
      <c r="U67" s="63"/>
    </row>
    <row r="68" spans="1:21" s="60" customFormat="1" hidden="1" outlineLevel="1">
      <c r="A68" s="60" t="s">
        <v>695</v>
      </c>
      <c r="B68" s="61">
        <v>0</v>
      </c>
      <c r="C68" s="62"/>
      <c r="D68" s="61">
        <v>0</v>
      </c>
      <c r="E68" s="62"/>
      <c r="F68" s="328">
        <v>0</v>
      </c>
      <c r="G68" s="62"/>
      <c r="H68" s="328">
        <v>0</v>
      </c>
      <c r="I68" s="62"/>
      <c r="J68" s="328">
        <v>0</v>
      </c>
      <c r="K68" s="62"/>
      <c r="L68" s="328">
        <v>0</v>
      </c>
      <c r="M68" s="62"/>
      <c r="N68" s="328">
        <v>0</v>
      </c>
      <c r="O68" s="62"/>
      <c r="P68" s="328">
        <v>0</v>
      </c>
      <c r="Q68" s="62"/>
      <c r="R68" s="61">
        <f t="shared" si="6"/>
        <v>0</v>
      </c>
      <c r="S68" s="63"/>
      <c r="T68" s="63"/>
      <c r="U68" s="63"/>
    </row>
    <row r="69" spans="1:21" s="60" customFormat="1" hidden="1" outlineLevel="1">
      <c r="A69" s="60" t="s">
        <v>703</v>
      </c>
      <c r="B69" s="61">
        <v>9352.8700000000008</v>
      </c>
      <c r="C69" s="62"/>
      <c r="D69" s="61">
        <v>0</v>
      </c>
      <c r="E69" s="62"/>
      <c r="F69" s="328">
        <v>0</v>
      </c>
      <c r="G69" s="62"/>
      <c r="H69" s="328">
        <v>0</v>
      </c>
      <c r="I69" s="62"/>
      <c r="J69" s="328">
        <v>0</v>
      </c>
      <c r="K69" s="62"/>
      <c r="L69" s="328">
        <v>0</v>
      </c>
      <c r="M69" s="62"/>
      <c r="N69" s="328">
        <v>0</v>
      </c>
      <c r="O69" s="62"/>
      <c r="P69" s="328">
        <v>0</v>
      </c>
      <c r="Q69" s="62"/>
      <c r="R69" s="61">
        <f t="shared" si="6"/>
        <v>9352.8700000000008</v>
      </c>
      <c r="S69" s="63"/>
      <c r="T69" s="63"/>
      <c r="U69" s="63"/>
    </row>
    <row r="70" spans="1:21" s="10" customFormat="1" collapsed="1">
      <c r="A70" s="10" t="s">
        <v>793</v>
      </c>
      <c r="B70" s="64">
        <f>SUM(B56:B69)</f>
        <v>3717682.7900000005</v>
      </c>
      <c r="C70" s="65"/>
      <c r="D70" s="64">
        <f>SUM(D56:D69)</f>
        <v>0</v>
      </c>
      <c r="E70" s="65"/>
      <c r="F70" s="64">
        <f>SUM(F56:F69)</f>
        <v>0</v>
      </c>
      <c r="G70" s="65"/>
      <c r="H70" s="64">
        <f t="shared" ref="H70:R70" si="7">SUM(H56:H69)</f>
        <v>0</v>
      </c>
      <c r="I70" s="65"/>
      <c r="J70" s="64">
        <f>SUM(J56:J69)</f>
        <v>0</v>
      </c>
      <c r="K70" s="65"/>
      <c r="L70" s="64">
        <f>SUM(L56:L69)</f>
        <v>0</v>
      </c>
      <c r="M70" s="65"/>
      <c r="N70" s="64">
        <f>SUM(N56:N69)</f>
        <v>0</v>
      </c>
      <c r="O70" s="65"/>
      <c r="P70" s="64">
        <f>SUM(P56:P69)</f>
        <v>0</v>
      </c>
      <c r="Q70" s="65"/>
      <c r="R70" s="64">
        <f t="shared" si="7"/>
        <v>3717682.7900000005</v>
      </c>
      <c r="S70" s="24"/>
      <c r="T70" s="24"/>
      <c r="U70" s="24"/>
    </row>
    <row r="71" spans="1:21" s="60" customFormat="1" hidden="1" outlineLevel="1">
      <c r="A71" s="60" t="s">
        <v>1042</v>
      </c>
      <c r="B71" s="61">
        <v>44619.319999999992</v>
      </c>
      <c r="C71" s="62"/>
      <c r="D71" s="61">
        <v>0</v>
      </c>
      <c r="E71" s="62"/>
      <c r="F71" s="328">
        <v>0</v>
      </c>
      <c r="G71" s="62"/>
      <c r="H71" s="328">
        <v>0</v>
      </c>
      <c r="I71" s="62"/>
      <c r="J71" s="328">
        <v>0</v>
      </c>
      <c r="K71" s="62"/>
      <c r="L71" s="328">
        <v>0</v>
      </c>
      <c r="M71" s="62"/>
      <c r="N71" s="328">
        <v>0</v>
      </c>
      <c r="O71" s="62"/>
      <c r="P71" s="328">
        <v>0</v>
      </c>
      <c r="Q71" s="62"/>
      <c r="R71" s="61">
        <f t="shared" si="6"/>
        <v>44619.319999999992</v>
      </c>
      <c r="S71" s="63"/>
      <c r="T71" s="63"/>
      <c r="U71" s="63"/>
    </row>
    <row r="72" spans="1:21" s="60" customFormat="1" hidden="1" outlineLevel="1">
      <c r="A72" s="60" t="s">
        <v>700</v>
      </c>
      <c r="B72" s="61">
        <v>191303.72</v>
      </c>
      <c r="C72" s="62"/>
      <c r="D72" s="61">
        <v>0</v>
      </c>
      <c r="E72" s="62"/>
      <c r="F72" s="328">
        <v>0</v>
      </c>
      <c r="G72" s="62"/>
      <c r="H72" s="328">
        <v>0</v>
      </c>
      <c r="I72" s="62"/>
      <c r="J72" s="328">
        <v>0</v>
      </c>
      <c r="K72" s="62"/>
      <c r="L72" s="328">
        <v>0</v>
      </c>
      <c r="M72" s="62"/>
      <c r="N72" s="328">
        <v>0</v>
      </c>
      <c r="O72" s="62"/>
      <c r="P72" s="328">
        <v>0</v>
      </c>
      <c r="Q72" s="62"/>
      <c r="R72" s="61">
        <f t="shared" si="6"/>
        <v>191303.72</v>
      </c>
      <c r="S72" s="63"/>
      <c r="T72" s="63"/>
      <c r="U72" s="63"/>
    </row>
    <row r="73" spans="1:21" s="60" customFormat="1" hidden="1" outlineLevel="1">
      <c r="A73" s="60" t="s">
        <v>259</v>
      </c>
      <c r="B73" s="61">
        <v>55078.66</v>
      </c>
      <c r="C73" s="62"/>
      <c r="D73" s="61">
        <v>0</v>
      </c>
      <c r="E73" s="62"/>
      <c r="F73" s="328">
        <v>0</v>
      </c>
      <c r="G73" s="62"/>
      <c r="H73" s="328">
        <v>0</v>
      </c>
      <c r="I73" s="62"/>
      <c r="J73" s="328">
        <v>0</v>
      </c>
      <c r="K73" s="62"/>
      <c r="L73" s="328">
        <v>0</v>
      </c>
      <c r="M73" s="62"/>
      <c r="N73" s="328">
        <v>0</v>
      </c>
      <c r="O73" s="62"/>
      <c r="P73" s="328">
        <v>0</v>
      </c>
      <c r="Q73" s="62"/>
      <c r="R73" s="61">
        <f t="shared" si="6"/>
        <v>55078.66</v>
      </c>
      <c r="S73" s="63"/>
      <c r="T73" s="63"/>
      <c r="U73" s="63"/>
    </row>
    <row r="74" spans="1:21" s="60" customFormat="1" hidden="1" outlineLevel="1">
      <c r="A74" s="60" t="s">
        <v>698</v>
      </c>
      <c r="B74" s="61">
        <v>-11719.559999999998</v>
      </c>
      <c r="C74" s="62"/>
      <c r="D74" s="61">
        <v>0</v>
      </c>
      <c r="E74" s="62"/>
      <c r="F74" s="328">
        <v>0</v>
      </c>
      <c r="G74" s="62"/>
      <c r="H74" s="328">
        <v>0</v>
      </c>
      <c r="I74" s="62"/>
      <c r="J74" s="328">
        <v>0</v>
      </c>
      <c r="K74" s="62"/>
      <c r="L74" s="328">
        <v>0</v>
      </c>
      <c r="M74" s="62"/>
      <c r="N74" s="328">
        <v>0</v>
      </c>
      <c r="O74" s="62"/>
      <c r="P74" s="328">
        <v>0</v>
      </c>
      <c r="Q74" s="62"/>
      <c r="R74" s="61">
        <f t="shared" si="6"/>
        <v>-11719.559999999998</v>
      </c>
      <c r="S74" s="63"/>
      <c r="T74" s="63"/>
      <c r="U74" s="63"/>
    </row>
    <row r="75" spans="1:21" s="60" customFormat="1" hidden="1" outlineLevel="1">
      <c r="A75" s="60" t="s">
        <v>706</v>
      </c>
      <c r="B75" s="61">
        <v>10354.24</v>
      </c>
      <c r="C75" s="62"/>
      <c r="D75" s="61">
        <v>0</v>
      </c>
      <c r="E75" s="62"/>
      <c r="F75" s="328">
        <v>0</v>
      </c>
      <c r="G75" s="62"/>
      <c r="H75" s="328">
        <v>0</v>
      </c>
      <c r="I75" s="62"/>
      <c r="J75" s="328">
        <v>0</v>
      </c>
      <c r="K75" s="62"/>
      <c r="L75" s="328">
        <v>0</v>
      </c>
      <c r="M75" s="62"/>
      <c r="N75" s="328">
        <v>0</v>
      </c>
      <c r="O75" s="62"/>
      <c r="P75" s="328">
        <v>0</v>
      </c>
      <c r="Q75" s="62"/>
      <c r="R75" s="61">
        <f t="shared" si="6"/>
        <v>10354.24</v>
      </c>
      <c r="S75" s="63"/>
      <c r="T75" s="63"/>
      <c r="U75" s="63"/>
    </row>
    <row r="76" spans="1:21" s="60" customFormat="1" hidden="1" outlineLevel="1">
      <c r="A76" s="60" t="s">
        <v>707</v>
      </c>
      <c r="B76" s="61">
        <v>12735.64</v>
      </c>
      <c r="C76" s="62"/>
      <c r="D76" s="61">
        <v>0</v>
      </c>
      <c r="E76" s="62"/>
      <c r="F76" s="328">
        <v>0</v>
      </c>
      <c r="G76" s="62"/>
      <c r="H76" s="328">
        <v>0</v>
      </c>
      <c r="I76" s="62"/>
      <c r="J76" s="328">
        <v>0</v>
      </c>
      <c r="K76" s="62"/>
      <c r="L76" s="328">
        <v>0</v>
      </c>
      <c r="M76" s="62"/>
      <c r="N76" s="328">
        <v>0</v>
      </c>
      <c r="O76" s="62"/>
      <c r="P76" s="328">
        <v>0</v>
      </c>
      <c r="Q76" s="62"/>
      <c r="R76" s="61">
        <f t="shared" si="6"/>
        <v>12735.64</v>
      </c>
      <c r="S76" s="63"/>
      <c r="T76" s="63"/>
      <c r="U76" s="63"/>
    </row>
    <row r="77" spans="1:21" s="60" customFormat="1" hidden="1" outlineLevel="1">
      <c r="A77" s="60" t="s">
        <v>696</v>
      </c>
      <c r="B77" s="61">
        <v>685488.03</v>
      </c>
      <c r="C77" s="62"/>
      <c r="D77" s="61">
        <v>0</v>
      </c>
      <c r="E77" s="62"/>
      <c r="F77" s="328">
        <v>0</v>
      </c>
      <c r="G77" s="62"/>
      <c r="H77" s="328">
        <v>0</v>
      </c>
      <c r="I77" s="62"/>
      <c r="J77" s="328">
        <v>0</v>
      </c>
      <c r="K77" s="62"/>
      <c r="L77" s="328">
        <v>0</v>
      </c>
      <c r="M77" s="62"/>
      <c r="N77" s="328">
        <v>0</v>
      </c>
      <c r="O77" s="62"/>
      <c r="P77" s="328">
        <v>0</v>
      </c>
      <c r="Q77" s="62"/>
      <c r="R77" s="61">
        <f t="shared" si="6"/>
        <v>685488.03</v>
      </c>
      <c r="S77" s="63"/>
      <c r="T77" s="63"/>
      <c r="U77" s="63"/>
    </row>
    <row r="78" spans="1:21" s="60" customFormat="1" hidden="1" outlineLevel="1">
      <c r="A78" s="60" t="s">
        <v>708</v>
      </c>
      <c r="B78" s="61">
        <v>75510.38</v>
      </c>
      <c r="C78" s="62"/>
      <c r="D78" s="61">
        <v>0</v>
      </c>
      <c r="E78" s="62"/>
      <c r="F78" s="328">
        <v>0</v>
      </c>
      <c r="G78" s="62"/>
      <c r="H78" s="328">
        <v>0</v>
      </c>
      <c r="I78" s="62"/>
      <c r="J78" s="328">
        <v>0</v>
      </c>
      <c r="K78" s="62"/>
      <c r="L78" s="328">
        <v>0</v>
      </c>
      <c r="M78" s="62"/>
      <c r="N78" s="328">
        <v>0</v>
      </c>
      <c r="O78" s="62"/>
      <c r="P78" s="328">
        <v>0</v>
      </c>
      <c r="Q78" s="62"/>
      <c r="R78" s="61">
        <f t="shared" si="6"/>
        <v>75510.38</v>
      </c>
      <c r="S78" s="63"/>
      <c r="T78" s="63"/>
      <c r="U78" s="63"/>
    </row>
    <row r="79" spans="1:21" s="60" customFormat="1" hidden="1" outlineLevel="1">
      <c r="A79" s="60" t="s">
        <v>1016</v>
      </c>
      <c r="B79" s="61">
        <v>26906.13</v>
      </c>
      <c r="C79" s="62"/>
      <c r="D79" s="61">
        <v>0</v>
      </c>
      <c r="E79" s="62"/>
      <c r="F79" s="328">
        <v>0</v>
      </c>
      <c r="G79" s="62"/>
      <c r="H79" s="328">
        <v>0</v>
      </c>
      <c r="I79" s="62"/>
      <c r="J79" s="328">
        <v>0</v>
      </c>
      <c r="K79" s="62"/>
      <c r="L79" s="328">
        <v>0</v>
      </c>
      <c r="M79" s="62"/>
      <c r="N79" s="328">
        <v>0</v>
      </c>
      <c r="O79" s="62"/>
      <c r="P79" s="328">
        <v>0</v>
      </c>
      <c r="Q79" s="62"/>
      <c r="R79" s="61">
        <f t="shared" si="6"/>
        <v>26906.13</v>
      </c>
      <c r="S79" s="63"/>
      <c r="T79" s="63"/>
      <c r="U79" s="63"/>
    </row>
    <row r="80" spans="1:21" s="60" customFormat="1" hidden="1" outlineLevel="1">
      <c r="A80" s="60" t="s">
        <v>705</v>
      </c>
      <c r="B80" s="61">
        <v>26873.3</v>
      </c>
      <c r="C80" s="62"/>
      <c r="D80" s="61">
        <v>0</v>
      </c>
      <c r="E80" s="62"/>
      <c r="F80" s="328">
        <v>0</v>
      </c>
      <c r="G80" s="62"/>
      <c r="H80" s="328">
        <v>0</v>
      </c>
      <c r="I80" s="62"/>
      <c r="J80" s="328">
        <v>0</v>
      </c>
      <c r="K80" s="62"/>
      <c r="L80" s="328">
        <v>0</v>
      </c>
      <c r="M80" s="62"/>
      <c r="N80" s="328">
        <v>0</v>
      </c>
      <c r="O80" s="62"/>
      <c r="P80" s="328">
        <v>0</v>
      </c>
      <c r="Q80" s="62"/>
      <c r="R80" s="61">
        <f t="shared" si="6"/>
        <v>26873.3</v>
      </c>
      <c r="S80" s="63"/>
      <c r="T80" s="63"/>
      <c r="U80" s="63"/>
    </row>
    <row r="81" spans="1:21" s="60" customFormat="1" hidden="1" outlineLevel="1">
      <c r="A81" s="60" t="s">
        <v>263</v>
      </c>
      <c r="B81" s="61">
        <v>72579.25</v>
      </c>
      <c r="C81" s="62"/>
      <c r="D81" s="61">
        <v>0</v>
      </c>
      <c r="E81" s="62"/>
      <c r="F81" s="328">
        <v>0</v>
      </c>
      <c r="G81" s="62"/>
      <c r="H81" s="328">
        <v>0</v>
      </c>
      <c r="I81" s="62"/>
      <c r="J81" s="328">
        <v>0</v>
      </c>
      <c r="K81" s="62"/>
      <c r="L81" s="328">
        <v>0</v>
      </c>
      <c r="M81" s="62"/>
      <c r="N81" s="328">
        <v>0</v>
      </c>
      <c r="O81" s="62"/>
      <c r="P81" s="328">
        <v>0</v>
      </c>
      <c r="Q81" s="62"/>
      <c r="R81" s="61">
        <f t="shared" si="6"/>
        <v>72579.25</v>
      </c>
      <c r="S81" s="63"/>
      <c r="T81" s="63"/>
      <c r="U81" s="63"/>
    </row>
    <row r="82" spans="1:21" s="60" customFormat="1" hidden="1" outlineLevel="1">
      <c r="A82" s="60" t="s">
        <v>702</v>
      </c>
      <c r="B82" s="61">
        <v>72294.23</v>
      </c>
      <c r="C82" s="62"/>
      <c r="D82" s="61">
        <v>0</v>
      </c>
      <c r="E82" s="62"/>
      <c r="F82" s="328">
        <v>0</v>
      </c>
      <c r="G82" s="62"/>
      <c r="H82" s="328">
        <v>0</v>
      </c>
      <c r="I82" s="62"/>
      <c r="J82" s="328">
        <v>0</v>
      </c>
      <c r="K82" s="62"/>
      <c r="L82" s="328">
        <v>0</v>
      </c>
      <c r="M82" s="62"/>
      <c r="N82" s="328">
        <v>0</v>
      </c>
      <c r="O82" s="62"/>
      <c r="P82" s="328">
        <v>0</v>
      </c>
      <c r="Q82" s="62"/>
      <c r="R82" s="61">
        <f t="shared" si="6"/>
        <v>72294.23</v>
      </c>
      <c r="S82" s="63"/>
      <c r="T82" s="63"/>
      <c r="U82" s="63"/>
    </row>
    <row r="83" spans="1:21" s="60" customFormat="1" hidden="1" outlineLevel="1">
      <c r="A83" s="60" t="s">
        <v>257</v>
      </c>
      <c r="B83" s="61">
        <v>73457.600000000006</v>
      </c>
      <c r="C83" s="62"/>
      <c r="D83" s="61">
        <v>0</v>
      </c>
      <c r="E83" s="62"/>
      <c r="F83" s="328">
        <v>0</v>
      </c>
      <c r="G83" s="62"/>
      <c r="H83" s="328">
        <v>0</v>
      </c>
      <c r="I83" s="62"/>
      <c r="J83" s="328">
        <v>0</v>
      </c>
      <c r="K83" s="62"/>
      <c r="L83" s="328">
        <v>0</v>
      </c>
      <c r="M83" s="62"/>
      <c r="N83" s="328">
        <v>0</v>
      </c>
      <c r="O83" s="62"/>
      <c r="P83" s="328">
        <v>0</v>
      </c>
      <c r="Q83" s="62"/>
      <c r="R83" s="61">
        <f t="shared" si="6"/>
        <v>73457.600000000006</v>
      </c>
      <c r="S83" s="63"/>
      <c r="T83" s="63"/>
      <c r="U83" s="63"/>
    </row>
    <row r="84" spans="1:21" s="60" customFormat="1" hidden="1" outlineLevel="1">
      <c r="A84" s="60" t="s">
        <v>665</v>
      </c>
      <c r="B84" s="61">
        <v>562056.39</v>
      </c>
      <c r="C84" s="62"/>
      <c r="D84" s="61">
        <v>0</v>
      </c>
      <c r="E84" s="62"/>
      <c r="F84" s="328">
        <v>0</v>
      </c>
      <c r="G84" s="62"/>
      <c r="H84" s="328">
        <v>0</v>
      </c>
      <c r="I84" s="62"/>
      <c r="J84" s="328">
        <v>0</v>
      </c>
      <c r="K84" s="62"/>
      <c r="L84" s="328">
        <v>0</v>
      </c>
      <c r="M84" s="62"/>
      <c r="N84" s="328">
        <v>0</v>
      </c>
      <c r="O84" s="62"/>
      <c r="P84" s="328">
        <v>0</v>
      </c>
      <c r="Q84" s="62"/>
      <c r="R84" s="61">
        <f t="shared" si="6"/>
        <v>562056.39</v>
      </c>
      <c r="S84" s="63"/>
      <c r="T84" s="63"/>
      <c r="U84" s="63"/>
    </row>
    <row r="85" spans="1:21" s="60" customFormat="1" hidden="1" outlineLevel="1">
      <c r="A85" s="60" t="s">
        <v>664</v>
      </c>
      <c r="B85" s="61">
        <v>0</v>
      </c>
      <c r="C85" s="62"/>
      <c r="D85" s="61">
        <v>0</v>
      </c>
      <c r="E85" s="62"/>
      <c r="F85" s="328">
        <v>0</v>
      </c>
      <c r="G85" s="62"/>
      <c r="H85" s="328">
        <v>0</v>
      </c>
      <c r="I85" s="62"/>
      <c r="J85" s="328">
        <v>0</v>
      </c>
      <c r="K85" s="62"/>
      <c r="L85" s="328">
        <v>0</v>
      </c>
      <c r="M85" s="62"/>
      <c r="N85" s="328">
        <v>0</v>
      </c>
      <c r="O85" s="62"/>
      <c r="P85" s="328">
        <v>0</v>
      </c>
      <c r="Q85" s="62"/>
      <c r="R85" s="61">
        <f t="shared" si="6"/>
        <v>0</v>
      </c>
      <c r="S85" s="63"/>
      <c r="T85" s="63"/>
      <c r="U85" s="63"/>
    </row>
    <row r="86" spans="1:21" s="60" customFormat="1" hidden="1" outlineLevel="1">
      <c r="A86" s="60" t="s">
        <v>258</v>
      </c>
      <c r="B86" s="61">
        <v>11289.68</v>
      </c>
      <c r="C86" s="62"/>
      <c r="D86" s="61">
        <v>0</v>
      </c>
      <c r="E86" s="62"/>
      <c r="F86" s="328">
        <v>0</v>
      </c>
      <c r="G86" s="62"/>
      <c r="H86" s="328">
        <v>0</v>
      </c>
      <c r="I86" s="62"/>
      <c r="J86" s="328">
        <v>0</v>
      </c>
      <c r="K86" s="62"/>
      <c r="L86" s="328">
        <v>0</v>
      </c>
      <c r="M86" s="62"/>
      <c r="N86" s="328">
        <v>0</v>
      </c>
      <c r="O86" s="62"/>
      <c r="P86" s="328">
        <v>0</v>
      </c>
      <c r="Q86" s="62"/>
      <c r="R86" s="61">
        <f t="shared" si="6"/>
        <v>11289.68</v>
      </c>
      <c r="S86" s="63"/>
      <c r="T86" s="63"/>
      <c r="U86" s="63"/>
    </row>
    <row r="87" spans="1:21" s="10" customFormat="1" collapsed="1">
      <c r="A87" s="10" t="s">
        <v>794</v>
      </c>
      <c r="B87" s="64">
        <f>SUM(B71:B86)</f>
        <v>1908827.01</v>
      </c>
      <c r="C87" s="65"/>
      <c r="D87" s="64">
        <f>SUM(D71:D86)</f>
        <v>0</v>
      </c>
      <c r="E87" s="65"/>
      <c r="F87" s="64">
        <f>SUM(F71:F86)</f>
        <v>0</v>
      </c>
      <c r="G87" s="65"/>
      <c r="H87" s="64">
        <f t="shared" ref="H87:R87" si="8">SUM(H71:H86)</f>
        <v>0</v>
      </c>
      <c r="I87" s="65"/>
      <c r="J87" s="64">
        <f>SUM(J71:J86)</f>
        <v>0</v>
      </c>
      <c r="K87" s="65"/>
      <c r="L87" s="64">
        <f>SUM(L71:L86)</f>
        <v>0</v>
      </c>
      <c r="M87" s="65"/>
      <c r="N87" s="64">
        <f>SUM(N71:N86)</f>
        <v>0</v>
      </c>
      <c r="O87" s="65"/>
      <c r="P87" s="64">
        <f>SUM(P71:P86)</f>
        <v>0</v>
      </c>
      <c r="Q87" s="65"/>
      <c r="R87" s="64">
        <f t="shared" si="8"/>
        <v>1908827.01</v>
      </c>
      <c r="S87" s="24"/>
      <c r="T87" s="24"/>
      <c r="U87" s="24"/>
    </row>
    <row r="88" spans="1:21" s="60" customFormat="1" hidden="1" outlineLevel="1">
      <c r="A88" s="60" t="s">
        <v>662</v>
      </c>
      <c r="B88" s="61">
        <v>4398806.6999999993</v>
      </c>
      <c r="C88" s="62"/>
      <c r="D88" s="61">
        <v>0</v>
      </c>
      <c r="E88" s="62"/>
      <c r="F88" s="328">
        <v>0</v>
      </c>
      <c r="G88" s="62"/>
      <c r="H88" s="61">
        <v>0</v>
      </c>
      <c r="I88" s="62"/>
      <c r="J88" s="61">
        <v>0</v>
      </c>
      <c r="K88" s="62"/>
      <c r="L88" s="61">
        <v>0</v>
      </c>
      <c r="M88" s="62"/>
      <c r="N88" s="61">
        <v>0</v>
      </c>
      <c r="O88" s="62"/>
      <c r="P88" s="61">
        <v>0</v>
      </c>
      <c r="Q88" s="62"/>
      <c r="R88" s="61">
        <f t="shared" si="6"/>
        <v>4398806.6999999993</v>
      </c>
      <c r="S88" s="63"/>
      <c r="T88" s="63"/>
      <c r="U88" s="63"/>
    </row>
    <row r="89" spans="1:21" s="60" customFormat="1" hidden="1" outlineLevel="1">
      <c r="A89" s="60" t="s">
        <v>1018</v>
      </c>
      <c r="B89" s="61">
        <v>1408378.17</v>
      </c>
      <c r="C89" s="62"/>
      <c r="D89" s="61">
        <v>0</v>
      </c>
      <c r="E89" s="62"/>
      <c r="F89" s="328">
        <v>0</v>
      </c>
      <c r="G89" s="62"/>
      <c r="H89" s="61">
        <v>0</v>
      </c>
      <c r="I89" s="62"/>
      <c r="J89" s="61">
        <v>0</v>
      </c>
      <c r="K89" s="62"/>
      <c r="L89" s="61">
        <v>0</v>
      </c>
      <c r="M89" s="62"/>
      <c r="N89" s="61">
        <v>0</v>
      </c>
      <c r="O89" s="62"/>
      <c r="P89" s="61">
        <v>0</v>
      </c>
      <c r="Q89" s="62"/>
      <c r="R89" s="61">
        <f t="shared" si="6"/>
        <v>1408378.17</v>
      </c>
      <c r="S89" s="63"/>
      <c r="T89" s="63"/>
      <c r="U89" s="63"/>
    </row>
    <row r="90" spans="1:21" s="60" customFormat="1" hidden="1" outlineLevel="1">
      <c r="A90" s="60" t="s">
        <v>666</v>
      </c>
      <c r="B90" s="61">
        <v>2700893.54</v>
      </c>
      <c r="C90" s="62"/>
      <c r="D90" s="61">
        <v>0</v>
      </c>
      <c r="E90" s="62"/>
      <c r="F90" s="328">
        <v>0</v>
      </c>
      <c r="G90" s="62"/>
      <c r="H90" s="61">
        <v>0</v>
      </c>
      <c r="I90" s="62"/>
      <c r="J90" s="61">
        <v>0</v>
      </c>
      <c r="K90" s="62"/>
      <c r="L90" s="61">
        <v>0</v>
      </c>
      <c r="M90" s="62"/>
      <c r="N90" s="61">
        <v>0</v>
      </c>
      <c r="O90" s="62"/>
      <c r="P90" s="61">
        <v>0</v>
      </c>
      <c r="Q90" s="62"/>
      <c r="R90" s="61">
        <f t="shared" si="6"/>
        <v>2700893.54</v>
      </c>
      <c r="S90" s="63"/>
      <c r="T90" s="63"/>
      <c r="U90" s="63"/>
    </row>
    <row r="91" spans="1:21" s="60" customFormat="1" hidden="1" outlineLevel="1">
      <c r="A91" s="60" t="s">
        <v>709</v>
      </c>
      <c r="B91" s="61">
        <v>4803379.18</v>
      </c>
      <c r="C91" s="62"/>
      <c r="D91" s="61">
        <v>0</v>
      </c>
      <c r="E91" s="62"/>
      <c r="F91" s="328">
        <v>0</v>
      </c>
      <c r="G91" s="62"/>
      <c r="H91" s="61">
        <v>0</v>
      </c>
      <c r="I91" s="62"/>
      <c r="J91" s="61">
        <v>0</v>
      </c>
      <c r="K91" s="62"/>
      <c r="L91" s="61">
        <v>0</v>
      </c>
      <c r="M91" s="62"/>
      <c r="N91" s="61">
        <v>0</v>
      </c>
      <c r="O91" s="62"/>
      <c r="P91" s="61">
        <v>0</v>
      </c>
      <c r="Q91" s="62"/>
      <c r="R91" s="61">
        <f t="shared" si="6"/>
        <v>4803379.18</v>
      </c>
      <c r="S91" s="63"/>
      <c r="T91" s="63"/>
      <c r="U91" s="63"/>
    </row>
    <row r="92" spans="1:21" s="60" customFormat="1" hidden="1" outlineLevel="1">
      <c r="A92" s="60" t="s">
        <v>262</v>
      </c>
      <c r="B92" s="61">
        <v>2809509.13</v>
      </c>
      <c r="C92" s="62"/>
      <c r="D92" s="61">
        <v>0</v>
      </c>
      <c r="E92" s="62"/>
      <c r="F92" s="328">
        <v>0</v>
      </c>
      <c r="G92" s="62"/>
      <c r="H92" s="61">
        <v>0</v>
      </c>
      <c r="I92" s="62"/>
      <c r="J92" s="61">
        <v>0</v>
      </c>
      <c r="K92" s="62"/>
      <c r="L92" s="61">
        <v>0</v>
      </c>
      <c r="M92" s="62"/>
      <c r="N92" s="61">
        <v>0</v>
      </c>
      <c r="O92" s="62"/>
      <c r="P92" s="61">
        <v>0</v>
      </c>
      <c r="Q92" s="62"/>
      <c r="R92" s="61">
        <f t="shared" si="6"/>
        <v>2809509.13</v>
      </c>
      <c r="S92" s="63"/>
      <c r="T92" s="63"/>
      <c r="U92" s="63"/>
    </row>
    <row r="93" spans="1:21" s="60" customFormat="1" hidden="1" outlineLevel="1">
      <c r="A93" s="60" t="s">
        <v>260</v>
      </c>
      <c r="B93" s="61">
        <v>3595411.54</v>
      </c>
      <c r="C93" s="62"/>
      <c r="D93" s="61">
        <v>0</v>
      </c>
      <c r="E93" s="62"/>
      <c r="F93" s="328">
        <v>-194624.59</v>
      </c>
      <c r="G93" s="62"/>
      <c r="H93" s="61">
        <v>0</v>
      </c>
      <c r="I93" s="62"/>
      <c r="J93" s="61">
        <v>0</v>
      </c>
      <c r="K93" s="62"/>
      <c r="L93" s="61">
        <v>0</v>
      </c>
      <c r="M93" s="62"/>
      <c r="N93" s="61">
        <v>0</v>
      </c>
      <c r="O93" s="62"/>
      <c r="P93" s="61">
        <v>0</v>
      </c>
      <c r="Q93" s="62"/>
      <c r="R93" s="61">
        <f t="shared" si="6"/>
        <v>3400786.95</v>
      </c>
      <c r="S93" s="63"/>
      <c r="T93" s="63"/>
      <c r="U93" s="63"/>
    </row>
    <row r="94" spans="1:21" s="60" customFormat="1" hidden="1" outlineLevel="1">
      <c r="A94" s="60" t="s">
        <v>669</v>
      </c>
      <c r="B94" s="61">
        <v>3369375.78</v>
      </c>
      <c r="C94" s="62"/>
      <c r="D94" s="61">
        <v>0</v>
      </c>
      <c r="E94" s="62"/>
      <c r="F94" s="328">
        <v>0</v>
      </c>
      <c r="G94" s="62"/>
      <c r="H94" s="61">
        <v>0</v>
      </c>
      <c r="I94" s="62"/>
      <c r="J94" s="61">
        <v>0</v>
      </c>
      <c r="K94" s="62"/>
      <c r="L94" s="61">
        <v>0</v>
      </c>
      <c r="M94" s="62"/>
      <c r="N94" s="61">
        <v>0</v>
      </c>
      <c r="O94" s="62"/>
      <c r="P94" s="61">
        <v>0</v>
      </c>
      <c r="Q94" s="62"/>
      <c r="R94" s="61">
        <f t="shared" si="6"/>
        <v>3369375.78</v>
      </c>
      <c r="S94" s="63"/>
      <c r="T94" s="63"/>
      <c r="U94" s="63"/>
    </row>
    <row r="95" spans="1:21" s="60" customFormat="1" hidden="1" outlineLevel="1">
      <c r="A95" s="60" t="s">
        <v>965</v>
      </c>
      <c r="B95" s="61">
        <v>3003192.13</v>
      </c>
      <c r="C95" s="62"/>
      <c r="D95" s="61">
        <v>0</v>
      </c>
      <c r="E95" s="62"/>
      <c r="F95" s="328">
        <v>0</v>
      </c>
      <c r="G95" s="62"/>
      <c r="H95" s="61">
        <v>0</v>
      </c>
      <c r="I95" s="62"/>
      <c r="J95" s="61">
        <v>0</v>
      </c>
      <c r="K95" s="62"/>
      <c r="L95" s="61">
        <v>0</v>
      </c>
      <c r="M95" s="62"/>
      <c r="N95" s="61">
        <v>0</v>
      </c>
      <c r="O95" s="62"/>
      <c r="P95" s="61">
        <v>0</v>
      </c>
      <c r="Q95" s="62"/>
      <c r="R95" s="61">
        <f t="shared" si="6"/>
        <v>3003192.13</v>
      </c>
      <c r="S95" s="63"/>
      <c r="T95" s="63"/>
      <c r="U95" s="63"/>
    </row>
    <row r="96" spans="1:21" s="60" customFormat="1" hidden="1" outlineLevel="1">
      <c r="A96" s="60" t="s">
        <v>661</v>
      </c>
      <c r="B96" s="61">
        <v>2975250.88</v>
      </c>
      <c r="C96" s="62"/>
      <c r="D96" s="61">
        <v>0</v>
      </c>
      <c r="E96" s="62"/>
      <c r="F96" s="328">
        <v>0</v>
      </c>
      <c r="G96" s="62"/>
      <c r="H96" s="61">
        <v>0</v>
      </c>
      <c r="I96" s="62"/>
      <c r="J96" s="61">
        <v>0</v>
      </c>
      <c r="K96" s="62"/>
      <c r="L96" s="61">
        <v>0</v>
      </c>
      <c r="M96" s="62"/>
      <c r="N96" s="61">
        <v>0</v>
      </c>
      <c r="O96" s="62"/>
      <c r="P96" s="61">
        <v>0</v>
      </c>
      <c r="Q96" s="62"/>
      <c r="R96" s="61">
        <f t="shared" si="6"/>
        <v>2975250.88</v>
      </c>
      <c r="S96" s="63"/>
      <c r="T96" s="63"/>
      <c r="U96" s="63"/>
    </row>
    <row r="97" spans="1:21" s="60" customFormat="1" hidden="1" outlineLevel="1">
      <c r="A97" s="60" t="s">
        <v>966</v>
      </c>
      <c r="B97" s="61">
        <v>2823787.36</v>
      </c>
      <c r="C97" s="62"/>
      <c r="D97" s="61">
        <v>0</v>
      </c>
      <c r="E97" s="62"/>
      <c r="F97" s="328">
        <v>0</v>
      </c>
      <c r="G97" s="62"/>
      <c r="H97" s="61">
        <v>0</v>
      </c>
      <c r="I97" s="62"/>
      <c r="J97" s="61">
        <v>0</v>
      </c>
      <c r="K97" s="62"/>
      <c r="L97" s="61">
        <v>0</v>
      </c>
      <c r="M97" s="62"/>
      <c r="N97" s="61">
        <v>0</v>
      </c>
      <c r="O97" s="62"/>
      <c r="P97" s="61">
        <v>0</v>
      </c>
      <c r="Q97" s="62"/>
      <c r="R97" s="61">
        <f t="shared" si="6"/>
        <v>2823787.36</v>
      </c>
      <c r="S97" s="63"/>
      <c r="T97" s="63"/>
      <c r="U97" s="63"/>
    </row>
    <row r="98" spans="1:21" s="60" customFormat="1" hidden="1" outlineLevel="1">
      <c r="A98" s="60" t="s">
        <v>967</v>
      </c>
      <c r="B98" s="61">
        <v>0</v>
      </c>
      <c r="C98" s="62"/>
      <c r="D98" s="61">
        <v>0</v>
      </c>
      <c r="E98" s="62"/>
      <c r="F98" s="328">
        <v>0</v>
      </c>
      <c r="G98" s="62"/>
      <c r="H98" s="61">
        <v>0</v>
      </c>
      <c r="I98" s="62"/>
      <c r="J98" s="61">
        <v>0</v>
      </c>
      <c r="K98" s="62"/>
      <c r="L98" s="61">
        <v>0</v>
      </c>
      <c r="M98" s="62"/>
      <c r="N98" s="61">
        <v>0</v>
      </c>
      <c r="O98" s="62"/>
      <c r="P98" s="61">
        <v>0</v>
      </c>
      <c r="Q98" s="62"/>
      <c r="R98" s="61">
        <f t="shared" si="6"/>
        <v>0</v>
      </c>
      <c r="S98" s="63"/>
      <c r="T98" s="63"/>
      <c r="U98" s="63"/>
    </row>
    <row r="99" spans="1:21" s="10" customFormat="1" collapsed="1">
      <c r="A99" s="10" t="s">
        <v>795</v>
      </c>
      <c r="B99" s="64">
        <f>SUM(B88:B98)</f>
        <v>31887984.409999996</v>
      </c>
      <c r="C99" s="65"/>
      <c r="D99" s="64">
        <f>SUM(D88:D98)</f>
        <v>0</v>
      </c>
      <c r="E99" s="65"/>
      <c r="F99" s="64">
        <f>SUM(F88:F98)</f>
        <v>-194624.59</v>
      </c>
      <c r="G99" s="65"/>
      <c r="H99" s="64">
        <f t="shared" ref="H99:R99" si="9">SUM(H88:H98)</f>
        <v>0</v>
      </c>
      <c r="I99" s="65"/>
      <c r="J99" s="64">
        <f>SUM(J88:J98)</f>
        <v>0</v>
      </c>
      <c r="K99" s="65"/>
      <c r="L99" s="64">
        <f>SUM(L88:L98)</f>
        <v>0</v>
      </c>
      <c r="M99" s="65"/>
      <c r="N99" s="64">
        <f>SUM(N88:N98)</f>
        <v>0</v>
      </c>
      <c r="O99" s="65"/>
      <c r="P99" s="64">
        <f>SUM(P88:P98)</f>
        <v>0</v>
      </c>
      <c r="Q99" s="65"/>
      <c r="R99" s="64">
        <f t="shared" si="9"/>
        <v>31693359.819999997</v>
      </c>
      <c r="S99" s="24"/>
      <c r="T99" s="24"/>
      <c r="U99" s="24"/>
    </row>
    <row r="100" spans="1:21" s="60" customFormat="1" hidden="1" outlineLevel="1">
      <c r="A100" s="60" t="s">
        <v>699</v>
      </c>
      <c r="B100" s="61">
        <v>1721804.11</v>
      </c>
      <c r="C100" s="62"/>
      <c r="D100" s="61">
        <v>0</v>
      </c>
      <c r="E100" s="62"/>
      <c r="F100" s="328">
        <v>0</v>
      </c>
      <c r="G100" s="62"/>
      <c r="H100" s="328">
        <v>0</v>
      </c>
      <c r="I100" s="62"/>
      <c r="J100" s="61">
        <v>0</v>
      </c>
      <c r="K100" s="62"/>
      <c r="L100" s="61">
        <v>0</v>
      </c>
      <c r="M100" s="62"/>
      <c r="N100" s="61">
        <v>0</v>
      </c>
      <c r="O100" s="62"/>
      <c r="P100" s="61">
        <v>0</v>
      </c>
      <c r="Q100" s="62"/>
      <c r="R100" s="61">
        <f t="shared" si="6"/>
        <v>1721804.11</v>
      </c>
      <c r="S100" s="63"/>
      <c r="T100" s="63"/>
      <c r="U100" s="63"/>
    </row>
    <row r="101" spans="1:21" s="60" customFormat="1" hidden="1" outlineLevel="1">
      <c r="A101" s="60" t="s">
        <v>969</v>
      </c>
      <c r="B101" s="61">
        <v>971562.88</v>
      </c>
      <c r="C101" s="62"/>
      <c r="D101" s="61">
        <v>0</v>
      </c>
      <c r="E101" s="62"/>
      <c r="F101" s="328">
        <v>0</v>
      </c>
      <c r="G101" s="62"/>
      <c r="H101" s="328">
        <v>0</v>
      </c>
      <c r="I101" s="62"/>
      <c r="J101" s="61">
        <v>0</v>
      </c>
      <c r="K101" s="62"/>
      <c r="L101" s="61">
        <v>0</v>
      </c>
      <c r="M101" s="62"/>
      <c r="N101" s="61">
        <v>0</v>
      </c>
      <c r="O101" s="62"/>
      <c r="P101" s="61">
        <v>0</v>
      </c>
      <c r="Q101" s="62"/>
      <c r="R101" s="61">
        <f t="shared" si="6"/>
        <v>971562.88</v>
      </c>
      <c r="S101" s="63"/>
      <c r="T101" s="63"/>
      <c r="U101" s="63"/>
    </row>
    <row r="102" spans="1:21" s="60" customFormat="1" hidden="1" outlineLevel="1">
      <c r="A102" s="60" t="s">
        <v>697</v>
      </c>
      <c r="B102" s="61">
        <v>786600.88</v>
      </c>
      <c r="C102" s="62"/>
      <c r="D102" s="61">
        <v>0</v>
      </c>
      <c r="E102" s="62"/>
      <c r="F102" s="328">
        <v>0</v>
      </c>
      <c r="G102" s="62"/>
      <c r="H102" s="328">
        <v>0</v>
      </c>
      <c r="I102" s="62"/>
      <c r="J102" s="61">
        <v>0</v>
      </c>
      <c r="K102" s="62"/>
      <c r="L102" s="61">
        <v>0</v>
      </c>
      <c r="M102" s="62"/>
      <c r="N102" s="61">
        <v>0</v>
      </c>
      <c r="O102" s="62"/>
      <c r="P102" s="61">
        <v>0</v>
      </c>
      <c r="Q102" s="62"/>
      <c r="R102" s="61">
        <f t="shared" si="6"/>
        <v>786600.88</v>
      </c>
      <c r="S102" s="63"/>
      <c r="T102" s="63"/>
      <c r="U102" s="63"/>
    </row>
    <row r="103" spans="1:21" s="60" customFormat="1" hidden="1" outlineLevel="1">
      <c r="A103" s="60" t="s">
        <v>970</v>
      </c>
      <c r="B103" s="61">
        <v>765225</v>
      </c>
      <c r="C103" s="62"/>
      <c r="D103" s="61">
        <v>0</v>
      </c>
      <c r="E103" s="62"/>
      <c r="F103" s="328">
        <v>0</v>
      </c>
      <c r="G103" s="62"/>
      <c r="H103" s="328">
        <v>0</v>
      </c>
      <c r="I103" s="62"/>
      <c r="J103" s="61">
        <v>0</v>
      </c>
      <c r="K103" s="62"/>
      <c r="L103" s="61">
        <v>0</v>
      </c>
      <c r="M103" s="62"/>
      <c r="N103" s="61">
        <v>0</v>
      </c>
      <c r="O103" s="62"/>
      <c r="P103" s="61">
        <v>0</v>
      </c>
      <c r="Q103" s="62"/>
      <c r="R103" s="61">
        <f t="shared" si="6"/>
        <v>765225</v>
      </c>
      <c r="S103" s="63"/>
      <c r="T103" s="63"/>
      <c r="U103" s="63"/>
    </row>
    <row r="104" spans="1:21" s="60" customFormat="1" hidden="1" outlineLevel="1">
      <c r="A104" s="60" t="s">
        <v>704</v>
      </c>
      <c r="B104" s="61">
        <v>1504273.45</v>
      </c>
      <c r="C104" s="62"/>
      <c r="D104" s="61">
        <v>0</v>
      </c>
      <c r="E104" s="62"/>
      <c r="F104" s="328">
        <v>0</v>
      </c>
      <c r="G104" s="62"/>
      <c r="H104" s="328">
        <v>0</v>
      </c>
      <c r="I104" s="62"/>
      <c r="J104" s="61">
        <v>0</v>
      </c>
      <c r="K104" s="62"/>
      <c r="L104" s="61">
        <v>0</v>
      </c>
      <c r="M104" s="62"/>
      <c r="N104" s="61">
        <v>0</v>
      </c>
      <c r="O104" s="62"/>
      <c r="P104" s="61">
        <v>0</v>
      </c>
      <c r="Q104" s="62"/>
      <c r="R104" s="61">
        <f t="shared" si="6"/>
        <v>1504273.45</v>
      </c>
      <c r="S104" s="63"/>
      <c r="T104" s="63"/>
      <c r="U104" s="63"/>
    </row>
    <row r="105" spans="1:21" s="60" customFormat="1" hidden="1" outlineLevel="1">
      <c r="A105" s="60" t="s">
        <v>1021</v>
      </c>
      <c r="B105" s="61">
        <v>3081051.96</v>
      </c>
      <c r="C105" s="62"/>
      <c r="D105" s="61">
        <v>0</v>
      </c>
      <c r="E105" s="62"/>
      <c r="F105" s="328">
        <v>0</v>
      </c>
      <c r="G105" s="62"/>
      <c r="H105" s="328">
        <v>0</v>
      </c>
      <c r="I105" s="62"/>
      <c r="J105" s="61">
        <v>0</v>
      </c>
      <c r="K105" s="62"/>
      <c r="L105" s="61">
        <v>0</v>
      </c>
      <c r="M105" s="62"/>
      <c r="N105" s="61">
        <v>0</v>
      </c>
      <c r="O105" s="62"/>
      <c r="P105" s="61">
        <v>0</v>
      </c>
      <c r="Q105" s="62"/>
      <c r="R105" s="61">
        <f t="shared" si="6"/>
        <v>3081051.96</v>
      </c>
      <c r="S105" s="63"/>
      <c r="T105" s="63"/>
      <c r="U105" s="63"/>
    </row>
    <row r="106" spans="1:21" s="60" customFormat="1" hidden="1" outlineLevel="1">
      <c r="A106" s="60" t="s">
        <v>701</v>
      </c>
      <c r="B106" s="61">
        <v>1793731.8</v>
      </c>
      <c r="C106" s="62"/>
      <c r="D106" s="61">
        <v>0</v>
      </c>
      <c r="E106" s="62"/>
      <c r="F106" s="328">
        <v>0</v>
      </c>
      <c r="G106" s="62"/>
      <c r="H106" s="328">
        <v>0</v>
      </c>
      <c r="I106" s="62"/>
      <c r="J106" s="61">
        <v>0</v>
      </c>
      <c r="K106" s="62"/>
      <c r="L106" s="61">
        <v>0</v>
      </c>
      <c r="M106" s="62"/>
      <c r="N106" s="61">
        <v>0</v>
      </c>
      <c r="O106" s="62"/>
      <c r="P106" s="61">
        <v>0</v>
      </c>
      <c r="Q106" s="62"/>
      <c r="R106" s="61">
        <f t="shared" si="6"/>
        <v>1793731.8</v>
      </c>
      <c r="S106" s="63"/>
      <c r="T106" s="63"/>
      <c r="U106" s="63"/>
    </row>
    <row r="107" spans="1:21" s="60" customFormat="1" hidden="1" outlineLevel="1">
      <c r="A107" s="60" t="s">
        <v>977</v>
      </c>
      <c r="B107" s="61">
        <v>362414.86</v>
      </c>
      <c r="C107" s="62"/>
      <c r="D107" s="61">
        <v>0</v>
      </c>
      <c r="E107" s="62"/>
      <c r="F107" s="328">
        <v>0</v>
      </c>
      <c r="G107" s="62"/>
      <c r="H107" s="328">
        <v>0</v>
      </c>
      <c r="I107" s="62"/>
      <c r="J107" s="61">
        <v>0</v>
      </c>
      <c r="K107" s="62"/>
      <c r="L107" s="61">
        <v>0</v>
      </c>
      <c r="M107" s="62"/>
      <c r="N107" s="61">
        <v>0</v>
      </c>
      <c r="O107" s="62"/>
      <c r="P107" s="61">
        <v>0</v>
      </c>
      <c r="Q107" s="62"/>
      <c r="R107" s="61">
        <f t="shared" si="6"/>
        <v>362414.86</v>
      </c>
      <c r="S107" s="63"/>
      <c r="T107" s="63"/>
      <c r="U107" s="63"/>
    </row>
    <row r="108" spans="1:21" s="60" customFormat="1" hidden="1" outlineLevel="1">
      <c r="A108" s="60" t="s">
        <v>1045</v>
      </c>
      <c r="B108" s="61">
        <v>421661.77</v>
      </c>
      <c r="C108" s="62"/>
      <c r="D108" s="61">
        <v>0</v>
      </c>
      <c r="E108" s="62"/>
      <c r="F108" s="328">
        <v>0</v>
      </c>
      <c r="G108" s="62"/>
      <c r="H108" s="328">
        <v>0</v>
      </c>
      <c r="I108" s="62"/>
      <c r="J108" s="61">
        <v>0</v>
      </c>
      <c r="K108" s="62"/>
      <c r="L108" s="61">
        <v>0</v>
      </c>
      <c r="M108" s="62"/>
      <c r="N108" s="61">
        <v>0</v>
      </c>
      <c r="O108" s="62"/>
      <c r="P108" s="61">
        <v>0</v>
      </c>
      <c r="Q108" s="62"/>
      <c r="R108" s="61">
        <f t="shared" si="6"/>
        <v>421661.77</v>
      </c>
      <c r="S108" s="63"/>
      <c r="T108" s="63"/>
      <c r="U108" s="63"/>
    </row>
    <row r="109" spans="1:21" s="60" customFormat="1" hidden="1" outlineLevel="1">
      <c r="A109" s="60" t="s">
        <v>693</v>
      </c>
      <c r="B109" s="61">
        <v>421153.16</v>
      </c>
      <c r="C109" s="62"/>
      <c r="D109" s="61">
        <v>0</v>
      </c>
      <c r="E109" s="62"/>
      <c r="F109" s="328">
        <v>0</v>
      </c>
      <c r="G109" s="62"/>
      <c r="H109" s="328">
        <v>0</v>
      </c>
      <c r="I109" s="62"/>
      <c r="J109" s="61">
        <v>0</v>
      </c>
      <c r="K109" s="62"/>
      <c r="L109" s="61">
        <v>0</v>
      </c>
      <c r="M109" s="62"/>
      <c r="N109" s="61">
        <v>0</v>
      </c>
      <c r="O109" s="62"/>
      <c r="P109" s="61">
        <v>0</v>
      </c>
      <c r="Q109" s="62"/>
      <c r="R109" s="61">
        <f t="shared" si="6"/>
        <v>421153.16</v>
      </c>
      <c r="S109" s="63"/>
      <c r="T109" s="63"/>
      <c r="U109" s="63"/>
    </row>
    <row r="110" spans="1:21" s="60" customFormat="1" hidden="1" outlineLevel="1">
      <c r="A110" s="60" t="s">
        <v>1022</v>
      </c>
      <c r="B110" s="61">
        <v>368223.66</v>
      </c>
      <c r="C110" s="62"/>
      <c r="D110" s="61">
        <v>0</v>
      </c>
      <c r="E110" s="62"/>
      <c r="F110" s="328">
        <v>0</v>
      </c>
      <c r="G110" s="62"/>
      <c r="H110" s="328">
        <v>0</v>
      </c>
      <c r="I110" s="62"/>
      <c r="J110" s="61">
        <v>0</v>
      </c>
      <c r="K110" s="62"/>
      <c r="L110" s="61">
        <v>0</v>
      </c>
      <c r="M110" s="62"/>
      <c r="N110" s="61">
        <v>0</v>
      </c>
      <c r="O110" s="62"/>
      <c r="P110" s="61">
        <v>0</v>
      </c>
      <c r="Q110" s="62"/>
      <c r="R110" s="61">
        <f t="shared" si="6"/>
        <v>368223.66</v>
      </c>
      <c r="S110" s="63"/>
      <c r="T110" s="63"/>
      <c r="U110" s="63"/>
    </row>
    <row r="111" spans="1:21" s="60" customFormat="1" hidden="1" outlineLevel="1">
      <c r="A111" s="60" t="s">
        <v>968</v>
      </c>
      <c r="B111" s="61">
        <v>366187.84</v>
      </c>
      <c r="C111" s="62"/>
      <c r="D111" s="61">
        <v>0</v>
      </c>
      <c r="E111" s="62"/>
      <c r="F111" s="328">
        <v>0</v>
      </c>
      <c r="G111" s="62"/>
      <c r="H111" s="328">
        <v>0</v>
      </c>
      <c r="I111" s="62"/>
      <c r="J111" s="61">
        <v>0</v>
      </c>
      <c r="K111" s="62"/>
      <c r="L111" s="61">
        <v>0</v>
      </c>
      <c r="M111" s="62"/>
      <c r="N111" s="61">
        <v>0</v>
      </c>
      <c r="O111" s="62"/>
      <c r="P111" s="61">
        <v>0</v>
      </c>
      <c r="Q111" s="62"/>
      <c r="R111" s="61">
        <f t="shared" si="6"/>
        <v>366187.84</v>
      </c>
      <c r="S111" s="63"/>
      <c r="T111" s="63"/>
      <c r="U111" s="63"/>
    </row>
    <row r="112" spans="1:21" s="60" customFormat="1" hidden="1" outlineLevel="1">
      <c r="A112" s="60" t="s">
        <v>1046</v>
      </c>
      <c r="B112" s="61">
        <v>363536.71</v>
      </c>
      <c r="C112" s="62"/>
      <c r="D112" s="61">
        <v>0</v>
      </c>
      <c r="E112" s="62"/>
      <c r="F112" s="328">
        <v>0</v>
      </c>
      <c r="G112" s="62"/>
      <c r="H112" s="328">
        <v>0</v>
      </c>
      <c r="I112" s="62"/>
      <c r="J112" s="61">
        <v>0</v>
      </c>
      <c r="K112" s="62"/>
      <c r="L112" s="61">
        <v>0</v>
      </c>
      <c r="M112" s="62"/>
      <c r="N112" s="61">
        <v>0</v>
      </c>
      <c r="O112" s="62"/>
      <c r="P112" s="61">
        <v>0</v>
      </c>
      <c r="Q112" s="62"/>
      <c r="R112" s="61">
        <f t="shared" si="6"/>
        <v>363536.71</v>
      </c>
      <c r="S112" s="63"/>
      <c r="T112" s="63"/>
      <c r="U112" s="63"/>
    </row>
    <row r="113" spans="1:21" s="60" customFormat="1" hidden="1" outlineLevel="1">
      <c r="A113" s="60" t="s">
        <v>972</v>
      </c>
      <c r="B113" s="61">
        <v>0</v>
      </c>
      <c r="C113" s="62"/>
      <c r="D113" s="61">
        <v>0</v>
      </c>
      <c r="E113" s="62"/>
      <c r="F113" s="328">
        <v>0</v>
      </c>
      <c r="G113" s="62"/>
      <c r="H113" s="328">
        <v>0</v>
      </c>
      <c r="I113" s="62"/>
      <c r="J113" s="61">
        <v>0</v>
      </c>
      <c r="K113" s="62"/>
      <c r="L113" s="61">
        <v>0</v>
      </c>
      <c r="M113" s="62"/>
      <c r="N113" s="61">
        <v>0</v>
      </c>
      <c r="O113" s="62"/>
      <c r="P113" s="61">
        <v>0</v>
      </c>
      <c r="Q113" s="62"/>
      <c r="R113" s="61">
        <f t="shared" si="6"/>
        <v>0</v>
      </c>
      <c r="S113" s="63"/>
      <c r="T113" s="63"/>
      <c r="U113" s="63"/>
    </row>
    <row r="114" spans="1:21" s="60" customFormat="1" hidden="1" outlineLevel="1">
      <c r="A114" s="60" t="s">
        <v>1047</v>
      </c>
      <c r="B114" s="61">
        <v>1784764.25</v>
      </c>
      <c r="C114" s="62"/>
      <c r="D114" s="61">
        <v>0</v>
      </c>
      <c r="E114" s="62"/>
      <c r="F114" s="328">
        <v>0</v>
      </c>
      <c r="G114" s="62"/>
      <c r="H114" s="328">
        <v>0</v>
      </c>
      <c r="I114" s="62"/>
      <c r="J114" s="61">
        <v>0</v>
      </c>
      <c r="K114" s="62"/>
      <c r="L114" s="61">
        <v>0</v>
      </c>
      <c r="M114" s="62"/>
      <c r="N114" s="61">
        <v>0</v>
      </c>
      <c r="O114" s="62"/>
      <c r="P114" s="61">
        <v>0</v>
      </c>
      <c r="Q114" s="62"/>
      <c r="R114" s="61">
        <f t="shared" si="6"/>
        <v>1784764.25</v>
      </c>
      <c r="S114" s="63"/>
      <c r="T114" s="63"/>
      <c r="U114" s="63"/>
    </row>
    <row r="115" spans="1:21" s="10" customFormat="1" collapsed="1">
      <c r="A115" s="10" t="s">
        <v>796</v>
      </c>
      <c r="B115" s="64">
        <f>SUM(B100:B114)</f>
        <v>14712192.330000002</v>
      </c>
      <c r="C115" s="65"/>
      <c r="D115" s="64">
        <f>SUM(D100:D114)</f>
        <v>0</v>
      </c>
      <c r="E115" s="65"/>
      <c r="F115" s="64">
        <f>SUM(F100:F114)</f>
        <v>0</v>
      </c>
      <c r="G115" s="65"/>
      <c r="H115" s="64">
        <f>SUM(H100:H114)</f>
        <v>0</v>
      </c>
      <c r="I115" s="65"/>
      <c r="J115" s="64">
        <f>SUM(J100:J114)</f>
        <v>0</v>
      </c>
      <c r="K115" s="65"/>
      <c r="L115" s="64">
        <f>SUM(L100:L114)</f>
        <v>0</v>
      </c>
      <c r="M115" s="65"/>
      <c r="N115" s="64">
        <f>SUM(N100:N114)</f>
        <v>0</v>
      </c>
      <c r="O115" s="65"/>
      <c r="P115" s="64">
        <f>SUM(P100:P114)</f>
        <v>0</v>
      </c>
      <c r="Q115" s="65"/>
      <c r="R115" s="64">
        <f>SUM(R100:R114)</f>
        <v>14712192.330000002</v>
      </c>
      <c r="S115" s="24"/>
      <c r="T115" s="24"/>
      <c r="U115" s="24"/>
    </row>
    <row r="116" spans="1:21" s="60" customFormat="1" hidden="1" outlineLevel="1">
      <c r="A116" s="60" t="s">
        <v>1039</v>
      </c>
      <c r="B116" s="61">
        <v>124894.82</v>
      </c>
      <c r="C116" s="62"/>
      <c r="D116" s="61">
        <v>0</v>
      </c>
      <c r="E116" s="62"/>
      <c r="F116" s="328">
        <v>0</v>
      </c>
      <c r="G116" s="62"/>
      <c r="H116" s="328">
        <v>0</v>
      </c>
      <c r="I116" s="62"/>
      <c r="J116" s="328">
        <v>0</v>
      </c>
      <c r="K116" s="62"/>
      <c r="L116" s="328">
        <v>0</v>
      </c>
      <c r="M116" s="62"/>
      <c r="N116" s="328">
        <v>0</v>
      </c>
      <c r="O116" s="62"/>
      <c r="P116" s="328">
        <v>0</v>
      </c>
      <c r="Q116" s="62"/>
      <c r="R116" s="61">
        <f t="shared" si="6"/>
        <v>124894.82</v>
      </c>
      <c r="S116" s="63"/>
      <c r="T116" s="63"/>
      <c r="U116" s="63"/>
    </row>
    <row r="117" spans="1:21" s="60" customFormat="1" hidden="1" outlineLevel="1">
      <c r="A117" s="60" t="s">
        <v>981</v>
      </c>
      <c r="B117" s="61">
        <v>816009.42</v>
      </c>
      <c r="C117" s="62"/>
      <c r="D117" s="61">
        <v>0</v>
      </c>
      <c r="E117" s="62"/>
      <c r="F117" s="328">
        <v>0</v>
      </c>
      <c r="G117" s="62"/>
      <c r="H117" s="328">
        <v>0</v>
      </c>
      <c r="I117" s="62"/>
      <c r="J117" s="328">
        <v>0</v>
      </c>
      <c r="K117" s="62"/>
      <c r="L117" s="328">
        <v>0</v>
      </c>
      <c r="M117" s="62"/>
      <c r="N117" s="328">
        <v>0</v>
      </c>
      <c r="O117" s="62"/>
      <c r="P117" s="328">
        <v>0</v>
      </c>
      <c r="Q117" s="62"/>
      <c r="R117" s="61">
        <f t="shared" si="6"/>
        <v>816009.42</v>
      </c>
      <c r="S117" s="63"/>
      <c r="T117" s="63"/>
      <c r="U117" s="63"/>
    </row>
    <row r="118" spans="1:21" s="60" customFormat="1" hidden="1" outlineLevel="1">
      <c r="A118" s="60" t="s">
        <v>989</v>
      </c>
      <c r="B118" s="61">
        <v>319329.25</v>
      </c>
      <c r="C118" s="62"/>
      <c r="D118" s="61">
        <v>0</v>
      </c>
      <c r="E118" s="62"/>
      <c r="F118" s="328">
        <v>0</v>
      </c>
      <c r="G118" s="62"/>
      <c r="H118" s="328">
        <v>0</v>
      </c>
      <c r="I118" s="62"/>
      <c r="J118" s="328">
        <v>0</v>
      </c>
      <c r="K118" s="62"/>
      <c r="L118" s="328">
        <v>0</v>
      </c>
      <c r="M118" s="62"/>
      <c r="N118" s="328">
        <v>0</v>
      </c>
      <c r="O118" s="62"/>
      <c r="P118" s="328">
        <v>0</v>
      </c>
      <c r="Q118" s="62"/>
      <c r="R118" s="61">
        <f t="shared" si="6"/>
        <v>319329.25</v>
      </c>
      <c r="S118" s="63"/>
      <c r="T118" s="63"/>
      <c r="U118" s="63"/>
    </row>
    <row r="119" spans="1:21" s="60" customFormat="1" hidden="1" outlineLevel="1">
      <c r="A119" s="60" t="s">
        <v>983</v>
      </c>
      <c r="B119" s="61">
        <v>310612.84000000003</v>
      </c>
      <c r="C119" s="62"/>
      <c r="D119" s="61">
        <v>0</v>
      </c>
      <c r="E119" s="62"/>
      <c r="F119" s="328">
        <v>0</v>
      </c>
      <c r="G119" s="62"/>
      <c r="H119" s="328">
        <v>0</v>
      </c>
      <c r="I119" s="62"/>
      <c r="J119" s="328">
        <v>0</v>
      </c>
      <c r="K119" s="62"/>
      <c r="L119" s="328">
        <v>0</v>
      </c>
      <c r="M119" s="62"/>
      <c r="N119" s="328">
        <v>0</v>
      </c>
      <c r="O119" s="62"/>
      <c r="P119" s="328">
        <v>0</v>
      </c>
      <c r="Q119" s="62"/>
      <c r="R119" s="61">
        <f t="shared" si="6"/>
        <v>310612.84000000003</v>
      </c>
      <c r="S119" s="63"/>
      <c r="T119" s="63"/>
      <c r="U119" s="63"/>
    </row>
    <row r="120" spans="1:21" s="60" customFormat="1" hidden="1" outlineLevel="1">
      <c r="A120" s="60" t="s">
        <v>1043</v>
      </c>
      <c r="B120" s="61">
        <v>65866.39</v>
      </c>
      <c r="C120" s="62"/>
      <c r="D120" s="61">
        <v>0</v>
      </c>
      <c r="E120" s="62"/>
      <c r="F120" s="328">
        <v>0</v>
      </c>
      <c r="G120" s="62"/>
      <c r="H120" s="328">
        <v>0</v>
      </c>
      <c r="I120" s="62"/>
      <c r="J120" s="328">
        <v>0</v>
      </c>
      <c r="K120" s="62"/>
      <c r="L120" s="328">
        <v>0</v>
      </c>
      <c r="M120" s="62"/>
      <c r="N120" s="328">
        <v>0</v>
      </c>
      <c r="O120" s="62"/>
      <c r="P120" s="328">
        <v>0</v>
      </c>
      <c r="Q120" s="62"/>
      <c r="R120" s="61">
        <f t="shared" si="6"/>
        <v>65866.39</v>
      </c>
      <c r="S120" s="63"/>
      <c r="T120" s="63"/>
      <c r="U120" s="63"/>
    </row>
    <row r="121" spans="1:21" s="60" customFormat="1" hidden="1" outlineLevel="1">
      <c r="A121" s="60" t="s">
        <v>986</v>
      </c>
      <c r="B121" s="61">
        <v>110990.21</v>
      </c>
      <c r="C121" s="62"/>
      <c r="D121" s="61">
        <v>0</v>
      </c>
      <c r="E121" s="62"/>
      <c r="F121" s="328">
        <v>0</v>
      </c>
      <c r="G121" s="62"/>
      <c r="H121" s="328">
        <v>0</v>
      </c>
      <c r="I121" s="62"/>
      <c r="J121" s="328">
        <v>0</v>
      </c>
      <c r="K121" s="62"/>
      <c r="L121" s="328">
        <v>0</v>
      </c>
      <c r="M121" s="62"/>
      <c r="N121" s="328">
        <v>0</v>
      </c>
      <c r="O121" s="62"/>
      <c r="P121" s="328">
        <v>0</v>
      </c>
      <c r="Q121" s="62"/>
      <c r="R121" s="61">
        <f t="shared" si="6"/>
        <v>110990.21</v>
      </c>
      <c r="S121" s="63"/>
      <c r="T121" s="63"/>
      <c r="U121" s="63"/>
    </row>
    <row r="122" spans="1:21" s="60" customFormat="1" hidden="1" outlineLevel="1">
      <c r="A122" s="60" t="s">
        <v>984</v>
      </c>
      <c r="B122" s="61">
        <v>880048.73</v>
      </c>
      <c r="C122" s="62"/>
      <c r="D122" s="61">
        <v>0</v>
      </c>
      <c r="E122" s="62"/>
      <c r="F122" s="328">
        <v>0</v>
      </c>
      <c r="G122" s="62"/>
      <c r="H122" s="328">
        <v>0</v>
      </c>
      <c r="I122" s="62"/>
      <c r="J122" s="328">
        <v>0</v>
      </c>
      <c r="K122" s="62"/>
      <c r="L122" s="328">
        <v>0</v>
      </c>
      <c r="M122" s="62"/>
      <c r="N122" s="328">
        <v>0</v>
      </c>
      <c r="O122" s="62"/>
      <c r="P122" s="328">
        <v>0</v>
      </c>
      <c r="Q122" s="62"/>
      <c r="R122" s="61">
        <f t="shared" ref="R122:R147" si="10">SUM(B122:P122)</f>
        <v>880048.73</v>
      </c>
      <c r="S122" s="63"/>
      <c r="T122" s="63"/>
      <c r="U122" s="63"/>
    </row>
    <row r="123" spans="1:21" s="60" customFormat="1" hidden="1" outlineLevel="1">
      <c r="A123" s="60" t="s">
        <v>987</v>
      </c>
      <c r="B123" s="61">
        <v>797219.19</v>
      </c>
      <c r="C123" s="62"/>
      <c r="D123" s="61">
        <v>0</v>
      </c>
      <c r="E123" s="62"/>
      <c r="F123" s="328">
        <v>0</v>
      </c>
      <c r="G123" s="62"/>
      <c r="H123" s="328">
        <v>0</v>
      </c>
      <c r="I123" s="62"/>
      <c r="J123" s="328">
        <v>0</v>
      </c>
      <c r="K123" s="62"/>
      <c r="L123" s="328">
        <v>0</v>
      </c>
      <c r="M123" s="62"/>
      <c r="N123" s="328">
        <v>0</v>
      </c>
      <c r="O123" s="62"/>
      <c r="P123" s="328">
        <v>0</v>
      </c>
      <c r="Q123" s="62"/>
      <c r="R123" s="61">
        <f t="shared" si="10"/>
        <v>797219.19</v>
      </c>
      <c r="S123" s="63"/>
      <c r="T123" s="63"/>
      <c r="U123" s="63"/>
    </row>
    <row r="124" spans="1:21" s="60" customFormat="1" hidden="1" outlineLevel="1">
      <c r="A124" s="60" t="s">
        <v>988</v>
      </c>
      <c r="B124" s="61">
        <v>191489.48</v>
      </c>
      <c r="C124" s="62"/>
      <c r="D124" s="61">
        <v>0</v>
      </c>
      <c r="E124" s="62"/>
      <c r="F124" s="328">
        <v>0</v>
      </c>
      <c r="G124" s="62"/>
      <c r="H124" s="328">
        <v>0</v>
      </c>
      <c r="I124" s="62"/>
      <c r="J124" s="328">
        <v>0</v>
      </c>
      <c r="K124" s="62"/>
      <c r="L124" s="328">
        <v>0</v>
      </c>
      <c r="M124" s="62"/>
      <c r="N124" s="328">
        <v>0</v>
      </c>
      <c r="O124" s="62"/>
      <c r="P124" s="328">
        <v>0</v>
      </c>
      <c r="Q124" s="62"/>
      <c r="R124" s="61">
        <f t="shared" si="10"/>
        <v>191489.48</v>
      </c>
      <c r="S124" s="63"/>
      <c r="T124" s="63"/>
      <c r="U124" s="63"/>
    </row>
    <row r="125" spans="1:21" s="60" customFormat="1" hidden="1" outlineLevel="1">
      <c r="A125" s="60" t="s">
        <v>410</v>
      </c>
      <c r="B125" s="61">
        <v>383708.23</v>
      </c>
      <c r="C125" s="62"/>
      <c r="D125" s="61">
        <v>0</v>
      </c>
      <c r="E125" s="62"/>
      <c r="F125" s="328">
        <v>0</v>
      </c>
      <c r="G125" s="62"/>
      <c r="H125" s="328">
        <v>0</v>
      </c>
      <c r="I125" s="62"/>
      <c r="J125" s="328">
        <v>0</v>
      </c>
      <c r="K125" s="62"/>
      <c r="L125" s="328">
        <v>0</v>
      </c>
      <c r="M125" s="62"/>
      <c r="N125" s="328">
        <v>0</v>
      </c>
      <c r="O125" s="62"/>
      <c r="P125" s="328">
        <v>0</v>
      </c>
      <c r="Q125" s="62"/>
      <c r="R125" s="61">
        <f t="shared" si="10"/>
        <v>383708.23</v>
      </c>
      <c r="S125" s="63"/>
      <c r="T125" s="63"/>
      <c r="U125" s="63"/>
    </row>
    <row r="126" spans="1:21" s="60" customFormat="1" hidden="1" outlineLevel="1">
      <c r="A126" s="60" t="s">
        <v>415</v>
      </c>
      <c r="B126" s="61">
        <v>405780.46</v>
      </c>
      <c r="C126" s="62"/>
      <c r="D126" s="61">
        <v>0</v>
      </c>
      <c r="E126" s="62"/>
      <c r="F126" s="328">
        <v>0</v>
      </c>
      <c r="G126" s="62"/>
      <c r="H126" s="328">
        <v>0</v>
      </c>
      <c r="I126" s="62"/>
      <c r="J126" s="328">
        <v>0</v>
      </c>
      <c r="K126" s="62"/>
      <c r="L126" s="328">
        <v>0</v>
      </c>
      <c r="M126" s="62"/>
      <c r="N126" s="328">
        <v>0</v>
      </c>
      <c r="O126" s="62"/>
      <c r="P126" s="328">
        <v>0</v>
      </c>
      <c r="Q126" s="62"/>
      <c r="R126" s="61">
        <f t="shared" si="10"/>
        <v>405780.46</v>
      </c>
      <c r="S126" s="63"/>
      <c r="T126" s="63"/>
      <c r="U126" s="63"/>
    </row>
    <row r="127" spans="1:21" s="60" customFormat="1" hidden="1" outlineLevel="1">
      <c r="A127" s="60" t="s">
        <v>1041</v>
      </c>
      <c r="B127" s="61">
        <v>404189.63</v>
      </c>
      <c r="C127" s="62"/>
      <c r="D127" s="61">
        <v>0</v>
      </c>
      <c r="E127" s="62"/>
      <c r="F127" s="328">
        <v>0</v>
      </c>
      <c r="G127" s="62"/>
      <c r="H127" s="328">
        <v>0</v>
      </c>
      <c r="I127" s="62"/>
      <c r="J127" s="328">
        <v>0</v>
      </c>
      <c r="K127" s="62"/>
      <c r="L127" s="328">
        <v>0</v>
      </c>
      <c r="M127" s="62"/>
      <c r="N127" s="328">
        <v>0</v>
      </c>
      <c r="O127" s="62"/>
      <c r="P127" s="328">
        <v>0</v>
      </c>
      <c r="Q127" s="62"/>
      <c r="R127" s="61">
        <f t="shared" si="10"/>
        <v>404189.63</v>
      </c>
      <c r="S127" s="63"/>
      <c r="T127" s="63"/>
      <c r="U127" s="63"/>
    </row>
    <row r="128" spans="1:21" s="60" customFormat="1" hidden="1" outlineLevel="1">
      <c r="A128" s="60" t="s">
        <v>413</v>
      </c>
      <c r="B128" s="61">
        <v>410835.67</v>
      </c>
      <c r="C128" s="62"/>
      <c r="D128" s="61">
        <v>0</v>
      </c>
      <c r="E128" s="62"/>
      <c r="F128" s="328">
        <v>0</v>
      </c>
      <c r="G128" s="62"/>
      <c r="H128" s="328">
        <v>0</v>
      </c>
      <c r="I128" s="62"/>
      <c r="J128" s="328">
        <v>0</v>
      </c>
      <c r="K128" s="62"/>
      <c r="L128" s="328">
        <v>0</v>
      </c>
      <c r="M128" s="62"/>
      <c r="N128" s="328">
        <v>0</v>
      </c>
      <c r="O128" s="62"/>
      <c r="P128" s="328">
        <v>0</v>
      </c>
      <c r="Q128" s="62"/>
      <c r="R128" s="61">
        <f t="shared" si="10"/>
        <v>410835.67</v>
      </c>
      <c r="S128" s="63"/>
      <c r="T128" s="63"/>
      <c r="U128" s="63"/>
    </row>
    <row r="129" spans="1:21" s="60" customFormat="1" hidden="1" outlineLevel="1">
      <c r="A129" s="60" t="s">
        <v>412</v>
      </c>
      <c r="B129" s="61">
        <v>0</v>
      </c>
      <c r="C129" s="62"/>
      <c r="D129" s="61">
        <v>0</v>
      </c>
      <c r="E129" s="62"/>
      <c r="F129" s="328">
        <v>0</v>
      </c>
      <c r="G129" s="62"/>
      <c r="H129" s="328">
        <v>0</v>
      </c>
      <c r="I129" s="62"/>
      <c r="J129" s="328">
        <v>0</v>
      </c>
      <c r="K129" s="62"/>
      <c r="L129" s="328">
        <v>0</v>
      </c>
      <c r="M129" s="62"/>
      <c r="N129" s="328">
        <v>0</v>
      </c>
      <c r="O129" s="62"/>
      <c r="P129" s="328">
        <v>0</v>
      </c>
      <c r="Q129" s="62"/>
      <c r="R129" s="61">
        <f t="shared" si="10"/>
        <v>0</v>
      </c>
      <c r="S129" s="63"/>
      <c r="T129" s="63"/>
      <c r="U129" s="63"/>
    </row>
    <row r="130" spans="1:21" s="60" customFormat="1" hidden="1" outlineLevel="1">
      <c r="A130" s="60" t="s">
        <v>416</v>
      </c>
      <c r="B130" s="61">
        <v>48714.82</v>
      </c>
      <c r="C130" s="62"/>
      <c r="D130" s="61">
        <v>0</v>
      </c>
      <c r="E130" s="62"/>
      <c r="F130" s="328">
        <v>0</v>
      </c>
      <c r="G130" s="62"/>
      <c r="H130" s="328">
        <v>0</v>
      </c>
      <c r="I130" s="62"/>
      <c r="J130" s="328">
        <v>0</v>
      </c>
      <c r="K130" s="62"/>
      <c r="L130" s="328">
        <v>0</v>
      </c>
      <c r="M130" s="62"/>
      <c r="N130" s="328">
        <v>0</v>
      </c>
      <c r="O130" s="62"/>
      <c r="P130" s="328">
        <v>0</v>
      </c>
      <c r="Q130" s="62"/>
      <c r="R130" s="61">
        <f t="shared" si="10"/>
        <v>48714.82</v>
      </c>
      <c r="S130" s="63"/>
      <c r="T130" s="63"/>
      <c r="U130" s="63"/>
    </row>
    <row r="131" spans="1:21" s="10" customFormat="1" collapsed="1">
      <c r="A131" s="10" t="s">
        <v>797</v>
      </c>
      <c r="B131" s="64">
        <f>SUM(B116:B130)</f>
        <v>5269689.1400000006</v>
      </c>
      <c r="C131" s="65"/>
      <c r="D131" s="64">
        <f>SUM(D116:D130)</f>
        <v>0</v>
      </c>
      <c r="E131" s="65"/>
      <c r="F131" s="64">
        <f>SUM(F116:F130)</f>
        <v>0</v>
      </c>
      <c r="G131" s="65"/>
      <c r="H131" s="64">
        <f>SUM(H116:H130)</f>
        <v>0</v>
      </c>
      <c r="I131" s="65"/>
      <c r="J131" s="64">
        <f>SUM(J116:J130)</f>
        <v>0</v>
      </c>
      <c r="K131" s="64"/>
      <c r="L131" s="64">
        <f>SUM(L116:L130)</f>
        <v>0</v>
      </c>
      <c r="M131" s="65"/>
      <c r="N131" s="64">
        <f>SUM(N116:N130)</f>
        <v>0</v>
      </c>
      <c r="O131" s="65"/>
      <c r="P131" s="64">
        <f>SUM(P116:P130)</f>
        <v>0</v>
      </c>
      <c r="Q131" s="65"/>
      <c r="R131" s="64">
        <f>SUM(R116:R130)</f>
        <v>5269689.1400000006</v>
      </c>
      <c r="S131" s="24"/>
      <c r="T131" s="24"/>
      <c r="U131" s="24"/>
    </row>
    <row r="132" spans="1:21" s="60" customFormat="1" hidden="1" outlineLevel="1">
      <c r="A132" s="60" t="s">
        <v>411</v>
      </c>
      <c r="B132" s="61">
        <v>732833.97</v>
      </c>
      <c r="C132" s="62"/>
      <c r="D132" s="61">
        <v>0</v>
      </c>
      <c r="E132" s="62"/>
      <c r="F132" s="328">
        <v>0</v>
      </c>
      <c r="G132" s="62"/>
      <c r="H132" s="328">
        <v>0</v>
      </c>
      <c r="I132" s="62"/>
      <c r="J132" s="328">
        <v>0</v>
      </c>
      <c r="K132" s="62"/>
      <c r="L132" s="328">
        <v>0</v>
      </c>
      <c r="M132" s="62"/>
      <c r="N132" s="328">
        <v>0</v>
      </c>
      <c r="O132" s="62"/>
      <c r="P132" s="328">
        <v>0</v>
      </c>
      <c r="Q132" s="62"/>
      <c r="R132" s="61">
        <f t="shared" si="10"/>
        <v>732833.97</v>
      </c>
      <c r="S132" s="63"/>
      <c r="T132" s="63"/>
      <c r="U132" s="63"/>
    </row>
    <row r="133" spans="1:21" s="60" customFormat="1" hidden="1" outlineLevel="1">
      <c r="A133" s="60" t="s">
        <v>1040</v>
      </c>
      <c r="B133" s="61">
        <v>7363.98</v>
      </c>
      <c r="C133" s="62"/>
      <c r="D133" s="61">
        <v>0</v>
      </c>
      <c r="E133" s="62"/>
      <c r="F133" s="328">
        <v>0</v>
      </c>
      <c r="G133" s="62"/>
      <c r="H133" s="328">
        <v>0</v>
      </c>
      <c r="I133" s="62"/>
      <c r="J133" s="328">
        <v>0</v>
      </c>
      <c r="K133" s="62"/>
      <c r="L133" s="328">
        <v>0</v>
      </c>
      <c r="M133" s="62"/>
      <c r="N133" s="328">
        <v>0</v>
      </c>
      <c r="O133" s="62"/>
      <c r="P133" s="328">
        <v>0</v>
      </c>
      <c r="Q133" s="62"/>
      <c r="R133" s="61">
        <f t="shared" si="10"/>
        <v>7363.98</v>
      </c>
      <c r="S133" s="63"/>
      <c r="T133" s="63"/>
      <c r="U133" s="63"/>
    </row>
    <row r="134" spans="1:21" s="60" customFormat="1" hidden="1" outlineLevel="1">
      <c r="A134" s="60" t="s">
        <v>414</v>
      </c>
      <c r="B134" s="61">
        <v>7338.02</v>
      </c>
      <c r="C134" s="62"/>
      <c r="D134" s="61">
        <v>0</v>
      </c>
      <c r="E134" s="62"/>
      <c r="F134" s="328">
        <v>0</v>
      </c>
      <c r="G134" s="62"/>
      <c r="H134" s="328">
        <v>0</v>
      </c>
      <c r="I134" s="62"/>
      <c r="J134" s="328">
        <v>0</v>
      </c>
      <c r="K134" s="62"/>
      <c r="L134" s="328">
        <v>0</v>
      </c>
      <c r="M134" s="62"/>
      <c r="N134" s="328">
        <v>0</v>
      </c>
      <c r="O134" s="62"/>
      <c r="P134" s="328">
        <v>0</v>
      </c>
      <c r="Q134" s="62"/>
      <c r="R134" s="61">
        <f t="shared" si="10"/>
        <v>7338.02</v>
      </c>
      <c r="S134" s="63"/>
      <c r="T134" s="63"/>
      <c r="U134" s="63"/>
    </row>
    <row r="135" spans="1:21" s="60" customFormat="1" hidden="1" outlineLevel="1">
      <c r="A135" s="60" t="s">
        <v>985</v>
      </c>
      <c r="B135" s="61">
        <v>373.87</v>
      </c>
      <c r="C135" s="62"/>
      <c r="D135" s="61">
        <v>0</v>
      </c>
      <c r="E135" s="62"/>
      <c r="F135" s="328">
        <v>0</v>
      </c>
      <c r="G135" s="62"/>
      <c r="H135" s="328">
        <v>0</v>
      </c>
      <c r="I135" s="62"/>
      <c r="J135" s="328">
        <v>0</v>
      </c>
      <c r="K135" s="62"/>
      <c r="L135" s="328">
        <v>0</v>
      </c>
      <c r="M135" s="62"/>
      <c r="N135" s="328">
        <v>0</v>
      </c>
      <c r="O135" s="62"/>
      <c r="P135" s="328">
        <v>0</v>
      </c>
      <c r="Q135" s="62"/>
      <c r="R135" s="61">
        <f t="shared" si="10"/>
        <v>373.87</v>
      </c>
      <c r="S135" s="63"/>
      <c r="T135" s="63"/>
      <c r="U135" s="63"/>
    </row>
    <row r="136" spans="1:21" s="60" customFormat="1" hidden="1" outlineLevel="1">
      <c r="A136" s="60" t="s">
        <v>1049</v>
      </c>
      <c r="B136" s="61">
        <v>0</v>
      </c>
      <c r="C136" s="62"/>
      <c r="D136" s="61">
        <v>0</v>
      </c>
      <c r="E136" s="62"/>
      <c r="F136" s="328">
        <v>0</v>
      </c>
      <c r="G136" s="62"/>
      <c r="H136" s="328">
        <v>0</v>
      </c>
      <c r="I136" s="62"/>
      <c r="J136" s="328">
        <v>0</v>
      </c>
      <c r="K136" s="62"/>
      <c r="L136" s="328">
        <v>0</v>
      </c>
      <c r="M136" s="62"/>
      <c r="N136" s="328">
        <v>0</v>
      </c>
      <c r="O136" s="62"/>
      <c r="P136" s="328">
        <v>0</v>
      </c>
      <c r="Q136" s="62"/>
      <c r="R136" s="61">
        <f t="shared" si="10"/>
        <v>0</v>
      </c>
      <c r="S136" s="63"/>
      <c r="T136" s="63"/>
      <c r="U136" s="63"/>
    </row>
    <row r="137" spans="1:21" s="60" customFormat="1" hidden="1" outlineLevel="1">
      <c r="A137" s="60" t="s">
        <v>1044</v>
      </c>
      <c r="B137" s="61">
        <v>390215.77</v>
      </c>
      <c r="C137" s="62"/>
      <c r="D137" s="61">
        <v>0</v>
      </c>
      <c r="E137" s="62"/>
      <c r="F137" s="328">
        <v>0</v>
      </c>
      <c r="G137" s="62"/>
      <c r="H137" s="328">
        <v>0</v>
      </c>
      <c r="I137" s="62"/>
      <c r="J137" s="328">
        <v>0</v>
      </c>
      <c r="K137" s="62"/>
      <c r="L137" s="328">
        <v>0</v>
      </c>
      <c r="M137" s="62"/>
      <c r="N137" s="328">
        <v>0</v>
      </c>
      <c r="O137" s="62"/>
      <c r="P137" s="328">
        <v>0</v>
      </c>
      <c r="Q137" s="62"/>
      <c r="R137" s="61">
        <f t="shared" si="10"/>
        <v>390215.77</v>
      </c>
      <c r="S137" s="63"/>
      <c r="T137" s="63"/>
      <c r="U137" s="63"/>
    </row>
    <row r="138" spans="1:21" s="60" customFormat="1" hidden="1" outlineLevel="1">
      <c r="A138" s="60" t="s">
        <v>979</v>
      </c>
      <c r="B138" s="61">
        <v>1439.37</v>
      </c>
      <c r="C138" s="62"/>
      <c r="D138" s="61">
        <v>0</v>
      </c>
      <c r="E138" s="62"/>
      <c r="F138" s="328">
        <v>0</v>
      </c>
      <c r="G138" s="62"/>
      <c r="H138" s="328">
        <v>0</v>
      </c>
      <c r="I138" s="62"/>
      <c r="J138" s="328">
        <v>0</v>
      </c>
      <c r="K138" s="62"/>
      <c r="L138" s="328">
        <v>0</v>
      </c>
      <c r="M138" s="62"/>
      <c r="N138" s="328">
        <v>0</v>
      </c>
      <c r="O138" s="62"/>
      <c r="P138" s="328">
        <v>0</v>
      </c>
      <c r="Q138" s="62"/>
      <c r="R138" s="61">
        <f t="shared" si="10"/>
        <v>1439.37</v>
      </c>
      <c r="S138" s="63"/>
      <c r="T138" s="63"/>
      <c r="U138" s="63"/>
    </row>
    <row r="139" spans="1:21" s="60" customFormat="1" hidden="1" outlineLevel="1">
      <c r="A139" s="60" t="s">
        <v>978</v>
      </c>
      <c r="B139" s="61">
        <v>3388.95</v>
      </c>
      <c r="C139" s="62"/>
      <c r="D139" s="61">
        <v>0</v>
      </c>
      <c r="E139" s="62"/>
      <c r="F139" s="328">
        <v>0</v>
      </c>
      <c r="G139" s="62"/>
      <c r="H139" s="328">
        <v>0</v>
      </c>
      <c r="I139" s="62"/>
      <c r="J139" s="328">
        <v>0</v>
      </c>
      <c r="K139" s="62"/>
      <c r="L139" s="328">
        <v>0</v>
      </c>
      <c r="M139" s="62"/>
      <c r="N139" s="328">
        <v>0</v>
      </c>
      <c r="O139" s="62"/>
      <c r="P139" s="328">
        <v>0</v>
      </c>
      <c r="Q139" s="62"/>
      <c r="R139" s="61">
        <f t="shared" si="10"/>
        <v>3388.95</v>
      </c>
      <c r="S139" s="63"/>
      <c r="T139" s="63"/>
      <c r="U139" s="63"/>
    </row>
    <row r="140" spans="1:21" s="60" customFormat="1" hidden="1" outlineLevel="1">
      <c r="A140" s="60" t="s">
        <v>976</v>
      </c>
      <c r="B140" s="61">
        <v>1109.1300000000001</v>
      </c>
      <c r="C140" s="62"/>
      <c r="D140" s="61">
        <v>0</v>
      </c>
      <c r="E140" s="62"/>
      <c r="F140" s="328">
        <v>0</v>
      </c>
      <c r="G140" s="62"/>
      <c r="H140" s="328">
        <v>0</v>
      </c>
      <c r="I140" s="62"/>
      <c r="J140" s="328">
        <v>0</v>
      </c>
      <c r="K140" s="62"/>
      <c r="L140" s="328">
        <v>0</v>
      </c>
      <c r="M140" s="62"/>
      <c r="N140" s="328">
        <v>0</v>
      </c>
      <c r="O140" s="62"/>
      <c r="P140" s="328">
        <v>0</v>
      </c>
      <c r="Q140" s="62"/>
      <c r="R140" s="61">
        <f t="shared" si="10"/>
        <v>1109.1300000000001</v>
      </c>
      <c r="S140" s="63"/>
      <c r="T140" s="63"/>
      <c r="U140" s="63"/>
    </row>
    <row r="141" spans="1:21" s="60" customFormat="1" hidden="1" outlineLevel="1">
      <c r="A141" s="60" t="s">
        <v>1020</v>
      </c>
      <c r="B141" s="61">
        <v>1103.99</v>
      </c>
      <c r="C141" s="62"/>
      <c r="D141" s="61">
        <v>0</v>
      </c>
      <c r="E141" s="62"/>
      <c r="F141" s="328">
        <v>0</v>
      </c>
      <c r="G141" s="62"/>
      <c r="H141" s="328">
        <v>0</v>
      </c>
      <c r="I141" s="62"/>
      <c r="J141" s="328">
        <v>0</v>
      </c>
      <c r="K141" s="62"/>
      <c r="L141" s="328">
        <v>0</v>
      </c>
      <c r="M141" s="62"/>
      <c r="N141" s="328">
        <v>0</v>
      </c>
      <c r="O141" s="62"/>
      <c r="P141" s="328">
        <v>0</v>
      </c>
      <c r="Q141" s="62"/>
      <c r="R141" s="61">
        <f t="shared" si="10"/>
        <v>1103.99</v>
      </c>
      <c r="S141" s="63"/>
      <c r="T141" s="63"/>
      <c r="U141" s="63"/>
    </row>
    <row r="142" spans="1:21" s="60" customFormat="1" hidden="1" outlineLevel="1">
      <c r="A142" s="60" t="s">
        <v>670</v>
      </c>
      <c r="B142" s="61">
        <v>1120.8900000000001</v>
      </c>
      <c r="C142" s="62"/>
      <c r="D142" s="61">
        <v>0</v>
      </c>
      <c r="E142" s="62"/>
      <c r="F142" s="328">
        <v>0</v>
      </c>
      <c r="G142" s="62"/>
      <c r="H142" s="328">
        <v>0</v>
      </c>
      <c r="I142" s="62"/>
      <c r="J142" s="328">
        <v>0</v>
      </c>
      <c r="K142" s="62"/>
      <c r="L142" s="328">
        <v>0</v>
      </c>
      <c r="M142" s="62"/>
      <c r="N142" s="328">
        <v>0</v>
      </c>
      <c r="O142" s="62"/>
      <c r="P142" s="328">
        <v>0</v>
      </c>
      <c r="Q142" s="62"/>
      <c r="R142" s="61">
        <f t="shared" si="10"/>
        <v>1120.8900000000001</v>
      </c>
      <c r="S142" s="63"/>
      <c r="T142" s="63"/>
      <c r="U142" s="63"/>
    </row>
    <row r="143" spans="1:21" s="60" customFormat="1" hidden="1" outlineLevel="1">
      <c r="A143" s="60" t="s">
        <v>971</v>
      </c>
      <c r="B143" s="61">
        <v>0</v>
      </c>
      <c r="C143" s="62"/>
      <c r="D143" s="61">
        <v>0</v>
      </c>
      <c r="E143" s="62"/>
      <c r="F143" s="328">
        <v>0</v>
      </c>
      <c r="G143" s="62"/>
      <c r="H143" s="328">
        <v>0</v>
      </c>
      <c r="I143" s="62"/>
      <c r="J143" s="328">
        <v>0</v>
      </c>
      <c r="K143" s="62"/>
      <c r="L143" s="328">
        <v>0</v>
      </c>
      <c r="M143" s="62"/>
      <c r="N143" s="328">
        <v>0</v>
      </c>
      <c r="O143" s="62"/>
      <c r="P143" s="328">
        <v>0</v>
      </c>
      <c r="Q143" s="62"/>
      <c r="R143" s="61">
        <f t="shared" si="10"/>
        <v>0</v>
      </c>
      <c r="S143" s="63"/>
      <c r="T143" s="63"/>
      <c r="U143" s="63"/>
    </row>
    <row r="144" spans="1:21" s="60" customFormat="1" hidden="1" outlineLevel="1">
      <c r="A144" s="60" t="s">
        <v>667</v>
      </c>
      <c r="B144" s="61">
        <v>367.5</v>
      </c>
      <c r="C144" s="62"/>
      <c r="D144" s="61">
        <v>0</v>
      </c>
      <c r="E144" s="62"/>
      <c r="F144" s="328">
        <v>0</v>
      </c>
      <c r="G144" s="62"/>
      <c r="H144" s="328">
        <v>0</v>
      </c>
      <c r="I144" s="62"/>
      <c r="J144" s="328">
        <v>0</v>
      </c>
      <c r="K144" s="62"/>
      <c r="L144" s="328">
        <v>0</v>
      </c>
      <c r="M144" s="62"/>
      <c r="N144" s="328">
        <v>0</v>
      </c>
      <c r="O144" s="62"/>
      <c r="P144" s="328">
        <v>0</v>
      </c>
      <c r="Q144" s="62"/>
      <c r="R144" s="61">
        <f t="shared" si="10"/>
        <v>367.5</v>
      </c>
      <c r="S144" s="63"/>
      <c r="T144" s="63"/>
      <c r="U144" s="63"/>
    </row>
    <row r="145" spans="1:21" s="10" customFormat="1" collapsed="1">
      <c r="A145" s="10" t="s">
        <v>798</v>
      </c>
      <c r="B145" s="64">
        <f>SUM(B132:B144)</f>
        <v>1146655.4399999997</v>
      </c>
      <c r="C145" s="65"/>
      <c r="D145" s="64">
        <f>SUM(D132:D144)</f>
        <v>0</v>
      </c>
      <c r="E145" s="65"/>
      <c r="F145" s="64">
        <f>SUM(F132:F144)</f>
        <v>0</v>
      </c>
      <c r="G145" s="65"/>
      <c r="H145" s="64">
        <f t="shared" ref="H145:R145" si="11">SUM(H132:H144)</f>
        <v>0</v>
      </c>
      <c r="I145" s="65"/>
      <c r="J145" s="64">
        <f>SUM(J132:J144)</f>
        <v>0</v>
      </c>
      <c r="K145" s="65"/>
      <c r="L145" s="64">
        <f>SUM(L132:L144)</f>
        <v>0</v>
      </c>
      <c r="M145" s="65"/>
      <c r="N145" s="64">
        <f>SUM(N132:N144)</f>
        <v>0</v>
      </c>
      <c r="O145" s="65"/>
      <c r="P145" s="64">
        <f>SUM(P132:P144)</f>
        <v>0</v>
      </c>
      <c r="Q145" s="65"/>
      <c r="R145" s="64">
        <f t="shared" si="11"/>
        <v>1146655.4399999997</v>
      </c>
      <c r="S145" s="24"/>
      <c r="T145" s="24"/>
      <c r="U145" s="24"/>
    </row>
    <row r="146" spans="1:21">
      <c r="A146" t="s">
        <v>1050</v>
      </c>
      <c r="B146" s="182">
        <v>0</v>
      </c>
      <c r="C146" s="52"/>
      <c r="D146" s="182">
        <v>0</v>
      </c>
      <c r="E146" s="52"/>
      <c r="F146" s="182">
        <v>0</v>
      </c>
      <c r="G146" s="52"/>
      <c r="H146" s="182">
        <v>0</v>
      </c>
      <c r="I146" s="52"/>
      <c r="J146" s="182">
        <v>0</v>
      </c>
      <c r="K146" s="52"/>
      <c r="L146" s="182">
        <v>0</v>
      </c>
      <c r="M146" s="52"/>
      <c r="N146" s="182">
        <v>0</v>
      </c>
      <c r="O146" s="52"/>
      <c r="P146" s="182">
        <v>0</v>
      </c>
      <c r="Q146" s="52"/>
      <c r="R146" s="182">
        <f t="shared" si="10"/>
        <v>0</v>
      </c>
      <c r="S146" s="33"/>
      <c r="T146" s="33"/>
      <c r="U146" s="33"/>
    </row>
    <row r="147" spans="1:21">
      <c r="A147" t="s">
        <v>1051</v>
      </c>
      <c r="B147" s="48">
        <v>0</v>
      </c>
      <c r="C147" s="52"/>
      <c r="D147" s="48">
        <v>0</v>
      </c>
      <c r="E147" s="52"/>
      <c r="F147" s="48">
        <v>0</v>
      </c>
      <c r="G147" s="52"/>
      <c r="H147" s="48">
        <v>0</v>
      </c>
      <c r="I147" s="52"/>
      <c r="J147" s="48">
        <v>0</v>
      </c>
      <c r="K147" s="52"/>
      <c r="L147" s="48">
        <v>0</v>
      </c>
      <c r="M147" s="52"/>
      <c r="N147" s="48">
        <v>0</v>
      </c>
      <c r="O147" s="52"/>
      <c r="P147" s="48">
        <v>0</v>
      </c>
      <c r="Q147" s="52"/>
      <c r="R147" s="48">
        <f t="shared" si="10"/>
        <v>0</v>
      </c>
      <c r="S147" s="37"/>
      <c r="T147" s="33"/>
      <c r="U147" s="33"/>
    </row>
    <row r="148" spans="1:21">
      <c r="B148" s="52">
        <f>B147+B146+B145+B131+B115+B99+B87+B70+B55+B54</f>
        <v>58643031.119999997</v>
      </c>
      <c r="C148" s="52"/>
      <c r="D148" s="52">
        <f>D147+D146+D145+D131+D115+D99+D87+D70+D55+D54</f>
        <v>0</v>
      </c>
      <c r="E148" s="52"/>
      <c r="F148" s="52">
        <f>F147+F146+F145+F131+F115+F99+F87+F70+F55+F54</f>
        <v>-194624.59</v>
      </c>
      <c r="G148" s="52"/>
      <c r="H148" s="52">
        <f t="shared" ref="H148" si="12">H147+H146+H145+H131+H115+H99+H87+H70+H55+H54</f>
        <v>0</v>
      </c>
      <c r="I148" s="52"/>
      <c r="J148" s="52">
        <f>J147+J146+J145+J131+J115+J99+J87+J70+J55+J54</f>
        <v>0</v>
      </c>
      <c r="K148" s="52"/>
      <c r="L148" s="52">
        <f>L147+L146+L145+L131+L115+L99+L87+L70+L55+L54</f>
        <v>0</v>
      </c>
      <c r="M148" s="52"/>
      <c r="N148" s="52">
        <f>N147+N146+N145+N131+N115+N99+N87+N70+N55+N54</f>
        <v>0</v>
      </c>
      <c r="O148" s="52"/>
      <c r="P148" s="52">
        <f>P147+P146+P145+P131+P115+P99+P87+P70+P55+P54</f>
        <v>0</v>
      </c>
      <c r="Q148" s="52"/>
      <c r="R148" s="52">
        <f>R147+R146+R145+R131+R115+R99+R87+R70+R55+R54</f>
        <v>58448406.530000001</v>
      </c>
      <c r="S148" s="37"/>
      <c r="T148" s="33"/>
      <c r="U148" s="33"/>
    </row>
    <row r="149" spans="1:21" ht="6" customHeight="1">
      <c r="B149" s="52"/>
      <c r="C149" s="52"/>
      <c r="D149" s="52"/>
      <c r="E149" s="52"/>
      <c r="F149" s="52"/>
      <c r="G149" s="52"/>
      <c r="H149" s="52"/>
      <c r="I149" s="52"/>
      <c r="J149" s="52"/>
      <c r="K149" s="52"/>
      <c r="L149" s="52"/>
      <c r="M149" s="52"/>
      <c r="N149" s="52"/>
      <c r="O149" s="52"/>
      <c r="P149" s="52"/>
      <c r="Q149" s="52"/>
      <c r="R149" s="52"/>
      <c r="S149" s="37"/>
      <c r="T149" s="33"/>
      <c r="U149" s="33"/>
    </row>
    <row r="150" spans="1:21">
      <c r="A150" s="3" t="s">
        <v>118</v>
      </c>
      <c r="B150" s="52"/>
      <c r="C150" s="52"/>
      <c r="D150" s="52"/>
      <c r="E150" s="52"/>
      <c r="F150" s="52"/>
      <c r="G150" s="52"/>
      <c r="H150" s="52"/>
      <c r="I150" s="52"/>
      <c r="J150" s="52"/>
      <c r="K150" s="52"/>
      <c r="L150" s="52"/>
      <c r="M150" s="52"/>
      <c r="N150" s="52"/>
      <c r="O150" s="52"/>
      <c r="P150" s="52"/>
      <c r="Q150" s="52"/>
      <c r="R150" s="52"/>
      <c r="S150" s="37"/>
      <c r="T150" s="33"/>
      <c r="U150" s="33"/>
    </row>
    <row r="151" spans="1:21" s="60" customFormat="1" hidden="1" outlineLevel="1">
      <c r="A151" s="60" t="s">
        <v>1427</v>
      </c>
      <c r="B151" s="62">
        <v>0</v>
      </c>
      <c r="C151" s="62"/>
      <c r="D151" s="62">
        <v>0</v>
      </c>
      <c r="E151" s="62"/>
      <c r="F151" s="62">
        <v>0</v>
      </c>
      <c r="G151" s="62"/>
      <c r="H151" s="62">
        <v>0</v>
      </c>
      <c r="I151" s="62"/>
      <c r="J151" s="62">
        <v>0</v>
      </c>
      <c r="K151" s="62"/>
      <c r="L151" s="62">
        <v>0</v>
      </c>
      <c r="M151" s="62"/>
      <c r="N151" s="62">
        <v>0</v>
      </c>
      <c r="O151" s="62"/>
      <c r="P151" s="62">
        <v>0</v>
      </c>
      <c r="Q151" s="62"/>
      <c r="R151" s="62">
        <f t="shared" ref="R151:R152" si="13">SUM(B151:P151)</f>
        <v>0</v>
      </c>
      <c r="S151" s="66"/>
      <c r="T151" s="63"/>
      <c r="U151" s="63"/>
    </row>
    <row r="152" spans="1:21" s="60" customFormat="1" hidden="1" outlineLevel="1">
      <c r="A152" s="60" t="s">
        <v>1428</v>
      </c>
      <c r="B152" s="62">
        <v>0</v>
      </c>
      <c r="C152" s="62"/>
      <c r="D152" s="62">
        <v>0</v>
      </c>
      <c r="E152" s="62"/>
      <c r="F152" s="62">
        <v>0</v>
      </c>
      <c r="G152" s="62"/>
      <c r="H152" s="62">
        <v>0</v>
      </c>
      <c r="I152" s="62"/>
      <c r="J152" s="62">
        <v>0</v>
      </c>
      <c r="K152" s="62"/>
      <c r="L152" s="62">
        <v>0</v>
      </c>
      <c r="M152" s="62"/>
      <c r="N152" s="62">
        <v>0</v>
      </c>
      <c r="O152" s="62"/>
      <c r="P152" s="62">
        <v>0</v>
      </c>
      <c r="Q152" s="62"/>
      <c r="R152" s="62">
        <f t="shared" si="13"/>
        <v>0</v>
      </c>
      <c r="S152" s="66"/>
      <c r="T152" s="63"/>
      <c r="U152" s="63"/>
    </row>
    <row r="153" spans="1:21" s="10" customFormat="1" collapsed="1">
      <c r="A153" s="10" t="s">
        <v>876</v>
      </c>
      <c r="B153" s="65">
        <f>SUM(B151:B152)</f>
        <v>0</v>
      </c>
      <c r="C153" s="65"/>
      <c r="D153" s="65">
        <f>SUM(D151:D152)</f>
        <v>0</v>
      </c>
      <c r="E153" s="65"/>
      <c r="F153" s="65">
        <f>SUM(F151:F152)</f>
        <v>0</v>
      </c>
      <c r="G153" s="65"/>
      <c r="H153" s="65">
        <f>SUM(H151:H152)</f>
        <v>0</v>
      </c>
      <c r="I153" s="65"/>
      <c r="J153" s="65">
        <f>SUM(J151:J152)</f>
        <v>0</v>
      </c>
      <c r="K153" s="65"/>
      <c r="L153" s="65">
        <f>SUM(L151:L152)</f>
        <v>0</v>
      </c>
      <c r="M153" s="65"/>
      <c r="N153" s="65">
        <f>SUM(N151:N152)</f>
        <v>0</v>
      </c>
      <c r="O153" s="65"/>
      <c r="P153" s="65">
        <f>SUM(P151:P152)</f>
        <v>0</v>
      </c>
      <c r="Q153" s="65"/>
      <c r="R153" s="65">
        <f>SUM(R151:R152)</f>
        <v>0</v>
      </c>
      <c r="S153" s="27"/>
      <c r="T153" s="24"/>
      <c r="U153" s="24"/>
    </row>
    <row r="154" spans="1:21" s="60" customFormat="1" hidden="1" outlineLevel="1">
      <c r="A154" s="60" t="s">
        <v>869</v>
      </c>
      <c r="B154" s="62">
        <v>4741479.16</v>
      </c>
      <c r="C154" s="62"/>
      <c r="D154" s="62">
        <v>0</v>
      </c>
      <c r="E154" s="62"/>
      <c r="F154" s="62">
        <v>0</v>
      </c>
      <c r="G154" s="62"/>
      <c r="H154" s="62">
        <v>0</v>
      </c>
      <c r="I154" s="62"/>
      <c r="J154" s="62">
        <v>0</v>
      </c>
      <c r="K154" s="62"/>
      <c r="L154" s="62">
        <v>0</v>
      </c>
      <c r="M154" s="62"/>
      <c r="N154" s="62">
        <v>0</v>
      </c>
      <c r="O154" s="62"/>
      <c r="P154" s="62">
        <v>0</v>
      </c>
      <c r="Q154" s="62"/>
      <c r="R154" s="62">
        <f>SUM(B154:P154)</f>
        <v>4741479.16</v>
      </c>
      <c r="S154" s="66"/>
      <c r="T154" s="63"/>
      <c r="U154" s="63"/>
    </row>
    <row r="155" spans="1:21" s="60" customFormat="1" hidden="1" outlineLevel="1">
      <c r="A155" s="60" t="s">
        <v>1053</v>
      </c>
      <c r="B155" s="62">
        <v>1953731.77</v>
      </c>
      <c r="C155" s="62"/>
      <c r="D155" s="62">
        <v>0</v>
      </c>
      <c r="E155" s="62"/>
      <c r="F155" s="62">
        <v>0</v>
      </c>
      <c r="G155" s="62"/>
      <c r="H155" s="62">
        <v>0</v>
      </c>
      <c r="I155" s="62"/>
      <c r="J155" s="62">
        <v>0</v>
      </c>
      <c r="K155" s="62"/>
      <c r="L155" s="62">
        <v>0</v>
      </c>
      <c r="M155" s="62"/>
      <c r="N155" s="62">
        <v>0</v>
      </c>
      <c r="O155" s="62"/>
      <c r="P155" s="62">
        <v>0</v>
      </c>
      <c r="Q155" s="62"/>
      <c r="R155" s="62">
        <f>SUM(B155:P155)</f>
        <v>1953731.77</v>
      </c>
      <c r="S155" s="66"/>
      <c r="T155" s="63"/>
      <c r="U155" s="63"/>
    </row>
    <row r="156" spans="1:21" s="60" customFormat="1" hidden="1" outlineLevel="1">
      <c r="A156" s="60" t="s">
        <v>1054</v>
      </c>
      <c r="B156" s="62">
        <v>5665258.4000000004</v>
      </c>
      <c r="C156" s="62"/>
      <c r="D156" s="62">
        <v>0</v>
      </c>
      <c r="E156" s="62"/>
      <c r="F156" s="62">
        <v>0</v>
      </c>
      <c r="G156" s="62"/>
      <c r="H156" s="62">
        <v>0</v>
      </c>
      <c r="I156" s="62"/>
      <c r="J156" s="62">
        <v>0</v>
      </c>
      <c r="K156" s="62"/>
      <c r="L156" s="62">
        <v>0</v>
      </c>
      <c r="M156" s="62"/>
      <c r="N156" s="62">
        <v>0</v>
      </c>
      <c r="O156" s="62"/>
      <c r="P156" s="62">
        <v>0</v>
      </c>
      <c r="Q156" s="62"/>
      <c r="R156" s="62">
        <f>SUM(B156:P156)</f>
        <v>5665258.4000000004</v>
      </c>
      <c r="S156" s="66"/>
      <c r="T156" s="63"/>
      <c r="U156" s="63"/>
    </row>
    <row r="157" spans="1:21" s="60" customFormat="1" hidden="1" outlineLevel="1">
      <c r="A157" s="60" t="s">
        <v>865</v>
      </c>
      <c r="B157" s="62">
        <v>1677255.05</v>
      </c>
      <c r="C157" s="62"/>
      <c r="D157" s="62">
        <v>0</v>
      </c>
      <c r="E157" s="62"/>
      <c r="F157" s="62">
        <v>0</v>
      </c>
      <c r="G157" s="62"/>
      <c r="H157" s="62">
        <v>0</v>
      </c>
      <c r="I157" s="62"/>
      <c r="J157" s="62">
        <v>0</v>
      </c>
      <c r="K157" s="62"/>
      <c r="L157" s="62">
        <v>0</v>
      </c>
      <c r="M157" s="62"/>
      <c r="N157" s="62">
        <v>0</v>
      </c>
      <c r="O157" s="62"/>
      <c r="P157" s="62">
        <v>0</v>
      </c>
      <c r="Q157" s="62"/>
      <c r="R157" s="62">
        <f t="shared" ref="R157:R245" si="14">SUM(B157:P157)</f>
        <v>1677255.05</v>
      </c>
      <c r="S157" s="66"/>
      <c r="T157" s="63"/>
      <c r="U157" s="63"/>
    </row>
    <row r="158" spans="1:21" s="60" customFormat="1" hidden="1" outlineLevel="1">
      <c r="A158" s="60" t="s">
        <v>711</v>
      </c>
      <c r="B158" s="62">
        <v>4321920.79</v>
      </c>
      <c r="C158" s="62"/>
      <c r="D158" s="62">
        <v>0</v>
      </c>
      <c r="E158" s="62"/>
      <c r="F158" s="62">
        <v>0</v>
      </c>
      <c r="G158" s="141"/>
      <c r="H158" s="62">
        <v>0</v>
      </c>
      <c r="I158" s="141"/>
      <c r="J158" s="62">
        <v>0</v>
      </c>
      <c r="K158" s="141"/>
      <c r="L158" s="62">
        <v>0</v>
      </c>
      <c r="M158" s="62"/>
      <c r="N158" s="62">
        <v>0</v>
      </c>
      <c r="O158" s="62"/>
      <c r="P158" s="62">
        <v>0</v>
      </c>
      <c r="Q158" s="62"/>
      <c r="R158" s="62">
        <f t="shared" si="14"/>
        <v>4321920.79</v>
      </c>
      <c r="S158" s="66"/>
      <c r="T158" s="63"/>
      <c r="U158" s="63"/>
    </row>
    <row r="159" spans="1:21" s="60" customFormat="1" hidden="1" outlineLevel="1">
      <c r="A159" s="60" t="s">
        <v>712</v>
      </c>
      <c r="B159" s="62">
        <v>2165568.9500000002</v>
      </c>
      <c r="C159" s="62"/>
      <c r="D159" s="62">
        <v>0</v>
      </c>
      <c r="E159" s="62"/>
      <c r="F159" s="62">
        <v>0</v>
      </c>
      <c r="G159" s="141"/>
      <c r="H159" s="62">
        <v>0</v>
      </c>
      <c r="I159" s="141"/>
      <c r="J159" s="62">
        <v>0</v>
      </c>
      <c r="K159" s="141"/>
      <c r="L159" s="62">
        <v>0</v>
      </c>
      <c r="M159" s="62"/>
      <c r="N159" s="62">
        <v>0</v>
      </c>
      <c r="O159" s="62"/>
      <c r="P159" s="62">
        <v>0</v>
      </c>
      <c r="Q159" s="62"/>
      <c r="R159" s="62">
        <f t="shared" si="14"/>
        <v>2165568.9500000002</v>
      </c>
      <c r="S159" s="66"/>
      <c r="T159" s="63"/>
      <c r="U159" s="63"/>
    </row>
    <row r="160" spans="1:21" s="60" customFormat="1" hidden="1" outlineLevel="1">
      <c r="A160" s="60" t="s">
        <v>861</v>
      </c>
      <c r="B160" s="62">
        <v>5632636.79</v>
      </c>
      <c r="C160" s="62"/>
      <c r="D160" s="62">
        <v>0</v>
      </c>
      <c r="E160" s="62"/>
      <c r="F160" s="62">
        <v>0</v>
      </c>
      <c r="G160" s="141"/>
      <c r="H160" s="62">
        <v>0</v>
      </c>
      <c r="I160" s="141"/>
      <c r="J160" s="62">
        <v>0</v>
      </c>
      <c r="K160" s="141"/>
      <c r="L160" s="62">
        <v>0</v>
      </c>
      <c r="M160" s="62"/>
      <c r="N160" s="62">
        <v>0</v>
      </c>
      <c r="O160" s="62"/>
      <c r="P160" s="62">
        <v>0</v>
      </c>
      <c r="Q160" s="62"/>
      <c r="R160" s="62">
        <f>SUM(B160:P160)</f>
        <v>5632636.79</v>
      </c>
      <c r="S160" s="66"/>
      <c r="T160" s="63"/>
      <c r="U160" s="63"/>
    </row>
    <row r="161" spans="1:21" s="60" customFormat="1" hidden="1" outlineLevel="1">
      <c r="A161" s="60" t="s">
        <v>714</v>
      </c>
      <c r="B161" s="62">
        <v>1993502.07</v>
      </c>
      <c r="C161" s="62"/>
      <c r="D161" s="62">
        <v>0</v>
      </c>
      <c r="E161" s="62"/>
      <c r="F161" s="62">
        <v>0</v>
      </c>
      <c r="G161" s="141"/>
      <c r="H161" s="62">
        <v>0</v>
      </c>
      <c r="I161" s="141"/>
      <c r="J161" s="62">
        <v>0</v>
      </c>
      <c r="K161" s="141"/>
      <c r="L161" s="62">
        <v>0</v>
      </c>
      <c r="M161" s="62"/>
      <c r="N161" s="62">
        <v>0</v>
      </c>
      <c r="O161" s="62"/>
      <c r="P161" s="62">
        <v>0</v>
      </c>
      <c r="Q161" s="62"/>
      <c r="R161" s="62">
        <f t="shared" si="14"/>
        <v>1993502.07</v>
      </c>
      <c r="S161" s="66"/>
      <c r="T161" s="63"/>
      <c r="U161" s="63"/>
    </row>
    <row r="162" spans="1:21" s="60" customFormat="1" hidden="1" outlineLevel="1">
      <c r="A162" s="60" t="s">
        <v>1386</v>
      </c>
      <c r="B162" s="62">
        <v>11753552.82</v>
      </c>
      <c r="C162" s="62"/>
      <c r="D162" s="62">
        <v>0</v>
      </c>
      <c r="E162" s="62"/>
      <c r="F162" s="62">
        <v>-2787.2</v>
      </c>
      <c r="G162" s="141"/>
      <c r="H162" s="62">
        <v>0</v>
      </c>
      <c r="I162" s="141"/>
      <c r="J162" s="62">
        <v>0</v>
      </c>
      <c r="K162" s="141"/>
      <c r="L162" s="62">
        <v>0</v>
      </c>
      <c r="M162" s="62"/>
      <c r="N162" s="62">
        <v>0</v>
      </c>
      <c r="O162" s="62"/>
      <c r="P162" s="62">
        <v>0</v>
      </c>
      <c r="Q162" s="62"/>
      <c r="R162" s="62">
        <f>SUM(B162:P162)</f>
        <v>11750765.620000001</v>
      </c>
      <c r="S162" s="66"/>
      <c r="T162" s="63"/>
      <c r="U162" s="63"/>
    </row>
    <row r="163" spans="1:21" s="60" customFormat="1" hidden="1" outlineLevel="1">
      <c r="A163" s="60" t="s">
        <v>1387</v>
      </c>
      <c r="B163" s="62">
        <v>297012.34000000003</v>
      </c>
      <c r="C163" s="62"/>
      <c r="D163" s="62">
        <v>0</v>
      </c>
      <c r="E163" s="62"/>
      <c r="F163" s="62">
        <v>0</v>
      </c>
      <c r="G163" s="141"/>
      <c r="H163" s="62">
        <v>0</v>
      </c>
      <c r="I163" s="141"/>
      <c r="J163" s="62">
        <v>0</v>
      </c>
      <c r="K163" s="141"/>
      <c r="L163" s="62">
        <v>0</v>
      </c>
      <c r="M163" s="62"/>
      <c r="N163" s="62">
        <v>0</v>
      </c>
      <c r="O163" s="62"/>
      <c r="P163" s="62">
        <v>0</v>
      </c>
      <c r="Q163" s="62"/>
      <c r="R163" s="62">
        <f>SUM(B163:P163)</f>
        <v>297012.34000000003</v>
      </c>
      <c r="S163" s="66"/>
      <c r="T163" s="63"/>
      <c r="U163" s="63"/>
    </row>
    <row r="164" spans="1:21" s="60" customFormat="1" hidden="1" outlineLevel="1">
      <c r="A164" s="307" t="s">
        <v>1388</v>
      </c>
      <c r="B164" s="62">
        <v>34177313.619999997</v>
      </c>
      <c r="C164" s="62"/>
      <c r="D164" s="62">
        <v>0</v>
      </c>
      <c r="E164" s="62"/>
      <c r="F164" s="62">
        <v>0</v>
      </c>
      <c r="G164" s="141"/>
      <c r="H164" s="62">
        <v>0</v>
      </c>
      <c r="I164" s="141"/>
      <c r="J164" s="62">
        <v>0</v>
      </c>
      <c r="K164" s="141"/>
      <c r="L164" s="62">
        <v>0</v>
      </c>
      <c r="M164" s="62"/>
      <c r="N164" s="62">
        <v>0</v>
      </c>
      <c r="O164" s="62"/>
      <c r="P164" s="62">
        <v>0</v>
      </c>
      <c r="Q164" s="62"/>
      <c r="R164" s="62">
        <f>SUM(B164:P164)</f>
        <v>34177313.619999997</v>
      </c>
      <c r="S164" s="66"/>
      <c r="T164" s="63"/>
      <c r="U164" s="63"/>
    </row>
    <row r="165" spans="1:21" s="60" customFormat="1" hidden="1" outlineLevel="1">
      <c r="A165" s="307" t="s">
        <v>1389</v>
      </c>
      <c r="B165" s="62">
        <v>33334.019999999997</v>
      </c>
      <c r="C165" s="62"/>
      <c r="D165" s="62">
        <v>0</v>
      </c>
      <c r="E165" s="62"/>
      <c r="F165" s="62">
        <v>0</v>
      </c>
      <c r="G165" s="141"/>
      <c r="H165" s="62">
        <v>0</v>
      </c>
      <c r="I165" s="141"/>
      <c r="J165" s="62">
        <v>0</v>
      </c>
      <c r="K165" s="141"/>
      <c r="L165" s="62">
        <v>0</v>
      </c>
      <c r="M165" s="62"/>
      <c r="N165" s="62">
        <v>0</v>
      </c>
      <c r="O165" s="62"/>
      <c r="P165" s="62">
        <v>0</v>
      </c>
      <c r="Q165" s="62"/>
      <c r="R165" s="62">
        <f>SUM(B165:P165)</f>
        <v>33334.019999999997</v>
      </c>
      <c r="S165" s="66"/>
      <c r="T165" s="63"/>
      <c r="U165" s="63"/>
    </row>
    <row r="166" spans="1:21" s="60" customFormat="1" hidden="1" outlineLevel="1">
      <c r="A166" s="60" t="s">
        <v>715</v>
      </c>
      <c r="B166" s="62">
        <v>1847961.3</v>
      </c>
      <c r="C166" s="62"/>
      <c r="D166" s="62">
        <v>0</v>
      </c>
      <c r="E166" s="62"/>
      <c r="F166" s="62">
        <v>0</v>
      </c>
      <c r="G166" s="141"/>
      <c r="H166" s="62">
        <v>0</v>
      </c>
      <c r="I166" s="141"/>
      <c r="J166" s="62">
        <v>0</v>
      </c>
      <c r="K166" s="141"/>
      <c r="L166" s="62">
        <v>0</v>
      </c>
      <c r="M166" s="62"/>
      <c r="N166" s="62">
        <v>0</v>
      </c>
      <c r="O166" s="62"/>
      <c r="P166" s="62">
        <v>0</v>
      </c>
      <c r="Q166" s="62"/>
      <c r="R166" s="62">
        <f t="shared" si="14"/>
        <v>1847961.3</v>
      </c>
      <c r="S166" s="66"/>
      <c r="T166" s="63"/>
      <c r="U166" s="63"/>
    </row>
    <row r="167" spans="1:21" s="60" customFormat="1" hidden="1" outlineLevel="1">
      <c r="A167" s="60" t="s">
        <v>716</v>
      </c>
      <c r="B167" s="62">
        <v>15954632.51</v>
      </c>
      <c r="C167" s="62"/>
      <c r="D167" s="62">
        <v>0</v>
      </c>
      <c r="E167" s="62"/>
      <c r="F167" s="62">
        <v>-5052.3999999999996</v>
      </c>
      <c r="G167" s="141"/>
      <c r="H167" s="62">
        <v>0</v>
      </c>
      <c r="I167" s="141"/>
      <c r="J167" s="62">
        <v>0</v>
      </c>
      <c r="K167" s="141"/>
      <c r="L167" s="62">
        <v>0</v>
      </c>
      <c r="M167" s="62"/>
      <c r="N167" s="62">
        <v>0</v>
      </c>
      <c r="O167" s="62"/>
      <c r="P167" s="62">
        <v>0</v>
      </c>
      <c r="Q167" s="62"/>
      <c r="R167" s="62">
        <f t="shared" si="14"/>
        <v>15949580.109999999</v>
      </c>
      <c r="S167" s="66"/>
      <c r="T167" s="63"/>
      <c r="U167" s="63"/>
    </row>
    <row r="168" spans="1:21" s="60" customFormat="1" hidden="1" outlineLevel="1">
      <c r="A168" s="60" t="s">
        <v>717</v>
      </c>
      <c r="B168" s="62">
        <v>1503974.06</v>
      </c>
      <c r="C168" s="62"/>
      <c r="D168" s="62">
        <v>0</v>
      </c>
      <c r="E168" s="62"/>
      <c r="F168" s="62">
        <v>0</v>
      </c>
      <c r="G168" s="141"/>
      <c r="H168" s="62">
        <v>0</v>
      </c>
      <c r="I168" s="141"/>
      <c r="J168" s="62">
        <v>0</v>
      </c>
      <c r="K168" s="141"/>
      <c r="L168" s="62">
        <v>0</v>
      </c>
      <c r="M168" s="62"/>
      <c r="N168" s="62">
        <v>0</v>
      </c>
      <c r="O168" s="62"/>
      <c r="P168" s="62">
        <v>0</v>
      </c>
      <c r="Q168" s="62"/>
      <c r="R168" s="62">
        <f t="shared" si="14"/>
        <v>1503974.06</v>
      </c>
      <c r="S168" s="66"/>
      <c r="T168" s="63"/>
      <c r="U168" s="63"/>
    </row>
    <row r="169" spans="1:21" s="60" customFormat="1" hidden="1" outlineLevel="1">
      <c r="A169" s="60" t="s">
        <v>718</v>
      </c>
      <c r="B169" s="62">
        <v>9259222.8100000005</v>
      </c>
      <c r="C169" s="62"/>
      <c r="D169" s="62">
        <v>0</v>
      </c>
      <c r="E169" s="62"/>
      <c r="F169" s="62">
        <v>-41280.97</v>
      </c>
      <c r="G169" s="141"/>
      <c r="H169" s="62">
        <v>0</v>
      </c>
      <c r="I169" s="141"/>
      <c r="J169" s="62">
        <v>0</v>
      </c>
      <c r="K169" s="141"/>
      <c r="L169" s="62">
        <v>0</v>
      </c>
      <c r="M169" s="62"/>
      <c r="N169" s="62">
        <v>0</v>
      </c>
      <c r="O169" s="62"/>
      <c r="P169" s="62">
        <v>0</v>
      </c>
      <c r="Q169" s="62"/>
      <c r="R169" s="62">
        <f t="shared" si="14"/>
        <v>9217941.8399999999</v>
      </c>
      <c r="S169" s="66"/>
      <c r="T169" s="63"/>
      <c r="U169" s="63"/>
    </row>
    <row r="170" spans="1:21" s="60" customFormat="1" hidden="1" outlineLevel="1">
      <c r="A170" s="60" t="s">
        <v>307</v>
      </c>
      <c r="B170" s="62">
        <v>455188.33</v>
      </c>
      <c r="C170" s="62"/>
      <c r="D170" s="62">
        <v>0</v>
      </c>
      <c r="E170" s="62"/>
      <c r="F170" s="62">
        <v>0</v>
      </c>
      <c r="G170" s="141"/>
      <c r="H170" s="62">
        <v>0</v>
      </c>
      <c r="I170" s="141"/>
      <c r="J170" s="62">
        <v>0</v>
      </c>
      <c r="K170" s="141"/>
      <c r="L170" s="62">
        <v>0</v>
      </c>
      <c r="M170" s="62"/>
      <c r="N170" s="62">
        <v>0</v>
      </c>
      <c r="O170" s="62"/>
      <c r="P170" s="62">
        <v>0</v>
      </c>
      <c r="Q170" s="62"/>
      <c r="R170" s="62">
        <f t="shared" si="14"/>
        <v>455188.33</v>
      </c>
      <c r="S170" s="66"/>
      <c r="T170" s="63"/>
      <c r="U170" s="63"/>
    </row>
    <row r="171" spans="1:21" s="60" customFormat="1" hidden="1" outlineLevel="1">
      <c r="A171" s="60" t="s">
        <v>720</v>
      </c>
      <c r="B171" s="62">
        <v>19491236.620000001</v>
      </c>
      <c r="C171" s="62"/>
      <c r="D171" s="62">
        <v>0</v>
      </c>
      <c r="E171" s="62"/>
      <c r="F171" s="62">
        <v>0</v>
      </c>
      <c r="G171" s="141"/>
      <c r="H171" s="62">
        <v>0</v>
      </c>
      <c r="I171" s="141"/>
      <c r="J171" s="62">
        <v>0</v>
      </c>
      <c r="K171" s="141"/>
      <c r="L171" s="62">
        <v>0</v>
      </c>
      <c r="M171" s="62"/>
      <c r="N171" s="62">
        <v>0</v>
      </c>
      <c r="O171" s="62"/>
      <c r="P171" s="62">
        <v>0</v>
      </c>
      <c r="Q171" s="62"/>
      <c r="R171" s="62">
        <f t="shared" si="14"/>
        <v>19491236.620000001</v>
      </c>
      <c r="S171" s="66"/>
      <c r="T171" s="63"/>
      <c r="U171" s="63"/>
    </row>
    <row r="172" spans="1:21" s="60" customFormat="1" hidden="1" outlineLevel="1">
      <c r="A172" s="60" t="s">
        <v>721</v>
      </c>
      <c r="B172" s="62">
        <v>4571103.8899999997</v>
      </c>
      <c r="C172" s="62"/>
      <c r="D172" s="62">
        <v>0</v>
      </c>
      <c r="E172" s="62"/>
      <c r="F172" s="62">
        <v>0</v>
      </c>
      <c r="G172" s="141"/>
      <c r="H172" s="62">
        <v>0</v>
      </c>
      <c r="I172" s="141"/>
      <c r="J172" s="62">
        <v>0</v>
      </c>
      <c r="K172" s="141"/>
      <c r="L172" s="62">
        <v>0</v>
      </c>
      <c r="M172" s="62"/>
      <c r="N172" s="62">
        <v>0</v>
      </c>
      <c r="O172" s="62"/>
      <c r="P172" s="62">
        <v>0</v>
      </c>
      <c r="Q172" s="62"/>
      <c r="R172" s="62">
        <f t="shared" si="14"/>
        <v>4571103.8899999997</v>
      </c>
      <c r="S172" s="66"/>
      <c r="T172" s="63"/>
      <c r="U172" s="63"/>
    </row>
    <row r="173" spans="1:21" s="60" customFormat="1" hidden="1" outlineLevel="1">
      <c r="A173" s="60" t="s">
        <v>447</v>
      </c>
      <c r="B173" s="62">
        <v>0</v>
      </c>
      <c r="C173" s="62"/>
      <c r="D173" s="62">
        <v>0</v>
      </c>
      <c r="E173" s="62"/>
      <c r="F173" s="62">
        <v>0</v>
      </c>
      <c r="G173" s="141"/>
      <c r="H173" s="62">
        <v>0</v>
      </c>
      <c r="I173" s="141"/>
      <c r="J173" s="62">
        <v>0</v>
      </c>
      <c r="K173" s="141"/>
      <c r="L173" s="62">
        <v>0</v>
      </c>
      <c r="M173" s="62"/>
      <c r="N173" s="62">
        <v>0</v>
      </c>
      <c r="O173" s="62"/>
      <c r="P173" s="62">
        <v>0</v>
      </c>
      <c r="Q173" s="62"/>
      <c r="R173" s="62">
        <f t="shared" si="14"/>
        <v>0</v>
      </c>
      <c r="S173" s="66"/>
      <c r="T173" s="63"/>
      <c r="U173" s="63"/>
    </row>
    <row r="174" spans="1:21" s="60" customFormat="1" hidden="1" outlineLevel="1">
      <c r="A174" s="60" t="s">
        <v>1401</v>
      </c>
      <c r="B174" s="62">
        <v>53869468.75</v>
      </c>
      <c r="C174" s="62"/>
      <c r="D174" s="62">
        <v>0</v>
      </c>
      <c r="E174" s="62"/>
      <c r="F174" s="62">
        <v>0</v>
      </c>
      <c r="G174" s="141"/>
      <c r="H174" s="62">
        <v>0</v>
      </c>
      <c r="I174" s="141"/>
      <c r="J174" s="62">
        <v>0</v>
      </c>
      <c r="K174" s="141"/>
      <c r="L174" s="62">
        <v>0</v>
      </c>
      <c r="M174" s="62"/>
      <c r="N174" s="62">
        <v>0</v>
      </c>
      <c r="O174" s="62"/>
      <c r="P174" s="62">
        <v>0</v>
      </c>
      <c r="Q174" s="62"/>
      <c r="R174" s="62">
        <f t="shared" ref="R174:R179" si="15">SUM(B174:P174)</f>
        <v>53869468.75</v>
      </c>
      <c r="S174" s="66"/>
      <c r="T174" s="63"/>
      <c r="U174" s="63"/>
    </row>
    <row r="175" spans="1:21" s="60" customFormat="1" hidden="1" outlineLevel="1">
      <c r="A175" s="60" t="s">
        <v>1402</v>
      </c>
      <c r="B175" s="62">
        <v>11786.75</v>
      </c>
      <c r="C175" s="62"/>
      <c r="D175" s="62">
        <v>0</v>
      </c>
      <c r="E175" s="62"/>
      <c r="F175" s="62">
        <v>0</v>
      </c>
      <c r="G175" s="141"/>
      <c r="H175" s="62">
        <v>0</v>
      </c>
      <c r="I175" s="141"/>
      <c r="J175" s="62">
        <v>0</v>
      </c>
      <c r="K175" s="141"/>
      <c r="L175" s="62">
        <v>0</v>
      </c>
      <c r="M175" s="62"/>
      <c r="N175" s="62">
        <v>0</v>
      </c>
      <c r="O175" s="62"/>
      <c r="P175" s="62">
        <v>0</v>
      </c>
      <c r="Q175" s="62"/>
      <c r="R175" s="62">
        <f t="shared" si="15"/>
        <v>11786.75</v>
      </c>
      <c r="S175" s="66"/>
      <c r="T175" s="63"/>
      <c r="U175" s="63"/>
    </row>
    <row r="176" spans="1:21" s="60" customFormat="1" hidden="1" outlineLevel="1">
      <c r="A176" s="60" t="s">
        <v>1403</v>
      </c>
      <c r="B176" s="62">
        <v>10728.37</v>
      </c>
      <c r="C176" s="62"/>
      <c r="D176" s="62">
        <v>0</v>
      </c>
      <c r="E176" s="62"/>
      <c r="F176" s="62">
        <v>0</v>
      </c>
      <c r="G176" s="141"/>
      <c r="H176" s="62">
        <v>0</v>
      </c>
      <c r="I176" s="141"/>
      <c r="J176" s="62">
        <v>0</v>
      </c>
      <c r="K176" s="141"/>
      <c r="L176" s="62">
        <v>0</v>
      </c>
      <c r="M176" s="62"/>
      <c r="N176" s="62">
        <v>0</v>
      </c>
      <c r="O176" s="62"/>
      <c r="P176" s="62">
        <v>0</v>
      </c>
      <c r="Q176" s="62"/>
      <c r="R176" s="62">
        <f t="shared" si="15"/>
        <v>10728.37</v>
      </c>
      <c r="S176" s="66"/>
      <c r="T176" s="63"/>
      <c r="U176" s="63"/>
    </row>
    <row r="177" spans="1:21" s="60" customFormat="1" hidden="1" outlineLevel="1">
      <c r="A177" s="60" t="s">
        <v>1404</v>
      </c>
      <c r="B177" s="62">
        <v>0</v>
      </c>
      <c r="C177" s="62"/>
      <c r="D177" s="62">
        <v>0</v>
      </c>
      <c r="E177" s="62"/>
      <c r="F177" s="62">
        <v>0</v>
      </c>
      <c r="G177" s="141"/>
      <c r="H177" s="62">
        <v>0</v>
      </c>
      <c r="I177" s="141"/>
      <c r="J177" s="62">
        <v>0</v>
      </c>
      <c r="K177" s="141"/>
      <c r="L177" s="62">
        <v>0</v>
      </c>
      <c r="M177" s="62"/>
      <c r="N177" s="62">
        <v>0</v>
      </c>
      <c r="O177" s="62"/>
      <c r="P177" s="62">
        <v>0</v>
      </c>
      <c r="Q177" s="62"/>
      <c r="R177" s="62">
        <f t="shared" si="15"/>
        <v>0</v>
      </c>
      <c r="S177" s="66"/>
      <c r="T177" s="63"/>
      <c r="U177" s="63"/>
    </row>
    <row r="178" spans="1:21" s="60" customFormat="1" hidden="1" outlineLevel="1">
      <c r="A178" s="332" t="s">
        <v>1451</v>
      </c>
      <c r="B178" s="62">
        <v>0</v>
      </c>
      <c r="C178" s="62"/>
      <c r="D178" s="62">
        <v>0</v>
      </c>
      <c r="E178" s="62"/>
      <c r="F178" s="62">
        <v>0</v>
      </c>
      <c r="G178" s="141"/>
      <c r="H178" s="62">
        <v>0</v>
      </c>
      <c r="I178" s="141"/>
      <c r="J178" s="62">
        <v>0</v>
      </c>
      <c r="K178" s="141"/>
      <c r="L178" s="62">
        <v>0</v>
      </c>
      <c r="M178" s="62"/>
      <c r="N178" s="62">
        <v>0</v>
      </c>
      <c r="O178" s="62"/>
      <c r="P178" s="62">
        <v>0</v>
      </c>
      <c r="Q178" s="62"/>
      <c r="R178" s="62">
        <f t="shared" si="15"/>
        <v>0</v>
      </c>
      <c r="S178" s="66"/>
      <c r="T178" s="63"/>
      <c r="U178" s="63"/>
    </row>
    <row r="179" spans="1:21" s="60" customFormat="1" hidden="1" outlineLevel="1">
      <c r="A179" s="60" t="s">
        <v>723</v>
      </c>
      <c r="B179" s="62">
        <v>340402.96</v>
      </c>
      <c r="C179" s="62"/>
      <c r="D179" s="62">
        <v>0</v>
      </c>
      <c r="E179" s="62"/>
      <c r="F179" s="62">
        <v>0</v>
      </c>
      <c r="G179" s="141"/>
      <c r="H179" s="62">
        <v>0</v>
      </c>
      <c r="I179" s="141"/>
      <c r="J179" s="62">
        <v>0</v>
      </c>
      <c r="K179" s="141"/>
      <c r="L179" s="62">
        <v>0</v>
      </c>
      <c r="M179" s="62"/>
      <c r="N179" s="62">
        <v>0</v>
      </c>
      <c r="O179" s="62"/>
      <c r="P179" s="62">
        <v>0</v>
      </c>
      <c r="Q179" s="62"/>
      <c r="R179" s="62">
        <f t="shared" si="15"/>
        <v>340402.96</v>
      </c>
      <c r="S179" s="66"/>
      <c r="T179" s="63"/>
      <c r="U179" s="63"/>
    </row>
    <row r="180" spans="1:21" s="10" customFormat="1" collapsed="1">
      <c r="A180" s="10" t="s">
        <v>799</v>
      </c>
      <c r="B180" s="65">
        <f>SUM(B153:B179)</f>
        <v>181728272.13000003</v>
      </c>
      <c r="C180" s="65"/>
      <c r="D180" s="65">
        <f>SUM(D153:D179)</f>
        <v>0</v>
      </c>
      <c r="E180" s="65"/>
      <c r="F180" s="65">
        <f>SUM(F153:F179)</f>
        <v>-49120.57</v>
      </c>
      <c r="G180" s="142"/>
      <c r="H180" s="142">
        <f>SUM(H154:H179)</f>
        <v>0</v>
      </c>
      <c r="I180" s="142"/>
      <c r="J180" s="65">
        <f>SUM(J153:J179)</f>
        <v>0</v>
      </c>
      <c r="K180" s="142"/>
      <c r="L180" s="65">
        <f>SUM(L153:L179)</f>
        <v>0</v>
      </c>
      <c r="M180" s="65"/>
      <c r="N180" s="65">
        <f>SUM(N153:N179)</f>
        <v>0</v>
      </c>
      <c r="O180" s="65"/>
      <c r="P180" s="65">
        <f>SUM(P153:P179)</f>
        <v>0</v>
      </c>
      <c r="Q180" s="65"/>
      <c r="R180" s="65">
        <f>SUM(R154:R179)</f>
        <v>181679151.56000003</v>
      </c>
      <c r="S180" s="27"/>
      <c r="T180" s="24"/>
      <c r="U180" s="24"/>
    </row>
    <row r="181" spans="1:21" s="60" customFormat="1" hidden="1" outlineLevel="1">
      <c r="A181" s="60" t="s">
        <v>300</v>
      </c>
      <c r="B181" s="62">
        <v>5430.86</v>
      </c>
      <c r="C181" s="62"/>
      <c r="D181" s="62">
        <v>0</v>
      </c>
      <c r="E181" s="62"/>
      <c r="F181" s="62">
        <v>0</v>
      </c>
      <c r="G181" s="141"/>
      <c r="H181" s="62">
        <v>0</v>
      </c>
      <c r="I181" s="141"/>
      <c r="J181" s="62">
        <v>0</v>
      </c>
      <c r="K181" s="141"/>
      <c r="L181" s="62">
        <v>0</v>
      </c>
      <c r="M181" s="62"/>
      <c r="N181" s="62">
        <v>0</v>
      </c>
      <c r="O181" s="62"/>
      <c r="P181" s="62">
        <v>0</v>
      </c>
      <c r="Q181" s="62"/>
      <c r="R181" s="62">
        <f t="shared" si="14"/>
        <v>5430.86</v>
      </c>
      <c r="S181" s="66"/>
      <c r="T181" s="63"/>
      <c r="U181" s="63"/>
    </row>
    <row r="182" spans="1:21" s="60" customFormat="1" hidden="1" outlineLevel="1">
      <c r="A182" s="60" t="s">
        <v>725</v>
      </c>
      <c r="B182" s="62">
        <v>2159299.21</v>
      </c>
      <c r="C182" s="62"/>
      <c r="D182" s="62">
        <v>0</v>
      </c>
      <c r="E182" s="62"/>
      <c r="F182" s="62">
        <v>0</v>
      </c>
      <c r="G182" s="141"/>
      <c r="H182" s="62">
        <v>0</v>
      </c>
      <c r="I182" s="141"/>
      <c r="J182" s="62">
        <v>0</v>
      </c>
      <c r="K182" s="141"/>
      <c r="L182" s="62">
        <v>0</v>
      </c>
      <c r="M182" s="62"/>
      <c r="N182" s="62">
        <v>0</v>
      </c>
      <c r="O182" s="62"/>
      <c r="P182" s="62">
        <v>0</v>
      </c>
      <c r="Q182" s="62"/>
      <c r="R182" s="62">
        <f t="shared" si="14"/>
        <v>2159299.21</v>
      </c>
      <c r="S182" s="66"/>
      <c r="T182" s="63"/>
      <c r="U182" s="63"/>
    </row>
    <row r="183" spans="1:21" s="60" customFormat="1" hidden="1" outlineLevel="1">
      <c r="A183" s="60" t="s">
        <v>726</v>
      </c>
      <c r="B183" s="62">
        <v>142517.72</v>
      </c>
      <c r="C183" s="62"/>
      <c r="D183" s="62">
        <v>0</v>
      </c>
      <c r="E183" s="62"/>
      <c r="F183" s="62">
        <v>0</v>
      </c>
      <c r="G183" s="141"/>
      <c r="H183" s="62">
        <v>0</v>
      </c>
      <c r="I183" s="141"/>
      <c r="J183" s="62">
        <v>0</v>
      </c>
      <c r="K183" s="141"/>
      <c r="L183" s="62">
        <v>0</v>
      </c>
      <c r="M183" s="62"/>
      <c r="N183" s="62">
        <v>0</v>
      </c>
      <c r="O183" s="62"/>
      <c r="P183" s="62">
        <v>0</v>
      </c>
      <c r="Q183" s="62"/>
      <c r="R183" s="62">
        <f t="shared" si="14"/>
        <v>142517.72</v>
      </c>
      <c r="S183" s="66"/>
      <c r="T183" s="63"/>
      <c r="U183" s="63"/>
    </row>
    <row r="184" spans="1:21" s="60" customFormat="1" hidden="1" outlineLevel="1">
      <c r="A184" s="60" t="s">
        <v>727</v>
      </c>
      <c r="B184" s="62">
        <v>0</v>
      </c>
      <c r="C184" s="62"/>
      <c r="D184" s="62">
        <v>0</v>
      </c>
      <c r="E184" s="62"/>
      <c r="F184" s="62">
        <v>0</v>
      </c>
      <c r="G184" s="62"/>
      <c r="H184" s="62">
        <v>0</v>
      </c>
      <c r="I184" s="62"/>
      <c r="J184" s="62">
        <v>0</v>
      </c>
      <c r="K184" s="62"/>
      <c r="L184" s="62">
        <v>0</v>
      </c>
      <c r="M184" s="62"/>
      <c r="N184" s="62">
        <v>0</v>
      </c>
      <c r="O184" s="62"/>
      <c r="P184" s="62">
        <v>0</v>
      </c>
      <c r="Q184" s="62"/>
      <c r="R184" s="62">
        <f t="shared" si="14"/>
        <v>0</v>
      </c>
      <c r="S184" s="66"/>
      <c r="T184" s="63"/>
      <c r="U184" s="63"/>
    </row>
    <row r="185" spans="1:21" s="60" customFormat="1" hidden="1" outlineLevel="1">
      <c r="A185" s="60" t="s">
        <v>728</v>
      </c>
      <c r="B185" s="62">
        <v>3447108.01</v>
      </c>
      <c r="C185" s="62"/>
      <c r="D185" s="62">
        <v>0</v>
      </c>
      <c r="E185" s="62"/>
      <c r="F185" s="62">
        <v>0</v>
      </c>
      <c r="G185" s="62"/>
      <c r="H185" s="62">
        <v>0</v>
      </c>
      <c r="I185" s="62"/>
      <c r="J185" s="62">
        <v>0</v>
      </c>
      <c r="K185" s="62"/>
      <c r="L185" s="62">
        <v>0</v>
      </c>
      <c r="M185" s="62"/>
      <c r="N185" s="62">
        <v>0</v>
      </c>
      <c r="O185" s="62"/>
      <c r="P185" s="62">
        <v>0</v>
      </c>
      <c r="Q185" s="62"/>
      <c r="R185" s="62">
        <f t="shared" si="14"/>
        <v>3447108.01</v>
      </c>
      <c r="S185" s="66"/>
      <c r="T185" s="63"/>
      <c r="U185" s="63"/>
    </row>
    <row r="186" spans="1:21" s="60" customFormat="1" hidden="1" outlineLevel="1">
      <c r="A186" s="60" t="s">
        <v>729</v>
      </c>
      <c r="B186" s="62">
        <v>2475442.75</v>
      </c>
      <c r="C186" s="62"/>
      <c r="D186" s="62">
        <v>0</v>
      </c>
      <c r="E186" s="62"/>
      <c r="F186" s="62">
        <v>0</v>
      </c>
      <c r="G186" s="62"/>
      <c r="H186" s="62">
        <v>0</v>
      </c>
      <c r="I186" s="62"/>
      <c r="J186" s="62">
        <v>0</v>
      </c>
      <c r="K186" s="62"/>
      <c r="L186" s="62">
        <v>0</v>
      </c>
      <c r="M186" s="62"/>
      <c r="N186" s="62">
        <v>0</v>
      </c>
      <c r="O186" s="62"/>
      <c r="P186" s="62">
        <v>0</v>
      </c>
      <c r="Q186" s="62"/>
      <c r="R186" s="62">
        <f t="shared" si="14"/>
        <v>2475442.75</v>
      </c>
      <c r="S186" s="66"/>
      <c r="T186" s="63"/>
      <c r="U186" s="63"/>
    </row>
    <row r="187" spans="1:21" s="60" customFormat="1" hidden="1" outlineLevel="1">
      <c r="A187" s="332" t="s">
        <v>1452</v>
      </c>
      <c r="B187" s="62">
        <v>0</v>
      </c>
      <c r="C187" s="62"/>
      <c r="D187" s="62">
        <v>0</v>
      </c>
      <c r="E187" s="62"/>
      <c r="F187" s="62">
        <v>0</v>
      </c>
      <c r="G187" s="62"/>
      <c r="H187" s="62">
        <v>0</v>
      </c>
      <c r="I187" s="62"/>
      <c r="J187" s="62">
        <v>0</v>
      </c>
      <c r="K187" s="62"/>
      <c r="L187" s="62">
        <v>0</v>
      </c>
      <c r="M187" s="62"/>
      <c r="N187" s="62">
        <v>0</v>
      </c>
      <c r="O187" s="62"/>
      <c r="P187" s="62">
        <v>0</v>
      </c>
      <c r="Q187" s="62"/>
      <c r="R187" s="62">
        <f t="shared" si="14"/>
        <v>0</v>
      </c>
      <c r="S187" s="66"/>
      <c r="T187" s="63"/>
      <c r="U187" s="63"/>
    </row>
    <row r="188" spans="1:21" s="10" customFormat="1" collapsed="1">
      <c r="A188" s="10" t="s">
        <v>800</v>
      </c>
      <c r="B188" s="324">
        <f>SUM(B181:B187)</f>
        <v>8229798.5499999998</v>
      </c>
      <c r="C188" s="65"/>
      <c r="D188" s="65">
        <f>SUM(D181:D187)</f>
        <v>0</v>
      </c>
      <c r="E188" s="65"/>
      <c r="F188" s="65">
        <f>SUM(F181:F187)</f>
        <v>0</v>
      </c>
      <c r="G188" s="65"/>
      <c r="H188" s="65">
        <f>SUM(H181:H187)</f>
        <v>0</v>
      </c>
      <c r="I188" s="65"/>
      <c r="J188" s="65">
        <f>SUM(J181:J187)</f>
        <v>0</v>
      </c>
      <c r="K188" s="65"/>
      <c r="L188" s="65">
        <f>SUM(L181:L187)</f>
        <v>0</v>
      </c>
      <c r="M188" s="65"/>
      <c r="N188" s="65">
        <f>SUM(N181:N187)</f>
        <v>0</v>
      </c>
      <c r="O188" s="65"/>
      <c r="P188" s="324">
        <f>SUM(P181:P187)</f>
        <v>0</v>
      </c>
      <c r="Q188" s="65"/>
      <c r="R188" s="65">
        <f>SUM(R181:R187)</f>
        <v>8229798.5499999998</v>
      </c>
      <c r="S188" s="27"/>
      <c r="T188" s="24"/>
      <c r="U188" s="24"/>
    </row>
    <row r="189" spans="1:21" s="60" customFormat="1" hidden="1" outlineLevel="1">
      <c r="A189" s="60" t="s">
        <v>730</v>
      </c>
      <c r="B189" s="62">
        <v>0</v>
      </c>
      <c r="C189" s="62"/>
      <c r="D189" s="62">
        <v>0</v>
      </c>
      <c r="E189" s="62"/>
      <c r="F189" s="62">
        <v>0</v>
      </c>
      <c r="G189" s="62"/>
      <c r="H189" s="62">
        <v>0</v>
      </c>
      <c r="I189" s="62"/>
      <c r="J189" s="62">
        <v>0</v>
      </c>
      <c r="K189" s="62"/>
      <c r="L189" s="62">
        <v>0</v>
      </c>
      <c r="M189" s="62"/>
      <c r="N189" s="62">
        <v>0</v>
      </c>
      <c r="O189" s="62"/>
      <c r="P189" s="62">
        <v>0</v>
      </c>
      <c r="Q189" s="62"/>
      <c r="R189" s="62">
        <f t="shared" si="14"/>
        <v>0</v>
      </c>
      <c r="S189" s="66"/>
      <c r="T189" s="63"/>
      <c r="U189" s="63"/>
    </row>
    <row r="190" spans="1:21" s="60" customFormat="1" hidden="1" outlineLevel="1">
      <c r="A190" s="60" t="s">
        <v>366</v>
      </c>
      <c r="B190" s="62">
        <v>0</v>
      </c>
      <c r="C190" s="62"/>
      <c r="D190" s="62">
        <v>0</v>
      </c>
      <c r="E190" s="62"/>
      <c r="F190" s="62">
        <v>0</v>
      </c>
      <c r="G190" s="62"/>
      <c r="H190" s="62">
        <v>0</v>
      </c>
      <c r="I190" s="62"/>
      <c r="J190" s="62">
        <v>0</v>
      </c>
      <c r="K190" s="62"/>
      <c r="L190" s="62">
        <v>0</v>
      </c>
      <c r="M190" s="62"/>
      <c r="N190" s="62">
        <v>0</v>
      </c>
      <c r="O190" s="62"/>
      <c r="P190" s="62">
        <v>0</v>
      </c>
      <c r="Q190" s="62"/>
      <c r="R190" s="62">
        <f t="shared" si="14"/>
        <v>0</v>
      </c>
      <c r="S190" s="66"/>
      <c r="T190" s="63"/>
      <c r="U190" s="63"/>
    </row>
    <row r="191" spans="1:21" s="10" customFormat="1" collapsed="1">
      <c r="A191" s="10" t="s">
        <v>502</v>
      </c>
      <c r="B191" s="65">
        <f>SUM(B189:B190)</f>
        <v>0</v>
      </c>
      <c r="C191" s="65"/>
      <c r="D191" s="65">
        <f>SUM(D189:D190)</f>
        <v>0</v>
      </c>
      <c r="E191" s="65"/>
      <c r="F191" s="65">
        <f>SUM(F189:F190)</f>
        <v>0</v>
      </c>
      <c r="G191" s="65"/>
      <c r="H191" s="65">
        <f>SUM(H189:H190)</f>
        <v>0</v>
      </c>
      <c r="I191" s="65"/>
      <c r="J191" s="65">
        <f>SUM(J189:J190)</f>
        <v>0</v>
      </c>
      <c r="K191" s="65"/>
      <c r="L191" s="65">
        <f>SUM(L189:L190)</f>
        <v>0</v>
      </c>
      <c r="M191" s="65"/>
      <c r="N191" s="65">
        <f>SUM(N189:N190)</f>
        <v>0</v>
      </c>
      <c r="O191" s="65"/>
      <c r="P191" s="65">
        <f>SUM(P189:P190)</f>
        <v>0</v>
      </c>
      <c r="Q191" s="65"/>
      <c r="R191" s="65">
        <f>SUM(R189:R190)</f>
        <v>0</v>
      </c>
      <c r="S191" s="27"/>
      <c r="T191" s="24"/>
      <c r="U191" s="24"/>
    </row>
    <row r="192" spans="1:21" s="60" customFormat="1" hidden="1" outlineLevel="1">
      <c r="A192" s="60" t="s">
        <v>1056</v>
      </c>
      <c r="B192" s="62">
        <v>50970.89</v>
      </c>
      <c r="C192" s="62"/>
      <c r="D192" s="62">
        <v>0</v>
      </c>
      <c r="E192" s="62"/>
      <c r="F192" s="62">
        <v>0</v>
      </c>
      <c r="G192" s="62"/>
      <c r="H192" s="62">
        <v>0</v>
      </c>
      <c r="I192" s="62"/>
      <c r="J192" s="62">
        <v>0</v>
      </c>
      <c r="K192" s="62"/>
      <c r="L192" s="62">
        <v>0</v>
      </c>
      <c r="M192" s="62"/>
      <c r="N192" s="62">
        <v>0</v>
      </c>
      <c r="O192" s="62"/>
      <c r="P192" s="62">
        <v>0</v>
      </c>
      <c r="Q192" s="62"/>
      <c r="R192" s="62">
        <f t="shared" si="14"/>
        <v>50970.89</v>
      </c>
      <c r="S192" s="66"/>
      <c r="T192" s="63"/>
      <c r="U192" s="63"/>
    </row>
    <row r="193" spans="1:21" s="60" customFormat="1" hidden="1" outlineLevel="1">
      <c r="A193" s="60" t="s">
        <v>1057</v>
      </c>
      <c r="B193" s="62">
        <v>1070681.1000000001</v>
      </c>
      <c r="C193" s="62"/>
      <c r="D193" s="62">
        <v>0</v>
      </c>
      <c r="E193" s="62"/>
      <c r="F193" s="62">
        <v>0</v>
      </c>
      <c r="G193" s="62"/>
      <c r="H193" s="62">
        <v>0</v>
      </c>
      <c r="I193" s="62"/>
      <c r="J193" s="62">
        <v>0</v>
      </c>
      <c r="K193" s="62"/>
      <c r="L193" s="62">
        <v>0</v>
      </c>
      <c r="M193" s="62"/>
      <c r="N193" s="62">
        <v>0</v>
      </c>
      <c r="O193" s="62"/>
      <c r="P193" s="62">
        <v>0</v>
      </c>
      <c r="Q193" s="62"/>
      <c r="R193" s="62">
        <f t="shared" si="14"/>
        <v>1070681.1000000001</v>
      </c>
      <c r="S193" s="66"/>
      <c r="T193" s="63"/>
      <c r="U193" s="63"/>
    </row>
    <row r="194" spans="1:21" s="60" customFormat="1" hidden="1" outlineLevel="1">
      <c r="A194" s="60" t="s">
        <v>362</v>
      </c>
      <c r="B194" s="62">
        <v>1134352.76</v>
      </c>
      <c r="C194" s="62"/>
      <c r="D194" s="62">
        <v>0</v>
      </c>
      <c r="E194" s="62"/>
      <c r="F194" s="62">
        <v>0</v>
      </c>
      <c r="G194" s="62"/>
      <c r="H194" s="62">
        <v>0</v>
      </c>
      <c r="I194" s="62"/>
      <c r="J194" s="62">
        <v>0</v>
      </c>
      <c r="K194" s="62"/>
      <c r="L194" s="62">
        <v>0</v>
      </c>
      <c r="M194" s="62"/>
      <c r="N194" s="62">
        <v>0</v>
      </c>
      <c r="O194" s="62"/>
      <c r="P194" s="62">
        <v>0</v>
      </c>
      <c r="Q194" s="62"/>
      <c r="R194" s="62">
        <f t="shared" si="14"/>
        <v>1134352.76</v>
      </c>
      <c r="S194" s="66"/>
      <c r="T194" s="63"/>
      <c r="U194" s="63"/>
    </row>
    <row r="195" spans="1:21" s="60" customFormat="1" hidden="1" outlineLevel="1">
      <c r="A195" s="60" t="s">
        <v>350</v>
      </c>
      <c r="B195" s="62">
        <v>124901.23</v>
      </c>
      <c r="C195" s="62"/>
      <c r="D195" s="62">
        <v>0</v>
      </c>
      <c r="E195" s="62"/>
      <c r="F195" s="62">
        <v>0</v>
      </c>
      <c r="G195" s="141"/>
      <c r="H195" s="62">
        <v>0</v>
      </c>
      <c r="I195" s="141"/>
      <c r="J195" s="62">
        <v>0</v>
      </c>
      <c r="K195" s="141"/>
      <c r="L195" s="62">
        <v>0</v>
      </c>
      <c r="M195" s="62"/>
      <c r="N195" s="62">
        <v>0</v>
      </c>
      <c r="O195" s="62"/>
      <c r="P195" s="62">
        <v>0</v>
      </c>
      <c r="Q195" s="62"/>
      <c r="R195" s="62">
        <f t="shared" si="14"/>
        <v>124901.23</v>
      </c>
      <c r="S195" s="66"/>
      <c r="T195" s="63"/>
      <c r="U195" s="63"/>
    </row>
    <row r="196" spans="1:21" s="60" customFormat="1" hidden="1" outlineLevel="1">
      <c r="A196" s="60" t="s">
        <v>351</v>
      </c>
      <c r="B196" s="62">
        <v>1040700.6799999999</v>
      </c>
      <c r="C196" s="62"/>
      <c r="D196" s="62">
        <v>0</v>
      </c>
      <c r="E196" s="62"/>
      <c r="F196" s="62">
        <v>0</v>
      </c>
      <c r="G196" s="141"/>
      <c r="H196" s="62">
        <v>0</v>
      </c>
      <c r="I196" s="141"/>
      <c r="J196" s="62">
        <v>0</v>
      </c>
      <c r="K196" s="141"/>
      <c r="L196" s="62">
        <v>0</v>
      </c>
      <c r="M196" s="62"/>
      <c r="N196" s="62">
        <v>0</v>
      </c>
      <c r="O196" s="62"/>
      <c r="P196" s="62">
        <v>0</v>
      </c>
      <c r="Q196" s="62"/>
      <c r="R196" s="62">
        <f t="shared" si="14"/>
        <v>1040700.6799999999</v>
      </c>
      <c r="S196" s="66"/>
      <c r="T196" s="63"/>
      <c r="U196" s="63"/>
    </row>
    <row r="197" spans="1:21" s="60" customFormat="1" hidden="1" outlineLevel="1">
      <c r="A197" s="60" t="s">
        <v>353</v>
      </c>
      <c r="B197" s="62">
        <v>17802570.289999999</v>
      </c>
      <c r="C197" s="62"/>
      <c r="D197" s="62">
        <v>0</v>
      </c>
      <c r="E197" s="62"/>
      <c r="F197" s="62">
        <v>0</v>
      </c>
      <c r="G197" s="141"/>
      <c r="H197" s="62">
        <v>0</v>
      </c>
      <c r="I197" s="141"/>
      <c r="J197" s="62">
        <v>0</v>
      </c>
      <c r="K197" s="141"/>
      <c r="L197" s="62">
        <v>0</v>
      </c>
      <c r="M197" s="62"/>
      <c r="N197" s="62">
        <v>0</v>
      </c>
      <c r="O197" s="62"/>
      <c r="P197" s="62">
        <v>0</v>
      </c>
      <c r="Q197" s="62"/>
      <c r="R197" s="62">
        <f>SUM(B197:P197)</f>
        <v>17802570.289999999</v>
      </c>
      <c r="S197" s="66"/>
      <c r="T197" s="63"/>
      <c r="U197" s="63"/>
    </row>
    <row r="198" spans="1:21" s="60" customFormat="1" hidden="1" outlineLevel="1">
      <c r="A198" s="60" t="s">
        <v>354</v>
      </c>
      <c r="B198" s="62">
        <v>26353416.48</v>
      </c>
      <c r="C198" s="62"/>
      <c r="D198" s="62">
        <v>0</v>
      </c>
      <c r="E198" s="62"/>
      <c r="F198" s="62">
        <v>0</v>
      </c>
      <c r="G198" s="141"/>
      <c r="H198" s="62">
        <v>0</v>
      </c>
      <c r="I198" s="141"/>
      <c r="J198" s="62">
        <v>0</v>
      </c>
      <c r="K198" s="141"/>
      <c r="L198" s="62">
        <v>0</v>
      </c>
      <c r="M198" s="62"/>
      <c r="N198" s="62">
        <v>0</v>
      </c>
      <c r="O198" s="62"/>
      <c r="P198" s="62">
        <v>0</v>
      </c>
      <c r="Q198" s="62"/>
      <c r="R198" s="62">
        <f>SUM(B198:P198)</f>
        <v>26353416.48</v>
      </c>
      <c r="S198" s="66"/>
      <c r="T198" s="63"/>
      <c r="U198" s="63"/>
    </row>
    <row r="199" spans="1:21" s="60" customFormat="1" hidden="1" outlineLevel="1">
      <c r="A199" s="60" t="s">
        <v>1405</v>
      </c>
      <c r="B199" s="62">
        <v>18042550.260000002</v>
      </c>
      <c r="C199" s="62"/>
      <c r="D199" s="62">
        <v>0</v>
      </c>
      <c r="E199" s="62"/>
      <c r="F199" s="62">
        <v>0</v>
      </c>
      <c r="G199" s="141"/>
      <c r="H199" s="62">
        <v>0</v>
      </c>
      <c r="I199" s="141"/>
      <c r="J199" s="62">
        <v>0</v>
      </c>
      <c r="K199" s="141"/>
      <c r="L199" s="62">
        <v>0</v>
      </c>
      <c r="M199" s="62"/>
      <c r="N199" s="62">
        <v>0</v>
      </c>
      <c r="O199" s="62"/>
      <c r="P199" s="62">
        <v>0</v>
      </c>
      <c r="Q199" s="62"/>
      <c r="R199" s="62">
        <f t="shared" si="14"/>
        <v>18042550.260000002</v>
      </c>
      <c r="S199" s="66"/>
      <c r="T199" s="63"/>
      <c r="U199" s="63"/>
    </row>
    <row r="200" spans="1:21" s="60" customFormat="1" hidden="1" outlineLevel="1">
      <c r="A200" s="60" t="s">
        <v>1406</v>
      </c>
      <c r="B200" s="62">
        <v>4308.72</v>
      </c>
      <c r="C200" s="62"/>
      <c r="D200" s="62">
        <v>0</v>
      </c>
      <c r="E200" s="62"/>
      <c r="F200" s="62">
        <v>0</v>
      </c>
      <c r="G200" s="141"/>
      <c r="H200" s="62">
        <v>0</v>
      </c>
      <c r="I200" s="141"/>
      <c r="J200" s="62">
        <v>0</v>
      </c>
      <c r="K200" s="141"/>
      <c r="L200" s="62">
        <v>0</v>
      </c>
      <c r="M200" s="62"/>
      <c r="N200" s="62">
        <v>0</v>
      </c>
      <c r="O200" s="62"/>
      <c r="P200" s="62">
        <v>0</v>
      </c>
      <c r="Q200" s="62"/>
      <c r="R200" s="62">
        <f t="shared" si="14"/>
        <v>4308.72</v>
      </c>
      <c r="S200" s="66"/>
      <c r="T200" s="63"/>
      <c r="U200" s="63"/>
    </row>
    <row r="201" spans="1:21" s="60" customFormat="1" hidden="1" outlineLevel="1">
      <c r="A201" s="60" t="s">
        <v>1407</v>
      </c>
      <c r="B201" s="62">
        <v>15448989.5</v>
      </c>
      <c r="C201" s="62"/>
      <c r="D201" s="62">
        <v>0</v>
      </c>
      <c r="E201" s="62"/>
      <c r="F201" s="62">
        <v>-19062.32</v>
      </c>
      <c r="G201" s="141"/>
      <c r="H201" s="62">
        <v>0</v>
      </c>
      <c r="I201" s="141"/>
      <c r="J201" s="62">
        <v>0</v>
      </c>
      <c r="K201" s="141"/>
      <c r="L201" s="62">
        <v>0</v>
      </c>
      <c r="M201" s="62"/>
      <c r="N201" s="62">
        <v>0</v>
      </c>
      <c r="O201" s="62"/>
      <c r="P201" s="62">
        <v>0</v>
      </c>
      <c r="Q201" s="62"/>
      <c r="R201" s="62">
        <f t="shared" si="14"/>
        <v>15429927.18</v>
      </c>
      <c r="S201" s="66"/>
      <c r="T201" s="63"/>
      <c r="U201" s="63"/>
    </row>
    <row r="202" spans="1:21" s="60" customFormat="1" hidden="1" outlineLevel="1">
      <c r="A202" s="60" t="s">
        <v>1408</v>
      </c>
      <c r="B202" s="62">
        <v>4523.0600000000004</v>
      </c>
      <c r="C202" s="62"/>
      <c r="D202" s="62">
        <v>0</v>
      </c>
      <c r="E202" s="62"/>
      <c r="F202" s="62">
        <v>0</v>
      </c>
      <c r="G202" s="141"/>
      <c r="H202" s="62">
        <v>0</v>
      </c>
      <c r="I202" s="141"/>
      <c r="J202" s="62">
        <v>0</v>
      </c>
      <c r="K202" s="141"/>
      <c r="L202" s="62">
        <v>0</v>
      </c>
      <c r="M202" s="62"/>
      <c r="N202" s="62">
        <v>0</v>
      </c>
      <c r="O202" s="62"/>
      <c r="P202" s="62">
        <v>0</v>
      </c>
      <c r="Q202" s="62"/>
      <c r="R202" s="62">
        <f t="shared" si="14"/>
        <v>4523.0600000000004</v>
      </c>
      <c r="S202" s="66"/>
      <c r="T202" s="63"/>
      <c r="U202" s="63"/>
    </row>
    <row r="203" spans="1:21" s="60" customFormat="1" hidden="1" outlineLevel="1">
      <c r="A203" s="60" t="s">
        <v>1409</v>
      </c>
      <c r="B203" s="62">
        <v>23667975.190000001</v>
      </c>
      <c r="C203" s="62"/>
      <c r="D203" s="62">
        <v>0</v>
      </c>
      <c r="E203" s="62"/>
      <c r="F203" s="62">
        <v>-48845.72</v>
      </c>
      <c r="G203" s="141"/>
      <c r="H203" s="62">
        <v>0</v>
      </c>
      <c r="I203" s="141"/>
      <c r="J203" s="62">
        <v>0</v>
      </c>
      <c r="K203" s="141"/>
      <c r="L203" s="62">
        <v>0</v>
      </c>
      <c r="M203" s="62"/>
      <c r="N203" s="62">
        <v>0</v>
      </c>
      <c r="O203" s="62"/>
      <c r="P203" s="62">
        <v>0</v>
      </c>
      <c r="Q203" s="62"/>
      <c r="R203" s="62">
        <f t="shared" si="14"/>
        <v>23619129.470000003</v>
      </c>
      <c r="S203" s="66"/>
      <c r="T203" s="63"/>
      <c r="U203" s="63"/>
    </row>
    <row r="204" spans="1:21" s="60" customFormat="1" hidden="1" outlineLevel="1">
      <c r="A204" s="60" t="s">
        <v>1410</v>
      </c>
      <c r="B204" s="62">
        <v>6910.99</v>
      </c>
      <c r="C204" s="62"/>
      <c r="D204" s="62">
        <v>0</v>
      </c>
      <c r="E204" s="62"/>
      <c r="F204" s="62">
        <v>0</v>
      </c>
      <c r="G204" s="141"/>
      <c r="H204" s="62">
        <v>0</v>
      </c>
      <c r="I204" s="141"/>
      <c r="J204" s="62">
        <v>0</v>
      </c>
      <c r="K204" s="141"/>
      <c r="L204" s="62">
        <v>0</v>
      </c>
      <c r="M204" s="62"/>
      <c r="N204" s="62">
        <v>0</v>
      </c>
      <c r="O204" s="62"/>
      <c r="P204" s="62">
        <v>0</v>
      </c>
      <c r="Q204" s="62"/>
      <c r="R204" s="62">
        <f t="shared" si="14"/>
        <v>6910.99</v>
      </c>
      <c r="S204" s="66"/>
      <c r="T204" s="63"/>
      <c r="U204" s="63"/>
    </row>
    <row r="205" spans="1:21" s="60" customFormat="1" hidden="1" outlineLevel="1">
      <c r="A205" s="307" t="s">
        <v>1392</v>
      </c>
      <c r="B205" s="62">
        <v>24344418.25</v>
      </c>
      <c r="C205" s="62"/>
      <c r="D205" s="62">
        <v>0</v>
      </c>
      <c r="E205" s="62"/>
      <c r="F205" s="62">
        <v>0</v>
      </c>
      <c r="G205" s="141"/>
      <c r="H205" s="62">
        <v>0</v>
      </c>
      <c r="I205" s="141"/>
      <c r="J205" s="62">
        <v>0</v>
      </c>
      <c r="K205" s="141"/>
      <c r="L205" s="62">
        <v>0</v>
      </c>
      <c r="M205" s="62"/>
      <c r="N205" s="62">
        <v>0</v>
      </c>
      <c r="O205" s="62"/>
      <c r="P205" s="62">
        <v>0</v>
      </c>
      <c r="Q205" s="62"/>
      <c r="R205" s="62">
        <f t="shared" si="14"/>
        <v>24344418.25</v>
      </c>
      <c r="S205" s="66"/>
      <c r="T205" s="63"/>
      <c r="U205" s="63"/>
    </row>
    <row r="206" spans="1:21" s="60" customFormat="1" hidden="1" outlineLevel="1">
      <c r="A206" s="307" t="s">
        <v>1391</v>
      </c>
      <c r="B206" s="62">
        <v>30946.59</v>
      </c>
      <c r="C206" s="62"/>
      <c r="D206" s="62">
        <v>0</v>
      </c>
      <c r="E206" s="62"/>
      <c r="F206" s="62">
        <v>0</v>
      </c>
      <c r="G206" s="141"/>
      <c r="H206" s="62">
        <v>0</v>
      </c>
      <c r="I206" s="141">
        <v>0</v>
      </c>
      <c r="J206" s="62">
        <v>0</v>
      </c>
      <c r="K206" s="141"/>
      <c r="L206" s="62">
        <v>0</v>
      </c>
      <c r="M206" s="62"/>
      <c r="N206" s="62">
        <v>0</v>
      </c>
      <c r="O206" s="62"/>
      <c r="P206" s="62">
        <v>0</v>
      </c>
      <c r="Q206" s="62"/>
      <c r="R206" s="62">
        <f t="shared" si="14"/>
        <v>30946.59</v>
      </c>
      <c r="S206" s="66"/>
      <c r="T206" s="63"/>
      <c r="U206" s="63"/>
    </row>
    <row r="207" spans="1:21" s="60" customFormat="1" hidden="1" outlineLevel="1">
      <c r="A207" s="60" t="s">
        <v>138</v>
      </c>
      <c r="B207" s="62">
        <v>0</v>
      </c>
      <c r="C207" s="62"/>
      <c r="D207" s="62">
        <v>0</v>
      </c>
      <c r="E207" s="62"/>
      <c r="F207" s="62">
        <v>0</v>
      </c>
      <c r="G207" s="141"/>
      <c r="H207" s="62">
        <v>0</v>
      </c>
      <c r="I207" s="141"/>
      <c r="J207" s="62">
        <v>0</v>
      </c>
      <c r="K207" s="141"/>
      <c r="L207" s="62">
        <v>0</v>
      </c>
      <c r="M207" s="62"/>
      <c r="N207" s="62">
        <v>0</v>
      </c>
      <c r="O207" s="62"/>
      <c r="P207" s="62">
        <v>0</v>
      </c>
      <c r="Q207" s="62"/>
      <c r="R207" s="62">
        <f t="shared" ref="R207:R233" si="16">SUM(B207:P207)</f>
        <v>0</v>
      </c>
      <c r="S207" s="66"/>
      <c r="T207" s="63"/>
      <c r="U207" s="63"/>
    </row>
    <row r="208" spans="1:21" s="60" customFormat="1" hidden="1" outlineLevel="1">
      <c r="A208" s="60" t="s">
        <v>1412</v>
      </c>
      <c r="B208" s="62">
        <v>30107159.050000001</v>
      </c>
      <c r="C208" s="62"/>
      <c r="D208" s="62">
        <v>0</v>
      </c>
      <c r="E208" s="62"/>
      <c r="F208" s="62">
        <v>-912.44</v>
      </c>
      <c r="G208" s="141"/>
      <c r="H208" s="62">
        <v>0</v>
      </c>
      <c r="I208" s="141"/>
      <c r="J208" s="62">
        <v>0</v>
      </c>
      <c r="K208" s="141"/>
      <c r="L208" s="62">
        <v>0</v>
      </c>
      <c r="M208" s="62"/>
      <c r="N208" s="62">
        <v>0</v>
      </c>
      <c r="O208" s="62"/>
      <c r="P208" s="62">
        <v>0</v>
      </c>
      <c r="Q208" s="62"/>
      <c r="R208" s="62">
        <f t="shared" si="16"/>
        <v>30106246.609999999</v>
      </c>
      <c r="S208" s="66"/>
      <c r="T208" s="63"/>
      <c r="U208" s="63"/>
    </row>
    <row r="209" spans="1:21" s="60" customFormat="1" hidden="1" outlineLevel="1">
      <c r="A209" s="60" t="s">
        <v>1413</v>
      </c>
      <c r="B209" s="62">
        <v>15222.62</v>
      </c>
      <c r="C209" s="62"/>
      <c r="D209" s="62">
        <v>0</v>
      </c>
      <c r="E209" s="62"/>
      <c r="F209" s="62">
        <v>0</v>
      </c>
      <c r="G209" s="141"/>
      <c r="H209" s="62">
        <v>0</v>
      </c>
      <c r="I209" s="141"/>
      <c r="J209" s="62">
        <v>0</v>
      </c>
      <c r="K209" s="141"/>
      <c r="L209" s="62">
        <v>0</v>
      </c>
      <c r="M209" s="62"/>
      <c r="N209" s="62">
        <v>0</v>
      </c>
      <c r="O209" s="62"/>
      <c r="P209" s="62">
        <v>0</v>
      </c>
      <c r="Q209" s="62"/>
      <c r="R209" s="62">
        <f t="shared" si="16"/>
        <v>15222.62</v>
      </c>
      <c r="S209" s="66"/>
      <c r="T209" s="63"/>
      <c r="U209" s="63"/>
    </row>
    <row r="210" spans="1:21" s="60" customFormat="1" hidden="1" outlineLevel="1">
      <c r="A210" s="60" t="s">
        <v>1414</v>
      </c>
      <c r="B210" s="62">
        <v>22603265.939999998</v>
      </c>
      <c r="C210" s="62"/>
      <c r="D210" s="62">
        <v>0</v>
      </c>
      <c r="E210" s="62"/>
      <c r="F210" s="62">
        <v>0</v>
      </c>
      <c r="G210" s="141"/>
      <c r="H210" s="62">
        <v>0</v>
      </c>
      <c r="I210" s="141"/>
      <c r="J210" s="62">
        <v>0</v>
      </c>
      <c r="K210" s="141"/>
      <c r="L210" s="62">
        <v>0</v>
      </c>
      <c r="M210" s="62"/>
      <c r="N210" s="62">
        <v>0</v>
      </c>
      <c r="O210" s="62"/>
      <c r="P210" s="62">
        <v>0</v>
      </c>
      <c r="Q210" s="62"/>
      <c r="R210" s="62">
        <f t="shared" si="16"/>
        <v>22603265.939999998</v>
      </c>
      <c r="S210" s="66"/>
      <c r="T210" s="63"/>
      <c r="U210" s="63"/>
    </row>
    <row r="211" spans="1:21" s="60" customFormat="1" hidden="1" outlineLevel="1">
      <c r="A211" s="60" t="s">
        <v>1415</v>
      </c>
      <c r="B211" s="62">
        <v>15052.53</v>
      </c>
      <c r="C211" s="62"/>
      <c r="D211" s="62">
        <v>0</v>
      </c>
      <c r="E211" s="62"/>
      <c r="F211" s="62">
        <v>0</v>
      </c>
      <c r="G211" s="141"/>
      <c r="H211" s="62">
        <v>0</v>
      </c>
      <c r="I211" s="141"/>
      <c r="J211" s="62">
        <v>0</v>
      </c>
      <c r="K211" s="141"/>
      <c r="L211" s="62">
        <v>0</v>
      </c>
      <c r="M211" s="62"/>
      <c r="N211" s="62">
        <v>0</v>
      </c>
      <c r="O211" s="62"/>
      <c r="P211" s="62">
        <v>0</v>
      </c>
      <c r="Q211" s="62"/>
      <c r="R211" s="62">
        <f t="shared" si="16"/>
        <v>15052.53</v>
      </c>
      <c r="S211" s="66"/>
      <c r="T211" s="63"/>
      <c r="U211" s="63"/>
    </row>
    <row r="212" spans="1:21" s="60" customFormat="1" hidden="1" outlineLevel="1">
      <c r="A212" s="60" t="s">
        <v>1416</v>
      </c>
      <c r="B212" s="62">
        <v>56727883.609999999</v>
      </c>
      <c r="C212" s="62"/>
      <c r="D212" s="62">
        <v>0</v>
      </c>
      <c r="E212" s="62"/>
      <c r="F212" s="62">
        <f>-10245.2-115038.45+83846.25+768733.14</f>
        <v>727295.74</v>
      </c>
      <c r="G212" s="141"/>
      <c r="H212" s="62">
        <v>0</v>
      </c>
      <c r="I212" s="141"/>
      <c r="J212" s="62">
        <v>0</v>
      </c>
      <c r="K212" s="141"/>
      <c r="L212" s="62">
        <v>0</v>
      </c>
      <c r="M212" s="62"/>
      <c r="N212" s="62">
        <v>0</v>
      </c>
      <c r="O212" s="62"/>
      <c r="P212" s="62">
        <v>0</v>
      </c>
      <c r="Q212" s="62"/>
      <c r="R212" s="62">
        <f t="shared" si="16"/>
        <v>57455179.350000001</v>
      </c>
      <c r="S212" s="66"/>
      <c r="T212" s="63"/>
      <c r="U212" s="63"/>
    </row>
    <row r="213" spans="1:21" s="60" customFormat="1" hidden="1" outlineLevel="1">
      <c r="A213" s="60" t="s">
        <v>1417</v>
      </c>
      <c r="B213" s="62">
        <v>15687.99</v>
      </c>
      <c r="C213" s="62"/>
      <c r="D213" s="62">
        <v>0</v>
      </c>
      <c r="E213" s="62"/>
      <c r="F213" s="62">
        <v>0</v>
      </c>
      <c r="G213" s="141"/>
      <c r="H213" s="62">
        <v>0</v>
      </c>
      <c r="I213" s="141"/>
      <c r="J213" s="62">
        <v>0</v>
      </c>
      <c r="K213" s="141"/>
      <c r="L213" s="62">
        <v>0</v>
      </c>
      <c r="M213" s="62"/>
      <c r="N213" s="62">
        <v>0</v>
      </c>
      <c r="O213" s="62"/>
      <c r="P213" s="62">
        <v>0</v>
      </c>
      <c r="Q213" s="62"/>
      <c r="R213" s="62">
        <f t="shared" si="16"/>
        <v>15687.99</v>
      </c>
      <c r="S213" s="66"/>
      <c r="T213" s="63"/>
      <c r="U213" s="63"/>
    </row>
    <row r="214" spans="1:21" s="60" customFormat="1" hidden="1" outlineLevel="1">
      <c r="A214" s="307" t="s">
        <v>1394</v>
      </c>
      <c r="B214" s="62">
        <v>87574044.449999988</v>
      </c>
      <c r="C214" s="62"/>
      <c r="D214" s="62">
        <v>0</v>
      </c>
      <c r="E214" s="62"/>
      <c r="F214" s="62">
        <f>-30745.33-22192.17</f>
        <v>-52937.5</v>
      </c>
      <c r="G214" s="141"/>
      <c r="H214" s="62">
        <v>0</v>
      </c>
      <c r="I214" s="141"/>
      <c r="J214" s="62">
        <v>0</v>
      </c>
      <c r="K214" s="141"/>
      <c r="L214" s="62">
        <v>0</v>
      </c>
      <c r="M214" s="62"/>
      <c r="N214" s="62">
        <v>0</v>
      </c>
      <c r="O214" s="62"/>
      <c r="P214" s="62">
        <v>0</v>
      </c>
      <c r="Q214" s="62"/>
      <c r="R214" s="62">
        <f t="shared" si="16"/>
        <v>87521106.949999988</v>
      </c>
      <c r="S214" s="66"/>
      <c r="T214" s="63"/>
      <c r="U214" s="63"/>
    </row>
    <row r="215" spans="1:21" s="60" customFormat="1" hidden="1" outlineLevel="1">
      <c r="A215" s="307" t="s">
        <v>1395</v>
      </c>
      <c r="B215" s="62">
        <v>172117.56</v>
      </c>
      <c r="C215" s="62"/>
      <c r="D215" s="62">
        <v>0</v>
      </c>
      <c r="E215" s="62"/>
      <c r="F215" s="62">
        <v>0</v>
      </c>
      <c r="G215" s="141"/>
      <c r="H215" s="62">
        <v>0</v>
      </c>
      <c r="I215" s="141"/>
      <c r="J215" s="62">
        <v>0</v>
      </c>
      <c r="K215" s="141"/>
      <c r="L215" s="62">
        <v>0</v>
      </c>
      <c r="M215" s="62"/>
      <c r="N215" s="62">
        <v>0</v>
      </c>
      <c r="O215" s="62"/>
      <c r="P215" s="62">
        <v>0</v>
      </c>
      <c r="Q215" s="62"/>
      <c r="R215" s="62">
        <f t="shared" si="16"/>
        <v>172117.56</v>
      </c>
      <c r="S215" s="66"/>
      <c r="T215" s="63"/>
      <c r="U215" s="63"/>
    </row>
    <row r="216" spans="1:21" s="60" customFormat="1" hidden="1" outlineLevel="1">
      <c r="A216" s="307" t="s">
        <v>1418</v>
      </c>
      <c r="B216" s="62">
        <v>26589.42</v>
      </c>
      <c r="C216" s="62"/>
      <c r="D216" s="62">
        <v>0</v>
      </c>
      <c r="E216" s="62"/>
      <c r="F216" s="62">
        <v>0</v>
      </c>
      <c r="G216" s="141"/>
      <c r="H216" s="62">
        <v>0</v>
      </c>
      <c r="I216" s="141"/>
      <c r="J216" s="62">
        <v>0</v>
      </c>
      <c r="K216" s="141"/>
      <c r="L216" s="62">
        <v>0</v>
      </c>
      <c r="M216" s="62"/>
      <c r="N216" s="62">
        <v>0</v>
      </c>
      <c r="O216" s="62"/>
      <c r="P216" s="62">
        <v>0</v>
      </c>
      <c r="Q216" s="62"/>
      <c r="R216" s="62">
        <f t="shared" si="16"/>
        <v>26589.42</v>
      </c>
      <c r="S216" s="66"/>
      <c r="T216" s="63"/>
      <c r="U216" s="63"/>
    </row>
    <row r="217" spans="1:21" s="60" customFormat="1" hidden="1" outlineLevel="1">
      <c r="A217" s="307" t="s">
        <v>1397</v>
      </c>
      <c r="B217" s="62">
        <v>65032932.830000006</v>
      </c>
      <c r="C217" s="62"/>
      <c r="D217" s="62">
        <v>0</v>
      </c>
      <c r="E217" s="62"/>
      <c r="F217" s="62">
        <v>-422070.04</v>
      </c>
      <c r="G217" s="141"/>
      <c r="H217" s="62">
        <v>0</v>
      </c>
      <c r="I217" s="141"/>
      <c r="J217" s="62">
        <v>0</v>
      </c>
      <c r="K217" s="141"/>
      <c r="L217" s="62">
        <v>0</v>
      </c>
      <c r="M217" s="62"/>
      <c r="N217" s="62">
        <v>0</v>
      </c>
      <c r="O217" s="62"/>
      <c r="P217" s="62">
        <v>0</v>
      </c>
      <c r="Q217" s="62"/>
      <c r="R217" s="62">
        <f t="shared" si="16"/>
        <v>64610862.790000007</v>
      </c>
      <c r="S217" s="66"/>
      <c r="T217" s="63"/>
      <c r="U217" s="63"/>
    </row>
    <row r="218" spans="1:21" s="60" customFormat="1" hidden="1" outlineLevel="1">
      <c r="A218" s="307" t="s">
        <v>1398</v>
      </c>
      <c r="B218" s="62">
        <v>13192.61</v>
      </c>
      <c r="C218" s="62"/>
      <c r="D218" s="62">
        <v>0</v>
      </c>
      <c r="E218" s="62"/>
      <c r="F218" s="62">
        <v>0</v>
      </c>
      <c r="G218" s="141"/>
      <c r="H218" s="62">
        <v>0</v>
      </c>
      <c r="I218" s="141"/>
      <c r="J218" s="62">
        <v>0</v>
      </c>
      <c r="K218" s="141"/>
      <c r="L218" s="62">
        <v>0</v>
      </c>
      <c r="M218" s="62"/>
      <c r="N218" s="62">
        <v>0</v>
      </c>
      <c r="O218" s="62"/>
      <c r="P218" s="62">
        <v>0</v>
      </c>
      <c r="Q218" s="62"/>
      <c r="R218" s="62">
        <f t="shared" si="16"/>
        <v>13192.61</v>
      </c>
      <c r="S218" s="66"/>
      <c r="T218" s="63"/>
      <c r="U218" s="63"/>
    </row>
    <row r="219" spans="1:21" s="60" customFormat="1" hidden="1" outlineLevel="1">
      <c r="A219" s="60" t="s">
        <v>355</v>
      </c>
      <c r="B219" s="62">
        <v>443311.46</v>
      </c>
      <c r="C219" s="62"/>
      <c r="D219" s="62">
        <v>0</v>
      </c>
      <c r="E219" s="62"/>
      <c r="F219" s="62">
        <v>0</v>
      </c>
      <c r="G219" s="141"/>
      <c r="H219" s="62">
        <v>0</v>
      </c>
      <c r="I219" s="141"/>
      <c r="J219" s="62">
        <v>0</v>
      </c>
      <c r="K219" s="141"/>
      <c r="L219" s="62">
        <v>0</v>
      </c>
      <c r="M219" s="62"/>
      <c r="N219" s="62">
        <v>0</v>
      </c>
      <c r="O219" s="62"/>
      <c r="P219" s="62">
        <v>0</v>
      </c>
      <c r="Q219" s="62"/>
      <c r="R219" s="62">
        <f t="shared" si="16"/>
        <v>443311.46</v>
      </c>
      <c r="S219" s="66"/>
      <c r="T219" s="63"/>
      <c r="U219" s="63"/>
    </row>
    <row r="220" spans="1:21" s="60" customFormat="1" hidden="1" outlineLevel="1">
      <c r="A220" s="60" t="s">
        <v>356</v>
      </c>
      <c r="B220" s="62">
        <v>2060294.78</v>
      </c>
      <c r="C220" s="62"/>
      <c r="D220" s="62">
        <v>0</v>
      </c>
      <c r="E220" s="62"/>
      <c r="F220" s="62">
        <v>0</v>
      </c>
      <c r="G220" s="141"/>
      <c r="H220" s="62">
        <v>0</v>
      </c>
      <c r="I220" s="141"/>
      <c r="J220" s="62">
        <v>0</v>
      </c>
      <c r="K220" s="141"/>
      <c r="L220" s="62">
        <v>0</v>
      </c>
      <c r="M220" s="62"/>
      <c r="N220" s="62">
        <v>0</v>
      </c>
      <c r="O220" s="62"/>
      <c r="P220" s="62">
        <v>0</v>
      </c>
      <c r="Q220" s="62"/>
      <c r="R220" s="62">
        <f t="shared" si="16"/>
        <v>2060294.78</v>
      </c>
      <c r="S220" s="66"/>
      <c r="T220" s="63"/>
      <c r="U220" s="63"/>
    </row>
    <row r="221" spans="1:21" s="60" customFormat="1" hidden="1" outlineLevel="1">
      <c r="A221" s="60" t="s">
        <v>357</v>
      </c>
      <c r="B221" s="62">
        <v>27895620.599999998</v>
      </c>
      <c r="C221" s="62"/>
      <c r="D221" s="62">
        <v>0</v>
      </c>
      <c r="E221" s="62"/>
      <c r="F221" s="62">
        <v>0</v>
      </c>
      <c r="G221" s="141"/>
      <c r="H221" s="62">
        <v>0</v>
      </c>
      <c r="I221" s="141"/>
      <c r="J221" s="62">
        <v>0</v>
      </c>
      <c r="K221" s="141"/>
      <c r="L221" s="62">
        <v>0</v>
      </c>
      <c r="M221" s="62"/>
      <c r="N221" s="62">
        <v>0</v>
      </c>
      <c r="O221" s="62"/>
      <c r="P221" s="62">
        <v>0</v>
      </c>
      <c r="Q221" s="62"/>
      <c r="R221" s="62">
        <f t="shared" si="16"/>
        <v>27895620.599999998</v>
      </c>
      <c r="S221" s="66"/>
      <c r="T221" s="63"/>
      <c r="U221" s="63"/>
    </row>
    <row r="222" spans="1:21" s="60" customFormat="1" hidden="1" outlineLevel="1">
      <c r="A222" s="60" t="s">
        <v>358</v>
      </c>
      <c r="B222" s="62">
        <v>24419964.550000001</v>
      </c>
      <c r="C222" s="62"/>
      <c r="D222" s="62">
        <v>0</v>
      </c>
      <c r="E222" s="62"/>
      <c r="F222" s="62">
        <v>0</v>
      </c>
      <c r="G222" s="141"/>
      <c r="H222" s="62">
        <v>0</v>
      </c>
      <c r="I222" s="141"/>
      <c r="J222" s="62">
        <v>0</v>
      </c>
      <c r="K222" s="141"/>
      <c r="L222" s="62">
        <v>0</v>
      </c>
      <c r="M222" s="62"/>
      <c r="N222" s="62">
        <v>0</v>
      </c>
      <c r="O222" s="62"/>
      <c r="P222" s="62">
        <v>0</v>
      </c>
      <c r="Q222" s="62"/>
      <c r="R222" s="62">
        <f t="shared" si="16"/>
        <v>24419964.550000001</v>
      </c>
      <c r="S222" s="66"/>
      <c r="T222" s="63"/>
      <c r="U222" s="63"/>
    </row>
    <row r="223" spans="1:21" s="60" customFormat="1" hidden="1" outlineLevel="1">
      <c r="A223" s="60" t="s">
        <v>359</v>
      </c>
      <c r="B223" s="62">
        <v>31174318.48</v>
      </c>
      <c r="C223" s="62"/>
      <c r="D223" s="62">
        <v>0</v>
      </c>
      <c r="E223" s="62"/>
      <c r="F223" s="62">
        <v>0</v>
      </c>
      <c r="G223" s="141"/>
      <c r="H223" s="62">
        <v>0</v>
      </c>
      <c r="I223" s="141"/>
      <c r="J223" s="62">
        <v>0</v>
      </c>
      <c r="K223" s="141"/>
      <c r="L223" s="62">
        <v>0</v>
      </c>
      <c r="M223" s="62"/>
      <c r="N223" s="62">
        <v>0</v>
      </c>
      <c r="O223" s="62"/>
      <c r="P223" s="62">
        <v>0</v>
      </c>
      <c r="Q223" s="62"/>
      <c r="R223" s="62">
        <f t="shared" si="16"/>
        <v>31174318.48</v>
      </c>
      <c r="S223" s="66"/>
      <c r="T223" s="63"/>
      <c r="U223" s="63"/>
    </row>
    <row r="224" spans="1:21" s="60" customFormat="1" hidden="1" outlineLevel="1">
      <c r="A224" s="60" t="s">
        <v>948</v>
      </c>
      <c r="B224" s="62">
        <v>0</v>
      </c>
      <c r="C224" s="62"/>
      <c r="D224" s="62">
        <v>0</v>
      </c>
      <c r="E224" s="62"/>
      <c r="F224" s="62">
        <v>0</v>
      </c>
      <c r="G224" s="141"/>
      <c r="H224" s="62">
        <v>0</v>
      </c>
      <c r="I224" s="141"/>
      <c r="J224" s="62">
        <v>0</v>
      </c>
      <c r="K224" s="141"/>
      <c r="L224" s="62">
        <v>0</v>
      </c>
      <c r="M224" s="62"/>
      <c r="N224" s="62">
        <v>0</v>
      </c>
      <c r="O224" s="62"/>
      <c r="P224" s="62">
        <v>0</v>
      </c>
      <c r="Q224" s="62"/>
      <c r="R224" s="62">
        <f t="shared" si="16"/>
        <v>0</v>
      </c>
      <c r="S224" s="66"/>
      <c r="T224" s="63"/>
      <c r="U224" s="63"/>
    </row>
    <row r="225" spans="1:21" s="60" customFormat="1" hidden="1" outlineLevel="1">
      <c r="A225" s="60" t="s">
        <v>1419</v>
      </c>
      <c r="B225" s="62">
        <v>0</v>
      </c>
      <c r="C225" s="62"/>
      <c r="D225" s="62">
        <v>0</v>
      </c>
      <c r="E225" s="62"/>
      <c r="F225" s="62">
        <v>0</v>
      </c>
      <c r="G225" s="141"/>
      <c r="H225" s="62">
        <v>0</v>
      </c>
      <c r="I225" s="141"/>
      <c r="J225" s="62">
        <v>0</v>
      </c>
      <c r="K225" s="141"/>
      <c r="L225" s="62">
        <v>0</v>
      </c>
      <c r="M225" s="62"/>
      <c r="N225" s="62">
        <v>0</v>
      </c>
      <c r="O225" s="62"/>
      <c r="P225" s="62">
        <v>0</v>
      </c>
      <c r="Q225" s="62"/>
      <c r="R225" s="62">
        <f t="shared" si="16"/>
        <v>0</v>
      </c>
      <c r="S225" s="66"/>
      <c r="T225" s="63"/>
      <c r="U225" s="63"/>
    </row>
    <row r="226" spans="1:21" s="60" customFormat="1" hidden="1" outlineLevel="1">
      <c r="A226" s="60" t="s">
        <v>1420</v>
      </c>
      <c r="B226" s="62">
        <v>0</v>
      </c>
      <c r="C226" s="62"/>
      <c r="D226" s="62">
        <v>0</v>
      </c>
      <c r="E226" s="62"/>
      <c r="F226" s="62">
        <v>0</v>
      </c>
      <c r="G226" s="141"/>
      <c r="H226" s="62">
        <v>0</v>
      </c>
      <c r="I226" s="141"/>
      <c r="J226" s="62">
        <v>0</v>
      </c>
      <c r="K226" s="141"/>
      <c r="L226" s="62">
        <v>0</v>
      </c>
      <c r="M226" s="62"/>
      <c r="N226" s="62">
        <v>0</v>
      </c>
      <c r="O226" s="62"/>
      <c r="P226" s="62">
        <v>0</v>
      </c>
      <c r="Q226" s="62"/>
      <c r="R226" s="62">
        <f t="shared" si="16"/>
        <v>0</v>
      </c>
      <c r="S226" s="66"/>
      <c r="T226" s="63"/>
      <c r="U226" s="63"/>
    </row>
    <row r="227" spans="1:21" s="60" customFormat="1" hidden="1" outlineLevel="1">
      <c r="A227" s="60" t="s">
        <v>1421</v>
      </c>
      <c r="B227" s="62">
        <v>66594453.509999998</v>
      </c>
      <c r="C227" s="62"/>
      <c r="D227" s="62">
        <v>0</v>
      </c>
      <c r="E227" s="62"/>
      <c r="F227" s="62">
        <f>-21174.38-1684740.29+1752601.98</f>
        <v>46687.310000000056</v>
      </c>
      <c r="G227" s="141"/>
      <c r="H227" s="62">
        <v>0</v>
      </c>
      <c r="I227" s="141"/>
      <c r="J227" s="62">
        <v>0</v>
      </c>
      <c r="K227" s="141"/>
      <c r="L227" s="62">
        <v>0</v>
      </c>
      <c r="M227" s="62"/>
      <c r="N227" s="62">
        <v>0</v>
      </c>
      <c r="O227" s="62"/>
      <c r="P227" s="62">
        <v>0</v>
      </c>
      <c r="Q227" s="62"/>
      <c r="R227" s="62">
        <f t="shared" si="16"/>
        <v>66641140.82</v>
      </c>
      <c r="S227" s="66"/>
      <c r="T227" s="63"/>
      <c r="U227" s="63"/>
    </row>
    <row r="228" spans="1:21" s="60" customFormat="1" hidden="1" outlineLevel="1">
      <c r="A228" s="60" t="s">
        <v>1422</v>
      </c>
      <c r="B228" s="62">
        <v>132926.16</v>
      </c>
      <c r="C228" s="62"/>
      <c r="D228" s="62">
        <v>0</v>
      </c>
      <c r="E228" s="62"/>
      <c r="F228" s="62">
        <v>0</v>
      </c>
      <c r="G228" s="141"/>
      <c r="H228" s="62">
        <v>0</v>
      </c>
      <c r="I228" s="141"/>
      <c r="J228" s="62">
        <v>0</v>
      </c>
      <c r="K228" s="141"/>
      <c r="L228" s="62">
        <v>0</v>
      </c>
      <c r="M228" s="62"/>
      <c r="N228" s="62">
        <v>0</v>
      </c>
      <c r="O228" s="62"/>
      <c r="P228" s="62">
        <v>0</v>
      </c>
      <c r="Q228" s="62"/>
      <c r="R228" s="62">
        <f t="shared" si="16"/>
        <v>132926.16</v>
      </c>
      <c r="S228" s="66"/>
      <c r="T228" s="63"/>
      <c r="U228" s="63"/>
    </row>
    <row r="229" spans="1:21" s="60" customFormat="1" hidden="1" outlineLevel="1">
      <c r="A229" s="60" t="s">
        <v>1423</v>
      </c>
      <c r="B229" s="62">
        <v>512.98</v>
      </c>
      <c r="C229" s="62"/>
      <c r="D229" s="62">
        <v>0</v>
      </c>
      <c r="E229" s="62"/>
      <c r="F229" s="62">
        <v>0</v>
      </c>
      <c r="G229" s="141"/>
      <c r="H229" s="62">
        <v>0</v>
      </c>
      <c r="I229" s="141"/>
      <c r="J229" s="62">
        <v>0</v>
      </c>
      <c r="K229" s="141"/>
      <c r="L229" s="62">
        <v>0</v>
      </c>
      <c r="M229" s="62"/>
      <c r="N229" s="62">
        <v>0</v>
      </c>
      <c r="O229" s="62"/>
      <c r="P229" s="62">
        <v>0</v>
      </c>
      <c r="Q229" s="62"/>
      <c r="R229" s="62">
        <f t="shared" si="16"/>
        <v>512.98</v>
      </c>
      <c r="S229" s="66"/>
      <c r="T229" s="63"/>
      <c r="U229" s="63"/>
    </row>
    <row r="230" spans="1:21" s="60" customFormat="1" hidden="1" outlineLevel="1">
      <c r="A230" s="60" t="s">
        <v>1424</v>
      </c>
      <c r="B230" s="62">
        <v>0</v>
      </c>
      <c r="C230" s="62"/>
      <c r="D230" s="62">
        <v>0</v>
      </c>
      <c r="E230" s="62"/>
      <c r="F230" s="62">
        <v>0</v>
      </c>
      <c r="G230" s="141"/>
      <c r="H230" s="62">
        <v>0</v>
      </c>
      <c r="I230" s="141"/>
      <c r="J230" s="62">
        <v>0</v>
      </c>
      <c r="K230" s="141"/>
      <c r="L230" s="62">
        <v>0</v>
      </c>
      <c r="M230" s="62"/>
      <c r="N230" s="62">
        <v>0</v>
      </c>
      <c r="O230" s="62"/>
      <c r="P230" s="62">
        <v>0</v>
      </c>
      <c r="Q230" s="62"/>
      <c r="R230" s="62">
        <f t="shared" si="16"/>
        <v>0</v>
      </c>
      <c r="S230" s="66"/>
      <c r="T230" s="63"/>
      <c r="U230" s="63"/>
    </row>
    <row r="231" spans="1:21" s="60" customFormat="1" hidden="1" outlineLevel="1">
      <c r="A231" s="332" t="s">
        <v>1453</v>
      </c>
      <c r="B231" s="62">
        <v>0</v>
      </c>
      <c r="C231" s="62"/>
      <c r="D231" s="62">
        <v>0</v>
      </c>
      <c r="E231" s="62"/>
      <c r="F231" s="62">
        <v>0</v>
      </c>
      <c r="G231" s="141"/>
      <c r="H231" s="62">
        <v>0</v>
      </c>
      <c r="I231" s="141"/>
      <c r="J231" s="62">
        <v>0</v>
      </c>
      <c r="K231" s="141"/>
      <c r="L231" s="62">
        <v>0</v>
      </c>
      <c r="M231" s="62"/>
      <c r="N231" s="62">
        <v>0</v>
      </c>
      <c r="O231" s="62"/>
      <c r="P231" s="62">
        <v>0</v>
      </c>
      <c r="Q231" s="62"/>
      <c r="R231" s="62">
        <f t="shared" ref="R231" si="17">SUM(B231:P231)</f>
        <v>0</v>
      </c>
      <c r="S231" s="66"/>
      <c r="T231" s="63"/>
      <c r="U231" s="63"/>
    </row>
    <row r="232" spans="1:21" s="60" customFormat="1" hidden="1" outlineLevel="1">
      <c r="A232" s="307" t="s">
        <v>1399</v>
      </c>
      <c r="B232" s="62">
        <v>41100281.610000007</v>
      </c>
      <c r="C232" s="62"/>
      <c r="D232" s="62">
        <v>0</v>
      </c>
      <c r="E232" s="62"/>
      <c r="F232" s="62">
        <v>0</v>
      </c>
      <c r="G232" s="141"/>
      <c r="H232" s="62">
        <v>0</v>
      </c>
      <c r="I232" s="141"/>
      <c r="J232" s="62">
        <v>0</v>
      </c>
      <c r="K232" s="141"/>
      <c r="L232" s="62">
        <v>0</v>
      </c>
      <c r="M232" s="62"/>
      <c r="N232" s="62">
        <v>0</v>
      </c>
      <c r="O232" s="62"/>
      <c r="P232" s="62">
        <v>0</v>
      </c>
      <c r="Q232" s="62"/>
      <c r="R232" s="62">
        <f t="shared" si="16"/>
        <v>41100281.610000007</v>
      </c>
      <c r="S232" s="66"/>
      <c r="T232" s="63"/>
      <c r="U232" s="63"/>
    </row>
    <row r="233" spans="1:21" s="60" customFormat="1" hidden="1" outlineLevel="1">
      <c r="A233" s="307" t="s">
        <v>1400</v>
      </c>
      <c r="B233" s="62">
        <v>958765.98</v>
      </c>
      <c r="C233" s="62"/>
      <c r="D233" s="62">
        <v>0</v>
      </c>
      <c r="E233" s="62"/>
      <c r="F233" s="62">
        <v>0</v>
      </c>
      <c r="G233" s="141"/>
      <c r="H233" s="62">
        <v>0</v>
      </c>
      <c r="I233" s="141"/>
      <c r="J233" s="62">
        <v>0</v>
      </c>
      <c r="K233" s="141"/>
      <c r="L233" s="62">
        <v>0</v>
      </c>
      <c r="M233" s="62"/>
      <c r="N233" s="62">
        <v>0</v>
      </c>
      <c r="O233" s="62"/>
      <c r="P233" s="62">
        <v>0</v>
      </c>
      <c r="Q233" s="62"/>
      <c r="R233" s="62">
        <f t="shared" si="16"/>
        <v>958765.98</v>
      </c>
      <c r="S233" s="66"/>
      <c r="T233" s="63"/>
      <c r="U233" s="63"/>
    </row>
    <row r="234" spans="1:21" s="10" customFormat="1" collapsed="1">
      <c r="A234" s="10" t="s">
        <v>801</v>
      </c>
      <c r="B234" s="65">
        <f>SUM(B192:B233)</f>
        <v>586211814.71000004</v>
      </c>
      <c r="C234" s="65"/>
      <c r="D234" s="65">
        <f>SUM(D192:D233)</f>
        <v>0</v>
      </c>
      <c r="E234" s="65"/>
      <c r="F234" s="65">
        <f>SUM(F192:F233)</f>
        <v>230155.03000000009</v>
      </c>
      <c r="G234" s="142"/>
      <c r="H234" s="65">
        <f>SUM(H192:H233)</f>
        <v>0</v>
      </c>
      <c r="I234" s="142"/>
      <c r="J234" s="65">
        <f>SUM(J192:J233)</f>
        <v>0</v>
      </c>
      <c r="K234" s="142"/>
      <c r="L234" s="65">
        <f>SUM(L192:L233)</f>
        <v>0</v>
      </c>
      <c r="M234" s="65"/>
      <c r="N234" s="65">
        <f>SUM(N192:N233)</f>
        <v>0</v>
      </c>
      <c r="O234" s="65"/>
      <c r="P234" s="65">
        <f>SUM(P192:P233)</f>
        <v>0</v>
      </c>
      <c r="Q234" s="65"/>
      <c r="R234" s="65">
        <f>SUM(R192:R233)</f>
        <v>586441969.74000013</v>
      </c>
      <c r="S234" s="27"/>
      <c r="T234" s="24"/>
      <c r="U234" s="24"/>
    </row>
    <row r="235" spans="1:21" s="60" customFormat="1" hidden="1" outlineLevel="1">
      <c r="A235" s="60" t="s">
        <v>352</v>
      </c>
      <c r="B235" s="62">
        <v>232788.91</v>
      </c>
      <c r="C235" s="62"/>
      <c r="D235" s="62">
        <v>0</v>
      </c>
      <c r="E235" s="62"/>
      <c r="F235" s="62">
        <v>0</v>
      </c>
      <c r="G235" s="141"/>
      <c r="H235" s="62">
        <v>0</v>
      </c>
      <c r="I235" s="141"/>
      <c r="J235" s="62">
        <v>0</v>
      </c>
      <c r="K235" s="141"/>
      <c r="L235" s="62">
        <v>0</v>
      </c>
      <c r="M235" s="62"/>
      <c r="N235" s="62">
        <v>0</v>
      </c>
      <c r="O235" s="62"/>
      <c r="P235" s="62">
        <v>0</v>
      </c>
      <c r="Q235" s="62"/>
      <c r="R235" s="62">
        <f t="shared" si="14"/>
        <v>232788.91</v>
      </c>
      <c r="S235" s="66"/>
      <c r="T235" s="63"/>
      <c r="U235" s="63"/>
    </row>
    <row r="236" spans="1:21" s="60" customFormat="1" hidden="1" outlineLevel="1">
      <c r="A236" s="60" t="s">
        <v>360</v>
      </c>
      <c r="B236" s="62">
        <v>335880.54</v>
      </c>
      <c r="C236" s="62"/>
      <c r="D236" s="62">
        <v>0</v>
      </c>
      <c r="E236" s="62"/>
      <c r="F236" s="62">
        <v>0</v>
      </c>
      <c r="G236" s="141"/>
      <c r="H236" s="62">
        <v>0</v>
      </c>
      <c r="I236" s="141"/>
      <c r="J236" s="62">
        <v>0</v>
      </c>
      <c r="K236" s="141"/>
      <c r="L236" s="62">
        <v>0</v>
      </c>
      <c r="M236" s="62"/>
      <c r="N236" s="62">
        <v>0</v>
      </c>
      <c r="O236" s="62"/>
      <c r="P236" s="62">
        <v>0</v>
      </c>
      <c r="Q236" s="62"/>
      <c r="R236" s="62">
        <f t="shared" si="14"/>
        <v>335880.54</v>
      </c>
      <c r="S236" s="66"/>
      <c r="T236" s="63"/>
      <c r="U236" s="63"/>
    </row>
    <row r="237" spans="1:21" s="10" customFormat="1" collapsed="1">
      <c r="A237" s="10" t="s">
        <v>802</v>
      </c>
      <c r="B237" s="65">
        <f>SUM(B235:B236)</f>
        <v>568669.44999999995</v>
      </c>
      <c r="C237" s="65"/>
      <c r="D237" s="65">
        <f>SUM(D235:D236)</f>
        <v>0</v>
      </c>
      <c r="E237" s="65"/>
      <c r="F237" s="65">
        <f>SUM(F235:F236)</f>
        <v>0</v>
      </c>
      <c r="G237" s="142"/>
      <c r="H237" s="142">
        <f>SUM(H235:H236)</f>
        <v>0</v>
      </c>
      <c r="I237" s="142"/>
      <c r="J237" s="65">
        <f>SUM(J235:J236)</f>
        <v>0</v>
      </c>
      <c r="K237" s="142"/>
      <c r="L237" s="65">
        <f>SUM(L235:L236)</f>
        <v>0</v>
      </c>
      <c r="M237" s="65"/>
      <c r="N237" s="65">
        <f>SUM(N235:N236)</f>
        <v>0</v>
      </c>
      <c r="O237" s="65"/>
      <c r="P237" s="65">
        <f>SUM(P235:P236)</f>
        <v>0</v>
      </c>
      <c r="Q237" s="65"/>
      <c r="R237" s="65">
        <f>SUM(R235:R236)</f>
        <v>568669.44999999995</v>
      </c>
      <c r="S237" s="27"/>
      <c r="T237" s="24"/>
      <c r="U237" s="24"/>
    </row>
    <row r="238" spans="1:21" s="60" customFormat="1" hidden="1" outlineLevel="1">
      <c r="A238" s="60" t="s">
        <v>361</v>
      </c>
      <c r="B238" s="62">
        <v>124530.36</v>
      </c>
      <c r="C238" s="62"/>
      <c r="D238" s="62">
        <v>0</v>
      </c>
      <c r="E238" s="62"/>
      <c r="F238" s="62">
        <v>0</v>
      </c>
      <c r="G238" s="141"/>
      <c r="H238" s="62">
        <v>0</v>
      </c>
      <c r="I238" s="141"/>
      <c r="J238" s="62">
        <v>0</v>
      </c>
      <c r="K238" s="141"/>
      <c r="L238" s="62">
        <v>0</v>
      </c>
      <c r="M238" s="62"/>
      <c r="N238" s="62">
        <v>0</v>
      </c>
      <c r="O238" s="62"/>
      <c r="P238" s="62">
        <v>0</v>
      </c>
      <c r="Q238" s="62"/>
      <c r="R238" s="62">
        <f t="shared" si="14"/>
        <v>124530.36</v>
      </c>
      <c r="S238" s="66"/>
      <c r="T238" s="63"/>
      <c r="U238" s="63"/>
    </row>
    <row r="239" spans="1:21" s="60" customFormat="1" hidden="1" outlineLevel="1">
      <c r="A239" s="60" t="s">
        <v>363</v>
      </c>
      <c r="B239" s="62">
        <v>19435.57</v>
      </c>
      <c r="C239" s="62"/>
      <c r="D239" s="62">
        <v>0</v>
      </c>
      <c r="E239" s="62"/>
      <c r="F239" s="62">
        <v>0</v>
      </c>
      <c r="G239" s="62"/>
      <c r="H239" s="62">
        <v>0</v>
      </c>
      <c r="I239" s="62"/>
      <c r="J239" s="62">
        <v>0</v>
      </c>
      <c r="K239" s="62"/>
      <c r="L239" s="62">
        <v>0</v>
      </c>
      <c r="M239" s="62"/>
      <c r="N239" s="62">
        <v>0</v>
      </c>
      <c r="O239" s="62"/>
      <c r="P239" s="62">
        <v>0</v>
      </c>
      <c r="Q239" s="62"/>
      <c r="R239" s="62">
        <f t="shared" si="14"/>
        <v>19435.57</v>
      </c>
      <c r="S239" s="66"/>
      <c r="T239" s="63"/>
      <c r="U239" s="63"/>
    </row>
    <row r="240" spans="1:21" s="60" customFormat="1" hidden="1" outlineLevel="1">
      <c r="A240" s="60" t="s">
        <v>1058</v>
      </c>
      <c r="B240" s="62">
        <v>962328.68</v>
      </c>
      <c r="C240" s="62"/>
      <c r="D240" s="62">
        <v>0</v>
      </c>
      <c r="E240" s="62"/>
      <c r="F240" s="62">
        <v>0</v>
      </c>
      <c r="G240" s="62"/>
      <c r="H240" s="62">
        <v>0</v>
      </c>
      <c r="I240" s="62"/>
      <c r="J240" s="62">
        <v>0</v>
      </c>
      <c r="K240" s="62"/>
      <c r="L240" s="62">
        <v>0</v>
      </c>
      <c r="M240" s="62"/>
      <c r="N240" s="62">
        <v>0</v>
      </c>
      <c r="O240" s="62"/>
      <c r="P240" s="62">
        <v>0</v>
      </c>
      <c r="Q240" s="62"/>
      <c r="R240" s="62">
        <f t="shared" si="14"/>
        <v>962328.68</v>
      </c>
      <c r="S240" s="66"/>
      <c r="T240" s="63"/>
      <c r="U240" s="63"/>
    </row>
    <row r="241" spans="1:21" s="60" customFormat="1" hidden="1" outlineLevel="1">
      <c r="A241" s="60" t="s">
        <v>364</v>
      </c>
      <c r="B241" s="62">
        <v>8046205.3399999999</v>
      </c>
      <c r="C241" s="62"/>
      <c r="D241" s="62">
        <v>0</v>
      </c>
      <c r="E241" s="62"/>
      <c r="F241" s="62">
        <v>0</v>
      </c>
      <c r="G241" s="62"/>
      <c r="H241" s="62">
        <v>0</v>
      </c>
      <c r="I241" s="62"/>
      <c r="J241" s="62">
        <v>0</v>
      </c>
      <c r="K241" s="62"/>
      <c r="L241" s="62">
        <v>0</v>
      </c>
      <c r="M241" s="62"/>
      <c r="N241" s="62">
        <v>0</v>
      </c>
      <c r="O241" s="62"/>
      <c r="P241" s="62">
        <v>0</v>
      </c>
      <c r="Q241" s="62"/>
      <c r="R241" s="62">
        <f t="shared" si="14"/>
        <v>8046205.3399999999</v>
      </c>
      <c r="S241" s="66"/>
      <c r="T241" s="63"/>
      <c r="U241" s="63"/>
    </row>
    <row r="242" spans="1:21" s="60" customFormat="1" hidden="1" outlineLevel="1">
      <c r="A242" s="60" t="s">
        <v>365</v>
      </c>
      <c r="B242" s="62">
        <v>7087113.4000000004</v>
      </c>
      <c r="C242" s="62"/>
      <c r="D242" s="62">
        <v>0</v>
      </c>
      <c r="E242" s="62"/>
      <c r="F242" s="62">
        <v>0</v>
      </c>
      <c r="G242" s="62"/>
      <c r="H242" s="62">
        <v>0</v>
      </c>
      <c r="I242" s="62"/>
      <c r="J242" s="62">
        <v>0</v>
      </c>
      <c r="K242" s="62"/>
      <c r="L242" s="62">
        <v>0</v>
      </c>
      <c r="M242" s="62"/>
      <c r="N242" s="62">
        <v>0</v>
      </c>
      <c r="O242" s="62"/>
      <c r="P242" s="62">
        <v>0</v>
      </c>
      <c r="Q242" s="62"/>
      <c r="R242" s="62">
        <f t="shared" si="14"/>
        <v>7087113.4000000004</v>
      </c>
      <c r="S242" s="66"/>
      <c r="T242" s="63"/>
      <c r="U242" s="63"/>
    </row>
    <row r="243" spans="1:21" s="60" customFormat="1" hidden="1" outlineLevel="1">
      <c r="A243" s="60" t="s">
        <v>367</v>
      </c>
      <c r="B243" s="62">
        <v>9774472</v>
      </c>
      <c r="C243" s="62"/>
      <c r="D243" s="62">
        <v>0</v>
      </c>
      <c r="E243" s="62"/>
      <c r="F243" s="62">
        <v>0</v>
      </c>
      <c r="G243" s="62"/>
      <c r="H243" s="62">
        <v>0</v>
      </c>
      <c r="I243" s="62"/>
      <c r="J243" s="62">
        <v>0</v>
      </c>
      <c r="K243" s="62"/>
      <c r="L243" s="62">
        <v>0</v>
      </c>
      <c r="M243" s="62"/>
      <c r="N243" s="62">
        <v>0</v>
      </c>
      <c r="O243" s="62"/>
      <c r="P243" s="62">
        <v>0</v>
      </c>
      <c r="Q243" s="62"/>
      <c r="R243" s="62">
        <f t="shared" si="14"/>
        <v>9774472</v>
      </c>
      <c r="S243" s="66"/>
      <c r="T243" s="63"/>
      <c r="U243" s="63"/>
    </row>
    <row r="244" spans="1:21" s="60" customFormat="1" hidden="1" outlineLevel="1">
      <c r="A244" s="60" t="s">
        <v>1055</v>
      </c>
      <c r="B244" s="62">
        <v>11709622.76</v>
      </c>
      <c r="C244" s="62"/>
      <c r="D244" s="62">
        <v>0</v>
      </c>
      <c r="E244" s="62"/>
      <c r="F244" s="62">
        <v>0</v>
      </c>
      <c r="G244" s="62"/>
      <c r="H244" s="62">
        <v>0</v>
      </c>
      <c r="I244" s="62"/>
      <c r="J244" s="62">
        <v>0</v>
      </c>
      <c r="K244" s="62"/>
      <c r="L244" s="62">
        <v>0</v>
      </c>
      <c r="M244" s="62"/>
      <c r="N244" s="62">
        <v>0</v>
      </c>
      <c r="O244" s="62"/>
      <c r="P244" s="62">
        <v>0</v>
      </c>
      <c r="Q244" s="62"/>
      <c r="R244" s="62">
        <f t="shared" si="14"/>
        <v>11709622.76</v>
      </c>
      <c r="S244" s="66"/>
      <c r="T244" s="63"/>
      <c r="U244" s="63"/>
    </row>
    <row r="245" spans="1:21" s="60" customFormat="1" hidden="1" outlineLevel="1">
      <c r="A245" s="60" t="s">
        <v>368</v>
      </c>
      <c r="B245" s="62">
        <v>12078637.030000001</v>
      </c>
      <c r="C245" s="62"/>
      <c r="D245" s="62">
        <v>0</v>
      </c>
      <c r="E245" s="62"/>
      <c r="F245" s="62">
        <v>0</v>
      </c>
      <c r="G245" s="62"/>
      <c r="H245" s="62">
        <v>0</v>
      </c>
      <c r="I245" s="62"/>
      <c r="J245" s="62">
        <v>0</v>
      </c>
      <c r="K245" s="62"/>
      <c r="L245" s="62">
        <v>0</v>
      </c>
      <c r="M245" s="62"/>
      <c r="N245" s="62">
        <v>0</v>
      </c>
      <c r="O245" s="62"/>
      <c r="P245" s="62">
        <v>0</v>
      </c>
      <c r="Q245" s="62"/>
      <c r="R245" s="62">
        <f t="shared" si="14"/>
        <v>12078637.030000001</v>
      </c>
      <c r="S245" s="66"/>
      <c r="T245" s="63"/>
      <c r="U245" s="63"/>
    </row>
    <row r="246" spans="1:21" s="60" customFormat="1" hidden="1" outlineLevel="1">
      <c r="A246" s="60" t="s">
        <v>369</v>
      </c>
      <c r="B246" s="62">
        <v>18013313.57</v>
      </c>
      <c r="C246" s="62"/>
      <c r="D246" s="62">
        <v>0</v>
      </c>
      <c r="E246" s="62"/>
      <c r="F246" s="62">
        <f>-33860.26-1003936.42+820564.37+83968.75</f>
        <v>-133263.56000000006</v>
      </c>
      <c r="G246" s="62"/>
      <c r="H246" s="62">
        <v>0</v>
      </c>
      <c r="I246" s="62"/>
      <c r="J246" s="62">
        <v>0</v>
      </c>
      <c r="K246" s="62"/>
      <c r="L246" s="62">
        <v>0</v>
      </c>
      <c r="M246" s="62"/>
      <c r="N246" s="62">
        <v>0</v>
      </c>
      <c r="O246" s="62"/>
      <c r="P246" s="62">
        <v>0</v>
      </c>
      <c r="Q246" s="62"/>
      <c r="R246" s="62">
        <f>SUM(B246:P246)</f>
        <v>17880050.010000002</v>
      </c>
      <c r="S246" s="66"/>
      <c r="T246" s="63"/>
      <c r="U246" s="63"/>
    </row>
    <row r="247" spans="1:21" s="60" customFormat="1" hidden="1" outlineLevel="1">
      <c r="A247" s="60" t="s">
        <v>55</v>
      </c>
      <c r="B247" s="62">
        <v>26007378.740000002</v>
      </c>
      <c r="C247" s="62"/>
      <c r="D247" s="62">
        <v>0</v>
      </c>
      <c r="E247" s="62"/>
      <c r="F247" s="62">
        <v>0</v>
      </c>
      <c r="G247" s="62"/>
      <c r="H247" s="62">
        <v>0</v>
      </c>
      <c r="I247" s="62"/>
      <c r="J247" s="62">
        <v>0</v>
      </c>
      <c r="K247" s="62"/>
      <c r="L247" s="62">
        <v>0</v>
      </c>
      <c r="M247" s="62"/>
      <c r="N247" s="62">
        <v>0</v>
      </c>
      <c r="O247" s="62"/>
      <c r="P247" s="62">
        <v>0</v>
      </c>
      <c r="Q247" s="62"/>
      <c r="R247" s="62">
        <f>SUM(B247:P247)</f>
        <v>26007378.740000002</v>
      </c>
      <c r="S247" s="66"/>
      <c r="T247" s="63"/>
      <c r="U247" s="63"/>
    </row>
    <row r="248" spans="1:21" s="60" customFormat="1" hidden="1" outlineLevel="1">
      <c r="A248" s="60" t="s">
        <v>675</v>
      </c>
      <c r="B248" s="62">
        <v>0</v>
      </c>
      <c r="C248" s="62"/>
      <c r="D248" s="62">
        <v>0</v>
      </c>
      <c r="E248" s="62"/>
      <c r="F248" s="62">
        <v>0</v>
      </c>
      <c r="G248" s="141"/>
      <c r="H248" s="62">
        <v>0</v>
      </c>
      <c r="I248" s="141"/>
      <c r="J248" s="62">
        <v>0</v>
      </c>
      <c r="K248" s="141"/>
      <c r="L248" s="62">
        <v>0</v>
      </c>
      <c r="M248" s="62"/>
      <c r="N248" s="62">
        <v>0</v>
      </c>
      <c r="O248" s="62"/>
      <c r="P248" s="62">
        <v>0</v>
      </c>
      <c r="Q248" s="62"/>
      <c r="R248" s="62">
        <f>SUM(B248:P248)</f>
        <v>0</v>
      </c>
      <c r="S248" s="66"/>
      <c r="T248" s="63"/>
      <c r="U248" s="63"/>
    </row>
    <row r="249" spans="1:21" s="60" customFormat="1" hidden="1" outlineLevel="1">
      <c r="A249" s="60" t="s">
        <v>297</v>
      </c>
      <c r="B249" s="62">
        <v>20920567.949999999</v>
      </c>
      <c r="C249" s="62"/>
      <c r="D249" s="62">
        <v>0</v>
      </c>
      <c r="E249" s="62"/>
      <c r="F249" s="62">
        <v>0</v>
      </c>
      <c r="G249" s="62"/>
      <c r="H249" s="62">
        <v>0</v>
      </c>
      <c r="I249" s="62"/>
      <c r="J249" s="62">
        <v>0</v>
      </c>
      <c r="K249" s="62"/>
      <c r="L249" s="62">
        <v>0</v>
      </c>
      <c r="M249" s="62"/>
      <c r="N249" s="62">
        <v>0</v>
      </c>
      <c r="O249" s="62"/>
      <c r="P249" s="62">
        <v>0</v>
      </c>
      <c r="Q249" s="62"/>
      <c r="R249" s="62">
        <f>SUM(B249:P249)</f>
        <v>20920567.949999999</v>
      </c>
      <c r="S249" s="66"/>
      <c r="T249" s="63"/>
      <c r="U249" s="63"/>
    </row>
    <row r="250" spans="1:21" s="60" customFormat="1" hidden="1" outlineLevel="1">
      <c r="A250" s="60" t="s">
        <v>1265</v>
      </c>
      <c r="B250" s="62">
        <v>1807272.78</v>
      </c>
      <c r="C250" s="62"/>
      <c r="D250" s="62">
        <v>0</v>
      </c>
      <c r="E250" s="62"/>
      <c r="F250" s="62">
        <v>0</v>
      </c>
      <c r="G250" s="62"/>
      <c r="H250" s="62">
        <v>0</v>
      </c>
      <c r="I250" s="62"/>
      <c r="J250" s="62">
        <v>0</v>
      </c>
      <c r="K250" s="62"/>
      <c r="L250" s="62">
        <v>0</v>
      </c>
      <c r="M250" s="62"/>
      <c r="N250" s="62">
        <v>0</v>
      </c>
      <c r="O250" s="62"/>
      <c r="P250" s="62">
        <v>0</v>
      </c>
      <c r="Q250" s="62"/>
      <c r="R250" s="62">
        <f>SUM(B250:P250)</f>
        <v>1807272.78</v>
      </c>
      <c r="S250" s="66"/>
      <c r="T250" s="63"/>
      <c r="U250" s="63"/>
    </row>
    <row r="251" spans="1:21" s="10" customFormat="1" collapsed="1">
      <c r="A251" s="10" t="s">
        <v>803</v>
      </c>
      <c r="B251" s="65">
        <f>SUM(B238:B250)</f>
        <v>116550878.18000002</v>
      </c>
      <c r="C251" s="65"/>
      <c r="D251" s="65">
        <f>SUM(D238:D250)</f>
        <v>0</v>
      </c>
      <c r="E251" s="65"/>
      <c r="F251" s="65">
        <f>SUM(F238:F250)</f>
        <v>-133263.56000000006</v>
      </c>
      <c r="G251" s="142"/>
      <c r="H251" s="65">
        <f>SUM(H238:H250)</f>
        <v>0</v>
      </c>
      <c r="I251" s="142"/>
      <c r="J251" s="65">
        <f>SUM(J238:J250)</f>
        <v>0</v>
      </c>
      <c r="K251" s="142"/>
      <c r="L251" s="65">
        <f>SUM(L238:L250)</f>
        <v>0</v>
      </c>
      <c r="M251" s="142"/>
      <c r="N251" s="65">
        <f>SUM(N238:N250)</f>
        <v>0</v>
      </c>
      <c r="O251" s="65"/>
      <c r="P251" s="65">
        <f>SUM(P238:P250)</f>
        <v>0</v>
      </c>
      <c r="Q251" s="65"/>
      <c r="R251" s="65">
        <f>SUM(R238:R250)</f>
        <v>116417614.62000002</v>
      </c>
      <c r="S251" s="27"/>
      <c r="T251" s="24"/>
      <c r="U251" s="24"/>
    </row>
    <row r="252" spans="1:21" s="60" customFormat="1" ht="12" hidden="1" customHeight="1" outlineLevel="1">
      <c r="A252" s="60" t="s">
        <v>298</v>
      </c>
      <c r="B252" s="62">
        <v>2211400.9900000002</v>
      </c>
      <c r="C252" s="62"/>
      <c r="D252" s="62">
        <v>0</v>
      </c>
      <c r="E252" s="62"/>
      <c r="F252" s="62">
        <v>0</v>
      </c>
      <c r="G252" s="141"/>
      <c r="H252" s="62">
        <v>0</v>
      </c>
      <c r="I252" s="141"/>
      <c r="J252" s="62">
        <v>0</v>
      </c>
      <c r="K252" s="141"/>
      <c r="L252" s="62">
        <v>0</v>
      </c>
      <c r="M252" s="141"/>
      <c r="N252" s="62">
        <v>0</v>
      </c>
      <c r="O252" s="62"/>
      <c r="P252" s="62">
        <v>0</v>
      </c>
      <c r="Q252" s="62"/>
      <c r="R252" s="62">
        <f t="shared" ref="R252:R297" si="18">SUM(B252:P252)</f>
        <v>2211400.9900000002</v>
      </c>
      <c r="S252" s="66"/>
      <c r="T252" s="63"/>
      <c r="U252" s="63"/>
    </row>
    <row r="253" spans="1:21" s="60" customFormat="1" ht="12" hidden="1" customHeight="1" outlineLevel="1">
      <c r="A253" s="60" t="s">
        <v>299</v>
      </c>
      <c r="B253" s="62">
        <v>1202115.58</v>
      </c>
      <c r="C253" s="62"/>
      <c r="D253" s="62">
        <v>0</v>
      </c>
      <c r="E253" s="62"/>
      <c r="F253" s="62">
        <v>0</v>
      </c>
      <c r="G253" s="141"/>
      <c r="H253" s="62">
        <v>0</v>
      </c>
      <c r="I253" s="141"/>
      <c r="J253" s="62">
        <v>0</v>
      </c>
      <c r="K253" s="141"/>
      <c r="L253" s="62">
        <v>0</v>
      </c>
      <c r="M253" s="141"/>
      <c r="N253" s="62">
        <v>0</v>
      </c>
      <c r="O253" s="62"/>
      <c r="P253" s="62">
        <v>0</v>
      </c>
      <c r="Q253" s="62"/>
      <c r="R253" s="62">
        <f t="shared" si="18"/>
        <v>1202115.58</v>
      </c>
      <c r="S253" s="66"/>
      <c r="T253" s="63"/>
      <c r="U253" s="63"/>
    </row>
    <row r="254" spans="1:21" s="60" customFormat="1" ht="12" hidden="1" customHeight="1" outlineLevel="1">
      <c r="A254" s="60" t="s">
        <v>301</v>
      </c>
      <c r="B254" s="62">
        <v>1263623.5900000001</v>
      </c>
      <c r="C254" s="62"/>
      <c r="D254" s="62">
        <v>0</v>
      </c>
      <c r="E254" s="62"/>
      <c r="F254" s="62">
        <v>0</v>
      </c>
      <c r="G254" s="141"/>
      <c r="H254" s="62">
        <v>0</v>
      </c>
      <c r="I254" s="141"/>
      <c r="J254" s="62">
        <v>0</v>
      </c>
      <c r="K254" s="141"/>
      <c r="L254" s="62">
        <v>0</v>
      </c>
      <c r="M254" s="141"/>
      <c r="N254" s="62">
        <v>0</v>
      </c>
      <c r="O254" s="62"/>
      <c r="P254" s="62">
        <v>0</v>
      </c>
      <c r="Q254" s="62"/>
      <c r="R254" s="62">
        <f t="shared" si="18"/>
        <v>1263623.5900000001</v>
      </c>
      <c r="S254" s="66"/>
      <c r="T254" s="63"/>
      <c r="U254" s="63"/>
    </row>
    <row r="255" spans="1:21" s="60" customFormat="1" ht="12" hidden="1" customHeight="1" outlineLevel="1">
      <c r="A255" s="60" t="s">
        <v>724</v>
      </c>
      <c r="B255" s="62">
        <v>3508514.33</v>
      </c>
      <c r="C255" s="62"/>
      <c r="D255" s="62">
        <v>0</v>
      </c>
      <c r="E255" s="62"/>
      <c r="F255" s="62">
        <v>0</v>
      </c>
      <c r="G255" s="141"/>
      <c r="H255" s="62">
        <v>0</v>
      </c>
      <c r="I255" s="141"/>
      <c r="J255" s="62">
        <v>0</v>
      </c>
      <c r="K255" s="141"/>
      <c r="L255" s="62">
        <v>0</v>
      </c>
      <c r="M255" s="141"/>
      <c r="N255" s="62">
        <v>0</v>
      </c>
      <c r="O255" s="62"/>
      <c r="P255" s="62">
        <v>0</v>
      </c>
      <c r="Q255" s="62"/>
      <c r="R255" s="62">
        <f t="shared" si="18"/>
        <v>3508514.33</v>
      </c>
      <c r="S255" s="66"/>
      <c r="T255" s="63"/>
      <c r="U255" s="63"/>
    </row>
    <row r="256" spans="1:21" s="60" customFormat="1" ht="12" hidden="1" customHeight="1" outlineLevel="1">
      <c r="A256" s="60" t="s">
        <v>302</v>
      </c>
      <c r="B256" s="62">
        <v>2169286.6</v>
      </c>
      <c r="C256" s="62"/>
      <c r="D256" s="62">
        <v>0</v>
      </c>
      <c r="E256" s="62"/>
      <c r="F256" s="62">
        <v>0</v>
      </c>
      <c r="G256" s="141"/>
      <c r="H256" s="62">
        <v>0</v>
      </c>
      <c r="I256" s="141"/>
      <c r="J256" s="62">
        <v>0</v>
      </c>
      <c r="K256" s="141"/>
      <c r="L256" s="62">
        <v>0</v>
      </c>
      <c r="M256" s="141"/>
      <c r="N256" s="62">
        <v>0</v>
      </c>
      <c r="O256" s="62"/>
      <c r="P256" s="62">
        <v>0</v>
      </c>
      <c r="Q256" s="62"/>
      <c r="R256" s="62">
        <f t="shared" si="18"/>
        <v>2169286.6</v>
      </c>
      <c r="S256" s="66"/>
      <c r="T256" s="63"/>
      <c r="U256" s="63"/>
    </row>
    <row r="257" spans="1:22" s="60" customFormat="1" ht="12" hidden="1" customHeight="1" outlineLevel="1">
      <c r="A257" s="60" t="s">
        <v>303</v>
      </c>
      <c r="B257" s="62">
        <v>3611204.39</v>
      </c>
      <c r="C257" s="62"/>
      <c r="D257" s="62">
        <v>0</v>
      </c>
      <c r="E257" s="62"/>
      <c r="F257" s="62">
        <f>-126392.63+126392.63</f>
        <v>0</v>
      </c>
      <c r="G257" s="141"/>
      <c r="H257" s="62">
        <v>0</v>
      </c>
      <c r="I257" s="141"/>
      <c r="J257" s="62">
        <v>0</v>
      </c>
      <c r="K257" s="141"/>
      <c r="L257" s="62">
        <v>0</v>
      </c>
      <c r="M257" s="141"/>
      <c r="N257" s="62">
        <v>0</v>
      </c>
      <c r="O257" s="62"/>
      <c r="P257" s="62">
        <v>0</v>
      </c>
      <c r="Q257" s="62"/>
      <c r="R257" s="62">
        <f t="shared" si="18"/>
        <v>3611204.39</v>
      </c>
      <c r="S257" s="66"/>
      <c r="T257" s="63"/>
      <c r="U257" s="63"/>
    </row>
    <row r="258" spans="1:22" s="60" customFormat="1" ht="12" hidden="1" customHeight="1" outlineLevel="1">
      <c r="A258" s="60" t="s">
        <v>304</v>
      </c>
      <c r="B258" s="62">
        <v>2846190.23</v>
      </c>
      <c r="C258" s="62"/>
      <c r="D258" s="62">
        <v>0</v>
      </c>
      <c r="E258" s="62"/>
      <c r="F258" s="62">
        <v>0</v>
      </c>
      <c r="G258" s="141"/>
      <c r="H258" s="62">
        <v>0</v>
      </c>
      <c r="I258" s="141"/>
      <c r="J258" s="62">
        <v>0</v>
      </c>
      <c r="K258" s="141"/>
      <c r="L258" s="62">
        <v>0</v>
      </c>
      <c r="M258" s="141"/>
      <c r="N258" s="62">
        <v>0</v>
      </c>
      <c r="O258" s="62"/>
      <c r="P258" s="62">
        <v>0</v>
      </c>
      <c r="Q258" s="62"/>
      <c r="R258" s="62">
        <f t="shared" si="18"/>
        <v>2846190.23</v>
      </c>
      <c r="S258" s="66"/>
      <c r="T258" s="63"/>
      <c r="U258" s="63"/>
    </row>
    <row r="259" spans="1:22" s="60" customFormat="1" ht="12" hidden="1" customHeight="1" outlineLevel="1">
      <c r="A259" s="60" t="s">
        <v>722</v>
      </c>
      <c r="B259" s="62">
        <v>5621224.3099999996</v>
      </c>
      <c r="C259" s="62"/>
      <c r="D259" s="62">
        <v>0</v>
      </c>
      <c r="E259" s="62"/>
      <c r="F259" s="62">
        <f>-41472.49+43217.62-14281.93</f>
        <v>-12536.799999999996</v>
      </c>
      <c r="G259" s="141"/>
      <c r="H259" s="62">
        <v>0</v>
      </c>
      <c r="I259" s="141"/>
      <c r="J259" s="62">
        <v>0</v>
      </c>
      <c r="K259" s="141"/>
      <c r="L259" s="62">
        <v>0</v>
      </c>
      <c r="M259" s="141"/>
      <c r="N259" s="62">
        <v>0</v>
      </c>
      <c r="O259" s="62"/>
      <c r="P259" s="62">
        <v>0</v>
      </c>
      <c r="Q259" s="62"/>
      <c r="R259" s="62">
        <f t="shared" si="18"/>
        <v>5608687.5099999998</v>
      </c>
      <c r="S259" s="66"/>
      <c r="T259" s="63"/>
      <c r="U259" s="63"/>
    </row>
    <row r="260" spans="1:22" s="60" customFormat="1" ht="12" hidden="1" customHeight="1" outlineLevel="1">
      <c r="A260" s="60" t="s">
        <v>305</v>
      </c>
      <c r="B260" s="62">
        <v>2633734.13</v>
      </c>
      <c r="C260" s="62"/>
      <c r="D260" s="62">
        <v>0</v>
      </c>
      <c r="E260" s="62"/>
      <c r="F260" s="62">
        <v>0</v>
      </c>
      <c r="G260" s="141"/>
      <c r="H260" s="62">
        <v>0</v>
      </c>
      <c r="I260" s="141"/>
      <c r="J260" s="62">
        <v>0</v>
      </c>
      <c r="K260" s="141"/>
      <c r="L260" s="62">
        <v>0</v>
      </c>
      <c r="M260" s="141"/>
      <c r="N260" s="62">
        <v>0</v>
      </c>
      <c r="O260" s="62"/>
      <c r="P260" s="62">
        <v>0</v>
      </c>
      <c r="Q260" s="62"/>
      <c r="R260" s="62">
        <f t="shared" si="18"/>
        <v>2633734.13</v>
      </c>
      <c r="S260" s="66"/>
      <c r="T260" s="63"/>
      <c r="U260" s="63"/>
    </row>
    <row r="261" spans="1:22" s="60" customFormat="1" ht="12" hidden="1" customHeight="1" outlineLevel="1">
      <c r="A261" s="60" t="s">
        <v>306</v>
      </c>
      <c r="B261" s="62">
        <v>7542514.8099999996</v>
      </c>
      <c r="C261" s="62"/>
      <c r="D261" s="62">
        <v>0</v>
      </c>
      <c r="E261" s="62"/>
      <c r="F261" s="62">
        <v>0</v>
      </c>
      <c r="G261" s="141"/>
      <c r="H261" s="62">
        <v>0</v>
      </c>
      <c r="I261" s="141"/>
      <c r="J261" s="62">
        <v>0</v>
      </c>
      <c r="K261" s="141"/>
      <c r="L261" s="62">
        <v>0</v>
      </c>
      <c r="M261" s="141"/>
      <c r="N261" s="62">
        <v>0</v>
      </c>
      <c r="O261" s="62"/>
      <c r="P261" s="62">
        <v>0</v>
      </c>
      <c r="Q261" s="62"/>
      <c r="R261" s="62">
        <f t="shared" si="18"/>
        <v>7542514.8099999996</v>
      </c>
      <c r="S261" s="66"/>
      <c r="T261" s="63"/>
      <c r="U261" s="63"/>
      <c r="V261" s="63"/>
    </row>
    <row r="262" spans="1:22" s="60" customFormat="1" ht="12" hidden="1" customHeight="1" outlineLevel="1">
      <c r="A262" s="60" t="s">
        <v>854</v>
      </c>
      <c r="B262" s="62">
        <v>5819231.2800000003</v>
      </c>
      <c r="C262" s="62"/>
      <c r="D262" s="62">
        <v>0</v>
      </c>
      <c r="E262" s="62"/>
      <c r="F262" s="62">
        <v>0</v>
      </c>
      <c r="G262" s="141"/>
      <c r="H262" s="62">
        <v>0</v>
      </c>
      <c r="I262" s="141"/>
      <c r="J262" s="62">
        <v>0</v>
      </c>
      <c r="K262" s="141"/>
      <c r="L262" s="62">
        <v>0</v>
      </c>
      <c r="M262" s="141"/>
      <c r="N262" s="62">
        <v>0</v>
      </c>
      <c r="O262" s="62"/>
      <c r="P262" s="62">
        <v>0</v>
      </c>
      <c r="Q262" s="62"/>
      <c r="R262" s="62">
        <f t="shared" si="18"/>
        <v>5819231.2800000003</v>
      </c>
      <c r="S262" s="66"/>
      <c r="T262" s="63"/>
      <c r="U262" s="63"/>
    </row>
    <row r="263" spans="1:22" s="60" customFormat="1" ht="12" hidden="1" customHeight="1" outlineLevel="1">
      <c r="A263" s="60" t="s">
        <v>719</v>
      </c>
      <c r="B263" s="62">
        <v>4841799.6500000004</v>
      </c>
      <c r="C263" s="62"/>
      <c r="D263" s="62">
        <v>0</v>
      </c>
      <c r="E263" s="62"/>
      <c r="F263" s="62">
        <v>0</v>
      </c>
      <c r="G263" s="141"/>
      <c r="H263" s="62">
        <v>0</v>
      </c>
      <c r="I263" s="141"/>
      <c r="J263" s="62">
        <v>0</v>
      </c>
      <c r="K263" s="141"/>
      <c r="L263" s="62">
        <v>0</v>
      </c>
      <c r="M263" s="141"/>
      <c r="N263" s="62">
        <v>0</v>
      </c>
      <c r="O263" s="62"/>
      <c r="P263" s="62">
        <v>0</v>
      </c>
      <c r="Q263" s="62"/>
      <c r="R263" s="62">
        <f t="shared" si="18"/>
        <v>4841799.6500000004</v>
      </c>
      <c r="S263" s="66"/>
      <c r="T263" s="63"/>
      <c r="U263" s="63"/>
    </row>
    <row r="264" spans="1:22" s="60" customFormat="1" ht="12" hidden="1" customHeight="1" outlineLevel="1">
      <c r="A264" s="60" t="s">
        <v>855</v>
      </c>
      <c r="B264" s="62">
        <v>4784729.8</v>
      </c>
      <c r="C264" s="62"/>
      <c r="D264" s="62">
        <v>0</v>
      </c>
      <c r="E264" s="62"/>
      <c r="F264" s="62">
        <v>0</v>
      </c>
      <c r="G264" s="141"/>
      <c r="H264" s="62">
        <v>0</v>
      </c>
      <c r="I264" s="141"/>
      <c r="J264" s="62">
        <v>0</v>
      </c>
      <c r="K264" s="141"/>
      <c r="L264" s="62">
        <v>0</v>
      </c>
      <c r="M264" s="141"/>
      <c r="N264" s="62">
        <v>0</v>
      </c>
      <c r="O264" s="62"/>
      <c r="P264" s="62">
        <v>0</v>
      </c>
      <c r="Q264" s="62"/>
      <c r="R264" s="62">
        <f t="shared" si="18"/>
        <v>4784729.8</v>
      </c>
      <c r="S264" s="66"/>
      <c r="T264" s="63"/>
      <c r="U264" s="63"/>
    </row>
    <row r="265" spans="1:22" s="60" customFormat="1" ht="12" hidden="1" customHeight="1" outlineLevel="1">
      <c r="A265" s="60" t="s">
        <v>856</v>
      </c>
      <c r="B265" s="62">
        <v>11869153.17</v>
      </c>
      <c r="C265" s="62"/>
      <c r="D265" s="62">
        <v>0</v>
      </c>
      <c r="E265" s="62"/>
      <c r="F265" s="62">
        <v>0</v>
      </c>
      <c r="G265" s="141"/>
      <c r="H265" s="62">
        <v>0</v>
      </c>
      <c r="I265" s="141"/>
      <c r="J265" s="62">
        <v>0</v>
      </c>
      <c r="K265" s="141"/>
      <c r="L265" s="62">
        <v>0</v>
      </c>
      <c r="M265" s="141"/>
      <c r="N265" s="62">
        <v>0</v>
      </c>
      <c r="O265" s="62"/>
      <c r="P265" s="62">
        <v>0</v>
      </c>
      <c r="Q265" s="62"/>
      <c r="R265" s="62">
        <f t="shared" si="18"/>
        <v>11869153.17</v>
      </c>
      <c r="S265" s="66"/>
      <c r="T265" s="63"/>
      <c r="U265" s="63"/>
    </row>
    <row r="266" spans="1:22" s="60" customFormat="1" ht="12" hidden="1" customHeight="1" outlineLevel="1">
      <c r="A266" s="60" t="s">
        <v>857</v>
      </c>
      <c r="B266" s="62">
        <v>3125928.54</v>
      </c>
      <c r="C266" s="62"/>
      <c r="D266" s="62">
        <v>0</v>
      </c>
      <c r="E266" s="62"/>
      <c r="F266" s="62">
        <v>0</v>
      </c>
      <c r="G266" s="141"/>
      <c r="H266" s="62">
        <v>0</v>
      </c>
      <c r="I266" s="141"/>
      <c r="J266" s="62">
        <v>0</v>
      </c>
      <c r="K266" s="141"/>
      <c r="L266" s="62">
        <v>0</v>
      </c>
      <c r="M266" s="141"/>
      <c r="N266" s="62">
        <v>0</v>
      </c>
      <c r="O266" s="62"/>
      <c r="P266" s="62">
        <v>0</v>
      </c>
      <c r="Q266" s="62"/>
      <c r="R266" s="62">
        <f t="shared" si="18"/>
        <v>3125928.54</v>
      </c>
      <c r="S266" s="66"/>
      <c r="T266" s="63"/>
      <c r="U266" s="63"/>
    </row>
    <row r="267" spans="1:22" s="60" customFormat="1" ht="12" hidden="1" customHeight="1" outlineLevel="1">
      <c r="A267" s="60" t="s">
        <v>858</v>
      </c>
      <c r="B267" s="62">
        <v>16072977.289999999</v>
      </c>
      <c r="C267" s="62"/>
      <c r="D267" s="62">
        <v>0</v>
      </c>
      <c r="E267" s="62"/>
      <c r="F267" s="62">
        <v>0</v>
      </c>
      <c r="G267" s="141"/>
      <c r="H267" s="62">
        <v>0</v>
      </c>
      <c r="I267" s="141"/>
      <c r="J267" s="62">
        <v>0</v>
      </c>
      <c r="K267" s="141"/>
      <c r="L267" s="62">
        <v>0</v>
      </c>
      <c r="M267" s="141"/>
      <c r="N267" s="62">
        <v>0</v>
      </c>
      <c r="O267" s="62"/>
      <c r="P267" s="62">
        <v>0</v>
      </c>
      <c r="Q267" s="62"/>
      <c r="R267" s="62">
        <f t="shared" si="18"/>
        <v>16072977.289999999</v>
      </c>
      <c r="S267" s="66"/>
      <c r="T267" s="63"/>
      <c r="U267" s="63"/>
    </row>
    <row r="268" spans="1:22" s="60" customFormat="1" ht="12" hidden="1" customHeight="1" outlineLevel="1">
      <c r="A268" s="60" t="s">
        <v>859</v>
      </c>
      <c r="B268" s="62">
        <v>5317283.9000000004</v>
      </c>
      <c r="C268" s="62"/>
      <c r="D268" s="62">
        <v>0</v>
      </c>
      <c r="E268" s="62"/>
      <c r="F268" s="62">
        <v>0</v>
      </c>
      <c r="G268" s="141"/>
      <c r="H268" s="62">
        <v>0</v>
      </c>
      <c r="I268" s="141"/>
      <c r="J268" s="62">
        <v>0</v>
      </c>
      <c r="K268" s="141"/>
      <c r="L268" s="62">
        <v>0</v>
      </c>
      <c r="M268" s="141"/>
      <c r="N268" s="62">
        <v>0</v>
      </c>
      <c r="O268" s="62"/>
      <c r="P268" s="62">
        <v>0</v>
      </c>
      <c r="Q268" s="62"/>
      <c r="R268" s="62">
        <f t="shared" si="18"/>
        <v>5317283.9000000004</v>
      </c>
      <c r="S268" s="66"/>
      <c r="T268" s="63"/>
      <c r="U268" s="63"/>
    </row>
    <row r="269" spans="1:22" s="60" customFormat="1" hidden="1" outlineLevel="1">
      <c r="A269" s="60" t="s">
        <v>676</v>
      </c>
      <c r="B269" s="62">
        <v>0</v>
      </c>
      <c r="C269" s="62"/>
      <c r="D269" s="62">
        <v>0</v>
      </c>
      <c r="E269" s="62"/>
      <c r="F269" s="62">
        <v>0</v>
      </c>
      <c r="G269" s="141"/>
      <c r="H269" s="62">
        <v>0</v>
      </c>
      <c r="I269" s="141"/>
      <c r="J269" s="62">
        <v>0</v>
      </c>
      <c r="K269" s="141"/>
      <c r="L269" s="62">
        <v>0</v>
      </c>
      <c r="M269" s="62"/>
      <c r="N269" s="62">
        <v>0</v>
      </c>
      <c r="O269" s="62"/>
      <c r="P269" s="62">
        <v>0</v>
      </c>
      <c r="Q269" s="62"/>
      <c r="R269" s="62">
        <f>SUM(B269:P269)</f>
        <v>0</v>
      </c>
      <c r="S269" s="66"/>
      <c r="T269" s="63"/>
      <c r="U269" s="63"/>
    </row>
    <row r="270" spans="1:22" s="60" customFormat="1" ht="12" hidden="1" customHeight="1" outlineLevel="1">
      <c r="A270" s="60" t="s">
        <v>1425</v>
      </c>
      <c r="B270" s="62">
        <v>0</v>
      </c>
      <c r="C270" s="62"/>
      <c r="D270" s="62">
        <v>0</v>
      </c>
      <c r="E270" s="62"/>
      <c r="F270" s="62">
        <v>0</v>
      </c>
      <c r="G270" s="141"/>
      <c r="H270" s="62">
        <v>0</v>
      </c>
      <c r="I270" s="141"/>
      <c r="J270" s="62">
        <v>0</v>
      </c>
      <c r="K270" s="141"/>
      <c r="L270" s="62">
        <v>0</v>
      </c>
      <c r="M270" s="141"/>
      <c r="N270" s="62">
        <v>0</v>
      </c>
      <c r="O270" s="62"/>
      <c r="P270" s="62">
        <v>0</v>
      </c>
      <c r="Q270" s="62"/>
      <c r="R270" s="62">
        <f>SUM(B270:P270)</f>
        <v>0</v>
      </c>
      <c r="S270" s="66"/>
      <c r="T270" s="63"/>
      <c r="U270" s="63"/>
    </row>
    <row r="271" spans="1:22" s="60" customFormat="1" ht="12" hidden="1" customHeight="1" outlineLevel="1">
      <c r="A271" s="60" t="s">
        <v>1426</v>
      </c>
      <c r="B271" s="62">
        <v>0</v>
      </c>
      <c r="C271" s="62"/>
      <c r="D271" s="62">
        <v>0</v>
      </c>
      <c r="E271" s="62"/>
      <c r="F271" s="62">
        <v>0</v>
      </c>
      <c r="G271" s="141"/>
      <c r="H271" s="62">
        <v>0</v>
      </c>
      <c r="I271" s="141"/>
      <c r="J271" s="62">
        <v>0</v>
      </c>
      <c r="K271" s="141"/>
      <c r="L271" s="62">
        <v>0</v>
      </c>
      <c r="M271" s="141"/>
      <c r="N271" s="62">
        <v>0</v>
      </c>
      <c r="O271" s="62"/>
      <c r="P271" s="62">
        <v>0</v>
      </c>
      <c r="Q271" s="62"/>
      <c r="R271" s="62">
        <f>SUM(B271:P271)</f>
        <v>0</v>
      </c>
      <c r="S271" s="66"/>
      <c r="T271" s="63"/>
      <c r="U271" s="63"/>
    </row>
    <row r="272" spans="1:22" s="60" customFormat="1" ht="12" hidden="1" customHeight="1" outlineLevel="1">
      <c r="A272" s="60" t="s">
        <v>860</v>
      </c>
      <c r="B272" s="62">
        <v>23139309.870000001</v>
      </c>
      <c r="C272" s="62"/>
      <c r="D272" s="62">
        <v>0</v>
      </c>
      <c r="E272" s="62"/>
      <c r="F272" s="62">
        <v>0</v>
      </c>
      <c r="G272" s="141"/>
      <c r="H272" s="62">
        <v>0</v>
      </c>
      <c r="I272" s="141"/>
      <c r="J272" s="62">
        <v>0</v>
      </c>
      <c r="K272" s="141"/>
      <c r="L272" s="62">
        <v>0</v>
      </c>
      <c r="M272" s="141"/>
      <c r="N272" s="62">
        <v>0</v>
      </c>
      <c r="O272" s="62"/>
      <c r="P272" s="62">
        <v>0</v>
      </c>
      <c r="Q272" s="62"/>
      <c r="R272" s="62">
        <f>SUM(B272:P272)</f>
        <v>23139309.870000001</v>
      </c>
      <c r="S272" s="66"/>
      <c r="T272" s="63"/>
      <c r="U272" s="63"/>
    </row>
    <row r="273" spans="1:21" s="60" customFormat="1" ht="12" hidden="1" customHeight="1" outlineLevel="1">
      <c r="A273" s="60" t="s">
        <v>862</v>
      </c>
      <c r="B273" s="62">
        <v>2184585.23</v>
      </c>
      <c r="C273" s="62"/>
      <c r="D273" s="62">
        <v>0</v>
      </c>
      <c r="E273" s="62"/>
      <c r="F273" s="62">
        <v>0</v>
      </c>
      <c r="G273" s="141"/>
      <c r="H273" s="62">
        <v>0</v>
      </c>
      <c r="I273" s="141"/>
      <c r="J273" s="62">
        <v>0</v>
      </c>
      <c r="K273" s="141"/>
      <c r="L273" s="62">
        <v>0</v>
      </c>
      <c r="M273" s="141"/>
      <c r="N273" s="62">
        <v>0</v>
      </c>
      <c r="O273" s="62"/>
      <c r="P273" s="62">
        <v>0</v>
      </c>
      <c r="Q273" s="62"/>
      <c r="R273" s="62">
        <f>SUM(B273:P273)</f>
        <v>2184585.23</v>
      </c>
      <c r="S273" s="66"/>
      <c r="T273" s="63"/>
      <c r="U273" s="63"/>
    </row>
    <row r="274" spans="1:21" s="10" customFormat="1" ht="12" customHeight="1" collapsed="1">
      <c r="A274" s="10" t="s">
        <v>804</v>
      </c>
      <c r="B274" s="65">
        <f>SUM(B252:B273)</f>
        <v>109764807.69000001</v>
      </c>
      <c r="C274" s="65"/>
      <c r="D274" s="65">
        <f>SUM(D252:D273)</f>
        <v>0</v>
      </c>
      <c r="E274" s="65"/>
      <c r="F274" s="65">
        <f>SUM(F252:F273)</f>
        <v>-12536.799999999996</v>
      </c>
      <c r="G274" s="142"/>
      <c r="H274" s="142">
        <f>SUM(H252:H273)</f>
        <v>0</v>
      </c>
      <c r="I274" s="142"/>
      <c r="J274" s="65">
        <f>SUM(J252:J273)</f>
        <v>0</v>
      </c>
      <c r="K274" s="142"/>
      <c r="L274" s="65">
        <f>SUM(L252:L273)</f>
        <v>0</v>
      </c>
      <c r="M274" s="142"/>
      <c r="N274" s="65">
        <f>SUM(N252:N273)</f>
        <v>0</v>
      </c>
      <c r="O274" s="65"/>
      <c r="P274" s="65">
        <f>SUM(P252:P273)</f>
        <v>0</v>
      </c>
      <c r="Q274" s="65"/>
      <c r="R274" s="65">
        <f>SUM(R252:R273)</f>
        <v>109752270.89</v>
      </c>
      <c r="S274" s="27"/>
      <c r="T274" s="24"/>
      <c r="U274" s="24"/>
    </row>
    <row r="275" spans="1:21" s="60" customFormat="1" ht="12" hidden="1" customHeight="1" outlineLevel="1">
      <c r="A275" s="60" t="s">
        <v>1026</v>
      </c>
      <c r="B275" s="62">
        <v>0</v>
      </c>
      <c r="C275" s="62"/>
      <c r="D275" s="62">
        <v>0</v>
      </c>
      <c r="E275" s="62"/>
      <c r="F275" s="62">
        <v>0</v>
      </c>
      <c r="G275" s="141"/>
      <c r="H275" s="62">
        <v>0</v>
      </c>
      <c r="I275" s="141"/>
      <c r="J275" s="62">
        <v>0</v>
      </c>
      <c r="K275" s="141"/>
      <c r="L275" s="62">
        <v>0</v>
      </c>
      <c r="M275" s="141"/>
      <c r="N275" s="62">
        <v>0</v>
      </c>
      <c r="O275" s="62"/>
      <c r="P275" s="62">
        <v>0</v>
      </c>
      <c r="Q275" s="62"/>
      <c r="R275" s="62">
        <f t="shared" si="18"/>
        <v>0</v>
      </c>
      <c r="S275" s="66"/>
      <c r="T275" s="63"/>
      <c r="U275" s="63"/>
    </row>
    <row r="276" spans="1:21" s="60" customFormat="1" ht="12" hidden="1" customHeight="1" outlineLevel="1">
      <c r="A276" s="60" t="s">
        <v>1027</v>
      </c>
      <c r="B276" s="62">
        <v>0</v>
      </c>
      <c r="C276" s="62"/>
      <c r="D276" s="62">
        <v>0</v>
      </c>
      <c r="E276" s="62"/>
      <c r="F276" s="62">
        <v>0</v>
      </c>
      <c r="G276" s="62"/>
      <c r="H276" s="62">
        <v>0</v>
      </c>
      <c r="I276" s="62"/>
      <c r="J276" s="62">
        <v>0</v>
      </c>
      <c r="K276" s="62"/>
      <c r="L276" s="62">
        <v>0</v>
      </c>
      <c r="M276" s="62"/>
      <c r="N276" s="62">
        <v>0</v>
      </c>
      <c r="O276" s="62"/>
      <c r="P276" s="62">
        <v>0</v>
      </c>
      <c r="Q276" s="62"/>
      <c r="R276" s="62">
        <f t="shared" ref="R276:R282" si="19">SUM(B276:P276)</f>
        <v>0</v>
      </c>
      <c r="S276" s="66"/>
      <c r="T276" s="63"/>
      <c r="U276" s="63"/>
    </row>
    <row r="277" spans="1:21" s="60" customFormat="1" ht="12" hidden="1" customHeight="1" outlineLevel="1">
      <c r="A277" s="60" t="s">
        <v>1028</v>
      </c>
      <c r="B277" s="62">
        <v>0</v>
      </c>
      <c r="C277" s="62"/>
      <c r="D277" s="62">
        <v>0</v>
      </c>
      <c r="E277" s="62"/>
      <c r="F277" s="62">
        <v>0</v>
      </c>
      <c r="G277" s="62"/>
      <c r="H277" s="62">
        <v>0</v>
      </c>
      <c r="I277" s="62"/>
      <c r="J277" s="62">
        <v>0</v>
      </c>
      <c r="K277" s="62"/>
      <c r="L277" s="62">
        <v>0</v>
      </c>
      <c r="M277" s="62"/>
      <c r="N277" s="62">
        <v>0</v>
      </c>
      <c r="O277" s="62"/>
      <c r="P277" s="62">
        <v>0</v>
      </c>
      <c r="Q277" s="62"/>
      <c r="R277" s="62">
        <f t="shared" si="19"/>
        <v>0</v>
      </c>
      <c r="S277" s="66"/>
      <c r="T277" s="63"/>
      <c r="U277" s="63"/>
    </row>
    <row r="278" spans="1:21" s="60" customFormat="1" ht="12" hidden="1" customHeight="1" outlineLevel="1">
      <c r="A278" s="60" t="s">
        <v>1029</v>
      </c>
      <c r="B278" s="62">
        <v>0</v>
      </c>
      <c r="C278" s="62"/>
      <c r="D278" s="62">
        <v>0</v>
      </c>
      <c r="E278" s="62"/>
      <c r="F278" s="62">
        <v>0</v>
      </c>
      <c r="G278" s="62"/>
      <c r="H278" s="62">
        <v>0</v>
      </c>
      <c r="I278" s="62"/>
      <c r="J278" s="62">
        <v>0</v>
      </c>
      <c r="K278" s="62"/>
      <c r="L278" s="62">
        <v>0</v>
      </c>
      <c r="M278" s="62"/>
      <c r="N278" s="62">
        <v>0</v>
      </c>
      <c r="O278" s="62"/>
      <c r="P278" s="62">
        <v>0</v>
      </c>
      <c r="Q278" s="62"/>
      <c r="R278" s="62">
        <f t="shared" si="19"/>
        <v>0</v>
      </c>
      <c r="S278" s="66"/>
      <c r="T278" s="63"/>
      <c r="U278" s="63"/>
    </row>
    <row r="279" spans="1:21" s="60" customFormat="1" ht="12" hidden="1" customHeight="1" outlineLevel="1">
      <c r="A279" s="60" t="s">
        <v>1030</v>
      </c>
      <c r="B279" s="62">
        <v>0</v>
      </c>
      <c r="C279" s="62"/>
      <c r="D279" s="62">
        <v>0</v>
      </c>
      <c r="E279" s="62"/>
      <c r="F279" s="62">
        <v>0</v>
      </c>
      <c r="G279" s="62"/>
      <c r="H279" s="62">
        <v>0</v>
      </c>
      <c r="I279" s="62"/>
      <c r="J279" s="62">
        <v>0</v>
      </c>
      <c r="K279" s="62"/>
      <c r="L279" s="62">
        <v>0</v>
      </c>
      <c r="M279" s="62"/>
      <c r="N279" s="62">
        <v>0</v>
      </c>
      <c r="O279" s="62"/>
      <c r="P279" s="62">
        <v>0</v>
      </c>
      <c r="Q279" s="62"/>
      <c r="R279" s="62">
        <f t="shared" si="19"/>
        <v>0</v>
      </c>
      <c r="S279" s="66"/>
      <c r="T279" s="63"/>
      <c r="U279" s="63"/>
    </row>
    <row r="280" spans="1:21" s="60" customFormat="1" ht="12" hidden="1" customHeight="1" outlineLevel="1">
      <c r="A280" s="60" t="s">
        <v>1031</v>
      </c>
      <c r="B280" s="62">
        <v>0</v>
      </c>
      <c r="C280" s="62"/>
      <c r="D280" s="62">
        <v>0</v>
      </c>
      <c r="E280" s="62"/>
      <c r="F280" s="62">
        <v>0</v>
      </c>
      <c r="G280" s="62"/>
      <c r="H280" s="62">
        <v>0</v>
      </c>
      <c r="I280" s="62"/>
      <c r="J280" s="62">
        <v>0</v>
      </c>
      <c r="K280" s="62"/>
      <c r="L280" s="62">
        <v>0</v>
      </c>
      <c r="M280" s="62"/>
      <c r="N280" s="62">
        <v>0</v>
      </c>
      <c r="O280" s="62"/>
      <c r="P280" s="62">
        <v>0</v>
      </c>
      <c r="Q280" s="62"/>
      <c r="R280" s="62">
        <f t="shared" si="19"/>
        <v>0</v>
      </c>
      <c r="S280" s="66"/>
      <c r="T280" s="63"/>
      <c r="U280" s="63"/>
    </row>
    <row r="281" spans="1:21" s="60" customFormat="1" ht="12" hidden="1" customHeight="1" outlineLevel="1">
      <c r="A281" s="60" t="s">
        <v>143</v>
      </c>
      <c r="B281" s="62">
        <v>0</v>
      </c>
      <c r="C281" s="62"/>
      <c r="D281" s="62">
        <v>0</v>
      </c>
      <c r="E281" s="62"/>
      <c r="F281" s="62">
        <v>0</v>
      </c>
      <c r="G281" s="62"/>
      <c r="H281" s="62">
        <v>0</v>
      </c>
      <c r="I281" s="62"/>
      <c r="J281" s="62">
        <v>0</v>
      </c>
      <c r="K281" s="62"/>
      <c r="L281" s="62">
        <v>0</v>
      </c>
      <c r="M281" s="62"/>
      <c r="N281" s="62">
        <v>0</v>
      </c>
      <c r="O281" s="62"/>
      <c r="P281" s="62">
        <v>0</v>
      </c>
      <c r="Q281" s="62"/>
      <c r="R281" s="62">
        <f t="shared" si="19"/>
        <v>0</v>
      </c>
      <c r="S281" s="66"/>
      <c r="T281" s="63"/>
      <c r="U281" s="63"/>
    </row>
    <row r="282" spans="1:21" s="60" customFormat="1" ht="12" hidden="1" customHeight="1" outlineLevel="1">
      <c r="A282" s="60" t="s">
        <v>144</v>
      </c>
      <c r="B282" s="62">
        <v>0</v>
      </c>
      <c r="C282" s="62"/>
      <c r="D282" s="62">
        <v>0</v>
      </c>
      <c r="E282" s="62"/>
      <c r="F282" s="62">
        <v>0</v>
      </c>
      <c r="G282" s="62"/>
      <c r="H282" s="62">
        <v>0</v>
      </c>
      <c r="I282" s="62"/>
      <c r="J282" s="62">
        <v>0</v>
      </c>
      <c r="K282" s="62"/>
      <c r="L282" s="62">
        <v>0</v>
      </c>
      <c r="M282" s="62"/>
      <c r="N282" s="62">
        <v>0</v>
      </c>
      <c r="O282" s="62"/>
      <c r="P282" s="62">
        <v>0</v>
      </c>
      <c r="Q282" s="62"/>
      <c r="R282" s="62">
        <f t="shared" si="19"/>
        <v>0</v>
      </c>
      <c r="S282" s="66"/>
      <c r="T282" s="63"/>
      <c r="U282" s="63"/>
    </row>
    <row r="283" spans="1:21" s="10" customFormat="1" ht="12" customHeight="1" collapsed="1">
      <c r="A283" s="10" t="s">
        <v>145</v>
      </c>
      <c r="B283" s="65">
        <f>SUM(B275:B282)</f>
        <v>0</v>
      </c>
      <c r="C283" s="65"/>
      <c r="D283" s="65">
        <f>SUM(D275:D282)</f>
        <v>0</v>
      </c>
      <c r="E283" s="65"/>
      <c r="F283" s="65">
        <f>SUM(F275:F282)</f>
        <v>0</v>
      </c>
      <c r="G283" s="65"/>
      <c r="H283" s="65">
        <f>SUM(H275:H282)</f>
        <v>0</v>
      </c>
      <c r="I283" s="65"/>
      <c r="J283" s="65">
        <f>SUM(J275:J282)</f>
        <v>0</v>
      </c>
      <c r="K283" s="65"/>
      <c r="L283" s="65">
        <f>SUM(L275:L282)</f>
        <v>0</v>
      </c>
      <c r="M283" s="65"/>
      <c r="N283" s="65">
        <f>SUM(N275:N282)</f>
        <v>0</v>
      </c>
      <c r="O283" s="65"/>
      <c r="P283" s="65">
        <f>SUM(P275:P282)</f>
        <v>0</v>
      </c>
      <c r="Q283" s="65"/>
      <c r="R283" s="65">
        <f>SUM(R275:R282)</f>
        <v>0</v>
      </c>
      <c r="S283" s="27"/>
      <c r="T283" s="24"/>
      <c r="U283" s="24"/>
    </row>
    <row r="284" spans="1:21" s="60" customFormat="1" hidden="1" outlineLevel="1">
      <c r="A284" s="60" t="s">
        <v>713</v>
      </c>
      <c r="B284" s="62">
        <v>19513.71</v>
      </c>
      <c r="C284" s="62"/>
      <c r="D284" s="62">
        <v>0</v>
      </c>
      <c r="E284" s="62"/>
      <c r="F284" s="62">
        <v>0</v>
      </c>
      <c r="G284" s="62"/>
      <c r="H284" s="62">
        <v>0</v>
      </c>
      <c r="I284" s="62"/>
      <c r="J284" s="62">
        <v>0</v>
      </c>
      <c r="K284" s="62"/>
      <c r="L284" s="62">
        <v>0</v>
      </c>
      <c r="M284" s="62"/>
      <c r="N284" s="62">
        <v>0</v>
      </c>
      <c r="O284" s="62"/>
      <c r="P284" s="62">
        <v>0</v>
      </c>
      <c r="Q284" s="62"/>
      <c r="R284" s="62">
        <f t="shared" si="18"/>
        <v>19513.71</v>
      </c>
      <c r="S284" s="66"/>
      <c r="T284" s="63"/>
      <c r="U284" s="63"/>
    </row>
    <row r="285" spans="1:21" s="60" customFormat="1" hidden="1" outlineLevel="1">
      <c r="A285" s="60" t="s">
        <v>863</v>
      </c>
      <c r="B285" s="62">
        <v>12129.86</v>
      </c>
      <c r="C285" s="62"/>
      <c r="D285" s="62">
        <v>0</v>
      </c>
      <c r="E285" s="62"/>
      <c r="F285" s="62">
        <v>0</v>
      </c>
      <c r="G285" s="62"/>
      <c r="H285" s="62">
        <v>0</v>
      </c>
      <c r="I285" s="62"/>
      <c r="J285" s="62">
        <v>0</v>
      </c>
      <c r="K285" s="62"/>
      <c r="L285" s="62">
        <v>0</v>
      </c>
      <c r="M285" s="62"/>
      <c r="N285" s="62">
        <v>0</v>
      </c>
      <c r="O285" s="62"/>
      <c r="P285" s="62">
        <v>0</v>
      </c>
      <c r="Q285" s="62"/>
      <c r="R285" s="62">
        <f t="shared" si="18"/>
        <v>12129.86</v>
      </c>
      <c r="S285" s="66"/>
      <c r="T285" s="63"/>
      <c r="U285" s="63"/>
    </row>
    <row r="286" spans="1:21" s="60" customFormat="1" hidden="1" outlineLevel="1">
      <c r="A286" s="60" t="s">
        <v>864</v>
      </c>
      <c r="B286" s="62">
        <v>10613.26</v>
      </c>
      <c r="C286" s="62"/>
      <c r="D286" s="62">
        <v>0</v>
      </c>
      <c r="E286" s="62"/>
      <c r="F286" s="62">
        <v>0</v>
      </c>
      <c r="G286" s="62"/>
      <c r="H286" s="62">
        <v>0</v>
      </c>
      <c r="I286" s="62"/>
      <c r="J286" s="62">
        <v>0</v>
      </c>
      <c r="K286" s="62"/>
      <c r="L286" s="62">
        <v>0</v>
      </c>
      <c r="M286" s="62"/>
      <c r="N286" s="62">
        <v>0</v>
      </c>
      <c r="O286" s="62"/>
      <c r="P286" s="62">
        <v>0</v>
      </c>
      <c r="Q286" s="62"/>
      <c r="R286" s="62">
        <f t="shared" si="18"/>
        <v>10613.26</v>
      </c>
      <c r="S286" s="66"/>
      <c r="T286" s="63"/>
      <c r="U286" s="63"/>
    </row>
    <row r="287" spans="1:21" s="60" customFormat="1" hidden="1" outlineLevel="1">
      <c r="A287" s="60" t="s">
        <v>866</v>
      </c>
      <c r="B287" s="62">
        <v>16225.31</v>
      </c>
      <c r="C287" s="62"/>
      <c r="D287" s="62">
        <v>0</v>
      </c>
      <c r="E287" s="62"/>
      <c r="F287" s="62">
        <v>0</v>
      </c>
      <c r="G287" s="62"/>
      <c r="H287" s="62">
        <v>0</v>
      </c>
      <c r="I287" s="62"/>
      <c r="J287" s="62">
        <v>0</v>
      </c>
      <c r="K287" s="62"/>
      <c r="L287" s="62">
        <v>0</v>
      </c>
      <c r="M287" s="62"/>
      <c r="N287" s="62">
        <v>0</v>
      </c>
      <c r="O287" s="62"/>
      <c r="P287" s="62">
        <v>0</v>
      </c>
      <c r="Q287" s="62"/>
      <c r="R287" s="62">
        <f t="shared" si="18"/>
        <v>16225.31</v>
      </c>
      <c r="S287" s="66"/>
      <c r="T287" s="63"/>
      <c r="U287" s="63"/>
    </row>
    <row r="288" spans="1:21" s="60" customFormat="1" hidden="1" outlineLevel="1">
      <c r="A288" s="60" t="s">
        <v>710</v>
      </c>
      <c r="B288" s="62">
        <v>27335.17</v>
      </c>
      <c r="C288" s="62"/>
      <c r="D288" s="62">
        <v>0</v>
      </c>
      <c r="E288" s="62"/>
      <c r="F288" s="62">
        <v>0</v>
      </c>
      <c r="G288" s="62"/>
      <c r="H288" s="62">
        <v>0</v>
      </c>
      <c r="I288" s="62"/>
      <c r="J288" s="62">
        <v>0</v>
      </c>
      <c r="K288" s="62"/>
      <c r="L288" s="62">
        <v>0</v>
      </c>
      <c r="M288" s="62"/>
      <c r="N288" s="62">
        <v>0</v>
      </c>
      <c r="O288" s="62"/>
      <c r="P288" s="62">
        <v>0</v>
      </c>
      <c r="Q288" s="62"/>
      <c r="R288" s="62">
        <f t="shared" si="18"/>
        <v>27335.17</v>
      </c>
      <c r="S288" s="66"/>
      <c r="T288" s="63"/>
      <c r="U288" s="63"/>
    </row>
    <row r="289" spans="1:21" s="60" customFormat="1" hidden="1" outlineLevel="1">
      <c r="A289" s="60" t="s">
        <v>867</v>
      </c>
      <c r="B289" s="62">
        <v>67515.06</v>
      </c>
      <c r="C289" s="62"/>
      <c r="D289" s="62">
        <v>0</v>
      </c>
      <c r="E289" s="62"/>
      <c r="F289" s="62">
        <v>0</v>
      </c>
      <c r="G289" s="62"/>
      <c r="H289" s="62">
        <v>0</v>
      </c>
      <c r="I289" s="62"/>
      <c r="J289" s="62">
        <v>0</v>
      </c>
      <c r="K289" s="62"/>
      <c r="L289" s="62">
        <v>0</v>
      </c>
      <c r="M289" s="62"/>
      <c r="N289" s="62">
        <v>0</v>
      </c>
      <c r="O289" s="62"/>
      <c r="P289" s="62">
        <v>0</v>
      </c>
      <c r="Q289" s="62"/>
      <c r="R289" s="62">
        <f t="shared" si="18"/>
        <v>67515.06</v>
      </c>
      <c r="S289" s="66"/>
      <c r="T289" s="63"/>
      <c r="U289" s="63"/>
    </row>
    <row r="290" spans="1:21" s="60" customFormat="1" hidden="1" outlineLevel="1">
      <c r="A290" s="60" t="s">
        <v>868</v>
      </c>
      <c r="B290" s="62">
        <v>1106526.02</v>
      </c>
      <c r="C290" s="62"/>
      <c r="D290" s="62">
        <v>0</v>
      </c>
      <c r="E290" s="62"/>
      <c r="F290" s="62">
        <v>0</v>
      </c>
      <c r="G290" s="62"/>
      <c r="H290" s="62">
        <v>0</v>
      </c>
      <c r="I290" s="62"/>
      <c r="J290" s="62">
        <v>0</v>
      </c>
      <c r="K290" s="62"/>
      <c r="L290" s="62">
        <v>0</v>
      </c>
      <c r="M290" s="62"/>
      <c r="N290" s="62">
        <v>0</v>
      </c>
      <c r="O290" s="62"/>
      <c r="P290" s="62">
        <v>0</v>
      </c>
      <c r="Q290" s="62"/>
      <c r="R290" s="62">
        <f t="shared" si="18"/>
        <v>1106526.02</v>
      </c>
      <c r="S290" s="66"/>
      <c r="T290" s="63"/>
      <c r="U290" s="63"/>
    </row>
    <row r="291" spans="1:21" s="60" customFormat="1" hidden="1" outlineLevel="1">
      <c r="A291" s="60" t="s">
        <v>870</v>
      </c>
      <c r="B291" s="62">
        <v>46873.72</v>
      </c>
      <c r="C291" s="62"/>
      <c r="D291" s="62">
        <v>0</v>
      </c>
      <c r="E291" s="62"/>
      <c r="F291" s="62">
        <v>0</v>
      </c>
      <c r="G291" s="62"/>
      <c r="H291" s="62">
        <v>0</v>
      </c>
      <c r="I291" s="62"/>
      <c r="J291" s="62">
        <v>0</v>
      </c>
      <c r="K291" s="62"/>
      <c r="L291" s="62">
        <v>0</v>
      </c>
      <c r="M291" s="62"/>
      <c r="N291" s="62">
        <v>0</v>
      </c>
      <c r="O291" s="62"/>
      <c r="P291" s="62">
        <v>0</v>
      </c>
      <c r="Q291" s="62"/>
      <c r="R291" s="62">
        <f t="shared" si="18"/>
        <v>46873.72</v>
      </c>
      <c r="S291" s="66"/>
      <c r="T291" s="63"/>
      <c r="U291" s="63"/>
    </row>
    <row r="292" spans="1:21" s="60" customFormat="1" hidden="1" outlineLevel="1">
      <c r="A292" s="60" t="s">
        <v>1052</v>
      </c>
      <c r="B292" s="62">
        <v>419283.8</v>
      </c>
      <c r="C292" s="62"/>
      <c r="D292" s="62">
        <v>0</v>
      </c>
      <c r="E292" s="62"/>
      <c r="F292" s="62">
        <v>0</v>
      </c>
      <c r="G292" s="62"/>
      <c r="H292" s="62">
        <v>0</v>
      </c>
      <c r="I292" s="62"/>
      <c r="J292" s="62">
        <v>0</v>
      </c>
      <c r="K292" s="62"/>
      <c r="L292" s="62">
        <v>0</v>
      </c>
      <c r="M292" s="62"/>
      <c r="N292" s="62">
        <v>0</v>
      </c>
      <c r="O292" s="62"/>
      <c r="P292" s="62">
        <v>0</v>
      </c>
      <c r="Q292" s="62"/>
      <c r="R292" s="62">
        <f t="shared" si="18"/>
        <v>419283.8</v>
      </c>
      <c r="S292" s="66"/>
      <c r="T292" s="63"/>
      <c r="U292" s="63"/>
    </row>
    <row r="293" spans="1:21" s="60" customFormat="1" hidden="1" outlineLevel="1">
      <c r="A293" s="60" t="s">
        <v>871</v>
      </c>
      <c r="B293" s="62">
        <v>83291.679999999993</v>
      </c>
      <c r="C293" s="62"/>
      <c r="D293" s="62">
        <v>0</v>
      </c>
      <c r="E293" s="62"/>
      <c r="F293" s="62">
        <v>0</v>
      </c>
      <c r="G293" s="62"/>
      <c r="H293" s="62">
        <v>0</v>
      </c>
      <c r="I293" s="62"/>
      <c r="J293" s="62">
        <v>0</v>
      </c>
      <c r="K293" s="62"/>
      <c r="L293" s="62">
        <v>0</v>
      </c>
      <c r="M293" s="62"/>
      <c r="N293" s="62">
        <v>0</v>
      </c>
      <c r="O293" s="62"/>
      <c r="P293" s="62">
        <v>0</v>
      </c>
      <c r="Q293" s="62"/>
      <c r="R293" s="62">
        <f t="shared" si="18"/>
        <v>83291.679999999993</v>
      </c>
      <c r="S293" s="66"/>
      <c r="T293" s="63"/>
      <c r="U293" s="63"/>
    </row>
    <row r="294" spans="1:21" s="60" customFormat="1" hidden="1" outlineLevel="1">
      <c r="A294" s="60" t="s">
        <v>872</v>
      </c>
      <c r="B294" s="62">
        <v>293549.98</v>
      </c>
      <c r="C294" s="62"/>
      <c r="D294" s="62">
        <v>0</v>
      </c>
      <c r="E294" s="62"/>
      <c r="F294" s="62">
        <v>0</v>
      </c>
      <c r="G294" s="62"/>
      <c r="H294" s="62">
        <v>0</v>
      </c>
      <c r="I294" s="62"/>
      <c r="J294" s="62">
        <v>0</v>
      </c>
      <c r="K294" s="62"/>
      <c r="L294" s="62">
        <v>0</v>
      </c>
      <c r="M294" s="62"/>
      <c r="N294" s="62">
        <v>0</v>
      </c>
      <c r="O294" s="62"/>
      <c r="P294" s="62">
        <v>0</v>
      </c>
      <c r="Q294" s="62"/>
      <c r="R294" s="62">
        <f t="shared" si="18"/>
        <v>293549.98</v>
      </c>
      <c r="S294" s="66"/>
      <c r="T294" s="63"/>
      <c r="U294" s="63"/>
    </row>
    <row r="295" spans="1:21" s="60" customFormat="1" hidden="1" outlineLevel="1">
      <c r="A295" s="60" t="s">
        <v>873</v>
      </c>
      <c r="B295" s="62">
        <v>2110405.2400000002</v>
      </c>
      <c r="C295" s="62"/>
      <c r="D295" s="62">
        <v>0</v>
      </c>
      <c r="E295" s="62"/>
      <c r="F295" s="62">
        <v>0</v>
      </c>
      <c r="G295" s="62"/>
      <c r="H295" s="62">
        <v>0</v>
      </c>
      <c r="I295" s="62"/>
      <c r="J295" s="62">
        <v>0</v>
      </c>
      <c r="K295" s="62"/>
      <c r="L295" s="62">
        <v>0</v>
      </c>
      <c r="M295" s="62"/>
      <c r="N295" s="62">
        <v>0</v>
      </c>
      <c r="O295" s="62"/>
      <c r="P295" s="62">
        <v>0</v>
      </c>
      <c r="Q295" s="62"/>
      <c r="R295" s="62">
        <f t="shared" si="18"/>
        <v>2110405.2400000002</v>
      </c>
      <c r="S295" s="66"/>
      <c r="T295" s="63"/>
      <c r="U295" s="63"/>
    </row>
    <row r="296" spans="1:21" s="60" customFormat="1" hidden="1" outlineLevel="1">
      <c r="A296" s="60" t="s">
        <v>874</v>
      </c>
      <c r="B296" s="62">
        <v>32762.41</v>
      </c>
      <c r="C296" s="62"/>
      <c r="D296" s="62">
        <v>0</v>
      </c>
      <c r="E296" s="62"/>
      <c r="F296" s="62">
        <v>0</v>
      </c>
      <c r="G296" s="62"/>
      <c r="H296" s="62">
        <v>0</v>
      </c>
      <c r="I296" s="62"/>
      <c r="J296" s="62">
        <v>0</v>
      </c>
      <c r="K296" s="62"/>
      <c r="L296" s="62">
        <v>0</v>
      </c>
      <c r="M296" s="62"/>
      <c r="N296" s="62">
        <v>0</v>
      </c>
      <c r="O296" s="62"/>
      <c r="P296" s="62">
        <v>0</v>
      </c>
      <c r="Q296" s="62"/>
      <c r="R296" s="62">
        <f t="shared" si="18"/>
        <v>32762.41</v>
      </c>
      <c r="S296" s="66"/>
      <c r="T296" s="63"/>
      <c r="U296" s="63"/>
    </row>
    <row r="297" spans="1:21" s="60" customFormat="1" hidden="1" outlineLevel="1">
      <c r="A297" s="60" t="s">
        <v>875</v>
      </c>
      <c r="B297" s="62">
        <v>1056419.18</v>
      </c>
      <c r="C297" s="62"/>
      <c r="D297" s="62">
        <v>0</v>
      </c>
      <c r="E297" s="62"/>
      <c r="F297" s="62">
        <v>0</v>
      </c>
      <c r="G297" s="62"/>
      <c r="H297" s="62">
        <v>0</v>
      </c>
      <c r="I297" s="62"/>
      <c r="J297" s="62">
        <v>0</v>
      </c>
      <c r="K297" s="62"/>
      <c r="L297" s="62">
        <v>0</v>
      </c>
      <c r="M297" s="62"/>
      <c r="N297" s="62">
        <v>0</v>
      </c>
      <c r="O297" s="62"/>
      <c r="P297" s="62">
        <v>0</v>
      </c>
      <c r="Q297" s="62"/>
      <c r="R297" s="62">
        <f t="shared" si="18"/>
        <v>1056419.18</v>
      </c>
      <c r="S297" s="66"/>
      <c r="T297" s="63"/>
      <c r="U297" s="63"/>
    </row>
    <row r="298" spans="1:21" s="10" customFormat="1" collapsed="1">
      <c r="A298" s="10" t="s">
        <v>805</v>
      </c>
      <c r="B298" s="65">
        <f>SUM(B284:B297)</f>
        <v>5302444.4000000004</v>
      </c>
      <c r="C298" s="65"/>
      <c r="D298" s="65">
        <f>SUM(D284:D297)</f>
        <v>0</v>
      </c>
      <c r="E298" s="65"/>
      <c r="F298" s="65">
        <f>SUM(F284:F297)</f>
        <v>0</v>
      </c>
      <c r="G298" s="65"/>
      <c r="H298" s="65">
        <f>SUM(H284:H297)</f>
        <v>0</v>
      </c>
      <c r="I298" s="65"/>
      <c r="J298" s="65">
        <f>SUM(J284:J297)</f>
        <v>0</v>
      </c>
      <c r="K298" s="65"/>
      <c r="L298" s="65">
        <f>SUM(L284:L297)</f>
        <v>0</v>
      </c>
      <c r="M298" s="65"/>
      <c r="N298" s="65">
        <f>SUM(N284:N297)</f>
        <v>0</v>
      </c>
      <c r="O298" s="65"/>
      <c r="P298" s="65">
        <f>SUM(P284:P297)</f>
        <v>0</v>
      </c>
      <c r="Q298" s="65"/>
      <c r="R298" s="65">
        <f>SUM(R284:R297)</f>
        <v>5302444.4000000004</v>
      </c>
      <c r="S298" s="27"/>
      <c r="T298" s="24"/>
      <c r="U298" s="24"/>
    </row>
    <row r="299" spans="1:21">
      <c r="A299" t="s">
        <v>583</v>
      </c>
      <c r="B299" s="48">
        <v>0</v>
      </c>
      <c r="C299" s="52"/>
      <c r="D299" s="48">
        <v>0</v>
      </c>
      <c r="E299" s="52"/>
      <c r="F299" s="48">
        <v>0</v>
      </c>
      <c r="G299" s="52"/>
      <c r="H299" s="48">
        <v>0</v>
      </c>
      <c r="I299" s="52"/>
      <c r="J299" s="48">
        <v>0</v>
      </c>
      <c r="K299" s="52"/>
      <c r="L299" s="48">
        <v>0</v>
      </c>
      <c r="M299" s="52"/>
      <c r="N299" s="48">
        <v>0</v>
      </c>
      <c r="O299" s="52"/>
      <c r="P299" s="48">
        <v>0</v>
      </c>
      <c r="Q299" s="52"/>
      <c r="R299" s="48">
        <f>SUM(B299:P299)</f>
        <v>0</v>
      </c>
      <c r="S299" s="37"/>
      <c r="T299" s="33"/>
      <c r="U299" s="33"/>
    </row>
    <row r="300" spans="1:21">
      <c r="B300" s="52">
        <f>B299+B298+B274+B251+B237+B234+B188+B180+B153+B283+B191</f>
        <v>1008356685.11</v>
      </c>
      <c r="C300" s="52"/>
      <c r="D300" s="52">
        <f>D299+D298+D274+D251+D237+D234+D188+D180+D153+D283+D191</f>
        <v>0</v>
      </c>
      <c r="E300" s="52"/>
      <c r="F300" s="52">
        <f>F299+F298+F274+F251+F237+F234+F188+F180+F153+F283+F191</f>
        <v>35234.100000000042</v>
      </c>
      <c r="G300" s="52"/>
      <c r="H300" s="52">
        <f>H299+H298+H274+H251+H237+H234+H188+H180+H153+H283+H191</f>
        <v>0</v>
      </c>
      <c r="I300" s="52"/>
      <c r="J300" s="52">
        <f>J299+J298+J274+J251+J237+J234+J188+J180+J153+J283+J191</f>
        <v>0</v>
      </c>
      <c r="K300" s="52"/>
      <c r="L300" s="52">
        <f>L299+L298+L274+L251+L237+L234+L188+L180+L153+L283+L191</f>
        <v>0</v>
      </c>
      <c r="M300" s="52"/>
      <c r="N300" s="52">
        <f>N299+N298+N274+N251+N237+N234+N188+N180+N153+N283+N191</f>
        <v>0</v>
      </c>
      <c r="O300" s="52"/>
      <c r="P300" s="52">
        <f>P299+P298+P274+P251+P237+P234+P188+P180+P153+P283+P191</f>
        <v>0</v>
      </c>
      <c r="Q300" s="52"/>
      <c r="R300" s="52">
        <f>R299+R298+R274+R251+R237+R234+R188+R180+R153+R283+R191</f>
        <v>1008391919.2100002</v>
      </c>
      <c r="S300" s="37"/>
      <c r="T300" s="33"/>
      <c r="U300" s="33"/>
    </row>
    <row r="301" spans="1:21">
      <c r="B301" s="52"/>
      <c r="C301" s="52"/>
      <c r="D301" s="52"/>
      <c r="E301" s="52"/>
      <c r="F301" s="52"/>
      <c r="G301" s="52"/>
      <c r="H301" s="52"/>
      <c r="I301" s="52"/>
      <c r="J301" s="52"/>
      <c r="K301" s="52"/>
      <c r="L301" s="52"/>
      <c r="M301" s="52"/>
      <c r="N301" s="52"/>
      <c r="O301" s="52"/>
      <c r="P301" s="52"/>
      <c r="Q301" s="52"/>
      <c r="R301" s="52"/>
      <c r="S301" s="37"/>
      <c r="T301" s="33"/>
      <c r="U301" s="33"/>
    </row>
    <row r="302" spans="1:21">
      <c r="A302" s="3" t="s">
        <v>119</v>
      </c>
      <c r="B302" s="182"/>
      <c r="C302" s="52"/>
      <c r="D302" s="182"/>
      <c r="E302" s="52"/>
      <c r="F302" s="182"/>
      <c r="G302" s="52"/>
      <c r="H302" s="182"/>
      <c r="I302" s="52"/>
      <c r="J302" s="182"/>
      <c r="K302" s="52"/>
      <c r="L302" s="182"/>
      <c r="M302" s="52"/>
      <c r="N302" s="182"/>
      <c r="O302" s="52"/>
      <c r="P302" s="182"/>
      <c r="Q302" s="52"/>
      <c r="R302" s="182"/>
      <c r="S302" s="33"/>
      <c r="T302" s="33"/>
      <c r="U302" s="33"/>
    </row>
    <row r="303" spans="1:21">
      <c r="A303" t="s">
        <v>821</v>
      </c>
      <c r="B303" s="182">
        <v>1657663.57</v>
      </c>
      <c r="C303" s="52"/>
      <c r="D303" s="182">
        <v>0</v>
      </c>
      <c r="E303" s="52"/>
      <c r="F303" s="325">
        <v>0</v>
      </c>
      <c r="G303" s="52"/>
      <c r="H303" s="325">
        <v>0</v>
      </c>
      <c r="I303" s="52"/>
      <c r="J303" s="325">
        <v>0</v>
      </c>
      <c r="K303" s="52"/>
      <c r="L303" s="325">
        <v>0</v>
      </c>
      <c r="M303" s="52"/>
      <c r="N303" s="325">
        <v>0</v>
      </c>
      <c r="O303" s="52"/>
      <c r="P303" s="325">
        <v>0</v>
      </c>
      <c r="Q303" s="52"/>
      <c r="R303" s="52">
        <f>SUM(B303:P303)</f>
        <v>1657663.57</v>
      </c>
      <c r="S303" s="33"/>
      <c r="T303" s="33"/>
      <c r="U303" s="33"/>
    </row>
    <row r="304" spans="1:21">
      <c r="A304" t="s">
        <v>584</v>
      </c>
      <c r="B304" s="182">
        <v>0</v>
      </c>
      <c r="C304" s="52"/>
      <c r="D304" s="182">
        <v>0</v>
      </c>
      <c r="E304" s="52"/>
      <c r="F304" s="325">
        <v>0</v>
      </c>
      <c r="G304" s="52"/>
      <c r="H304" s="325">
        <v>0</v>
      </c>
      <c r="I304" s="52"/>
      <c r="J304" s="325">
        <v>0</v>
      </c>
      <c r="K304" s="52"/>
      <c r="L304" s="325">
        <v>0</v>
      </c>
      <c r="M304" s="52"/>
      <c r="N304" s="325">
        <v>0</v>
      </c>
      <c r="O304" s="52"/>
      <c r="P304" s="325">
        <v>0</v>
      </c>
      <c r="Q304" s="52"/>
      <c r="R304" s="52">
        <f t="shared" ref="R304:R319" si="20">SUM(B304:P304)</f>
        <v>0</v>
      </c>
      <c r="S304" s="33"/>
      <c r="T304" s="33"/>
      <c r="U304" s="33"/>
    </row>
    <row r="305" spans="1:21">
      <c r="A305" t="s">
        <v>823</v>
      </c>
      <c r="B305" s="182">
        <v>979994.32</v>
      </c>
      <c r="C305" s="52"/>
      <c r="D305" s="182">
        <v>0</v>
      </c>
      <c r="E305" s="52"/>
      <c r="F305" s="325">
        <v>0</v>
      </c>
      <c r="G305" s="52"/>
      <c r="H305" s="325">
        <v>0</v>
      </c>
      <c r="I305" s="52"/>
      <c r="J305" s="325">
        <v>0</v>
      </c>
      <c r="K305" s="52"/>
      <c r="L305" s="325">
        <v>0</v>
      </c>
      <c r="M305" s="52"/>
      <c r="N305" s="325">
        <v>0</v>
      </c>
      <c r="O305" s="52"/>
      <c r="P305" s="325">
        <v>0</v>
      </c>
      <c r="Q305" s="52"/>
      <c r="R305" s="52">
        <f t="shared" si="20"/>
        <v>979994.32</v>
      </c>
      <c r="S305" s="33"/>
      <c r="T305" s="33"/>
      <c r="U305" s="33"/>
    </row>
    <row r="306" spans="1:21">
      <c r="A306" t="s">
        <v>585</v>
      </c>
      <c r="B306" s="182">
        <v>65742.33</v>
      </c>
      <c r="C306" s="52"/>
      <c r="D306" s="182">
        <v>0</v>
      </c>
      <c r="E306" s="52"/>
      <c r="F306" s="325">
        <v>0</v>
      </c>
      <c r="G306" s="52"/>
      <c r="H306" s="325">
        <v>0</v>
      </c>
      <c r="I306" s="52"/>
      <c r="J306" s="325">
        <v>0</v>
      </c>
      <c r="K306" s="52"/>
      <c r="L306" s="325">
        <v>0</v>
      </c>
      <c r="M306" s="52"/>
      <c r="N306" s="325">
        <v>0</v>
      </c>
      <c r="O306" s="52"/>
      <c r="P306" s="325">
        <v>0</v>
      </c>
      <c r="Q306" s="52"/>
      <c r="R306" s="52">
        <f t="shared" si="20"/>
        <v>65742.33</v>
      </c>
      <c r="S306" s="33"/>
      <c r="T306" s="33"/>
      <c r="U306" s="33"/>
    </row>
    <row r="307" spans="1:21">
      <c r="A307" t="s">
        <v>877</v>
      </c>
      <c r="B307" s="182">
        <v>0</v>
      </c>
      <c r="C307" s="52"/>
      <c r="D307" s="182">
        <v>0</v>
      </c>
      <c r="E307" s="52"/>
      <c r="F307" s="325">
        <v>0</v>
      </c>
      <c r="G307" s="52"/>
      <c r="H307" s="325">
        <v>0</v>
      </c>
      <c r="I307" s="52"/>
      <c r="J307" s="325">
        <v>0</v>
      </c>
      <c r="K307" s="52"/>
      <c r="L307" s="325">
        <v>0</v>
      </c>
      <c r="M307" s="52"/>
      <c r="N307" s="325">
        <v>0</v>
      </c>
      <c r="O307" s="52"/>
      <c r="P307" s="325">
        <v>0</v>
      </c>
      <c r="Q307" s="52"/>
      <c r="R307" s="52">
        <f>SUM(B307:P307)</f>
        <v>0</v>
      </c>
      <c r="S307" s="33"/>
      <c r="T307" s="33"/>
      <c r="U307" s="33"/>
    </row>
    <row r="308" spans="1:21">
      <c r="A308" t="s">
        <v>208</v>
      </c>
      <c r="B308" s="182">
        <v>62002524.119999997</v>
      </c>
      <c r="C308" s="52"/>
      <c r="D308" s="182">
        <v>0</v>
      </c>
      <c r="E308" s="52"/>
      <c r="F308" s="325">
        <f>-76823.57-559008.89-45495.28-34972.75</f>
        <v>-716300.49</v>
      </c>
      <c r="G308" s="139"/>
      <c r="H308" s="325">
        <v>0</v>
      </c>
      <c r="I308" s="139"/>
      <c r="J308" s="325">
        <v>0</v>
      </c>
      <c r="K308" s="139"/>
      <c r="L308" s="325">
        <v>0</v>
      </c>
      <c r="M308" s="139"/>
      <c r="N308" s="325">
        <v>0</v>
      </c>
      <c r="O308" s="52"/>
      <c r="P308" s="325">
        <v>0</v>
      </c>
      <c r="Q308" s="52"/>
      <c r="R308" s="52">
        <f t="shared" si="20"/>
        <v>61286223.629999995</v>
      </c>
      <c r="S308" s="33"/>
      <c r="T308" s="33"/>
      <c r="U308" s="33"/>
    </row>
    <row r="309" spans="1:21">
      <c r="A309" t="s">
        <v>586</v>
      </c>
      <c r="B309" s="182">
        <v>11280.85</v>
      </c>
      <c r="C309" s="52"/>
      <c r="D309" s="182">
        <v>0</v>
      </c>
      <c r="E309" s="52"/>
      <c r="F309" s="325">
        <v>0</v>
      </c>
      <c r="G309" s="139"/>
      <c r="H309" s="325">
        <v>0</v>
      </c>
      <c r="I309" s="139"/>
      <c r="J309" s="325">
        <v>0</v>
      </c>
      <c r="K309" s="139"/>
      <c r="L309" s="325">
        <v>0</v>
      </c>
      <c r="M309" s="139"/>
      <c r="N309" s="325">
        <v>0</v>
      </c>
      <c r="O309" s="52"/>
      <c r="P309" s="325">
        <v>0</v>
      </c>
      <c r="Q309" s="52"/>
      <c r="R309" s="52">
        <f t="shared" si="20"/>
        <v>11280.85</v>
      </c>
      <c r="S309" s="33"/>
      <c r="T309" s="33"/>
      <c r="U309" s="33"/>
    </row>
    <row r="310" spans="1:21">
      <c r="A310" t="s">
        <v>587</v>
      </c>
      <c r="B310" s="182">
        <v>959.16</v>
      </c>
      <c r="C310" s="52"/>
      <c r="D310" s="182">
        <v>0</v>
      </c>
      <c r="E310" s="52"/>
      <c r="F310" s="325">
        <v>0</v>
      </c>
      <c r="G310" s="139"/>
      <c r="H310" s="325">
        <v>0</v>
      </c>
      <c r="I310" s="139"/>
      <c r="J310" s="325">
        <v>0</v>
      </c>
      <c r="K310" s="139"/>
      <c r="L310" s="325">
        <v>0</v>
      </c>
      <c r="M310" s="139"/>
      <c r="N310" s="325">
        <v>0</v>
      </c>
      <c r="O310" s="52"/>
      <c r="P310" s="325">
        <v>0</v>
      </c>
      <c r="Q310" s="52"/>
      <c r="R310" s="52">
        <f t="shared" si="20"/>
        <v>959.16</v>
      </c>
      <c r="S310" s="33"/>
      <c r="T310" s="33"/>
      <c r="U310" s="33"/>
    </row>
    <row r="311" spans="1:21">
      <c r="A311" t="s">
        <v>588</v>
      </c>
      <c r="B311" s="182">
        <v>4345.1000000000004</v>
      </c>
      <c r="C311" s="52"/>
      <c r="D311" s="182">
        <v>0</v>
      </c>
      <c r="E311" s="52"/>
      <c r="F311" s="325">
        <v>0</v>
      </c>
      <c r="G311" s="139"/>
      <c r="H311" s="325">
        <v>0</v>
      </c>
      <c r="I311" s="139"/>
      <c r="J311" s="325">
        <v>0</v>
      </c>
      <c r="K311" s="139"/>
      <c r="L311" s="325">
        <v>0</v>
      </c>
      <c r="M311" s="139"/>
      <c r="N311" s="325">
        <v>0</v>
      </c>
      <c r="O311" s="52"/>
      <c r="P311" s="325">
        <v>0</v>
      </c>
      <c r="Q311" s="52"/>
      <c r="R311" s="52">
        <f t="shared" si="20"/>
        <v>4345.1000000000004</v>
      </c>
      <c r="S311" s="33"/>
      <c r="T311" s="33"/>
      <c r="U311" s="33"/>
    </row>
    <row r="312" spans="1:21">
      <c r="A312" t="s">
        <v>589</v>
      </c>
      <c r="B312" s="182">
        <v>1403.01</v>
      </c>
      <c r="C312" s="52"/>
      <c r="D312" s="182">
        <v>0</v>
      </c>
      <c r="E312" s="52"/>
      <c r="F312" s="325">
        <v>0</v>
      </c>
      <c r="G312" s="139"/>
      <c r="H312" s="325">
        <v>0</v>
      </c>
      <c r="I312" s="139"/>
      <c r="J312" s="325">
        <v>0</v>
      </c>
      <c r="K312" s="139"/>
      <c r="L312" s="325">
        <v>0</v>
      </c>
      <c r="M312" s="139"/>
      <c r="N312" s="325">
        <v>0</v>
      </c>
      <c r="O312" s="52"/>
      <c r="P312" s="325">
        <v>0</v>
      </c>
      <c r="Q312" s="52"/>
      <c r="R312" s="52">
        <f t="shared" si="20"/>
        <v>1403.01</v>
      </c>
      <c r="S312" s="33"/>
      <c r="T312" s="33"/>
      <c r="U312" s="33"/>
    </row>
    <row r="313" spans="1:21">
      <c r="A313" t="s">
        <v>210</v>
      </c>
      <c r="B313" s="182">
        <v>11547037.41</v>
      </c>
      <c r="C313" s="52"/>
      <c r="D313" s="182">
        <v>0</v>
      </c>
      <c r="E313" s="52"/>
      <c r="F313" s="325">
        <f>-81903.47-9949.3</f>
        <v>-91852.77</v>
      </c>
      <c r="G313" s="139"/>
      <c r="H313" s="325">
        <v>0</v>
      </c>
      <c r="I313" s="139"/>
      <c r="J313" s="325">
        <v>0</v>
      </c>
      <c r="K313" s="139"/>
      <c r="L313" s="325">
        <v>0</v>
      </c>
      <c r="M313" s="139"/>
      <c r="N313" s="325">
        <v>0</v>
      </c>
      <c r="O313" s="52"/>
      <c r="P313" s="325">
        <v>0</v>
      </c>
      <c r="Q313" s="52"/>
      <c r="R313" s="52">
        <f t="shared" si="20"/>
        <v>11455184.640000001</v>
      </c>
      <c r="S313" s="33"/>
      <c r="T313" s="33"/>
      <c r="U313" s="33"/>
    </row>
    <row r="314" spans="1:21">
      <c r="A314" t="s">
        <v>616</v>
      </c>
      <c r="B314" s="182">
        <v>12294608.01</v>
      </c>
      <c r="C314" s="52"/>
      <c r="D314" s="182">
        <v>0</v>
      </c>
      <c r="E314" s="52"/>
      <c r="F314" s="325">
        <f>-6727.08-1726.22-1024.68</f>
        <v>-9477.98</v>
      </c>
      <c r="G314" s="139"/>
      <c r="H314" s="325">
        <v>0</v>
      </c>
      <c r="I314" s="139"/>
      <c r="J314" s="325">
        <v>0</v>
      </c>
      <c r="K314" s="139"/>
      <c r="L314" s="325">
        <v>0</v>
      </c>
      <c r="M314" s="139"/>
      <c r="N314" s="325">
        <v>0</v>
      </c>
      <c r="O314" s="52"/>
      <c r="P314" s="325">
        <v>0</v>
      </c>
      <c r="Q314" s="52"/>
      <c r="R314" s="52">
        <f t="shared" si="20"/>
        <v>12285130.029999999</v>
      </c>
      <c r="S314" s="33"/>
      <c r="T314" s="33"/>
      <c r="U314" s="33"/>
    </row>
    <row r="315" spans="1:21">
      <c r="A315" t="s">
        <v>618</v>
      </c>
      <c r="B315" s="182">
        <v>13919695.210000001</v>
      </c>
      <c r="C315" s="52"/>
      <c r="D315" s="182">
        <v>0</v>
      </c>
      <c r="E315" s="52"/>
      <c r="F315" s="325">
        <f>-6434.37-12971.73-2573.16-59.37</f>
        <v>-22038.629999999997</v>
      </c>
      <c r="G315" s="139"/>
      <c r="H315" s="325">
        <v>0</v>
      </c>
      <c r="I315" s="139"/>
      <c r="J315" s="325">
        <v>0</v>
      </c>
      <c r="K315" s="139"/>
      <c r="L315" s="325">
        <v>0</v>
      </c>
      <c r="M315" s="139"/>
      <c r="N315" s="325">
        <v>0</v>
      </c>
      <c r="O315" s="52"/>
      <c r="P315" s="325">
        <v>0</v>
      </c>
      <c r="Q315" s="52"/>
      <c r="R315" s="52">
        <f t="shared" si="20"/>
        <v>13897656.58</v>
      </c>
      <c r="S315" s="33"/>
      <c r="T315" s="33"/>
      <c r="U315" s="33"/>
    </row>
    <row r="316" spans="1:21">
      <c r="A316" t="s">
        <v>590</v>
      </c>
      <c r="B316" s="182">
        <v>566038.14</v>
      </c>
      <c r="C316" s="52"/>
      <c r="D316" s="182">
        <v>0</v>
      </c>
      <c r="E316" s="52"/>
      <c r="F316" s="325">
        <v>-138218.09</v>
      </c>
      <c r="G316" s="139"/>
      <c r="H316" s="325">
        <v>0</v>
      </c>
      <c r="I316" s="139"/>
      <c r="J316" s="325">
        <v>0</v>
      </c>
      <c r="K316" s="139"/>
      <c r="L316" s="325">
        <v>0</v>
      </c>
      <c r="M316" s="139"/>
      <c r="N316" s="325">
        <v>0</v>
      </c>
      <c r="O316" s="52"/>
      <c r="P316" s="325">
        <v>0</v>
      </c>
      <c r="Q316" s="52"/>
      <c r="R316" s="52">
        <f t="shared" si="20"/>
        <v>427820.05000000005</v>
      </c>
      <c r="S316" s="33"/>
      <c r="T316" s="33"/>
      <c r="U316" s="33"/>
    </row>
    <row r="317" spans="1:21">
      <c r="A317" t="s">
        <v>591</v>
      </c>
      <c r="B317" s="182">
        <v>1970871.61</v>
      </c>
      <c r="C317" s="52"/>
      <c r="D317" s="182">
        <v>0</v>
      </c>
      <c r="E317" s="52"/>
      <c r="F317" s="325">
        <f>-15862.39-173509.09</f>
        <v>-189371.47999999998</v>
      </c>
      <c r="G317" s="139"/>
      <c r="H317" s="325">
        <v>0</v>
      </c>
      <c r="I317" s="139"/>
      <c r="J317" s="325">
        <v>0</v>
      </c>
      <c r="K317" s="139"/>
      <c r="L317" s="325">
        <v>0</v>
      </c>
      <c r="M317" s="139"/>
      <c r="N317" s="325">
        <v>0</v>
      </c>
      <c r="O317" s="52"/>
      <c r="P317" s="325">
        <v>0</v>
      </c>
      <c r="Q317" s="52"/>
      <c r="R317" s="52">
        <f t="shared" si="20"/>
        <v>1781500.1300000001</v>
      </c>
      <c r="S317" s="33"/>
      <c r="T317" s="33"/>
      <c r="U317" s="33"/>
    </row>
    <row r="318" spans="1:21">
      <c r="A318" t="s">
        <v>592</v>
      </c>
      <c r="B318" s="182">
        <v>0</v>
      </c>
      <c r="C318" s="52"/>
      <c r="D318" s="182">
        <v>0</v>
      </c>
      <c r="E318" s="52"/>
      <c r="F318" s="325">
        <v>0</v>
      </c>
      <c r="G318" s="139"/>
      <c r="H318" s="325">
        <v>0</v>
      </c>
      <c r="I318" s="139"/>
      <c r="J318" s="325">
        <v>0</v>
      </c>
      <c r="K318" s="139"/>
      <c r="L318" s="325">
        <v>0</v>
      </c>
      <c r="M318" s="139"/>
      <c r="N318" s="325">
        <v>0</v>
      </c>
      <c r="O318" s="52"/>
      <c r="P318" s="325">
        <v>0</v>
      </c>
      <c r="Q318" s="52"/>
      <c r="R318" s="52">
        <f t="shared" si="20"/>
        <v>0</v>
      </c>
      <c r="S318" s="33"/>
      <c r="T318" s="33"/>
      <c r="U318" s="33"/>
    </row>
    <row r="319" spans="1:21">
      <c r="A319" t="s">
        <v>593</v>
      </c>
      <c r="B319" s="48">
        <v>0</v>
      </c>
      <c r="C319" s="52"/>
      <c r="D319" s="48">
        <v>0</v>
      </c>
      <c r="E319" s="52"/>
      <c r="F319" s="327">
        <v>0</v>
      </c>
      <c r="G319" s="139"/>
      <c r="H319" s="327">
        <v>0</v>
      </c>
      <c r="I319" s="139"/>
      <c r="J319" s="327">
        <v>0</v>
      </c>
      <c r="K319" s="139"/>
      <c r="L319" s="327">
        <v>0</v>
      </c>
      <c r="M319" s="139"/>
      <c r="N319" s="327">
        <v>0</v>
      </c>
      <c r="O319" s="52"/>
      <c r="P319" s="327">
        <v>0</v>
      </c>
      <c r="Q319" s="52"/>
      <c r="R319" s="48">
        <f t="shared" si="20"/>
        <v>0</v>
      </c>
      <c r="S319" s="37"/>
      <c r="T319" s="33"/>
      <c r="U319" s="33"/>
    </row>
    <row r="320" spans="1:21">
      <c r="B320" s="52">
        <f>SUM(B303:B319)</f>
        <v>105022162.84</v>
      </c>
      <c r="C320" s="52"/>
      <c r="D320" s="52">
        <f>SUM(D303:D319)</f>
        <v>0</v>
      </c>
      <c r="E320" s="52"/>
      <c r="F320" s="52">
        <f>SUM(F303:F319)</f>
        <v>-1167259.44</v>
      </c>
      <c r="G320" s="139"/>
      <c r="H320" s="139">
        <f>SUM(H303:H319)</f>
        <v>0</v>
      </c>
      <c r="I320" s="139"/>
      <c r="J320" s="52">
        <f>SUM(J303:J319)</f>
        <v>0</v>
      </c>
      <c r="K320" s="139"/>
      <c r="L320" s="52">
        <f>SUM(L303:L319)</f>
        <v>0</v>
      </c>
      <c r="M320" s="139"/>
      <c r="N320" s="52">
        <f>SUM(N303:N319)</f>
        <v>0</v>
      </c>
      <c r="O320" s="52"/>
      <c r="P320" s="52">
        <f>SUM(P303:P319)</f>
        <v>0</v>
      </c>
      <c r="Q320" s="52"/>
      <c r="R320" s="52">
        <f>SUM(R303:R319)</f>
        <v>103854903.39999998</v>
      </c>
      <c r="S320" s="37"/>
      <c r="T320" s="33"/>
      <c r="U320" s="33"/>
    </row>
    <row r="321" spans="1:21">
      <c r="B321" s="52"/>
      <c r="C321" s="52"/>
      <c r="D321" s="52"/>
      <c r="E321" s="52"/>
      <c r="F321" s="52"/>
      <c r="G321" s="139"/>
      <c r="H321" s="139"/>
      <c r="I321" s="139"/>
      <c r="J321" s="52"/>
      <c r="K321" s="139"/>
      <c r="L321" s="52"/>
      <c r="M321" s="139"/>
      <c r="N321" s="52"/>
      <c r="O321" s="52"/>
      <c r="P321" s="52"/>
      <c r="Q321" s="52"/>
      <c r="R321" s="52"/>
      <c r="S321" s="37"/>
      <c r="T321" s="33"/>
      <c r="U321" s="33"/>
    </row>
    <row r="322" spans="1:21">
      <c r="B322" s="182"/>
      <c r="C322" s="52"/>
      <c r="D322" s="182"/>
      <c r="E322" s="52"/>
      <c r="F322" s="182"/>
      <c r="G322" s="139"/>
      <c r="H322" s="138"/>
      <c r="I322" s="139"/>
      <c r="J322" s="182"/>
      <c r="K322" s="139"/>
      <c r="L322" s="182"/>
      <c r="M322" s="139"/>
      <c r="N322" s="182"/>
      <c r="O322" s="52"/>
      <c r="P322" s="182"/>
      <c r="Q322" s="52"/>
      <c r="R322" s="182"/>
      <c r="S322" s="33"/>
      <c r="T322" s="33"/>
      <c r="U322" s="33"/>
    </row>
    <row r="323" spans="1:21" ht="13.5" thickBot="1">
      <c r="A323" s="3" t="s">
        <v>42</v>
      </c>
      <c r="B323" s="46">
        <f>B320+B300+B148+B51+B36+B27</f>
        <v>1463866762.1300001</v>
      </c>
      <c r="C323" s="52"/>
      <c r="D323" s="46">
        <f>D320+D300+D148+D51+D36+D27</f>
        <v>0</v>
      </c>
      <c r="E323" s="52"/>
      <c r="F323" s="46">
        <f>F320+F300+F148+F51+F36+F27</f>
        <v>-1952524.5199999998</v>
      </c>
      <c r="G323" s="139"/>
      <c r="H323" s="144">
        <f>H320+H300+H148+H51+H36+H27</f>
        <v>0</v>
      </c>
      <c r="I323" s="139"/>
      <c r="J323" s="46">
        <f>J320+J300+J148+J51+J36+J27</f>
        <v>0</v>
      </c>
      <c r="K323" s="139"/>
      <c r="L323" s="46">
        <f>L320+L300+L148+L51+L36+L27</f>
        <v>0</v>
      </c>
      <c r="M323" s="139"/>
      <c r="N323" s="46">
        <f>N320+N300+N148+N51+N36+N27</f>
        <v>0</v>
      </c>
      <c r="O323" s="52"/>
      <c r="P323" s="46">
        <f>P320+P300+P148+P51+P36+P27</f>
        <v>0</v>
      </c>
      <c r="Q323" s="52"/>
      <c r="R323" s="46">
        <f>R320+R300+R148+R51+R36+R27</f>
        <v>1461914237.6100001</v>
      </c>
      <c r="S323" s="33"/>
      <c r="T323" s="33"/>
      <c r="U323" s="33"/>
    </row>
    <row r="324" spans="1:21" ht="13.5" thickTop="1">
      <c r="B324" s="4"/>
      <c r="C324" s="55"/>
      <c r="D324" s="4"/>
      <c r="E324" s="55"/>
      <c r="F324" s="4"/>
      <c r="G324" s="146"/>
      <c r="H324" s="145"/>
      <c r="I324" s="146"/>
      <c r="J324" s="4"/>
      <c r="K324" s="146"/>
      <c r="L324" s="4"/>
      <c r="M324" s="146"/>
      <c r="N324" s="4"/>
      <c r="O324" s="55"/>
      <c r="P324" s="4"/>
      <c r="Q324" s="55"/>
      <c r="R324" s="4"/>
    </row>
    <row r="326" spans="1:21">
      <c r="A326" s="3" t="s">
        <v>116</v>
      </c>
      <c r="B326" s="52"/>
      <c r="C326" s="52"/>
      <c r="D326" s="52"/>
      <c r="E326" s="52"/>
      <c r="F326" s="52"/>
      <c r="G326" s="52"/>
      <c r="H326" s="52"/>
      <c r="I326" s="52"/>
      <c r="J326" s="52"/>
      <c r="K326" s="52"/>
      <c r="L326" s="52"/>
      <c r="M326" s="52"/>
      <c r="N326" s="52"/>
      <c r="O326" s="52"/>
      <c r="P326" s="52"/>
      <c r="Q326" s="52"/>
      <c r="R326" s="52"/>
      <c r="S326" s="37"/>
      <c r="T326" s="33"/>
      <c r="U326" s="33"/>
    </row>
    <row r="327" spans="1:21">
      <c r="A327" t="s">
        <v>1014</v>
      </c>
      <c r="B327" s="52">
        <v>0</v>
      </c>
      <c r="C327" s="52"/>
      <c r="D327" s="52">
        <v>0</v>
      </c>
      <c r="E327" s="52"/>
      <c r="F327" s="326">
        <v>0</v>
      </c>
      <c r="G327" s="52"/>
      <c r="H327" s="326">
        <v>0</v>
      </c>
      <c r="I327" s="52"/>
      <c r="J327" s="52">
        <v>0</v>
      </c>
      <c r="K327" s="52"/>
      <c r="L327" s="52">
        <v>0</v>
      </c>
      <c r="M327" s="52"/>
      <c r="N327" s="52">
        <v>0</v>
      </c>
      <c r="O327" s="52"/>
      <c r="P327" s="52">
        <v>0</v>
      </c>
      <c r="Q327" s="52"/>
      <c r="R327" s="52">
        <v>0</v>
      </c>
      <c r="S327" s="37"/>
      <c r="T327" s="33"/>
      <c r="U327" s="33"/>
    </row>
    <row r="328" spans="1:21">
      <c r="A328" t="s">
        <v>1015</v>
      </c>
      <c r="B328" s="48">
        <v>0</v>
      </c>
      <c r="C328" s="52"/>
      <c r="D328" s="48">
        <v>0</v>
      </c>
      <c r="E328" s="52"/>
      <c r="F328" s="327">
        <v>0</v>
      </c>
      <c r="G328" s="52"/>
      <c r="H328" s="327">
        <v>0</v>
      </c>
      <c r="I328" s="52"/>
      <c r="J328" s="48">
        <v>0</v>
      </c>
      <c r="K328" s="52"/>
      <c r="L328" s="48">
        <v>0</v>
      </c>
      <c r="M328" s="52"/>
      <c r="N328" s="48">
        <v>0</v>
      </c>
      <c r="O328" s="52"/>
      <c r="P328" s="48">
        <v>0</v>
      </c>
      <c r="Q328" s="52"/>
      <c r="R328" s="48">
        <f>SUM(B328:P328)</f>
        <v>0</v>
      </c>
      <c r="S328" s="37"/>
      <c r="T328" s="33"/>
      <c r="U328" s="33"/>
    </row>
    <row r="329" spans="1:21">
      <c r="B329" s="52">
        <f>SUM(B327:B328)</f>
        <v>0</v>
      </c>
      <c r="C329" s="52"/>
      <c r="D329" s="52">
        <f>SUM(D327:D328)</f>
        <v>0</v>
      </c>
      <c r="E329" s="52"/>
      <c r="F329" s="52">
        <f>SUM(F327:F328)</f>
        <v>0</v>
      </c>
      <c r="G329" s="52"/>
      <c r="H329" s="52">
        <f t="shared" ref="H329:R329" si="21">SUM(H327:H328)</f>
        <v>0</v>
      </c>
      <c r="I329" s="52"/>
      <c r="J329" s="52">
        <f>SUM(J327:J328)</f>
        <v>0</v>
      </c>
      <c r="K329" s="52"/>
      <c r="L329" s="52">
        <f>SUM(L327:L328)</f>
        <v>0</v>
      </c>
      <c r="M329" s="52"/>
      <c r="N329" s="52">
        <f>SUM(N327:N328)</f>
        <v>0</v>
      </c>
      <c r="O329" s="52"/>
      <c r="P329" s="52">
        <f>SUM(P327:P328)</f>
        <v>0</v>
      </c>
      <c r="Q329" s="52"/>
      <c r="R329" s="52">
        <f t="shared" si="21"/>
        <v>0</v>
      </c>
      <c r="S329" s="37"/>
      <c r="T329" s="33"/>
      <c r="U329" s="33"/>
    </row>
    <row r="331" spans="1:21" ht="13.5" thickBot="1">
      <c r="A331" s="3" t="s">
        <v>43</v>
      </c>
      <c r="B331" s="46">
        <f>B329</f>
        <v>0</v>
      </c>
      <c r="C331" s="52"/>
      <c r="D331" s="46">
        <f>D329</f>
        <v>0</v>
      </c>
      <c r="E331" s="52"/>
      <c r="F331" s="46">
        <f>F329</f>
        <v>0</v>
      </c>
      <c r="G331" s="52"/>
      <c r="H331" s="46">
        <f>H329</f>
        <v>0</v>
      </c>
      <c r="I331" s="52"/>
      <c r="J331" s="46">
        <f>J329</f>
        <v>0</v>
      </c>
      <c r="K331" s="52"/>
      <c r="L331" s="46">
        <f>L329</f>
        <v>0</v>
      </c>
      <c r="M331" s="52"/>
      <c r="N331" s="46">
        <f>N329</f>
        <v>0</v>
      </c>
      <c r="O331" s="52"/>
      <c r="P331" s="46">
        <f>P329</f>
        <v>0</v>
      </c>
      <c r="Q331" s="52"/>
      <c r="R331" s="46">
        <f>R329</f>
        <v>0</v>
      </c>
      <c r="S331" s="33"/>
      <c r="T331" s="33"/>
      <c r="U331" s="33"/>
    </row>
    <row r="332" spans="1:21" ht="13.5" thickTop="1"/>
    <row r="336" spans="1:21">
      <c r="A336" s="3" t="s">
        <v>121</v>
      </c>
      <c r="B336" s="4"/>
      <c r="C336" s="55"/>
      <c r="D336" s="4"/>
      <c r="E336" s="55"/>
      <c r="F336" s="4"/>
      <c r="G336" s="55"/>
      <c r="H336" s="4"/>
      <c r="I336" s="55"/>
      <c r="J336" s="4"/>
      <c r="K336" s="55"/>
      <c r="L336" s="4"/>
      <c r="M336" s="55"/>
      <c r="N336" s="4"/>
      <c r="O336" s="55"/>
      <c r="P336" s="4"/>
      <c r="Q336" s="55"/>
      <c r="R336" s="4"/>
    </row>
    <row r="337" spans="1:21">
      <c r="A337" t="s">
        <v>594</v>
      </c>
      <c r="B337" s="182">
        <v>0</v>
      </c>
      <c r="C337" s="52"/>
      <c r="D337" s="182">
        <v>0</v>
      </c>
      <c r="E337" s="52"/>
      <c r="F337" s="325">
        <v>0</v>
      </c>
      <c r="G337" s="52"/>
      <c r="H337" s="325">
        <v>0</v>
      </c>
      <c r="I337" s="52"/>
      <c r="J337" s="325">
        <v>0</v>
      </c>
      <c r="K337" s="52"/>
      <c r="L337" s="325">
        <v>0</v>
      </c>
      <c r="M337" s="52"/>
      <c r="N337" s="325">
        <v>0</v>
      </c>
      <c r="O337" s="52"/>
      <c r="P337" s="325">
        <v>0</v>
      </c>
      <c r="Q337" s="52"/>
      <c r="R337" s="182">
        <f t="shared" ref="R337:R350" si="22">SUM(B337:P337)</f>
        <v>0</v>
      </c>
    </row>
    <row r="338" spans="1:21">
      <c r="A338" t="s">
        <v>595</v>
      </c>
      <c r="B338" s="182">
        <v>77375.47</v>
      </c>
      <c r="C338" s="52"/>
      <c r="D338" s="182">
        <v>0</v>
      </c>
      <c r="E338" s="52"/>
      <c r="F338" s="325">
        <v>0</v>
      </c>
      <c r="G338" s="52"/>
      <c r="H338" s="325">
        <v>0</v>
      </c>
      <c r="I338" s="52"/>
      <c r="J338" s="325">
        <v>0</v>
      </c>
      <c r="K338" s="52"/>
      <c r="L338" s="325">
        <v>0</v>
      </c>
      <c r="M338" s="52"/>
      <c r="N338" s="325">
        <v>0</v>
      </c>
      <c r="O338" s="52"/>
      <c r="P338" s="325">
        <v>0</v>
      </c>
      <c r="Q338" s="52"/>
      <c r="R338" s="182">
        <f t="shared" si="22"/>
        <v>77375.47</v>
      </c>
    </row>
    <row r="339" spans="1:21">
      <c r="A339" t="s">
        <v>596</v>
      </c>
      <c r="B339" s="182">
        <v>93393.220000000016</v>
      </c>
      <c r="C339" s="52"/>
      <c r="D339" s="182">
        <v>0</v>
      </c>
      <c r="E339" s="52"/>
      <c r="F339" s="325">
        <v>0</v>
      </c>
      <c r="G339" s="139"/>
      <c r="H339" s="325">
        <v>0</v>
      </c>
      <c r="I339" s="139"/>
      <c r="J339" s="325">
        <v>0</v>
      </c>
      <c r="K339" s="139"/>
      <c r="L339" s="325">
        <v>0</v>
      </c>
      <c r="M339" s="139"/>
      <c r="N339" s="325">
        <v>0</v>
      </c>
      <c r="O339" s="52"/>
      <c r="P339" s="325">
        <v>0</v>
      </c>
      <c r="Q339" s="52"/>
      <c r="R339" s="182">
        <f t="shared" si="22"/>
        <v>93393.220000000016</v>
      </c>
    </row>
    <row r="340" spans="1:21">
      <c r="A340" t="s">
        <v>597</v>
      </c>
      <c r="B340" s="182">
        <v>124116.45999999999</v>
      </c>
      <c r="C340" s="52"/>
      <c r="D340" s="182">
        <v>0</v>
      </c>
      <c r="E340" s="52"/>
      <c r="F340" s="325">
        <v>0</v>
      </c>
      <c r="G340" s="139"/>
      <c r="H340" s="325">
        <v>0</v>
      </c>
      <c r="I340" s="139"/>
      <c r="J340" s="325">
        <v>0</v>
      </c>
      <c r="K340" s="139"/>
      <c r="L340" s="325">
        <v>0</v>
      </c>
      <c r="M340" s="139"/>
      <c r="N340" s="325">
        <v>0</v>
      </c>
      <c r="O340" s="52"/>
      <c r="P340" s="325">
        <v>0</v>
      </c>
      <c r="Q340" s="52"/>
      <c r="R340" s="182">
        <f t="shared" si="22"/>
        <v>124116.45999999999</v>
      </c>
    </row>
    <row r="341" spans="1:21">
      <c r="A341" t="s">
        <v>598</v>
      </c>
      <c r="B341" s="182">
        <v>85364718.349999994</v>
      </c>
      <c r="C341" s="52"/>
      <c r="D341" s="182">
        <v>0</v>
      </c>
      <c r="E341" s="52"/>
      <c r="F341" s="325">
        <f>-12127.23-1027.93</f>
        <v>-13155.16</v>
      </c>
      <c r="G341" s="139"/>
      <c r="H341" s="325">
        <v>0</v>
      </c>
      <c r="I341" s="139"/>
      <c r="J341" s="325">
        <v>0</v>
      </c>
      <c r="K341" s="139"/>
      <c r="L341" s="325">
        <v>0</v>
      </c>
      <c r="M341" s="139"/>
      <c r="N341" s="325">
        <v>0</v>
      </c>
      <c r="O341" s="52"/>
      <c r="P341" s="325">
        <v>0</v>
      </c>
      <c r="Q341" s="52"/>
      <c r="R341" s="182">
        <f t="shared" si="22"/>
        <v>85351563.189999998</v>
      </c>
    </row>
    <row r="342" spans="1:21">
      <c r="A342" t="s">
        <v>599</v>
      </c>
      <c r="B342" s="182">
        <v>2297739.58</v>
      </c>
      <c r="C342" s="52"/>
      <c r="D342" s="182">
        <v>0</v>
      </c>
      <c r="E342" s="52"/>
      <c r="F342" s="325">
        <f>-292.68-496.19</f>
        <v>-788.87</v>
      </c>
      <c r="G342" s="139"/>
      <c r="H342" s="325">
        <v>0</v>
      </c>
      <c r="I342" s="139"/>
      <c r="J342" s="325">
        <v>0</v>
      </c>
      <c r="K342" s="139"/>
      <c r="L342" s="325">
        <v>0</v>
      </c>
      <c r="M342" s="139"/>
      <c r="N342" s="325">
        <v>0</v>
      </c>
      <c r="O342" s="52"/>
      <c r="P342" s="325">
        <v>0</v>
      </c>
      <c r="Q342" s="52"/>
      <c r="R342" s="182">
        <f t="shared" si="22"/>
        <v>2296950.71</v>
      </c>
    </row>
    <row r="343" spans="1:21">
      <c r="A343" t="s">
        <v>600</v>
      </c>
      <c r="B343" s="182">
        <v>1642351.21</v>
      </c>
      <c r="C343" s="52"/>
      <c r="D343" s="182">
        <v>0</v>
      </c>
      <c r="E343" s="52"/>
      <c r="F343" s="325">
        <v>0</v>
      </c>
      <c r="G343" s="139"/>
      <c r="H343" s="325">
        <v>0</v>
      </c>
      <c r="I343" s="139"/>
      <c r="J343" s="325">
        <v>0</v>
      </c>
      <c r="K343" s="139"/>
      <c r="L343" s="325">
        <v>0</v>
      </c>
      <c r="M343" s="139"/>
      <c r="N343" s="325">
        <v>0</v>
      </c>
      <c r="O343" s="52"/>
      <c r="P343" s="325">
        <v>0</v>
      </c>
      <c r="Q343" s="52"/>
      <c r="R343" s="182">
        <f t="shared" si="22"/>
        <v>1642351.21</v>
      </c>
    </row>
    <row r="344" spans="1:21">
      <c r="A344" t="s">
        <v>623</v>
      </c>
      <c r="B344" s="182">
        <v>27931565.559999999</v>
      </c>
      <c r="C344" s="52"/>
      <c r="D344" s="182">
        <v>0</v>
      </c>
      <c r="E344" s="52"/>
      <c r="F344" s="325">
        <f>0-542.05</f>
        <v>-542.04999999999995</v>
      </c>
      <c r="G344" s="139"/>
      <c r="H344" s="325">
        <v>0</v>
      </c>
      <c r="I344" s="139"/>
      <c r="J344" s="325">
        <v>0</v>
      </c>
      <c r="K344" s="139"/>
      <c r="L344" s="325">
        <v>0</v>
      </c>
      <c r="M344" s="139"/>
      <c r="N344" s="325">
        <v>0</v>
      </c>
      <c r="O344" s="52"/>
      <c r="P344" s="325">
        <v>0</v>
      </c>
      <c r="Q344" s="52"/>
      <c r="R344" s="182">
        <f t="shared" si="22"/>
        <v>27931023.509999998</v>
      </c>
    </row>
    <row r="345" spans="1:21">
      <c r="A345" t="s">
        <v>624</v>
      </c>
      <c r="B345" s="182">
        <v>4889631.58</v>
      </c>
      <c r="C345" s="52"/>
      <c r="D345" s="182">
        <v>0</v>
      </c>
      <c r="E345" s="52"/>
      <c r="F345" s="325">
        <v>0</v>
      </c>
      <c r="G345" s="139"/>
      <c r="H345" s="325">
        <v>0</v>
      </c>
      <c r="I345" s="139"/>
      <c r="J345" s="325">
        <v>0</v>
      </c>
      <c r="K345" s="139"/>
      <c r="L345" s="325">
        <v>0</v>
      </c>
      <c r="M345" s="139"/>
      <c r="N345" s="325">
        <v>0</v>
      </c>
      <c r="O345" s="52"/>
      <c r="P345" s="325">
        <v>0</v>
      </c>
      <c r="Q345" s="52"/>
      <c r="R345" s="182">
        <f t="shared" si="22"/>
        <v>4889631.58</v>
      </c>
    </row>
    <row r="346" spans="1:21">
      <c r="A346" t="s">
        <v>625</v>
      </c>
      <c r="B346" s="182">
        <v>651298.02</v>
      </c>
      <c r="C346" s="52"/>
      <c r="D346" s="182">
        <v>0</v>
      </c>
      <c r="E346" s="52"/>
      <c r="F346" s="325">
        <v>0</v>
      </c>
      <c r="G346" s="139"/>
      <c r="H346" s="325">
        <v>0</v>
      </c>
      <c r="I346" s="139"/>
      <c r="J346" s="325">
        <v>0</v>
      </c>
      <c r="K346" s="139"/>
      <c r="L346" s="325">
        <v>0</v>
      </c>
      <c r="M346" s="139"/>
      <c r="N346" s="325">
        <v>0</v>
      </c>
      <c r="O346" s="52"/>
      <c r="P346" s="325">
        <v>0</v>
      </c>
      <c r="Q346" s="52"/>
      <c r="R346" s="182">
        <f t="shared" si="22"/>
        <v>651298.02</v>
      </c>
    </row>
    <row r="347" spans="1:21">
      <c r="A347" t="s">
        <v>626</v>
      </c>
      <c r="B347" s="182">
        <v>121906.19</v>
      </c>
      <c r="C347" s="52"/>
      <c r="D347" s="182">
        <v>0</v>
      </c>
      <c r="E347" s="52"/>
      <c r="F347" s="325">
        <v>0</v>
      </c>
      <c r="G347" s="139"/>
      <c r="H347" s="325">
        <v>0</v>
      </c>
      <c r="I347" s="139"/>
      <c r="J347" s="325">
        <v>0</v>
      </c>
      <c r="K347" s="139"/>
      <c r="L347" s="325">
        <v>0</v>
      </c>
      <c r="M347" s="139"/>
      <c r="N347" s="325">
        <v>0</v>
      </c>
      <c r="O347" s="52"/>
      <c r="P347" s="325">
        <v>0</v>
      </c>
      <c r="Q347" s="52"/>
      <c r="R347" s="182">
        <f t="shared" si="22"/>
        <v>121906.19</v>
      </c>
    </row>
    <row r="348" spans="1:21">
      <c r="A348" t="s">
        <v>627</v>
      </c>
      <c r="B348" s="182">
        <v>686.5</v>
      </c>
      <c r="C348" s="52"/>
      <c r="D348" s="182">
        <v>0</v>
      </c>
      <c r="E348" s="52"/>
      <c r="F348" s="325">
        <v>0</v>
      </c>
      <c r="G348" s="139"/>
      <c r="H348" s="325">
        <v>0</v>
      </c>
      <c r="I348" s="139"/>
      <c r="J348" s="325">
        <v>0</v>
      </c>
      <c r="K348" s="139"/>
      <c r="L348" s="325">
        <v>0</v>
      </c>
      <c r="M348" s="139"/>
      <c r="N348" s="325">
        <v>0</v>
      </c>
      <c r="O348" s="52"/>
      <c r="P348" s="325">
        <v>0</v>
      </c>
      <c r="Q348" s="52"/>
      <c r="R348" s="182">
        <f t="shared" si="22"/>
        <v>686.5</v>
      </c>
    </row>
    <row r="349" spans="1:21">
      <c r="A349" t="s">
        <v>628</v>
      </c>
      <c r="B349" s="52">
        <v>0</v>
      </c>
      <c r="C349" s="52"/>
      <c r="D349" s="52">
        <v>0</v>
      </c>
      <c r="E349" s="52"/>
      <c r="F349" s="326">
        <v>0</v>
      </c>
      <c r="G349" s="139"/>
      <c r="H349" s="326">
        <v>0</v>
      </c>
      <c r="I349" s="139"/>
      <c r="J349" s="326">
        <v>0</v>
      </c>
      <c r="K349" s="139"/>
      <c r="L349" s="326">
        <v>0</v>
      </c>
      <c r="M349" s="139"/>
      <c r="N349" s="326">
        <v>0</v>
      </c>
      <c r="O349" s="52"/>
      <c r="P349" s="326">
        <v>0</v>
      </c>
      <c r="Q349" s="52"/>
      <c r="R349" s="182">
        <f t="shared" si="22"/>
        <v>0</v>
      </c>
      <c r="S349" s="7"/>
      <c r="T349" s="7"/>
      <c r="U349" s="7"/>
    </row>
    <row r="350" spans="1:21">
      <c r="A350" t="s">
        <v>629</v>
      </c>
      <c r="B350" s="67">
        <v>0</v>
      </c>
      <c r="C350" s="68"/>
      <c r="D350" s="67">
        <v>0</v>
      </c>
      <c r="E350" s="68"/>
      <c r="F350" s="67">
        <v>0</v>
      </c>
      <c r="G350" s="147"/>
      <c r="H350" s="67">
        <v>0</v>
      </c>
      <c r="I350" s="147"/>
      <c r="J350" s="67">
        <v>0</v>
      </c>
      <c r="K350" s="147"/>
      <c r="L350" s="67">
        <v>0</v>
      </c>
      <c r="M350" s="147"/>
      <c r="N350" s="67">
        <v>0</v>
      </c>
      <c r="O350" s="68"/>
      <c r="P350" s="67">
        <v>0</v>
      </c>
      <c r="Q350" s="68"/>
      <c r="R350" s="67">
        <f t="shared" si="22"/>
        <v>0</v>
      </c>
      <c r="S350" s="7"/>
      <c r="T350" s="7"/>
      <c r="U350" s="7"/>
    </row>
    <row r="351" spans="1:21">
      <c r="B351" s="52">
        <f>SUM(B337:B350)</f>
        <v>123194782.13999999</v>
      </c>
      <c r="C351" s="52"/>
      <c r="D351" s="52">
        <f>SUM(D337:D350)</f>
        <v>0</v>
      </c>
      <c r="E351" s="52"/>
      <c r="F351" s="52">
        <f>SUM(F337:F350)</f>
        <v>-14486.08</v>
      </c>
      <c r="G351" s="139"/>
      <c r="H351" s="139">
        <f>SUM(H337:H350)</f>
        <v>0</v>
      </c>
      <c r="I351" s="139"/>
      <c r="J351" s="52">
        <f>SUM(J337:J350)</f>
        <v>0</v>
      </c>
      <c r="K351" s="139"/>
      <c r="L351" s="52">
        <f>SUM(L337:L350)</f>
        <v>0</v>
      </c>
      <c r="M351" s="139"/>
      <c r="N351" s="52">
        <f>SUM(N337:N350)</f>
        <v>0</v>
      </c>
      <c r="O351" s="52"/>
      <c r="P351" s="52">
        <f>SUM(P337:P350)</f>
        <v>0</v>
      </c>
      <c r="Q351" s="52"/>
      <c r="R351" s="52">
        <f>SUM(R337:R350)</f>
        <v>123180296.05999997</v>
      </c>
      <c r="S351" s="7"/>
      <c r="T351" s="7"/>
      <c r="U351" s="7"/>
    </row>
    <row r="352" spans="1:21">
      <c r="B352" s="52"/>
      <c r="C352" s="52"/>
      <c r="D352" s="52"/>
      <c r="E352" s="52"/>
      <c r="F352" s="52"/>
      <c r="G352" s="139"/>
      <c r="H352" s="139"/>
      <c r="I352" s="139"/>
      <c r="J352" s="52"/>
      <c r="K352" s="139"/>
      <c r="L352" s="52"/>
      <c r="M352" s="139"/>
      <c r="N352" s="52"/>
      <c r="O352" s="52"/>
      <c r="P352" s="52"/>
      <c r="Q352" s="52"/>
      <c r="R352" s="52"/>
      <c r="S352" s="7"/>
      <c r="T352" s="7"/>
      <c r="U352" s="7"/>
    </row>
    <row r="353" spans="1:21">
      <c r="A353" s="3" t="s">
        <v>122</v>
      </c>
      <c r="B353" s="52"/>
      <c r="C353" s="52"/>
      <c r="D353" s="52"/>
      <c r="E353" s="52"/>
      <c r="F353" s="52"/>
      <c r="G353" s="52"/>
      <c r="H353" s="52"/>
      <c r="I353" s="52"/>
      <c r="J353" s="52"/>
      <c r="K353" s="52"/>
      <c r="L353" s="52"/>
      <c r="M353" s="52"/>
      <c r="N353" s="52"/>
      <c r="O353" s="52"/>
      <c r="P353" s="52"/>
      <c r="Q353" s="52"/>
      <c r="R353" s="52"/>
      <c r="S353" s="7"/>
      <c r="T353" s="7"/>
      <c r="U353" s="7"/>
    </row>
    <row r="354" spans="1:21">
      <c r="A354" t="s">
        <v>630</v>
      </c>
      <c r="B354" s="52">
        <v>992001.17999999993</v>
      </c>
      <c r="C354" s="52"/>
      <c r="D354" s="52">
        <v>0</v>
      </c>
      <c r="E354" s="52"/>
      <c r="F354" s="326">
        <v>0</v>
      </c>
      <c r="G354" s="52"/>
      <c r="H354" s="326">
        <v>0</v>
      </c>
      <c r="I354" s="52"/>
      <c r="J354" s="326">
        <v>0</v>
      </c>
      <c r="K354" s="52"/>
      <c r="L354" s="326">
        <v>0</v>
      </c>
      <c r="M354" s="52"/>
      <c r="N354" s="326">
        <v>0</v>
      </c>
      <c r="O354" s="52"/>
      <c r="P354" s="326">
        <v>0</v>
      </c>
      <c r="Q354" s="52"/>
      <c r="R354" s="182">
        <f t="shared" ref="R354:R359" si="23">SUM(B354:P354)</f>
        <v>992001.17999999993</v>
      </c>
      <c r="S354" s="7"/>
      <c r="T354" s="83"/>
      <c r="U354" s="7"/>
    </row>
    <row r="355" spans="1:21">
      <c r="A355" t="s">
        <v>631</v>
      </c>
      <c r="B355" s="52">
        <v>197861.31</v>
      </c>
      <c r="C355" s="52"/>
      <c r="D355" s="52">
        <v>0</v>
      </c>
      <c r="E355" s="52"/>
      <c r="F355" s="326">
        <v>0</v>
      </c>
      <c r="G355" s="52"/>
      <c r="H355" s="326">
        <v>0</v>
      </c>
      <c r="I355" s="52"/>
      <c r="J355" s="326">
        <v>0</v>
      </c>
      <c r="K355" s="52"/>
      <c r="L355" s="326">
        <v>0</v>
      </c>
      <c r="M355" s="52"/>
      <c r="N355" s="326">
        <v>0</v>
      </c>
      <c r="O355" s="52"/>
      <c r="P355" s="326">
        <v>0</v>
      </c>
      <c r="Q355" s="52"/>
      <c r="R355" s="182">
        <f t="shared" si="23"/>
        <v>197861.31</v>
      </c>
      <c r="S355" s="7"/>
      <c r="T355" s="83"/>
      <c r="U355" s="7"/>
    </row>
    <row r="356" spans="1:21">
      <c r="A356" t="s">
        <v>632</v>
      </c>
      <c r="B356" s="52">
        <v>1544705.11</v>
      </c>
      <c r="C356" s="52"/>
      <c r="D356" s="52">
        <v>0</v>
      </c>
      <c r="E356" s="52"/>
      <c r="F356" s="326">
        <v>0</v>
      </c>
      <c r="G356" s="52"/>
      <c r="H356" s="326">
        <v>0</v>
      </c>
      <c r="I356" s="52"/>
      <c r="J356" s="326">
        <v>0</v>
      </c>
      <c r="K356" s="52"/>
      <c r="L356" s="326">
        <v>0</v>
      </c>
      <c r="M356" s="52"/>
      <c r="N356" s="326">
        <v>0</v>
      </c>
      <c r="O356" s="52"/>
      <c r="P356" s="326">
        <v>0</v>
      </c>
      <c r="Q356" s="52"/>
      <c r="R356" s="182">
        <f t="shared" si="23"/>
        <v>1544705.11</v>
      </c>
      <c r="S356" s="7"/>
      <c r="T356" s="83"/>
      <c r="U356" s="7"/>
    </row>
    <row r="357" spans="1:21">
      <c r="A357" t="s">
        <v>633</v>
      </c>
      <c r="B357" s="52">
        <v>6890.71</v>
      </c>
      <c r="C357" s="52"/>
      <c r="D357" s="52">
        <v>0</v>
      </c>
      <c r="E357" s="52"/>
      <c r="F357" s="326">
        <v>0</v>
      </c>
      <c r="G357" s="52"/>
      <c r="H357" s="326">
        <v>0</v>
      </c>
      <c r="I357" s="52"/>
      <c r="J357" s="326">
        <v>0</v>
      </c>
      <c r="K357" s="52"/>
      <c r="L357" s="326">
        <v>0</v>
      </c>
      <c r="M357" s="52"/>
      <c r="N357" s="326">
        <v>0</v>
      </c>
      <c r="O357" s="52"/>
      <c r="P357" s="326">
        <v>0</v>
      </c>
      <c r="Q357" s="52"/>
      <c r="R357" s="182">
        <f t="shared" si="23"/>
        <v>6890.71</v>
      </c>
      <c r="S357" s="71"/>
      <c r="T357" s="83"/>
      <c r="U357" s="7"/>
    </row>
    <row r="358" spans="1:21">
      <c r="A358" t="s">
        <v>634</v>
      </c>
      <c r="B358" s="52">
        <v>1937639.12</v>
      </c>
      <c r="C358" s="52"/>
      <c r="D358" s="52">
        <v>0</v>
      </c>
      <c r="E358" s="52"/>
      <c r="F358" s="326">
        <v>0</v>
      </c>
      <c r="G358" s="52"/>
      <c r="H358" s="326">
        <v>0</v>
      </c>
      <c r="I358" s="52"/>
      <c r="J358" s="326">
        <v>0</v>
      </c>
      <c r="K358" s="52"/>
      <c r="L358" s="326">
        <v>0</v>
      </c>
      <c r="M358" s="52"/>
      <c r="N358" s="326">
        <v>0</v>
      </c>
      <c r="O358" s="52"/>
      <c r="P358" s="326">
        <v>0</v>
      </c>
      <c r="Q358" s="52"/>
      <c r="R358" s="182">
        <f t="shared" si="23"/>
        <v>1937639.12</v>
      </c>
      <c r="S358" s="71"/>
      <c r="T358" s="83"/>
      <c r="U358" s="7"/>
    </row>
    <row r="359" spans="1:21">
      <c r="A359" t="s">
        <v>635</v>
      </c>
      <c r="B359" s="67">
        <v>35252.800000000003</v>
      </c>
      <c r="C359" s="68"/>
      <c r="D359" s="67">
        <v>0</v>
      </c>
      <c r="E359" s="68"/>
      <c r="F359" s="67">
        <v>0</v>
      </c>
      <c r="G359" s="68"/>
      <c r="H359" s="67">
        <v>0</v>
      </c>
      <c r="I359" s="68"/>
      <c r="J359" s="67">
        <v>0</v>
      </c>
      <c r="K359" s="68"/>
      <c r="L359" s="67">
        <v>0</v>
      </c>
      <c r="M359" s="68"/>
      <c r="N359" s="67">
        <v>0</v>
      </c>
      <c r="O359" s="68"/>
      <c r="P359" s="67">
        <v>0</v>
      </c>
      <c r="Q359" s="68"/>
      <c r="R359" s="67">
        <f t="shared" si="23"/>
        <v>35252.800000000003</v>
      </c>
      <c r="S359" s="185"/>
      <c r="T359" s="83"/>
      <c r="U359" s="7"/>
    </row>
    <row r="360" spans="1:21">
      <c r="B360" s="52">
        <f>SUM(B354:B359)</f>
        <v>4714350.2299999995</v>
      </c>
      <c r="C360" s="52"/>
      <c r="D360" s="52">
        <f>SUM(D354:D359)</f>
        <v>0</v>
      </c>
      <c r="E360" s="52"/>
      <c r="F360" s="52">
        <f>SUM(F354:F359)</f>
        <v>0</v>
      </c>
      <c r="G360" s="52"/>
      <c r="H360" s="52">
        <f>SUM(H354:H359)</f>
        <v>0</v>
      </c>
      <c r="I360" s="52"/>
      <c r="J360" s="52">
        <f>SUM(J354:J359)</f>
        <v>0</v>
      </c>
      <c r="K360" s="52"/>
      <c r="L360" s="52">
        <f>SUM(L354:L359)</f>
        <v>0</v>
      </c>
      <c r="M360" s="52"/>
      <c r="N360" s="52">
        <f>SUM(N354:N359)</f>
        <v>0</v>
      </c>
      <c r="O360" s="52"/>
      <c r="P360" s="52">
        <f>SUM(P354:P359)</f>
        <v>0</v>
      </c>
      <c r="Q360" s="52"/>
      <c r="R360" s="52">
        <f>SUM(R354:R359)</f>
        <v>4714350.2299999995</v>
      </c>
      <c r="S360" s="7"/>
      <c r="T360" s="7"/>
      <c r="U360" s="7"/>
    </row>
    <row r="363" spans="1:21">
      <c r="A363" s="3" t="s">
        <v>124</v>
      </c>
      <c r="B363" s="52"/>
      <c r="C363" s="52"/>
      <c r="D363" s="52"/>
      <c r="E363" s="52"/>
      <c r="F363" s="52"/>
      <c r="G363" s="52"/>
      <c r="H363" s="52"/>
      <c r="I363" s="52"/>
      <c r="J363" s="52"/>
      <c r="K363" s="52"/>
      <c r="L363" s="52"/>
      <c r="M363" s="52"/>
      <c r="N363" s="52"/>
      <c r="O363" s="52"/>
      <c r="P363" s="52"/>
      <c r="Q363" s="52"/>
      <c r="R363" s="52"/>
      <c r="S363" s="7"/>
      <c r="T363" s="7"/>
      <c r="U363" s="7"/>
    </row>
    <row r="364" spans="1:21">
      <c r="A364" t="s">
        <v>637</v>
      </c>
      <c r="B364" s="52">
        <v>0</v>
      </c>
      <c r="C364" s="52"/>
      <c r="D364" s="52">
        <v>0</v>
      </c>
      <c r="E364" s="52"/>
      <c r="F364" s="326">
        <v>0</v>
      </c>
      <c r="G364" s="52"/>
      <c r="H364" s="326">
        <v>0</v>
      </c>
      <c r="I364" s="52"/>
      <c r="J364" s="326">
        <v>0</v>
      </c>
      <c r="K364" s="52"/>
      <c r="L364" s="326">
        <v>0</v>
      </c>
      <c r="M364" s="52"/>
      <c r="N364" s="52">
        <v>0</v>
      </c>
      <c r="O364" s="52"/>
      <c r="P364" s="52">
        <v>0</v>
      </c>
      <c r="Q364" s="52"/>
      <c r="R364" s="182">
        <f t="shared" ref="R364:R381" si="24">SUM(B364:P364)</f>
        <v>0</v>
      </c>
      <c r="S364" s="7"/>
      <c r="T364" s="7"/>
      <c r="U364" s="7"/>
    </row>
    <row r="365" spans="1:21">
      <c r="A365" t="s">
        <v>645</v>
      </c>
      <c r="B365" s="52">
        <v>70451.45</v>
      </c>
      <c r="C365" s="52"/>
      <c r="D365" s="52">
        <v>0</v>
      </c>
      <c r="E365" s="52"/>
      <c r="F365" s="326">
        <v>0</v>
      </c>
      <c r="G365" s="52"/>
      <c r="H365" s="326">
        <v>0</v>
      </c>
      <c r="I365" s="52"/>
      <c r="J365" s="326">
        <v>0</v>
      </c>
      <c r="K365" s="52"/>
      <c r="L365" s="326">
        <v>0</v>
      </c>
      <c r="M365" s="52"/>
      <c r="N365" s="52">
        <v>0</v>
      </c>
      <c r="O365" s="52"/>
      <c r="P365" s="52">
        <v>0</v>
      </c>
      <c r="Q365" s="52"/>
      <c r="R365" s="182">
        <f t="shared" si="24"/>
        <v>70451.45</v>
      </c>
      <c r="S365" s="7"/>
      <c r="T365" s="7"/>
      <c r="U365" s="7"/>
    </row>
    <row r="366" spans="1:21">
      <c r="A366" t="s">
        <v>638</v>
      </c>
      <c r="B366" s="52">
        <v>809869.75000000012</v>
      </c>
      <c r="C366" s="52"/>
      <c r="D366" s="52">
        <v>0</v>
      </c>
      <c r="E366" s="52"/>
      <c r="F366" s="326">
        <v>0</v>
      </c>
      <c r="G366" s="139"/>
      <c r="H366" s="326">
        <v>0</v>
      </c>
      <c r="I366" s="139"/>
      <c r="J366" s="326">
        <v>0</v>
      </c>
      <c r="K366" s="139"/>
      <c r="L366" s="326">
        <v>0</v>
      </c>
      <c r="M366" s="139"/>
      <c r="N366" s="52">
        <v>0</v>
      </c>
      <c r="O366" s="52"/>
      <c r="P366" s="52">
        <v>0</v>
      </c>
      <c r="Q366" s="52"/>
      <c r="R366" s="182">
        <f t="shared" si="24"/>
        <v>809869.75000000012</v>
      </c>
      <c r="S366" s="7"/>
      <c r="T366" s="7"/>
      <c r="U366" s="7"/>
    </row>
    <row r="367" spans="1:21">
      <c r="A367" t="s">
        <v>639</v>
      </c>
      <c r="B367" s="52">
        <v>13017.57</v>
      </c>
      <c r="C367" s="52"/>
      <c r="D367" s="52">
        <v>0</v>
      </c>
      <c r="E367" s="52"/>
      <c r="F367" s="326">
        <v>0</v>
      </c>
      <c r="G367" s="139"/>
      <c r="H367" s="326">
        <v>0</v>
      </c>
      <c r="I367" s="139"/>
      <c r="J367" s="326">
        <v>0</v>
      </c>
      <c r="K367" s="139"/>
      <c r="L367" s="326">
        <v>0</v>
      </c>
      <c r="M367" s="139"/>
      <c r="N367" s="52">
        <v>0</v>
      </c>
      <c r="O367" s="52"/>
      <c r="P367" s="52">
        <v>0</v>
      </c>
      <c r="Q367" s="52"/>
      <c r="R367" s="182">
        <f t="shared" si="24"/>
        <v>13017.57</v>
      </c>
      <c r="S367" s="7"/>
      <c r="T367" s="7"/>
      <c r="U367" s="7"/>
    </row>
    <row r="368" spans="1:21">
      <c r="A368" t="s">
        <v>620</v>
      </c>
      <c r="B368" s="52">
        <v>690372.78</v>
      </c>
      <c r="C368" s="52"/>
      <c r="D368" s="52">
        <v>0</v>
      </c>
      <c r="E368" s="52"/>
      <c r="F368" s="326">
        <v>0</v>
      </c>
      <c r="G368" s="139"/>
      <c r="H368" s="326">
        <v>0</v>
      </c>
      <c r="I368" s="139"/>
      <c r="J368" s="326">
        <v>0</v>
      </c>
      <c r="K368" s="139"/>
      <c r="L368" s="326">
        <v>0</v>
      </c>
      <c r="M368" s="139"/>
      <c r="N368" s="52">
        <v>0</v>
      </c>
      <c r="O368" s="52"/>
      <c r="P368" s="52">
        <v>0</v>
      </c>
      <c r="Q368" s="52"/>
      <c r="R368" s="182">
        <f t="shared" si="24"/>
        <v>690372.78</v>
      </c>
      <c r="S368" s="7"/>
      <c r="T368" s="7"/>
      <c r="U368" s="7"/>
    </row>
    <row r="369" spans="1:21">
      <c r="A369" t="s">
        <v>640</v>
      </c>
      <c r="B369" s="52">
        <v>569589.96</v>
      </c>
      <c r="C369" s="52"/>
      <c r="D369" s="52">
        <v>0</v>
      </c>
      <c r="E369" s="52"/>
      <c r="F369" s="326">
        <v>0</v>
      </c>
      <c r="G369" s="139"/>
      <c r="H369" s="326">
        <v>0</v>
      </c>
      <c r="I369" s="139"/>
      <c r="J369" s="326">
        <v>0</v>
      </c>
      <c r="K369" s="139"/>
      <c r="L369" s="326">
        <v>0</v>
      </c>
      <c r="M369" s="139"/>
      <c r="N369" s="52">
        <v>0</v>
      </c>
      <c r="O369" s="52"/>
      <c r="P369" s="52">
        <v>0</v>
      </c>
      <c r="Q369" s="52"/>
      <c r="R369" s="182">
        <f t="shared" si="24"/>
        <v>569589.96</v>
      </c>
      <c r="S369" s="7"/>
      <c r="T369" s="7"/>
      <c r="U369" s="7"/>
    </row>
    <row r="370" spans="1:21">
      <c r="A370" t="s">
        <v>641</v>
      </c>
      <c r="B370" s="52">
        <v>452027.32</v>
      </c>
      <c r="C370" s="52"/>
      <c r="D370" s="52">
        <v>0</v>
      </c>
      <c r="E370" s="52"/>
      <c r="F370" s="326">
        <v>0</v>
      </c>
      <c r="G370" s="139"/>
      <c r="H370" s="326">
        <v>0</v>
      </c>
      <c r="I370" s="139"/>
      <c r="J370" s="326">
        <v>0</v>
      </c>
      <c r="K370" s="139"/>
      <c r="L370" s="326">
        <v>0</v>
      </c>
      <c r="M370" s="139"/>
      <c r="N370" s="52">
        <v>0</v>
      </c>
      <c r="O370" s="52"/>
      <c r="P370" s="52">
        <v>0</v>
      </c>
      <c r="Q370" s="52"/>
      <c r="R370" s="182">
        <f t="shared" si="24"/>
        <v>452027.32</v>
      </c>
      <c r="S370" s="7"/>
      <c r="T370" s="7"/>
      <c r="U370" s="7"/>
    </row>
    <row r="371" spans="1:21">
      <c r="A371" t="s">
        <v>642</v>
      </c>
      <c r="B371" s="52">
        <v>7668812.0300000003</v>
      </c>
      <c r="C371" s="52"/>
      <c r="D371" s="52">
        <v>0</v>
      </c>
      <c r="E371" s="52"/>
      <c r="F371" s="326">
        <v>0</v>
      </c>
      <c r="G371" s="139"/>
      <c r="H371" s="326">
        <v>0</v>
      </c>
      <c r="I371" s="139"/>
      <c r="J371" s="326">
        <v>0</v>
      </c>
      <c r="K371" s="139"/>
      <c r="L371" s="326">
        <v>0</v>
      </c>
      <c r="M371" s="139"/>
      <c r="N371" s="52">
        <v>0</v>
      </c>
      <c r="O371" s="52"/>
      <c r="P371" s="52">
        <v>0</v>
      </c>
      <c r="Q371" s="52"/>
      <c r="R371" s="182">
        <f t="shared" si="24"/>
        <v>7668812.0300000003</v>
      </c>
      <c r="S371" s="7"/>
      <c r="T371" s="7"/>
      <c r="U371" s="7"/>
    </row>
    <row r="372" spans="1:21">
      <c r="A372" t="s">
        <v>622</v>
      </c>
      <c r="B372" s="52">
        <v>2024282.79</v>
      </c>
      <c r="C372" s="52"/>
      <c r="D372" s="52">
        <v>0</v>
      </c>
      <c r="E372" s="52"/>
      <c r="F372" s="326">
        <v>0</v>
      </c>
      <c r="G372" s="139"/>
      <c r="H372" s="326">
        <v>0</v>
      </c>
      <c r="I372" s="139"/>
      <c r="J372" s="326">
        <v>0</v>
      </c>
      <c r="K372" s="139"/>
      <c r="L372" s="326">
        <v>0</v>
      </c>
      <c r="M372" s="139"/>
      <c r="N372" s="52">
        <v>0</v>
      </c>
      <c r="O372" s="52"/>
      <c r="P372" s="52">
        <v>0</v>
      </c>
      <c r="Q372" s="52"/>
      <c r="R372" s="182">
        <f t="shared" si="24"/>
        <v>2024282.79</v>
      </c>
      <c r="S372" s="7"/>
      <c r="T372" s="7"/>
      <c r="U372" s="7"/>
    </row>
    <row r="373" spans="1:21">
      <c r="A373" t="s">
        <v>1000</v>
      </c>
      <c r="B373" s="52">
        <v>1031798.6499999999</v>
      </c>
      <c r="C373" s="52"/>
      <c r="D373" s="52">
        <v>0</v>
      </c>
      <c r="E373" s="52"/>
      <c r="F373" s="326">
        <v>0</v>
      </c>
      <c r="G373" s="139"/>
      <c r="H373" s="326">
        <v>0</v>
      </c>
      <c r="I373" s="139"/>
      <c r="J373" s="326">
        <v>0</v>
      </c>
      <c r="K373" s="139"/>
      <c r="L373" s="326">
        <v>0</v>
      </c>
      <c r="M373" s="139"/>
      <c r="N373" s="52">
        <v>0</v>
      </c>
      <c r="O373" s="52"/>
      <c r="P373" s="52">
        <v>0</v>
      </c>
      <c r="Q373" s="52"/>
      <c r="R373" s="182">
        <f t="shared" si="24"/>
        <v>1031798.6499999999</v>
      </c>
      <c r="S373" s="7"/>
      <c r="T373" s="7"/>
      <c r="U373" s="7"/>
    </row>
    <row r="374" spans="1:21">
      <c r="A374" t="s">
        <v>1090</v>
      </c>
      <c r="B374" s="52">
        <v>618244.21</v>
      </c>
      <c r="C374" s="52"/>
      <c r="D374" s="52">
        <v>0</v>
      </c>
      <c r="E374" s="52"/>
      <c r="F374" s="326">
        <v>0</v>
      </c>
      <c r="G374" s="139"/>
      <c r="H374" s="326">
        <v>0</v>
      </c>
      <c r="I374" s="139"/>
      <c r="J374" s="326">
        <v>0</v>
      </c>
      <c r="K374" s="139"/>
      <c r="L374" s="326">
        <v>0</v>
      </c>
      <c r="M374" s="139"/>
      <c r="N374" s="52">
        <v>0</v>
      </c>
      <c r="O374" s="52"/>
      <c r="P374" s="52">
        <v>0</v>
      </c>
      <c r="Q374" s="52"/>
      <c r="R374" s="182">
        <f t="shared" si="24"/>
        <v>618244.21</v>
      </c>
      <c r="S374" s="7"/>
      <c r="T374" s="7"/>
      <c r="U374" s="7"/>
    </row>
    <row r="375" spans="1:21">
      <c r="A375" t="s">
        <v>1002</v>
      </c>
      <c r="B375" s="52">
        <v>6112912.8999999994</v>
      </c>
      <c r="C375" s="52"/>
      <c r="D375" s="52">
        <v>0</v>
      </c>
      <c r="E375" s="52"/>
      <c r="F375" s="326">
        <v>-14575.9</v>
      </c>
      <c r="G375" s="139"/>
      <c r="H375" s="326">
        <v>0</v>
      </c>
      <c r="I375" s="139"/>
      <c r="J375" s="326">
        <v>0</v>
      </c>
      <c r="K375" s="139"/>
      <c r="L375" s="326">
        <v>0</v>
      </c>
      <c r="M375" s="139"/>
      <c r="N375" s="52">
        <v>0</v>
      </c>
      <c r="O375" s="52"/>
      <c r="P375" s="52">
        <v>0</v>
      </c>
      <c r="Q375" s="52"/>
      <c r="R375" s="182">
        <f t="shared" si="24"/>
        <v>6098336.9999999991</v>
      </c>
      <c r="S375" s="7"/>
      <c r="T375" s="7"/>
      <c r="U375" s="7"/>
    </row>
    <row r="376" spans="1:21">
      <c r="A376" t="s">
        <v>643</v>
      </c>
      <c r="B376" s="52">
        <v>5081154.26</v>
      </c>
      <c r="C376" s="52"/>
      <c r="D376" s="52">
        <v>0</v>
      </c>
      <c r="E376" s="52"/>
      <c r="F376" s="326">
        <v>-15058.01</v>
      </c>
      <c r="G376" s="139"/>
      <c r="H376" s="326">
        <v>-1342.41</v>
      </c>
      <c r="I376" s="139"/>
      <c r="J376" s="326">
        <v>0</v>
      </c>
      <c r="K376" s="139"/>
      <c r="L376" s="326">
        <v>0</v>
      </c>
      <c r="M376" s="139"/>
      <c r="N376" s="52">
        <v>0</v>
      </c>
      <c r="O376" s="52"/>
      <c r="P376" s="52">
        <v>0</v>
      </c>
      <c r="Q376" s="52"/>
      <c r="R376" s="182">
        <f t="shared" si="24"/>
        <v>5064753.84</v>
      </c>
      <c r="S376" s="7"/>
      <c r="T376" s="7"/>
      <c r="U376" s="7"/>
    </row>
    <row r="377" spans="1:21">
      <c r="A377" t="s">
        <v>644</v>
      </c>
      <c r="B377" s="52">
        <v>280222.42</v>
      </c>
      <c r="C377" s="52"/>
      <c r="D377" s="52">
        <v>0</v>
      </c>
      <c r="E377" s="52"/>
      <c r="F377" s="326">
        <v>0</v>
      </c>
      <c r="G377" s="139"/>
      <c r="H377" s="326">
        <v>0</v>
      </c>
      <c r="I377" s="139"/>
      <c r="J377" s="326">
        <v>0</v>
      </c>
      <c r="K377" s="139"/>
      <c r="L377" s="326">
        <v>0</v>
      </c>
      <c r="M377" s="139"/>
      <c r="N377" s="52">
        <v>0</v>
      </c>
      <c r="O377" s="52"/>
      <c r="P377" s="52">
        <v>0</v>
      </c>
      <c r="Q377" s="52"/>
      <c r="R377" s="182">
        <f t="shared" si="24"/>
        <v>280222.42</v>
      </c>
      <c r="S377" s="7"/>
      <c r="T377" s="7"/>
      <c r="U377" s="7"/>
    </row>
    <row r="378" spans="1:21">
      <c r="A378" t="s">
        <v>646</v>
      </c>
      <c r="B378" s="52">
        <v>4101808.6000000006</v>
      </c>
      <c r="C378" s="52"/>
      <c r="D378" s="52">
        <v>0</v>
      </c>
      <c r="E378" s="52"/>
      <c r="F378" s="326">
        <v>-7288.86</v>
      </c>
      <c r="G378" s="139"/>
      <c r="H378" s="326">
        <v>1342.41</v>
      </c>
      <c r="I378" s="139"/>
      <c r="J378" s="326">
        <v>0</v>
      </c>
      <c r="K378" s="139"/>
      <c r="L378" s="326">
        <v>0</v>
      </c>
      <c r="M378" s="139"/>
      <c r="N378" s="52">
        <v>0</v>
      </c>
      <c r="O378" s="52"/>
      <c r="P378" s="52">
        <v>0</v>
      </c>
      <c r="Q378" s="52"/>
      <c r="R378" s="182">
        <f t="shared" si="24"/>
        <v>4095862.1500000008</v>
      </c>
      <c r="S378" s="7"/>
      <c r="T378" s="7"/>
      <c r="U378" s="7"/>
    </row>
    <row r="379" spans="1:21">
      <c r="A379" t="s">
        <v>1004</v>
      </c>
      <c r="B379" s="52">
        <v>351763.13999999996</v>
      </c>
      <c r="C379" s="52"/>
      <c r="D379" s="52">
        <v>0</v>
      </c>
      <c r="E379" s="52"/>
      <c r="F379" s="326">
        <v>0</v>
      </c>
      <c r="G379" s="139"/>
      <c r="H379" s="326">
        <v>0</v>
      </c>
      <c r="I379" s="139"/>
      <c r="J379" s="326">
        <v>0</v>
      </c>
      <c r="K379" s="139"/>
      <c r="L379" s="326">
        <v>0</v>
      </c>
      <c r="M379" s="139"/>
      <c r="N379" s="52">
        <v>0</v>
      </c>
      <c r="O379" s="52"/>
      <c r="P379" s="52">
        <v>0</v>
      </c>
      <c r="Q379" s="52"/>
      <c r="R379" s="182">
        <f t="shared" si="24"/>
        <v>351763.13999999996</v>
      </c>
      <c r="S379" s="7"/>
      <c r="T379" s="7"/>
      <c r="U379" s="7"/>
    </row>
    <row r="380" spans="1:21">
      <c r="A380" t="s">
        <v>647</v>
      </c>
      <c r="B380" s="52">
        <v>0</v>
      </c>
      <c r="C380" s="52"/>
      <c r="D380" s="52">
        <v>0</v>
      </c>
      <c r="E380" s="52"/>
      <c r="F380" s="326">
        <v>0</v>
      </c>
      <c r="G380" s="139"/>
      <c r="H380" s="326">
        <v>0</v>
      </c>
      <c r="I380" s="139"/>
      <c r="J380" s="326">
        <v>0</v>
      </c>
      <c r="K380" s="139"/>
      <c r="L380" s="326">
        <v>0</v>
      </c>
      <c r="M380" s="139"/>
      <c r="N380" s="52">
        <v>0</v>
      </c>
      <c r="O380" s="52"/>
      <c r="P380" s="52">
        <v>0</v>
      </c>
      <c r="Q380" s="52"/>
      <c r="R380" s="182">
        <f t="shared" si="24"/>
        <v>0</v>
      </c>
      <c r="S380" s="7"/>
      <c r="T380" s="7"/>
      <c r="U380" s="7"/>
    </row>
    <row r="381" spans="1:21">
      <c r="A381" t="s">
        <v>648</v>
      </c>
      <c r="B381" s="67">
        <v>0</v>
      </c>
      <c r="C381" s="68"/>
      <c r="D381" s="67">
        <v>0</v>
      </c>
      <c r="E381" s="52"/>
      <c r="F381" s="67">
        <v>0</v>
      </c>
      <c r="G381" s="139"/>
      <c r="H381" s="67">
        <v>0</v>
      </c>
      <c r="I381" s="139"/>
      <c r="J381" s="67">
        <v>0</v>
      </c>
      <c r="K381" s="139"/>
      <c r="L381" s="67">
        <v>0</v>
      </c>
      <c r="M381" s="139"/>
      <c r="N381" s="67">
        <v>0</v>
      </c>
      <c r="O381" s="52"/>
      <c r="P381" s="67">
        <v>0</v>
      </c>
      <c r="Q381" s="52"/>
      <c r="R381" s="67">
        <f t="shared" si="24"/>
        <v>0</v>
      </c>
      <c r="S381" s="7"/>
      <c r="T381" s="7"/>
      <c r="U381" s="7"/>
    </row>
    <row r="382" spans="1:21">
      <c r="B382" s="52">
        <f>SUM(B364:B381)</f>
        <v>29876327.829999998</v>
      </c>
      <c r="C382" s="52"/>
      <c r="D382" s="52">
        <f>SUM(D364:D381)</f>
        <v>0</v>
      </c>
      <c r="E382" s="52"/>
      <c r="F382" s="52">
        <f>SUM(F364:F381)</f>
        <v>-36922.769999999997</v>
      </c>
      <c r="G382" s="139"/>
      <c r="H382" s="139">
        <f>SUM(H364:H381)</f>
        <v>0</v>
      </c>
      <c r="I382" s="139"/>
      <c r="J382" s="52">
        <f>SUM(J364:J381)</f>
        <v>0</v>
      </c>
      <c r="K382" s="139"/>
      <c r="L382" s="52">
        <f>SUM(L364:L381)</f>
        <v>0</v>
      </c>
      <c r="M382" s="139"/>
      <c r="N382" s="52">
        <f>SUM(N364:N381)</f>
        <v>0</v>
      </c>
      <c r="O382" s="52"/>
      <c r="P382" s="52">
        <f>SUM(P364:P381)</f>
        <v>0</v>
      </c>
      <c r="Q382" s="52"/>
      <c r="R382" s="52">
        <f>SUM(R364:R381)</f>
        <v>29839405.060000002</v>
      </c>
      <c r="S382" s="7"/>
      <c r="T382" s="7"/>
      <c r="U382" s="7"/>
    </row>
    <row r="383" spans="1:21">
      <c r="B383" s="52"/>
      <c r="C383" s="52"/>
      <c r="D383" s="52"/>
      <c r="E383" s="52"/>
      <c r="F383" s="52"/>
      <c r="G383" s="139"/>
      <c r="H383" s="139"/>
      <c r="I383" s="139"/>
      <c r="J383" s="52"/>
      <c r="K383" s="139"/>
      <c r="L383" s="52"/>
      <c r="M383" s="139"/>
      <c r="N383" s="52"/>
      <c r="O383" s="52"/>
      <c r="P383" s="52"/>
      <c r="Q383" s="52"/>
      <c r="R383" s="52"/>
      <c r="S383" s="7"/>
      <c r="T383" s="7"/>
      <c r="U383" s="7"/>
    </row>
    <row r="384" spans="1:21">
      <c r="A384" s="3" t="s">
        <v>125</v>
      </c>
      <c r="B384" s="52"/>
      <c r="C384" s="52"/>
      <c r="D384" s="52"/>
      <c r="E384" s="52"/>
      <c r="F384" s="52"/>
      <c r="G384" s="139"/>
      <c r="H384" s="139"/>
      <c r="I384" s="139"/>
      <c r="J384" s="52"/>
      <c r="K384" s="139"/>
      <c r="L384" s="52"/>
      <c r="M384" s="139"/>
      <c r="N384" s="52"/>
      <c r="O384" s="52"/>
      <c r="P384" s="52"/>
      <c r="Q384" s="52"/>
      <c r="R384" s="52"/>
      <c r="S384" s="7"/>
      <c r="T384" s="7"/>
      <c r="U384" s="7"/>
    </row>
    <row r="385" spans="1:21">
      <c r="A385" t="s">
        <v>649</v>
      </c>
      <c r="B385" s="52">
        <v>208142.37</v>
      </c>
      <c r="C385" s="52"/>
      <c r="D385" s="52">
        <v>0</v>
      </c>
      <c r="E385" s="52"/>
      <c r="F385" s="326">
        <v>0</v>
      </c>
      <c r="G385" s="139"/>
      <c r="H385" s="326">
        <v>0</v>
      </c>
      <c r="I385" s="139"/>
      <c r="J385" s="326">
        <v>0</v>
      </c>
      <c r="K385" s="139"/>
      <c r="L385" s="52">
        <v>0</v>
      </c>
      <c r="M385" s="139"/>
      <c r="N385" s="52">
        <v>0</v>
      </c>
      <c r="O385" s="52"/>
      <c r="P385" s="52">
        <v>0</v>
      </c>
      <c r="Q385" s="52"/>
      <c r="R385" s="182">
        <f>SUM(B385:P385)</f>
        <v>208142.37</v>
      </c>
      <c r="S385" s="7"/>
      <c r="T385" s="7"/>
      <c r="U385" s="7"/>
    </row>
    <row r="386" spans="1:21">
      <c r="A386" t="s">
        <v>650</v>
      </c>
      <c r="B386" s="52">
        <v>9218471.7699999996</v>
      </c>
      <c r="C386" s="52"/>
      <c r="D386" s="52">
        <v>0</v>
      </c>
      <c r="E386" s="52"/>
      <c r="F386" s="326">
        <v>-698.24</v>
      </c>
      <c r="G386" s="139"/>
      <c r="H386" s="326">
        <v>0</v>
      </c>
      <c r="I386" s="139"/>
      <c r="J386" s="326">
        <v>0</v>
      </c>
      <c r="K386" s="139"/>
      <c r="L386" s="52">
        <v>0</v>
      </c>
      <c r="M386" s="139"/>
      <c r="N386" s="52">
        <v>0</v>
      </c>
      <c r="O386" s="52"/>
      <c r="P386" s="52">
        <v>0</v>
      </c>
      <c r="Q386" s="52"/>
      <c r="R386" s="182">
        <f>SUM(B386:P386)</f>
        <v>9217773.5299999993</v>
      </c>
      <c r="S386" s="7"/>
      <c r="T386" s="7"/>
      <c r="U386" s="7"/>
    </row>
    <row r="387" spans="1:21">
      <c r="A387" t="s">
        <v>1445</v>
      </c>
      <c r="B387" s="67">
        <v>0</v>
      </c>
      <c r="C387" s="68"/>
      <c r="D387" s="67">
        <v>0</v>
      </c>
      <c r="E387" s="68"/>
      <c r="F387" s="67">
        <v>0</v>
      </c>
      <c r="G387" s="147"/>
      <c r="H387" s="67">
        <v>0</v>
      </c>
      <c r="I387" s="147"/>
      <c r="J387" s="67">
        <v>0</v>
      </c>
      <c r="K387" s="147"/>
      <c r="L387" s="67">
        <v>0</v>
      </c>
      <c r="M387" s="147"/>
      <c r="N387" s="67">
        <v>0</v>
      </c>
      <c r="O387" s="68"/>
      <c r="P387" s="67">
        <v>0</v>
      </c>
      <c r="Q387" s="68"/>
      <c r="R387" s="67">
        <f t="shared" ref="R387" si="25">SUM(B387:P387)</f>
        <v>0</v>
      </c>
      <c r="S387" s="7"/>
      <c r="T387" s="7"/>
      <c r="U387" s="7"/>
    </row>
    <row r="388" spans="1:21">
      <c r="B388" s="37">
        <f>SUM(B385:B387)</f>
        <v>9426614.1399999987</v>
      </c>
      <c r="C388" s="37"/>
      <c r="D388" s="37">
        <f>SUM(D385:D387)</f>
        <v>0</v>
      </c>
      <c r="E388" s="37"/>
      <c r="F388" s="37">
        <f>SUM(F385:F387)</f>
        <v>-698.24</v>
      </c>
      <c r="G388" s="149"/>
      <c r="H388" s="37">
        <f>SUM(H385:H387)</f>
        <v>0</v>
      </c>
      <c r="I388" s="149"/>
      <c r="J388" s="37">
        <f>SUM(J385:J387)</f>
        <v>0</v>
      </c>
      <c r="K388" s="149"/>
      <c r="L388" s="37">
        <f>SUM(L385:L387)</f>
        <v>0</v>
      </c>
      <c r="M388" s="149"/>
      <c r="N388" s="37">
        <f>SUM(N385:N387)</f>
        <v>0</v>
      </c>
      <c r="O388" s="37"/>
      <c r="P388" s="37">
        <f>SUM(P385:P387)</f>
        <v>0</v>
      </c>
      <c r="Q388" s="37"/>
      <c r="R388" s="37">
        <f>SUM(R385:R387)</f>
        <v>9425915.8999999985</v>
      </c>
      <c r="S388" s="7"/>
      <c r="T388" s="7"/>
      <c r="U388" s="7"/>
    </row>
    <row r="389" spans="1:21">
      <c r="B389" s="37"/>
      <c r="C389" s="37"/>
      <c r="D389" s="37"/>
      <c r="E389" s="37"/>
      <c r="F389" s="37"/>
      <c r="G389" s="149"/>
      <c r="H389" s="149"/>
      <c r="I389" s="149"/>
      <c r="J389" s="37"/>
      <c r="K389" s="149"/>
      <c r="L389" s="37"/>
      <c r="M389" s="149"/>
      <c r="N389" s="37"/>
      <c r="O389" s="37"/>
      <c r="P389" s="37"/>
      <c r="Q389" s="37"/>
      <c r="R389" s="37"/>
      <c r="S389" s="7"/>
      <c r="T389" s="7"/>
      <c r="U389" s="7"/>
    </row>
    <row r="390" spans="1:21">
      <c r="B390" s="33"/>
      <c r="C390" s="37"/>
      <c r="D390" s="33"/>
      <c r="E390" s="37"/>
      <c r="F390" s="33"/>
      <c r="G390" s="149"/>
      <c r="H390" s="150"/>
      <c r="I390" s="149"/>
      <c r="J390" s="33"/>
      <c r="K390" s="149"/>
      <c r="L390" s="33"/>
      <c r="M390" s="149"/>
      <c r="N390" s="33"/>
      <c r="O390" s="37"/>
      <c r="P390" s="33"/>
      <c r="Q390" s="37"/>
      <c r="R390" s="33"/>
    </row>
    <row r="391" spans="1:21" ht="13.5" thickBot="1">
      <c r="A391" s="3" t="s">
        <v>40</v>
      </c>
      <c r="B391" s="44">
        <f>B388+B382+'KY_Res by Plant Acct-P29 (PA)'!B360+'KY_Res by Plant Acct-P29 (PA)'!B351</f>
        <v>167212074.33999997</v>
      </c>
      <c r="C391" s="37"/>
      <c r="D391" s="44">
        <f>D388+D382+'KY_Res by Plant Acct-P29 (PA)'!D360+'KY_Res by Plant Acct-P29 (PA)'!D351</f>
        <v>0</v>
      </c>
      <c r="E391" s="37"/>
      <c r="F391" s="44">
        <f>F388+F382+'KY_Res by Plant Acct-P29 (PA)'!F360+'KY_Res by Plant Acct-P29 (PA)'!F351</f>
        <v>-52107.09</v>
      </c>
      <c r="G391" s="149"/>
      <c r="H391" s="151">
        <f>H388+H382+'KY_Res by Plant Acct-P29 (PA)'!H360+'KY_Res by Plant Acct-P29 (PA)'!H351</f>
        <v>0</v>
      </c>
      <c r="I391" s="149"/>
      <c r="J391" s="44">
        <f>J388+J382+'KY_Res by Plant Acct-P29 (PA)'!J360+'KY_Res by Plant Acct-P29 (PA)'!J351</f>
        <v>0</v>
      </c>
      <c r="K391" s="149"/>
      <c r="L391" s="44">
        <f>L388+L382+'KY_Res by Plant Acct-P29 (PA)'!L360+'KY_Res by Plant Acct-P29 (PA)'!L351</f>
        <v>0</v>
      </c>
      <c r="M391" s="149"/>
      <c r="N391" s="44">
        <f>N388+N382+'KY_Res by Plant Acct-P29 (PA)'!N360+'KY_Res by Plant Acct-P29 (PA)'!N351</f>
        <v>0</v>
      </c>
      <c r="O391" s="37"/>
      <c r="P391" s="44">
        <f>P388+P382+'KY_Res by Plant Acct-P29 (PA)'!P360+'KY_Res by Plant Acct-P29 (PA)'!P351</f>
        <v>0</v>
      </c>
      <c r="Q391" s="37"/>
      <c r="R391" s="44">
        <f>R388+R382+'KY_Res by Plant Acct-P29 (PA)'!R360+'KY_Res by Plant Acct-P29 (PA)'!R351</f>
        <v>167159967.24999997</v>
      </c>
    </row>
    <row r="392" spans="1:21" ht="13.5" thickTop="1">
      <c r="B392" s="33"/>
      <c r="C392" s="37"/>
      <c r="D392" s="33"/>
      <c r="E392" s="37"/>
      <c r="F392" s="33"/>
      <c r="G392" s="37"/>
      <c r="H392" s="33"/>
      <c r="I392" s="37"/>
      <c r="J392" s="33"/>
      <c r="K392" s="37"/>
      <c r="L392" s="33"/>
      <c r="M392" s="37"/>
      <c r="N392" s="33"/>
      <c r="O392" s="37"/>
      <c r="P392" s="33"/>
      <c r="Q392" s="37"/>
      <c r="R392" s="33"/>
    </row>
    <row r="393" spans="1:21">
      <c r="B393" s="33"/>
      <c r="C393" s="37"/>
      <c r="D393" s="33"/>
      <c r="E393" s="37"/>
      <c r="F393" s="33"/>
      <c r="G393" s="37"/>
      <c r="H393" s="33"/>
      <c r="I393" s="37"/>
      <c r="J393" s="33"/>
      <c r="K393" s="37"/>
      <c r="L393" s="33"/>
      <c r="M393" s="37"/>
      <c r="N393" s="33"/>
      <c r="O393" s="37"/>
      <c r="P393" s="33"/>
      <c r="Q393" s="37"/>
      <c r="R393" s="33"/>
    </row>
    <row r="394" spans="1:21">
      <c r="A394" s="3" t="s">
        <v>123</v>
      </c>
      <c r="B394" s="52"/>
      <c r="C394" s="52"/>
      <c r="D394" s="52"/>
      <c r="E394" s="52"/>
      <c r="F394" s="52"/>
      <c r="G394" s="52"/>
      <c r="H394" s="52"/>
      <c r="I394" s="52"/>
      <c r="J394" s="52"/>
      <c r="K394" s="52"/>
      <c r="L394" s="52"/>
      <c r="M394" s="52"/>
      <c r="N394" s="52"/>
      <c r="O394" s="52"/>
      <c r="P394" s="52"/>
      <c r="Q394" s="52"/>
      <c r="R394" s="52"/>
      <c r="S394" s="7"/>
      <c r="T394" s="7"/>
      <c r="U394" s="7"/>
    </row>
    <row r="395" spans="1:21">
      <c r="A395" t="s">
        <v>636</v>
      </c>
      <c r="B395" s="67">
        <v>119.15999999999997</v>
      </c>
      <c r="C395" s="68"/>
      <c r="D395" s="67">
        <v>0</v>
      </c>
      <c r="E395" s="68"/>
      <c r="F395" s="67">
        <v>0</v>
      </c>
      <c r="G395" s="68"/>
      <c r="H395" s="67">
        <v>0</v>
      </c>
      <c r="I395" s="68"/>
      <c r="J395" s="67">
        <v>0</v>
      </c>
      <c r="K395" s="68"/>
      <c r="L395" s="67">
        <v>0</v>
      </c>
      <c r="M395" s="68"/>
      <c r="N395" s="67">
        <v>0</v>
      </c>
      <c r="O395" s="68"/>
      <c r="P395" s="67">
        <v>0</v>
      </c>
      <c r="Q395" s="68"/>
      <c r="R395" s="48">
        <f>SUM(B395:P395)</f>
        <v>119.15999999999997</v>
      </c>
      <c r="S395" s="7"/>
      <c r="T395" s="7"/>
      <c r="U395" s="7"/>
    </row>
    <row r="396" spans="1:21">
      <c r="B396" s="52">
        <f>SUM(B395)</f>
        <v>119.15999999999997</v>
      </c>
      <c r="C396" s="52"/>
      <c r="D396" s="52">
        <f>SUM(D395)</f>
        <v>0</v>
      </c>
      <c r="E396" s="52"/>
      <c r="F396" s="52">
        <f>SUM(F395)</f>
        <v>0</v>
      </c>
      <c r="G396" s="52"/>
      <c r="H396" s="52">
        <f>SUM(H395)</f>
        <v>0</v>
      </c>
      <c r="I396" s="52"/>
      <c r="J396" s="52">
        <f>SUM(J395)</f>
        <v>0</v>
      </c>
      <c r="K396" s="52"/>
      <c r="L396" s="52">
        <f>SUM(L395)</f>
        <v>0</v>
      </c>
      <c r="M396" s="52"/>
      <c r="N396" s="52">
        <f>SUM(N395)</f>
        <v>0</v>
      </c>
      <c r="O396" s="52"/>
      <c r="P396" s="52">
        <f>SUM(P395)</f>
        <v>0</v>
      </c>
      <c r="Q396" s="52"/>
      <c r="R396" s="52">
        <f>SUM(R395)</f>
        <v>119.15999999999997</v>
      </c>
      <c r="S396" s="7"/>
      <c r="T396" s="7"/>
      <c r="U396" s="7"/>
    </row>
    <row r="397" spans="1:21">
      <c r="B397" s="33"/>
      <c r="C397" s="37"/>
      <c r="D397" s="33"/>
      <c r="E397" s="37"/>
      <c r="F397" s="33"/>
      <c r="G397" s="37"/>
      <c r="H397" s="33"/>
      <c r="I397" s="37"/>
      <c r="J397" s="33"/>
      <c r="K397" s="37"/>
      <c r="L397" s="33"/>
      <c r="M397" s="37"/>
      <c r="N397" s="33"/>
      <c r="O397" s="37"/>
      <c r="P397" s="33"/>
      <c r="Q397" s="37"/>
      <c r="R397" s="33"/>
    </row>
    <row r="398" spans="1:21">
      <c r="B398" s="33"/>
      <c r="C398" s="37"/>
      <c r="D398" s="33"/>
      <c r="E398" s="37"/>
      <c r="F398" s="33"/>
      <c r="G398" s="37"/>
      <c r="H398" s="33"/>
      <c r="I398" s="37"/>
      <c r="J398" s="33"/>
      <c r="K398" s="37"/>
      <c r="L398" s="33"/>
      <c r="M398" s="37"/>
      <c r="N398" s="33"/>
      <c r="O398" s="37"/>
      <c r="P398" s="33"/>
      <c r="Q398" s="37"/>
      <c r="R398" s="33"/>
    </row>
    <row r="399" spans="1:21" ht="13.5" thickBot="1">
      <c r="A399" s="3" t="s">
        <v>41</v>
      </c>
      <c r="B399" s="44">
        <f>B396</f>
        <v>119.15999999999997</v>
      </c>
      <c r="C399" s="37"/>
      <c r="D399" s="44">
        <f>D396</f>
        <v>0</v>
      </c>
      <c r="E399" s="37"/>
      <c r="F399" s="44">
        <f>F396</f>
        <v>0</v>
      </c>
      <c r="G399" s="37"/>
      <c r="H399" s="44">
        <f>H396</f>
        <v>0</v>
      </c>
      <c r="I399" s="37"/>
      <c r="J399" s="44">
        <f>J396</f>
        <v>0</v>
      </c>
      <c r="K399" s="37"/>
      <c r="L399" s="44">
        <f>L396</f>
        <v>0</v>
      </c>
      <c r="M399" s="37"/>
      <c r="N399" s="44">
        <f>N396</f>
        <v>0</v>
      </c>
      <c r="O399" s="37"/>
      <c r="P399" s="44">
        <f>P396</f>
        <v>0</v>
      </c>
      <c r="Q399" s="37"/>
      <c r="R399" s="44">
        <f>R396</f>
        <v>119.15999999999997</v>
      </c>
    </row>
    <row r="400" spans="1:21" ht="13.5" thickTop="1"/>
    <row r="402" spans="1:19" s="10" customFormat="1">
      <c r="A402" s="12" t="s">
        <v>455</v>
      </c>
      <c r="C402" s="71"/>
      <c r="E402" s="71"/>
      <c r="G402" s="71"/>
      <c r="I402" s="71"/>
      <c r="K402" s="71"/>
      <c r="M402" s="71"/>
      <c r="O402" s="71"/>
      <c r="Q402" s="71"/>
    </row>
    <row r="403" spans="1:19" s="10" customFormat="1">
      <c r="A403" s="10" t="s">
        <v>325</v>
      </c>
      <c r="B403" s="24">
        <v>0</v>
      </c>
      <c r="C403" s="27"/>
      <c r="D403" s="24">
        <v>0</v>
      </c>
      <c r="E403" s="27"/>
      <c r="F403" s="24">
        <v>0</v>
      </c>
      <c r="G403" s="27"/>
      <c r="H403" s="24">
        <v>0</v>
      </c>
      <c r="I403" s="27"/>
      <c r="J403" s="24">
        <v>0</v>
      </c>
      <c r="K403" s="27"/>
      <c r="L403" s="24">
        <v>0</v>
      </c>
      <c r="M403" s="27"/>
      <c r="N403" s="24">
        <v>0</v>
      </c>
      <c r="O403" s="27"/>
      <c r="P403" s="24">
        <v>0</v>
      </c>
      <c r="Q403" s="27"/>
      <c r="R403" s="24">
        <f t="shared" ref="R403:R430" si="26">SUM(B403:P403)</f>
        <v>0</v>
      </c>
      <c r="S403" s="24"/>
    </row>
    <row r="404" spans="1:19" s="10" customFormat="1">
      <c r="A404" s="10" t="s">
        <v>327</v>
      </c>
      <c r="B404" s="24">
        <v>127911.26</v>
      </c>
      <c r="C404" s="27"/>
      <c r="D404" s="24">
        <v>0</v>
      </c>
      <c r="E404" s="27"/>
      <c r="F404" s="24">
        <v>0</v>
      </c>
      <c r="G404" s="27"/>
      <c r="H404" s="24">
        <v>0</v>
      </c>
      <c r="I404" s="27"/>
      <c r="J404" s="24">
        <v>0</v>
      </c>
      <c r="K404" s="27"/>
      <c r="L404" s="24">
        <v>0</v>
      </c>
      <c r="M404" s="27"/>
      <c r="N404" s="24">
        <v>0</v>
      </c>
      <c r="O404" s="27"/>
      <c r="P404" s="24">
        <v>0</v>
      </c>
      <c r="Q404" s="27"/>
      <c r="R404" s="24">
        <f t="shared" si="26"/>
        <v>127911.26</v>
      </c>
      <c r="S404" s="24"/>
    </row>
    <row r="405" spans="1:19" s="10" customFormat="1">
      <c r="A405" s="10" t="s">
        <v>960</v>
      </c>
      <c r="B405" s="24">
        <v>5433095.6499999994</v>
      </c>
      <c r="C405" s="27"/>
      <c r="D405" s="24">
        <v>0</v>
      </c>
      <c r="E405" s="27"/>
      <c r="F405" s="24">
        <v>0</v>
      </c>
      <c r="G405" s="27"/>
      <c r="H405" s="24">
        <v>0</v>
      </c>
      <c r="I405" s="27"/>
      <c r="J405" s="24">
        <v>0</v>
      </c>
      <c r="K405" s="27"/>
      <c r="L405" s="24">
        <v>0</v>
      </c>
      <c r="M405" s="27"/>
      <c r="N405" s="24">
        <v>0</v>
      </c>
      <c r="O405" s="27"/>
      <c r="P405" s="24">
        <v>0</v>
      </c>
      <c r="Q405" s="27"/>
      <c r="R405" s="24">
        <f>SUM(B405:P405)</f>
        <v>5433095.6499999994</v>
      </c>
      <c r="S405" s="24"/>
    </row>
    <row r="406" spans="1:19" s="10" customFormat="1">
      <c r="A406" s="10" t="s">
        <v>1959</v>
      </c>
      <c r="B406" s="24">
        <v>0</v>
      </c>
      <c r="C406" s="27"/>
      <c r="D406" s="24">
        <v>0</v>
      </c>
      <c r="E406" s="27"/>
      <c r="F406" s="24">
        <v>0</v>
      </c>
      <c r="G406" s="27"/>
      <c r="H406" s="24">
        <v>33369.050000000003</v>
      </c>
      <c r="I406" s="27"/>
      <c r="J406" s="24">
        <v>0</v>
      </c>
      <c r="K406" s="27"/>
      <c r="L406" s="24">
        <v>0</v>
      </c>
      <c r="M406" s="27"/>
      <c r="N406" s="24">
        <v>0</v>
      </c>
      <c r="O406" s="27"/>
      <c r="P406" s="24">
        <v>0</v>
      </c>
      <c r="Q406" s="27"/>
      <c r="R406" s="24">
        <f>SUM(B406:P406)</f>
        <v>33369.050000000003</v>
      </c>
      <c r="S406" s="24"/>
    </row>
    <row r="407" spans="1:19" s="10" customFormat="1">
      <c r="A407" s="10" t="s">
        <v>1958</v>
      </c>
      <c r="B407" s="24">
        <v>0</v>
      </c>
      <c r="C407" s="27"/>
      <c r="D407" s="24">
        <v>0</v>
      </c>
      <c r="E407" s="27"/>
      <c r="F407" s="24">
        <v>0</v>
      </c>
      <c r="G407" s="27"/>
      <c r="H407" s="24">
        <v>3053.47</v>
      </c>
      <c r="I407" s="27"/>
      <c r="J407" s="24">
        <v>0</v>
      </c>
      <c r="K407" s="27"/>
      <c r="L407" s="24">
        <v>0</v>
      </c>
      <c r="M407" s="27"/>
      <c r="N407" s="24">
        <v>0</v>
      </c>
      <c r="O407" s="27"/>
      <c r="P407" s="24">
        <v>0</v>
      </c>
      <c r="Q407" s="27"/>
      <c r="R407" s="24">
        <f>SUM(B407:P407)</f>
        <v>3053.47</v>
      </c>
      <c r="S407" s="24"/>
    </row>
    <row r="408" spans="1:19" s="10" customFormat="1">
      <c r="A408" s="10" t="s">
        <v>1957</v>
      </c>
      <c r="B408" s="24">
        <v>10154552.409999998</v>
      </c>
      <c r="C408" s="27"/>
      <c r="D408" s="24">
        <v>0</v>
      </c>
      <c r="E408" s="27"/>
      <c r="F408" s="24">
        <f>-88851.06+18613.36</f>
        <v>-70237.7</v>
      </c>
      <c r="G408" s="27"/>
      <c r="H408" s="24">
        <v>-3053.47</v>
      </c>
      <c r="I408" s="27"/>
      <c r="J408" s="24">
        <v>0</v>
      </c>
      <c r="K408" s="27"/>
      <c r="L408" s="24">
        <v>0</v>
      </c>
      <c r="M408" s="27"/>
      <c r="N408" s="24">
        <v>0</v>
      </c>
      <c r="O408" s="27"/>
      <c r="P408" s="24">
        <v>0</v>
      </c>
      <c r="Q408" s="27"/>
      <c r="R408" s="24">
        <f t="shared" si="26"/>
        <v>10081261.239999998</v>
      </c>
      <c r="S408" s="24"/>
    </row>
    <row r="409" spans="1:19" s="10" customFormat="1">
      <c r="A409" s="10" t="s">
        <v>1956</v>
      </c>
      <c r="B409" s="24">
        <v>1441443.53</v>
      </c>
      <c r="C409" s="27"/>
      <c r="D409" s="24">
        <v>0</v>
      </c>
      <c r="E409" s="27"/>
      <c r="F409" s="24">
        <v>-146.71</v>
      </c>
      <c r="G409" s="27"/>
      <c r="H409" s="24">
        <v>-33369.050000000003</v>
      </c>
      <c r="I409" s="27"/>
      <c r="J409" s="24">
        <v>0</v>
      </c>
      <c r="K409" s="27"/>
      <c r="L409" s="24">
        <v>0</v>
      </c>
      <c r="M409" s="27"/>
      <c r="N409" s="24">
        <v>0</v>
      </c>
      <c r="O409" s="27"/>
      <c r="P409" s="24">
        <v>0</v>
      </c>
      <c r="Q409" s="27"/>
      <c r="R409" s="24">
        <f t="shared" si="26"/>
        <v>1407927.77</v>
      </c>
      <c r="S409" s="24"/>
    </row>
    <row r="410" spans="1:19" s="10" customFormat="1">
      <c r="A410" s="10" t="s">
        <v>330</v>
      </c>
      <c r="B410" s="24">
        <v>-600967.29</v>
      </c>
      <c r="C410" s="27"/>
      <c r="D410" s="24">
        <v>0</v>
      </c>
      <c r="E410" s="27"/>
      <c r="F410" s="24">
        <v>0</v>
      </c>
      <c r="G410" s="27"/>
      <c r="H410" s="24">
        <v>0</v>
      </c>
      <c r="I410" s="27"/>
      <c r="J410" s="24">
        <v>0</v>
      </c>
      <c r="K410" s="27"/>
      <c r="L410" s="24">
        <v>0</v>
      </c>
      <c r="M410" s="27"/>
      <c r="N410" s="24">
        <v>0</v>
      </c>
      <c r="O410" s="27"/>
      <c r="P410" s="24">
        <v>0</v>
      </c>
      <c r="Q410" s="27"/>
      <c r="R410" s="24">
        <f t="shared" si="26"/>
        <v>-600967.29</v>
      </c>
      <c r="S410" s="24"/>
    </row>
    <row r="411" spans="1:19" s="10" customFormat="1">
      <c r="A411" s="10" t="s">
        <v>323</v>
      </c>
      <c r="B411" s="24">
        <v>6942482.5999999996</v>
      </c>
      <c r="C411" s="27"/>
      <c r="D411" s="24">
        <v>0</v>
      </c>
      <c r="E411" s="27"/>
      <c r="F411" s="24">
        <v>-76572.990000000005</v>
      </c>
      <c r="G411" s="27"/>
      <c r="H411" s="24">
        <v>0</v>
      </c>
      <c r="I411" s="27"/>
      <c r="J411" s="24">
        <v>0</v>
      </c>
      <c r="K411" s="27"/>
      <c r="L411" s="24">
        <v>0</v>
      </c>
      <c r="M411" s="27"/>
      <c r="N411" s="24">
        <v>0</v>
      </c>
      <c r="O411" s="27"/>
      <c r="P411" s="24">
        <v>0</v>
      </c>
      <c r="Q411" s="27"/>
      <c r="R411" s="24">
        <f t="shared" si="26"/>
        <v>6865909.6099999994</v>
      </c>
      <c r="S411" s="24"/>
    </row>
    <row r="412" spans="1:19" s="10" customFormat="1">
      <c r="A412" s="10" t="s">
        <v>328</v>
      </c>
      <c r="B412" s="24">
        <v>146026.66999999998</v>
      </c>
      <c r="C412" s="27"/>
      <c r="D412" s="24">
        <v>0</v>
      </c>
      <c r="E412" s="27"/>
      <c r="F412" s="24">
        <v>0</v>
      </c>
      <c r="G412" s="27"/>
      <c r="H412" s="24">
        <v>0</v>
      </c>
      <c r="I412" s="27"/>
      <c r="J412" s="24">
        <v>0</v>
      </c>
      <c r="K412" s="27"/>
      <c r="L412" s="24">
        <v>0</v>
      </c>
      <c r="M412" s="27"/>
      <c r="N412" s="24">
        <v>0</v>
      </c>
      <c r="O412" s="27"/>
      <c r="P412" s="24">
        <v>0</v>
      </c>
      <c r="Q412" s="27"/>
      <c r="R412" s="24">
        <f t="shared" si="26"/>
        <v>146026.66999999998</v>
      </c>
      <c r="S412" s="24"/>
    </row>
    <row r="413" spans="1:19" s="10" customFormat="1">
      <c r="A413" s="10" t="s">
        <v>324</v>
      </c>
      <c r="B413" s="24">
        <v>199308.37</v>
      </c>
      <c r="C413" s="27"/>
      <c r="D413" s="24">
        <v>0</v>
      </c>
      <c r="E413" s="27"/>
      <c r="F413" s="24">
        <v>0</v>
      </c>
      <c r="G413" s="27"/>
      <c r="H413" s="24">
        <v>0</v>
      </c>
      <c r="I413" s="27"/>
      <c r="J413" s="24">
        <v>0</v>
      </c>
      <c r="K413" s="27"/>
      <c r="L413" s="24">
        <v>0</v>
      </c>
      <c r="M413" s="27"/>
      <c r="N413" s="24">
        <v>0</v>
      </c>
      <c r="O413" s="27"/>
      <c r="P413" s="24">
        <v>0</v>
      </c>
      <c r="Q413" s="27"/>
      <c r="R413" s="24">
        <f t="shared" si="26"/>
        <v>199308.37</v>
      </c>
      <c r="S413" s="24"/>
    </row>
    <row r="414" spans="1:19" s="10" customFormat="1">
      <c r="A414" s="10" t="s">
        <v>322</v>
      </c>
      <c r="B414" s="24">
        <v>1916398.4500000002</v>
      </c>
      <c r="C414" s="27"/>
      <c r="D414" s="24">
        <v>0</v>
      </c>
      <c r="E414" s="27"/>
      <c r="F414" s="24">
        <v>0</v>
      </c>
      <c r="G414" s="27"/>
      <c r="H414" s="24">
        <v>0</v>
      </c>
      <c r="I414" s="27"/>
      <c r="J414" s="24">
        <v>0</v>
      </c>
      <c r="K414" s="27"/>
      <c r="L414" s="24">
        <v>0</v>
      </c>
      <c r="M414" s="27"/>
      <c r="N414" s="24">
        <v>0</v>
      </c>
      <c r="O414" s="27"/>
      <c r="P414" s="24">
        <v>0</v>
      </c>
      <c r="Q414" s="27"/>
      <c r="R414" s="24">
        <f t="shared" si="26"/>
        <v>1916398.4500000002</v>
      </c>
      <c r="S414" s="24"/>
    </row>
    <row r="415" spans="1:19" s="10" customFormat="1">
      <c r="A415" s="10" t="s">
        <v>959</v>
      </c>
      <c r="B415" s="24">
        <v>863581.7100000002</v>
      </c>
      <c r="C415" s="27"/>
      <c r="D415" s="24">
        <v>0</v>
      </c>
      <c r="E415" s="27"/>
      <c r="F415" s="24">
        <v>0</v>
      </c>
      <c r="G415" s="27"/>
      <c r="H415" s="24">
        <v>0</v>
      </c>
      <c r="I415" s="27"/>
      <c r="J415" s="24">
        <v>0</v>
      </c>
      <c r="K415" s="27"/>
      <c r="L415" s="24">
        <v>0</v>
      </c>
      <c r="M415" s="27"/>
      <c r="N415" s="24">
        <v>0</v>
      </c>
      <c r="O415" s="27"/>
      <c r="P415" s="24">
        <v>0</v>
      </c>
      <c r="Q415" s="27"/>
      <c r="R415" s="24">
        <f t="shared" si="26"/>
        <v>863581.7100000002</v>
      </c>
      <c r="S415" s="24"/>
    </row>
    <row r="416" spans="1:19" s="10" customFormat="1">
      <c r="A416" s="10" t="s">
        <v>1429</v>
      </c>
      <c r="B416" s="24">
        <v>8271990.9299999988</v>
      </c>
      <c r="C416" s="27"/>
      <c r="D416" s="24">
        <v>0</v>
      </c>
      <c r="E416" s="27"/>
      <c r="F416" s="24">
        <v>0</v>
      </c>
      <c r="G416" s="27"/>
      <c r="H416" s="24">
        <v>0</v>
      </c>
      <c r="I416" s="27"/>
      <c r="J416" s="24">
        <v>0</v>
      </c>
      <c r="K416" s="27"/>
      <c r="L416" s="24">
        <v>0</v>
      </c>
      <c r="M416" s="27"/>
      <c r="N416" s="24">
        <v>0</v>
      </c>
      <c r="O416" s="27"/>
      <c r="P416" s="24">
        <v>0</v>
      </c>
      <c r="Q416" s="27"/>
      <c r="R416" s="24">
        <f t="shared" si="26"/>
        <v>8271990.9299999988</v>
      </c>
      <c r="S416" s="24"/>
    </row>
    <row r="417" spans="1:20" s="10" customFormat="1">
      <c r="A417" s="10" t="s">
        <v>961</v>
      </c>
      <c r="B417" s="24">
        <v>1352505.5799999998</v>
      </c>
      <c r="C417" s="27"/>
      <c r="D417" s="24">
        <v>0</v>
      </c>
      <c r="E417" s="27"/>
      <c r="F417" s="24">
        <v>0</v>
      </c>
      <c r="G417" s="27"/>
      <c r="H417" s="24">
        <v>0</v>
      </c>
      <c r="I417" s="27"/>
      <c r="J417" s="24">
        <v>0</v>
      </c>
      <c r="K417" s="27"/>
      <c r="L417" s="24">
        <v>0</v>
      </c>
      <c r="M417" s="27"/>
      <c r="N417" s="24">
        <v>0</v>
      </c>
      <c r="O417" s="27"/>
      <c r="P417" s="24">
        <v>0</v>
      </c>
      <c r="Q417" s="27"/>
      <c r="R417" s="24">
        <f t="shared" si="26"/>
        <v>1352505.5799999998</v>
      </c>
      <c r="S417" s="24"/>
    </row>
    <row r="418" spans="1:20" s="10" customFormat="1">
      <c r="A418" s="10" t="s">
        <v>1432</v>
      </c>
      <c r="B418" s="24">
        <v>86682.62</v>
      </c>
      <c r="C418" s="27"/>
      <c r="D418" s="24">
        <v>0</v>
      </c>
      <c r="E418" s="27"/>
      <c r="F418" s="24">
        <v>0</v>
      </c>
      <c r="G418" s="27"/>
      <c r="H418" s="24">
        <v>0</v>
      </c>
      <c r="I418" s="27"/>
      <c r="J418" s="24">
        <v>0</v>
      </c>
      <c r="K418" s="27"/>
      <c r="L418" s="24">
        <v>0</v>
      </c>
      <c r="M418" s="27"/>
      <c r="N418" s="24">
        <v>0</v>
      </c>
      <c r="O418" s="27"/>
      <c r="P418" s="24">
        <v>0</v>
      </c>
      <c r="Q418" s="27"/>
      <c r="R418" s="24">
        <f t="shared" si="26"/>
        <v>86682.62</v>
      </c>
      <c r="S418" s="24"/>
    </row>
    <row r="419" spans="1:20" s="10" customFormat="1">
      <c r="A419" s="10" t="s">
        <v>963</v>
      </c>
      <c r="B419" s="24">
        <v>743414.12999999989</v>
      </c>
      <c r="C419" s="27"/>
      <c r="D419" s="24">
        <v>0</v>
      </c>
      <c r="E419" s="27"/>
      <c r="F419" s="24">
        <v>0</v>
      </c>
      <c r="G419" s="27"/>
      <c r="H419" s="24">
        <v>0</v>
      </c>
      <c r="I419" s="27"/>
      <c r="J419" s="24">
        <v>0</v>
      </c>
      <c r="K419" s="27"/>
      <c r="L419" s="24">
        <v>0</v>
      </c>
      <c r="M419" s="27"/>
      <c r="N419" s="24">
        <v>0</v>
      </c>
      <c r="O419" s="27"/>
      <c r="P419" s="24">
        <v>0</v>
      </c>
      <c r="Q419" s="27"/>
      <c r="R419" s="24">
        <f t="shared" si="26"/>
        <v>743414.12999999989</v>
      </c>
      <c r="S419" s="24"/>
    </row>
    <row r="420" spans="1:20" s="10" customFormat="1">
      <c r="A420" s="10" t="s">
        <v>331</v>
      </c>
      <c r="B420" s="24">
        <v>99859.38</v>
      </c>
      <c r="C420" s="27"/>
      <c r="D420" s="24">
        <v>0</v>
      </c>
      <c r="E420" s="27"/>
      <c r="F420" s="24">
        <v>0</v>
      </c>
      <c r="G420" s="27"/>
      <c r="H420" s="24">
        <v>0</v>
      </c>
      <c r="I420" s="27"/>
      <c r="J420" s="24">
        <v>0</v>
      </c>
      <c r="K420" s="27"/>
      <c r="L420" s="24">
        <v>0</v>
      </c>
      <c r="M420" s="27"/>
      <c r="N420" s="24">
        <v>0</v>
      </c>
      <c r="O420" s="27"/>
      <c r="P420" s="24">
        <v>0</v>
      </c>
      <c r="Q420" s="27"/>
      <c r="R420" s="24">
        <f t="shared" si="26"/>
        <v>99859.38</v>
      </c>
      <c r="S420" s="24"/>
    </row>
    <row r="421" spans="1:20" s="10" customFormat="1">
      <c r="A421" s="10" t="s">
        <v>957</v>
      </c>
      <c r="B421" s="24">
        <v>28332.58</v>
      </c>
      <c r="C421" s="27"/>
      <c r="D421" s="24">
        <v>0</v>
      </c>
      <c r="E421" s="27"/>
      <c r="F421" s="24">
        <v>0</v>
      </c>
      <c r="G421" s="27"/>
      <c r="H421" s="24">
        <v>0</v>
      </c>
      <c r="I421" s="27"/>
      <c r="J421" s="24">
        <v>0</v>
      </c>
      <c r="K421" s="27"/>
      <c r="L421" s="24">
        <v>0</v>
      </c>
      <c r="M421" s="27"/>
      <c r="N421" s="24">
        <v>0</v>
      </c>
      <c r="O421" s="27"/>
      <c r="P421" s="24">
        <v>0</v>
      </c>
      <c r="Q421" s="27"/>
      <c r="R421" s="24">
        <f t="shared" si="26"/>
        <v>28332.58</v>
      </c>
      <c r="S421" s="24"/>
    </row>
    <row r="422" spans="1:20" s="10" customFormat="1">
      <c r="A422" s="10" t="s">
        <v>958</v>
      </c>
      <c r="B422" s="24">
        <v>466972.45999999996</v>
      </c>
      <c r="C422" s="27"/>
      <c r="D422" s="24">
        <v>0</v>
      </c>
      <c r="E422" s="27"/>
      <c r="F422" s="24">
        <v>0</v>
      </c>
      <c r="G422" s="27"/>
      <c r="H422" s="24">
        <v>0</v>
      </c>
      <c r="I422" s="27"/>
      <c r="J422" s="24">
        <v>0</v>
      </c>
      <c r="K422" s="27"/>
      <c r="L422" s="24">
        <v>0</v>
      </c>
      <c r="M422" s="27"/>
      <c r="N422" s="24">
        <v>0</v>
      </c>
      <c r="O422" s="27"/>
      <c r="P422" s="24">
        <v>0</v>
      </c>
      <c r="Q422" s="27"/>
      <c r="R422" s="24">
        <f t="shared" si="26"/>
        <v>466972.45999999996</v>
      </c>
      <c r="S422" s="24"/>
    </row>
    <row r="423" spans="1:20" s="10" customFormat="1">
      <c r="A423" s="10" t="s">
        <v>329</v>
      </c>
      <c r="B423" s="24">
        <v>921632.03</v>
      </c>
      <c r="C423" s="27"/>
      <c r="D423" s="24">
        <v>0</v>
      </c>
      <c r="E423" s="27"/>
      <c r="F423" s="24">
        <v>0</v>
      </c>
      <c r="G423" s="27"/>
      <c r="H423" s="24">
        <v>174.36</v>
      </c>
      <c r="I423" s="27"/>
      <c r="J423" s="24">
        <v>0</v>
      </c>
      <c r="K423" s="27"/>
      <c r="L423" s="24">
        <v>0</v>
      </c>
      <c r="M423" s="27"/>
      <c r="N423" s="24">
        <v>0</v>
      </c>
      <c r="O423" s="27"/>
      <c r="P423" s="24">
        <v>0</v>
      </c>
      <c r="Q423" s="27"/>
      <c r="R423" s="24">
        <f t="shared" si="26"/>
        <v>921806.39</v>
      </c>
      <c r="S423" s="24"/>
      <c r="T423" s="72"/>
    </row>
    <row r="424" spans="1:20" s="10" customFormat="1">
      <c r="A424" s="10" t="s">
        <v>962</v>
      </c>
      <c r="B424" s="24">
        <v>231.25</v>
      </c>
      <c r="C424" s="27"/>
      <c r="D424" s="24">
        <v>0</v>
      </c>
      <c r="E424" s="27"/>
      <c r="F424" s="24">
        <v>0</v>
      </c>
      <c r="G424" s="27"/>
      <c r="H424" s="24">
        <v>0</v>
      </c>
      <c r="I424" s="27"/>
      <c r="J424" s="24">
        <v>0</v>
      </c>
      <c r="K424" s="27"/>
      <c r="L424" s="24">
        <v>0</v>
      </c>
      <c r="M424" s="27"/>
      <c r="N424" s="24">
        <v>0</v>
      </c>
      <c r="O424" s="27"/>
      <c r="P424" s="24">
        <v>0</v>
      </c>
      <c r="Q424" s="27"/>
      <c r="R424" s="24">
        <f t="shared" si="26"/>
        <v>231.25</v>
      </c>
      <c r="S424" s="24"/>
    </row>
    <row r="425" spans="1:20" s="10" customFormat="1">
      <c r="A425" s="10" t="s">
        <v>326</v>
      </c>
      <c r="B425" s="24">
        <v>202390.13</v>
      </c>
      <c r="C425" s="27"/>
      <c r="D425" s="24">
        <v>0</v>
      </c>
      <c r="E425" s="27"/>
      <c r="F425" s="24">
        <v>0</v>
      </c>
      <c r="G425" s="27"/>
      <c r="H425" s="24">
        <v>0</v>
      </c>
      <c r="I425" s="27"/>
      <c r="J425" s="24">
        <v>0</v>
      </c>
      <c r="K425" s="27"/>
      <c r="L425" s="24">
        <v>0</v>
      </c>
      <c r="M425" s="27"/>
      <c r="N425" s="24">
        <v>0</v>
      </c>
      <c r="O425" s="27"/>
      <c r="P425" s="24">
        <v>0</v>
      </c>
      <c r="Q425" s="27"/>
      <c r="R425" s="24">
        <f t="shared" si="26"/>
        <v>202390.13</v>
      </c>
      <c r="S425" s="24"/>
    </row>
    <row r="426" spans="1:20" s="10" customFormat="1">
      <c r="A426" s="10" t="s">
        <v>964</v>
      </c>
      <c r="B426" s="24">
        <v>9369.6299999999992</v>
      </c>
      <c r="C426" s="27"/>
      <c r="D426" s="24">
        <v>0</v>
      </c>
      <c r="E426" s="27"/>
      <c r="F426" s="24">
        <v>0</v>
      </c>
      <c r="G426" s="27"/>
      <c r="H426" s="24">
        <v>0</v>
      </c>
      <c r="I426" s="27"/>
      <c r="J426" s="24">
        <v>0</v>
      </c>
      <c r="K426" s="27"/>
      <c r="L426" s="24">
        <v>0</v>
      </c>
      <c r="M426" s="27"/>
      <c r="N426" s="24">
        <v>0</v>
      </c>
      <c r="O426" s="27"/>
      <c r="P426" s="24">
        <v>0</v>
      </c>
      <c r="Q426" s="27"/>
      <c r="R426" s="24">
        <f t="shared" si="26"/>
        <v>9369.6299999999992</v>
      </c>
      <c r="S426" s="24"/>
    </row>
    <row r="427" spans="1:20" s="10" customFormat="1">
      <c r="A427" s="10" t="s">
        <v>817</v>
      </c>
      <c r="B427" s="24">
        <v>18140338.379999999</v>
      </c>
      <c r="C427" s="27"/>
      <c r="D427" s="24">
        <v>0</v>
      </c>
      <c r="E427" s="27"/>
      <c r="F427" s="24">
        <v>-208.14</v>
      </c>
      <c r="G427" s="27"/>
      <c r="H427" s="24">
        <v>0</v>
      </c>
      <c r="I427" s="27"/>
      <c r="J427" s="24">
        <v>0</v>
      </c>
      <c r="K427" s="27"/>
      <c r="L427" s="24">
        <v>0</v>
      </c>
      <c r="M427" s="27"/>
      <c r="N427" s="24">
        <v>0</v>
      </c>
      <c r="O427" s="27"/>
      <c r="P427" s="24">
        <v>0</v>
      </c>
      <c r="Q427" s="27"/>
      <c r="R427" s="24">
        <f t="shared" si="26"/>
        <v>18140130.239999998</v>
      </c>
      <c r="S427" s="24"/>
    </row>
    <row r="428" spans="1:20" s="10" customFormat="1">
      <c r="A428" s="10" t="s">
        <v>332</v>
      </c>
      <c r="B428" s="24">
        <v>5741950.46</v>
      </c>
      <c r="C428" s="27"/>
      <c r="D428" s="24">
        <v>0</v>
      </c>
      <c r="E428" s="27"/>
      <c r="F428" s="24">
        <v>0</v>
      </c>
      <c r="G428" s="27"/>
      <c r="H428" s="24">
        <v>0</v>
      </c>
      <c r="I428" s="27"/>
      <c r="J428" s="24">
        <v>0</v>
      </c>
      <c r="K428" s="27"/>
      <c r="L428" s="24">
        <v>0</v>
      </c>
      <c r="M428" s="27"/>
      <c r="N428" s="24">
        <v>0</v>
      </c>
      <c r="O428" s="27"/>
      <c r="P428" s="24">
        <v>0</v>
      </c>
      <c r="Q428" s="27"/>
      <c r="R428" s="24">
        <f t="shared" si="26"/>
        <v>5741950.46</v>
      </c>
      <c r="S428" s="24"/>
    </row>
    <row r="429" spans="1:20" s="10" customFormat="1">
      <c r="A429" s="10" t="s">
        <v>333</v>
      </c>
      <c r="B429" s="24">
        <v>174.36000000010245</v>
      </c>
      <c r="C429" s="27"/>
      <c r="D429" s="24">
        <v>0</v>
      </c>
      <c r="E429" s="27"/>
      <c r="F429" s="24">
        <v>0</v>
      </c>
      <c r="G429" s="27"/>
      <c r="H429" s="24">
        <v>-174.36</v>
      </c>
      <c r="I429" s="27"/>
      <c r="J429" s="24">
        <v>0</v>
      </c>
      <c r="K429" s="27"/>
      <c r="L429" s="24">
        <v>0</v>
      </c>
      <c r="M429" s="27"/>
      <c r="N429" s="24">
        <v>0</v>
      </c>
      <c r="O429" s="27"/>
      <c r="P429" s="24">
        <v>0</v>
      </c>
      <c r="Q429" s="27"/>
      <c r="R429" s="24">
        <f t="shared" si="26"/>
        <v>1.0243184078717604E-10</v>
      </c>
      <c r="S429" s="24"/>
    </row>
    <row r="430" spans="1:20" s="10" customFormat="1">
      <c r="A430" s="10" t="s">
        <v>334</v>
      </c>
      <c r="B430" s="28">
        <v>0</v>
      </c>
      <c r="C430" s="27"/>
      <c r="D430" s="28">
        <v>0</v>
      </c>
      <c r="E430" s="27"/>
      <c r="F430" s="28">
        <v>0</v>
      </c>
      <c r="G430" s="27"/>
      <c r="H430" s="28">
        <v>0</v>
      </c>
      <c r="I430" s="27"/>
      <c r="J430" s="28">
        <v>0</v>
      </c>
      <c r="K430" s="27"/>
      <c r="L430" s="28">
        <v>0</v>
      </c>
      <c r="M430" s="27"/>
      <c r="N430" s="28">
        <v>0</v>
      </c>
      <c r="O430" s="27"/>
      <c r="P430" s="28">
        <v>0</v>
      </c>
      <c r="Q430" s="27"/>
      <c r="R430" s="28">
        <f t="shared" si="26"/>
        <v>0</v>
      </c>
      <c r="S430" s="24"/>
    </row>
    <row r="431" spans="1:20" s="10" customFormat="1">
      <c r="B431" s="27">
        <f>SUM(B403:B415)+SUM(B416:B430)</f>
        <v>62689677.280000001</v>
      </c>
      <c r="C431" s="27"/>
      <c r="D431" s="27">
        <f>SUM(D403:D415)+SUM(D416:D430)</f>
        <v>0</v>
      </c>
      <c r="E431" s="27"/>
      <c r="F431" s="27">
        <f>SUM(F403:F415)+SUM(F416:F430)</f>
        <v>-147165.54000000004</v>
      </c>
      <c r="G431" s="152"/>
      <c r="H431" s="27">
        <f>SUM(H403:H415)+SUM(H416:H430)</f>
        <v>0</v>
      </c>
      <c r="I431" s="152"/>
      <c r="J431" s="27">
        <f>SUM(J403:J415)+SUM(J416:J430)</f>
        <v>0</v>
      </c>
      <c r="K431" s="152"/>
      <c r="L431" s="27">
        <f>SUM(L403:L415)+SUM(L416:L430)</f>
        <v>0</v>
      </c>
      <c r="M431" s="27"/>
      <c r="N431" s="27">
        <f>SUM(N403:N415)+SUM(N416:N430)</f>
        <v>0</v>
      </c>
      <c r="O431" s="27"/>
      <c r="P431" s="27">
        <f>SUM(P403:P415)+SUM(P416:P430)</f>
        <v>0</v>
      </c>
      <c r="Q431" s="27"/>
      <c r="R431" s="27">
        <f>SUM(R403:R415)+SUM(R416:R430)</f>
        <v>62542511.740000002</v>
      </c>
      <c r="S431" s="24"/>
    </row>
    <row r="432" spans="1:20" s="10" customFormat="1">
      <c r="B432" s="27"/>
      <c r="C432" s="27"/>
      <c r="D432" s="27"/>
      <c r="E432" s="27"/>
      <c r="F432" s="27"/>
      <c r="G432" s="152"/>
      <c r="H432" s="152"/>
      <c r="I432" s="152"/>
      <c r="J432" s="27"/>
      <c r="K432" s="152"/>
      <c r="L432" s="27"/>
      <c r="M432" s="27"/>
      <c r="N432" s="27"/>
      <c r="O432" s="27"/>
      <c r="P432" s="27"/>
      <c r="Q432" s="27"/>
      <c r="R432" s="27"/>
      <c r="S432" s="24"/>
    </row>
    <row r="433" spans="1:19" s="10" customFormat="1">
      <c r="A433" s="12" t="s">
        <v>651</v>
      </c>
      <c r="B433" s="27"/>
      <c r="C433" s="27"/>
      <c r="D433" s="27"/>
      <c r="E433" s="27"/>
      <c r="F433" s="27"/>
      <c r="G433" s="27"/>
      <c r="H433" s="27"/>
      <c r="I433" s="27"/>
      <c r="J433" s="27"/>
      <c r="K433" s="27"/>
      <c r="L433" s="27"/>
      <c r="M433" s="27"/>
      <c r="N433" s="27"/>
      <c r="O433" s="27"/>
      <c r="P433" s="27"/>
      <c r="Q433" s="27"/>
      <c r="R433" s="27"/>
      <c r="S433" s="24"/>
    </row>
    <row r="434" spans="1:19" s="10" customFormat="1">
      <c r="A434" s="10" t="s">
        <v>339</v>
      </c>
      <c r="B434" s="27">
        <v>0</v>
      </c>
      <c r="C434" s="27"/>
      <c r="D434" s="27">
        <v>0</v>
      </c>
      <c r="E434" s="27"/>
      <c r="F434" s="27">
        <v>0</v>
      </c>
      <c r="G434" s="27"/>
      <c r="H434" s="27">
        <v>0</v>
      </c>
      <c r="I434" s="27"/>
      <c r="J434" s="27">
        <v>0</v>
      </c>
      <c r="K434" s="27"/>
      <c r="L434" s="27">
        <v>0</v>
      </c>
      <c r="M434" s="27"/>
      <c r="N434" s="27">
        <v>0</v>
      </c>
      <c r="O434" s="27"/>
      <c r="P434" s="27">
        <v>0</v>
      </c>
      <c r="Q434" s="27"/>
      <c r="R434" s="24">
        <f>SUM(B434:P434)</f>
        <v>0</v>
      </c>
      <c r="S434" s="24"/>
    </row>
    <row r="435" spans="1:19" s="10" customFormat="1">
      <c r="A435" s="10" t="s">
        <v>340</v>
      </c>
      <c r="B435" s="27">
        <v>249.93</v>
      </c>
      <c r="C435" s="27"/>
      <c r="D435" s="27">
        <v>0</v>
      </c>
      <c r="E435" s="27"/>
      <c r="F435" s="27">
        <v>0</v>
      </c>
      <c r="G435" s="27"/>
      <c r="H435" s="27">
        <v>0</v>
      </c>
      <c r="I435" s="27"/>
      <c r="J435" s="27">
        <v>0</v>
      </c>
      <c r="K435" s="27"/>
      <c r="L435" s="27">
        <v>0</v>
      </c>
      <c r="M435" s="27"/>
      <c r="N435" s="27">
        <v>0</v>
      </c>
      <c r="O435" s="27"/>
      <c r="P435" s="27">
        <v>0</v>
      </c>
      <c r="Q435" s="27"/>
      <c r="R435" s="24">
        <f>SUM(B435:P435)</f>
        <v>249.93</v>
      </c>
      <c r="S435" s="24"/>
    </row>
    <row r="436" spans="1:19" s="10" customFormat="1">
      <c r="A436" s="10" t="s">
        <v>341</v>
      </c>
      <c r="B436" s="27">
        <v>0</v>
      </c>
      <c r="C436" s="27"/>
      <c r="D436" s="27">
        <v>0</v>
      </c>
      <c r="E436" s="27"/>
      <c r="F436" s="27">
        <v>0</v>
      </c>
      <c r="G436" s="27"/>
      <c r="H436" s="27">
        <v>0</v>
      </c>
      <c r="I436" s="27"/>
      <c r="J436" s="27">
        <v>0</v>
      </c>
      <c r="K436" s="27"/>
      <c r="L436" s="27">
        <v>0</v>
      </c>
      <c r="M436" s="27"/>
      <c r="N436" s="27">
        <v>0</v>
      </c>
      <c r="O436" s="27"/>
      <c r="P436" s="27">
        <v>0</v>
      </c>
      <c r="Q436" s="27"/>
      <c r="R436" s="24">
        <f>SUM(B436:P436)</f>
        <v>0</v>
      </c>
      <c r="S436" s="24"/>
    </row>
    <row r="437" spans="1:19" s="10" customFormat="1">
      <c r="A437" s="10" t="s">
        <v>342</v>
      </c>
      <c r="B437" s="28">
        <v>63110.43</v>
      </c>
      <c r="C437" s="27"/>
      <c r="D437" s="28">
        <v>0</v>
      </c>
      <c r="E437" s="27"/>
      <c r="F437" s="28">
        <v>0</v>
      </c>
      <c r="G437" s="27"/>
      <c r="H437" s="28">
        <v>0</v>
      </c>
      <c r="I437" s="27"/>
      <c r="J437" s="28">
        <v>0</v>
      </c>
      <c r="K437" s="27"/>
      <c r="L437" s="28">
        <v>0</v>
      </c>
      <c r="M437" s="27"/>
      <c r="N437" s="28">
        <v>0</v>
      </c>
      <c r="O437" s="27"/>
      <c r="P437" s="28">
        <v>0</v>
      </c>
      <c r="Q437" s="27"/>
      <c r="R437" s="28">
        <f>SUM(B437:P437)</f>
        <v>63110.43</v>
      </c>
      <c r="S437" s="24"/>
    </row>
    <row r="438" spans="1:19" s="10" customFormat="1">
      <c r="B438" s="27">
        <f>SUM(B434:B437)</f>
        <v>63360.36</v>
      </c>
      <c r="C438" s="27"/>
      <c r="D438" s="27">
        <f>SUM(D434:D437)</f>
        <v>0</v>
      </c>
      <c r="E438" s="27"/>
      <c r="F438" s="27">
        <f>SUM(F434:F437)</f>
        <v>0</v>
      </c>
      <c r="G438" s="27"/>
      <c r="H438" s="27">
        <f>SUM(H434:H437)</f>
        <v>0</v>
      </c>
      <c r="I438" s="27"/>
      <c r="J438" s="27">
        <f>SUM(J434:J437)</f>
        <v>0</v>
      </c>
      <c r="K438" s="27"/>
      <c r="L438" s="27">
        <f>SUM(L434:L437)</f>
        <v>0</v>
      </c>
      <c r="M438" s="27"/>
      <c r="N438" s="27">
        <f>SUM(N434:N437)</f>
        <v>0</v>
      </c>
      <c r="O438" s="27"/>
      <c r="P438" s="27">
        <f>SUM(P434:P437)</f>
        <v>0</v>
      </c>
      <c r="Q438" s="27"/>
      <c r="R438" s="27">
        <f>SUM(R434:R437)</f>
        <v>63360.36</v>
      </c>
      <c r="S438" s="24"/>
    </row>
    <row r="439" spans="1:19" s="10" customFormat="1">
      <c r="B439" s="27"/>
      <c r="C439" s="27"/>
      <c r="D439" s="27"/>
      <c r="E439" s="27"/>
      <c r="F439" s="27"/>
      <c r="G439" s="27"/>
      <c r="H439" s="27"/>
      <c r="I439" s="27"/>
      <c r="J439" s="27"/>
      <c r="K439" s="27"/>
      <c r="L439" s="27"/>
      <c r="M439" s="27"/>
      <c r="N439" s="27"/>
      <c r="O439" s="27"/>
      <c r="P439" s="27"/>
      <c r="Q439" s="27"/>
      <c r="R439" s="27"/>
      <c r="S439" s="24"/>
    </row>
    <row r="440" spans="1:19" s="10" customFormat="1">
      <c r="B440" s="24"/>
      <c r="C440" s="27"/>
      <c r="D440" s="24"/>
      <c r="E440" s="27"/>
      <c r="F440" s="24"/>
      <c r="G440" s="27"/>
      <c r="H440" s="24"/>
      <c r="I440" s="27"/>
      <c r="J440" s="24"/>
      <c r="K440" s="27"/>
      <c r="L440" s="24"/>
      <c r="M440" s="27"/>
      <c r="N440" s="24"/>
      <c r="O440" s="27"/>
      <c r="P440" s="24"/>
      <c r="Q440" s="27"/>
      <c r="R440" s="24"/>
      <c r="S440" s="24"/>
    </row>
    <row r="441" spans="1:19" s="10" customFormat="1" ht="13.5" thickBot="1">
      <c r="A441" s="12" t="s">
        <v>44</v>
      </c>
      <c r="B441" s="73">
        <f>B438+B431</f>
        <v>62753037.640000001</v>
      </c>
      <c r="C441" s="27"/>
      <c r="D441" s="73">
        <f>D438+D431</f>
        <v>0</v>
      </c>
      <c r="E441" s="27"/>
      <c r="F441" s="73">
        <f>F438+F431</f>
        <v>-147165.54000000004</v>
      </c>
      <c r="G441" s="27"/>
      <c r="H441" s="73">
        <f>H438+H431</f>
        <v>0</v>
      </c>
      <c r="I441" s="27"/>
      <c r="J441" s="73">
        <f>J438+J431</f>
        <v>0</v>
      </c>
      <c r="K441" s="27"/>
      <c r="L441" s="73">
        <f>L438+L431</f>
        <v>0</v>
      </c>
      <c r="M441" s="27"/>
      <c r="N441" s="73">
        <f>N438+N431</f>
        <v>0</v>
      </c>
      <c r="O441" s="27"/>
      <c r="P441" s="73">
        <f>P438+P431</f>
        <v>0</v>
      </c>
      <c r="Q441" s="27"/>
      <c r="R441" s="73">
        <f>R438+R431</f>
        <v>62605872.100000001</v>
      </c>
      <c r="S441" s="24"/>
    </row>
    <row r="442" spans="1:19" s="10" customFormat="1" ht="13.5" thickTop="1">
      <c r="C442" s="71"/>
      <c r="E442" s="71"/>
      <c r="G442" s="71"/>
      <c r="I442" s="71"/>
      <c r="K442" s="71"/>
      <c r="M442" s="71"/>
      <c r="O442" s="71"/>
      <c r="Q442" s="71"/>
    </row>
    <row r="443" spans="1:19" s="10" customFormat="1">
      <c r="C443" s="71"/>
      <c r="E443" s="71"/>
      <c r="G443" s="71"/>
      <c r="I443" s="71"/>
      <c r="K443" s="71"/>
      <c r="M443" s="71"/>
      <c r="O443" s="71"/>
      <c r="Q443" s="71"/>
    </row>
    <row r="444" spans="1:19" s="10" customFormat="1">
      <c r="A444" s="12" t="s">
        <v>111</v>
      </c>
      <c r="B444" s="27"/>
      <c r="C444" s="27"/>
      <c r="D444" s="27"/>
      <c r="E444" s="27"/>
      <c r="F444" s="27"/>
      <c r="G444" s="27"/>
      <c r="H444" s="27"/>
      <c r="I444" s="27"/>
      <c r="J444" s="27"/>
      <c r="K444" s="27"/>
      <c r="L444" s="27"/>
      <c r="M444" s="27"/>
      <c r="N444" s="27"/>
      <c r="O444" s="27"/>
      <c r="P444" s="27"/>
      <c r="Q444" s="27"/>
      <c r="R444" s="27"/>
      <c r="S444" s="24"/>
    </row>
    <row r="445" spans="1:19" s="10" customFormat="1">
      <c r="A445" s="10" t="s">
        <v>335</v>
      </c>
      <c r="B445" s="27">
        <v>0</v>
      </c>
      <c r="C445" s="27"/>
      <c r="D445" s="27">
        <v>0</v>
      </c>
      <c r="E445" s="27"/>
      <c r="F445" s="27">
        <v>0</v>
      </c>
      <c r="G445" s="27"/>
      <c r="H445" s="27">
        <v>0</v>
      </c>
      <c r="I445" s="27"/>
      <c r="J445" s="27">
        <v>0</v>
      </c>
      <c r="K445" s="27"/>
      <c r="L445" s="27">
        <v>0</v>
      </c>
      <c r="M445" s="27"/>
      <c r="N445" s="27">
        <v>0</v>
      </c>
      <c r="O445" s="27"/>
      <c r="P445" s="27">
        <v>0</v>
      </c>
      <c r="Q445" s="27"/>
      <c r="R445" s="24">
        <f>SUM(B445:P445)</f>
        <v>0</v>
      </c>
      <c r="S445" s="24"/>
    </row>
    <row r="446" spans="1:19" s="10" customFormat="1">
      <c r="A446" s="10" t="s">
        <v>336</v>
      </c>
      <c r="B446" s="27">
        <v>0</v>
      </c>
      <c r="C446" s="27"/>
      <c r="D446" s="27">
        <v>0</v>
      </c>
      <c r="E446" s="27"/>
      <c r="F446" s="27">
        <v>0</v>
      </c>
      <c r="G446" s="27"/>
      <c r="H446" s="27">
        <v>0</v>
      </c>
      <c r="I446" s="27"/>
      <c r="J446" s="27">
        <v>0</v>
      </c>
      <c r="K446" s="27"/>
      <c r="L446" s="27">
        <v>0</v>
      </c>
      <c r="M446" s="27"/>
      <c r="N446" s="27">
        <v>0</v>
      </c>
      <c r="O446" s="27"/>
      <c r="P446" s="27">
        <v>0</v>
      </c>
      <c r="Q446" s="27"/>
      <c r="R446" s="24">
        <f>SUM(B446:P446)</f>
        <v>0</v>
      </c>
      <c r="S446" s="24"/>
    </row>
    <row r="447" spans="1:19" s="10" customFormat="1">
      <c r="A447" s="10" t="s">
        <v>338</v>
      </c>
      <c r="B447" s="27">
        <v>4970285.5900000008</v>
      </c>
      <c r="C447" s="27"/>
      <c r="D447" s="27">
        <v>0</v>
      </c>
      <c r="E447" s="27"/>
      <c r="F447" s="27">
        <v>-793063.15</v>
      </c>
      <c r="G447" s="27"/>
      <c r="H447" s="27">
        <v>0</v>
      </c>
      <c r="I447" s="27"/>
      <c r="J447" s="27">
        <v>0</v>
      </c>
      <c r="K447" s="27"/>
      <c r="L447" s="27">
        <v>0</v>
      </c>
      <c r="M447" s="27"/>
      <c r="N447" s="27">
        <v>0</v>
      </c>
      <c r="O447" s="27"/>
      <c r="P447" s="27">
        <v>0</v>
      </c>
      <c r="Q447" s="27"/>
      <c r="R447" s="27">
        <f>SUM(B447:P447)</f>
        <v>4177222.4400000009</v>
      </c>
      <c r="S447" s="24"/>
    </row>
    <row r="448" spans="1:19" s="10" customFormat="1">
      <c r="A448" s="10" t="s">
        <v>1025</v>
      </c>
      <c r="B448" s="27">
        <v>6298007.6399999997</v>
      </c>
      <c r="C448" s="27"/>
      <c r="D448" s="27">
        <v>0</v>
      </c>
      <c r="E448" s="27"/>
      <c r="F448" s="27">
        <v>0</v>
      </c>
      <c r="G448" s="27"/>
      <c r="H448" s="27">
        <v>0</v>
      </c>
      <c r="I448" s="27"/>
      <c r="J448" s="27">
        <v>0</v>
      </c>
      <c r="K448" s="27"/>
      <c r="L448" s="27">
        <v>0</v>
      </c>
      <c r="M448" s="27"/>
      <c r="N448" s="27">
        <v>0</v>
      </c>
      <c r="O448" s="27"/>
      <c r="P448" s="27">
        <v>0</v>
      </c>
      <c r="Q448" s="27"/>
      <c r="R448" s="24">
        <f>SUM(B448:P448)</f>
        <v>6298007.6399999997</v>
      </c>
      <c r="S448" s="24"/>
    </row>
    <row r="449" spans="1:19" s="10" customFormat="1">
      <c r="A449" s="10" t="s">
        <v>337</v>
      </c>
      <c r="B449" s="28">
        <v>0</v>
      </c>
      <c r="C449" s="27"/>
      <c r="D449" s="28">
        <v>0</v>
      </c>
      <c r="E449" s="27"/>
      <c r="F449" s="28">
        <v>0</v>
      </c>
      <c r="G449" s="27"/>
      <c r="H449" s="28">
        <v>0</v>
      </c>
      <c r="I449" s="27"/>
      <c r="J449" s="28">
        <v>0</v>
      </c>
      <c r="K449" s="27"/>
      <c r="L449" s="28">
        <v>0</v>
      </c>
      <c r="M449" s="27"/>
      <c r="N449" s="28">
        <v>0</v>
      </c>
      <c r="O449" s="27"/>
      <c r="P449" s="28">
        <v>0</v>
      </c>
      <c r="Q449" s="27"/>
      <c r="R449" s="28">
        <f>SUM(B449:P449)</f>
        <v>0</v>
      </c>
      <c r="S449" s="24"/>
    </row>
    <row r="450" spans="1:19" s="10" customFormat="1">
      <c r="B450" s="27">
        <f>SUM(B445:B449)</f>
        <v>11268293.23</v>
      </c>
      <c r="C450" s="27"/>
      <c r="D450" s="27">
        <f>SUM(D445:D449)</f>
        <v>0</v>
      </c>
      <c r="E450" s="27"/>
      <c r="F450" s="27">
        <f>SUM(F445:F449)</f>
        <v>-793063.15</v>
      </c>
      <c r="G450" s="27"/>
      <c r="H450" s="27">
        <f>SUM(H445:H449)</f>
        <v>0</v>
      </c>
      <c r="I450" s="27"/>
      <c r="J450" s="27">
        <f>SUM(J445:J449)</f>
        <v>0</v>
      </c>
      <c r="K450" s="27"/>
      <c r="L450" s="27">
        <f>SUM(L445:L449)</f>
        <v>0</v>
      </c>
      <c r="M450" s="27"/>
      <c r="N450" s="27">
        <f>SUM(N445:N449)</f>
        <v>0</v>
      </c>
      <c r="O450" s="27"/>
      <c r="P450" s="27">
        <f>SUM(P445:P449)</f>
        <v>0</v>
      </c>
      <c r="Q450" s="27"/>
      <c r="R450" s="27">
        <f>SUM(R445:R449)</f>
        <v>10475230.08</v>
      </c>
      <c r="S450" s="24"/>
    </row>
    <row r="451" spans="1:19" s="10" customFormat="1">
      <c r="B451" s="27"/>
      <c r="C451" s="27"/>
      <c r="D451" s="27"/>
      <c r="E451" s="27"/>
      <c r="F451" s="27"/>
      <c r="G451" s="27"/>
      <c r="H451" s="27"/>
      <c r="I451" s="27"/>
      <c r="J451" s="27"/>
      <c r="K451" s="27"/>
      <c r="L451" s="27"/>
      <c r="M451" s="27"/>
      <c r="N451" s="27"/>
      <c r="O451" s="27"/>
      <c r="P451" s="27"/>
      <c r="Q451" s="27"/>
      <c r="R451" s="27"/>
      <c r="S451" s="24"/>
    </row>
    <row r="452" spans="1:19" s="10" customFormat="1">
      <c r="C452" s="71"/>
      <c r="E452" s="71"/>
      <c r="G452" s="71"/>
      <c r="I452" s="71"/>
      <c r="K452" s="71"/>
      <c r="M452" s="71"/>
      <c r="O452" s="71"/>
      <c r="Q452" s="71"/>
    </row>
    <row r="453" spans="1:19" s="10" customFormat="1" ht="13.5" thickBot="1">
      <c r="A453" s="12" t="s">
        <v>45</v>
      </c>
      <c r="B453" s="73">
        <f>B450</f>
        <v>11268293.23</v>
      </c>
      <c r="C453" s="27"/>
      <c r="D453" s="73">
        <f>D450</f>
        <v>0</v>
      </c>
      <c r="E453" s="27"/>
      <c r="F453" s="73">
        <f>F450</f>
        <v>-793063.15</v>
      </c>
      <c r="G453" s="27"/>
      <c r="H453" s="73">
        <f>H450</f>
        <v>0</v>
      </c>
      <c r="I453" s="27"/>
      <c r="J453" s="73">
        <f>J450</f>
        <v>0</v>
      </c>
      <c r="K453" s="27"/>
      <c r="L453" s="73">
        <f>L450</f>
        <v>0</v>
      </c>
      <c r="M453" s="27"/>
      <c r="N453" s="73">
        <f>N450</f>
        <v>0</v>
      </c>
      <c r="O453" s="27"/>
      <c r="P453" s="73">
        <f>P450</f>
        <v>0</v>
      </c>
      <c r="Q453" s="27"/>
      <c r="R453" s="73">
        <f>R450</f>
        <v>10475230.08</v>
      </c>
      <c r="S453" s="24"/>
    </row>
    <row r="454" spans="1:19" ht="13.5" thickTop="1"/>
    <row r="456" spans="1:19" ht="13.5" thickBot="1">
      <c r="A456" s="3" t="s">
        <v>141</v>
      </c>
      <c r="B456" s="92">
        <f>B399+B391+B331+B323+B453+B441</f>
        <v>1705100286.5000002</v>
      </c>
      <c r="D456" s="92">
        <f>D399+D391+D331+D323+D453+D441</f>
        <v>0</v>
      </c>
      <c r="F456" s="92">
        <f>F399+F391+F331+F323+F453+F441</f>
        <v>-2944860.3</v>
      </c>
      <c r="H456" s="92">
        <f>H399+H391+H331+H323+H453+H441</f>
        <v>0</v>
      </c>
      <c r="J456" s="92">
        <f>J399+J391+J331+J323+J453+J441</f>
        <v>0</v>
      </c>
      <c r="L456" s="92">
        <f>L399+L391+L331+L323+L453+L441</f>
        <v>0</v>
      </c>
      <c r="N456" s="92">
        <f>N399+N391+N331+N323+N453+N441</f>
        <v>0</v>
      </c>
      <c r="P456" s="92">
        <f>P399+P391+P331+P323+P453+P441</f>
        <v>0</v>
      </c>
      <c r="R456" s="92">
        <f>R399+R391+R331+R323+R453+R441</f>
        <v>1702155426.1999998</v>
      </c>
    </row>
    <row r="457" spans="1:19" ht="13.5" thickTop="1"/>
  </sheetData>
  <sortState ref="A266:AA270">
    <sortCondition ref="A266"/>
  </sortState>
  <mergeCells count="3">
    <mergeCell ref="A1:R1"/>
    <mergeCell ref="A2:R2"/>
    <mergeCell ref="A3:R3"/>
  </mergeCells>
  <pageMargins left="0.75" right="0.75" top="1" bottom="1" header="0.5" footer="0.5"/>
  <pageSetup scale="56" fitToHeight="0" orientation="landscape" r:id="rId1"/>
  <headerFooter alignWithMargins="0">
    <oddFooter>&amp;L&amp;Z
&amp;F&amp;C&amp;A&amp;R29.&amp;P</oddFooter>
  </headerFooter>
  <rowBreaks count="4" manualBreakCount="4">
    <brk id="148" max="17" man="1"/>
    <brk id="335" max="16383" man="1"/>
    <brk id="383" max="16383" man="1"/>
    <brk id="442" max="16383" man="1"/>
  </rowBreaks>
</worksheet>
</file>

<file path=xl/worksheets/sheet149.xml><?xml version="1.0" encoding="utf-8"?>
<worksheet xmlns="http://schemas.openxmlformats.org/spreadsheetml/2006/main" xmlns:r="http://schemas.openxmlformats.org/officeDocument/2006/relationships">
  <sheetPr codeName="Sheet152">
    <tabColor rgb="FF00B050"/>
    <pageSetUpPr fitToPage="1"/>
  </sheetPr>
  <dimension ref="A1:AA51"/>
  <sheetViews>
    <sheetView zoomScale="90" zoomScaleNormal="90" workbookViewId="0">
      <pane xSplit="3" ySplit="7" topLeftCell="D8" activePane="bottomRight" state="frozen"/>
      <selection activeCell="C38" sqref="C38"/>
      <selection pane="topRight" activeCell="C38" sqref="C38"/>
      <selection pane="bottomLeft" activeCell="C38" sqref="C38"/>
      <selection pane="bottomRight" activeCell="D8" sqref="D8"/>
    </sheetView>
  </sheetViews>
  <sheetFormatPr defaultRowHeight="12.75"/>
  <cols>
    <col min="1" max="1" width="43.7109375" bestFit="1" customWidth="1"/>
    <col min="2" max="2" width="17.7109375" customWidth="1"/>
    <col min="3" max="3" width="1.7109375" style="7" customWidth="1"/>
    <col min="4" max="4" width="17.7109375" customWidth="1"/>
    <col min="5" max="5" width="1.7109375" style="7" customWidth="1"/>
    <col min="6" max="6" width="17.7109375" customWidth="1"/>
    <col min="7" max="7" width="1.7109375" style="7" customWidth="1"/>
    <col min="8" max="8" width="17.7109375" customWidth="1"/>
    <col min="9" max="9" width="1.7109375" style="7" customWidth="1"/>
    <col min="10" max="10" width="17.7109375" customWidth="1"/>
    <col min="11" max="11" width="1.7109375" style="7" customWidth="1"/>
    <col min="12" max="12" width="17.7109375" customWidth="1"/>
    <col min="13" max="13" width="1.7109375" style="7" customWidth="1"/>
    <col min="14" max="14" width="17.7109375" customWidth="1"/>
    <col min="15" max="15" width="1.7109375" style="7" customWidth="1"/>
    <col min="16" max="16" width="17.7109375" customWidth="1"/>
    <col min="17" max="17" width="1.7109375" style="7" customWidth="1"/>
    <col min="18" max="18" width="17.7109375" customWidth="1"/>
  </cols>
  <sheetData>
    <row r="1" spans="1:27" s="38" customFormat="1" ht="15.75">
      <c r="A1" s="366" t="s">
        <v>134</v>
      </c>
      <c r="B1" s="366"/>
      <c r="C1" s="366"/>
      <c r="D1" s="366"/>
      <c r="E1" s="366"/>
      <c r="F1" s="366"/>
      <c r="G1" s="366"/>
      <c r="H1" s="366"/>
      <c r="I1" s="366"/>
      <c r="J1" s="366"/>
      <c r="K1" s="366"/>
      <c r="L1" s="366"/>
      <c r="M1" s="366"/>
      <c r="N1" s="366"/>
      <c r="O1" s="366"/>
      <c r="P1" s="366"/>
      <c r="Q1" s="366"/>
      <c r="R1" s="366"/>
      <c r="W1" s="39"/>
    </row>
    <row r="2" spans="1:27" s="38" customFormat="1" ht="15.75">
      <c r="A2" s="366" t="s">
        <v>1177</v>
      </c>
      <c r="B2" s="367"/>
      <c r="C2" s="367"/>
      <c r="D2" s="367"/>
      <c r="E2" s="367"/>
      <c r="F2" s="367"/>
      <c r="G2" s="367"/>
      <c r="H2" s="367"/>
      <c r="I2" s="367"/>
      <c r="J2" s="367"/>
      <c r="K2" s="367"/>
      <c r="L2" s="367"/>
      <c r="M2" s="367"/>
      <c r="N2" s="367"/>
      <c r="O2" s="367"/>
      <c r="P2" s="367"/>
      <c r="Q2" s="367"/>
      <c r="R2" s="367"/>
      <c r="W2" s="39"/>
    </row>
    <row r="3" spans="1:27">
      <c r="A3" s="357" t="str">
        <f>'Summary - Cost - PG 1 (PA)'!A3:N3</f>
        <v>MARCH 2012</v>
      </c>
      <c r="B3" s="357"/>
      <c r="C3" s="357"/>
      <c r="D3" s="357"/>
      <c r="E3" s="357"/>
      <c r="F3" s="357"/>
      <c r="G3" s="357"/>
      <c r="H3" s="357"/>
      <c r="I3" s="357"/>
      <c r="J3" s="357"/>
      <c r="K3" s="357"/>
      <c r="L3" s="357"/>
      <c r="M3" s="357"/>
      <c r="N3" s="357"/>
      <c r="O3" s="357"/>
      <c r="P3" s="357"/>
      <c r="Q3" s="357"/>
      <c r="R3" s="357"/>
      <c r="S3" s="40"/>
      <c r="T3" s="40"/>
      <c r="U3" s="40"/>
      <c r="V3" s="40"/>
      <c r="W3" s="40"/>
      <c r="X3" s="40"/>
      <c r="Y3" s="40"/>
      <c r="Z3" s="40"/>
      <c r="AA3" s="40"/>
    </row>
    <row r="4" spans="1:27">
      <c r="A4" s="190"/>
      <c r="B4" s="190"/>
      <c r="C4" s="53"/>
      <c r="D4" s="190"/>
      <c r="E4" s="53"/>
      <c r="F4" s="190"/>
      <c r="G4" s="53"/>
      <c r="H4" s="190"/>
      <c r="I4" s="53"/>
      <c r="J4" s="190"/>
      <c r="K4" s="53"/>
      <c r="L4" s="190"/>
      <c r="M4" s="53"/>
      <c r="N4" s="190"/>
      <c r="O4" s="53"/>
      <c r="P4" s="190"/>
      <c r="Q4" s="53"/>
      <c r="R4" s="190"/>
      <c r="S4" s="40"/>
      <c r="T4" s="40"/>
      <c r="U4" s="40"/>
      <c r="V4" s="40"/>
      <c r="W4" s="40"/>
      <c r="X4" s="40"/>
      <c r="Y4" s="40"/>
      <c r="Z4" s="40"/>
      <c r="AA4" s="40"/>
    </row>
    <row r="6" spans="1:27">
      <c r="B6" s="41" t="s">
        <v>25</v>
      </c>
      <c r="D6" s="182"/>
      <c r="F6" s="182"/>
      <c r="H6" s="41" t="s">
        <v>612</v>
      </c>
      <c r="I6" s="54"/>
      <c r="J6" s="41" t="s">
        <v>28</v>
      </c>
      <c r="K6" s="54"/>
      <c r="L6" s="54" t="s">
        <v>37</v>
      </c>
      <c r="P6" s="41" t="s">
        <v>39</v>
      </c>
      <c r="Q6" s="54"/>
      <c r="R6" s="41" t="s">
        <v>26</v>
      </c>
      <c r="S6" s="41"/>
      <c r="U6" s="41"/>
    </row>
    <row r="7" spans="1:27">
      <c r="B7" s="42" t="s">
        <v>27</v>
      </c>
      <c r="D7" s="42" t="s">
        <v>954</v>
      </c>
      <c r="F7" s="42" t="s">
        <v>108</v>
      </c>
      <c r="H7" s="42" t="s">
        <v>613</v>
      </c>
      <c r="I7" s="54"/>
      <c r="J7" s="42" t="s">
        <v>29</v>
      </c>
      <c r="K7" s="54"/>
      <c r="L7" s="42" t="s">
        <v>38</v>
      </c>
      <c r="M7" s="54"/>
      <c r="N7" s="42" t="s">
        <v>955</v>
      </c>
      <c r="O7" s="54"/>
      <c r="P7" s="42" t="s">
        <v>105</v>
      </c>
      <c r="Q7" s="54"/>
      <c r="R7" s="42" t="s">
        <v>27</v>
      </c>
    </row>
    <row r="9" spans="1:27">
      <c r="A9" s="3" t="s">
        <v>113</v>
      </c>
      <c r="B9" s="4"/>
      <c r="C9" s="55"/>
      <c r="D9" s="4"/>
      <c r="E9" s="55"/>
      <c r="F9" s="4"/>
      <c r="G9" s="55"/>
      <c r="H9" s="4"/>
      <c r="I9" s="55"/>
      <c r="J9" s="4"/>
      <c r="K9" s="55"/>
      <c r="L9" s="4"/>
      <c r="M9" s="55"/>
      <c r="N9" s="4"/>
      <c r="O9" s="55"/>
      <c r="P9" s="4"/>
      <c r="Q9" s="55"/>
      <c r="R9" s="4"/>
    </row>
    <row r="10" spans="1:27">
      <c r="A10" t="s">
        <v>818</v>
      </c>
      <c r="B10" s="48">
        <v>0</v>
      </c>
      <c r="C10" s="52"/>
      <c r="D10" s="48">
        <v>0</v>
      </c>
      <c r="E10" s="52"/>
      <c r="F10" s="48">
        <v>0</v>
      </c>
      <c r="G10" s="52"/>
      <c r="H10" s="48">
        <v>0</v>
      </c>
      <c r="I10" s="52"/>
      <c r="J10" s="48">
        <v>0</v>
      </c>
      <c r="K10" s="52"/>
      <c r="L10" s="48">
        <v>0</v>
      </c>
      <c r="M10" s="52"/>
      <c r="N10" s="48">
        <v>0</v>
      </c>
      <c r="O10" s="52"/>
      <c r="P10" s="48">
        <v>0</v>
      </c>
      <c r="Q10" s="52"/>
      <c r="R10" s="48">
        <f>SUM(B10:P10)</f>
        <v>0</v>
      </c>
      <c r="S10" s="182"/>
      <c r="T10" s="182"/>
      <c r="U10" s="182"/>
    </row>
    <row r="11" spans="1:27">
      <c r="B11" s="52">
        <f>SUM(B10:B10)</f>
        <v>0</v>
      </c>
      <c r="C11" s="52"/>
      <c r="D11" s="52">
        <f>SUM(D10:D10)</f>
        <v>0</v>
      </c>
      <c r="E11" s="52"/>
      <c r="F11" s="52">
        <f>SUM(F10:F10)</f>
        <v>0</v>
      </c>
      <c r="G11" s="52"/>
      <c r="H11" s="52">
        <f>SUM(H10:H10)</f>
        <v>0</v>
      </c>
      <c r="I11" s="52"/>
      <c r="J11" s="52">
        <f>SUM(J10:J10)</f>
        <v>0</v>
      </c>
      <c r="K11" s="52"/>
      <c r="L11" s="52">
        <f>SUM(L10:L10)</f>
        <v>0</v>
      </c>
      <c r="M11" s="52"/>
      <c r="N11" s="52">
        <f>SUM(N10:N10)</f>
        <v>0</v>
      </c>
      <c r="O11" s="52"/>
      <c r="P11" s="52">
        <f>SUM(P10:P10)</f>
        <v>0</v>
      </c>
      <c r="Q11" s="52"/>
      <c r="R11" s="52">
        <f>SUM(R10:R10)</f>
        <v>0</v>
      </c>
      <c r="S11" s="182"/>
      <c r="T11" s="182"/>
      <c r="U11" s="182"/>
    </row>
    <row r="12" spans="1:27">
      <c r="B12" s="52"/>
      <c r="C12" s="52"/>
      <c r="D12" s="52"/>
      <c r="E12" s="52"/>
      <c r="F12" s="52"/>
      <c r="G12" s="52"/>
      <c r="H12" s="52"/>
      <c r="I12" s="52"/>
      <c r="J12" s="52"/>
      <c r="K12" s="52"/>
      <c r="L12" s="52"/>
      <c r="M12" s="52"/>
      <c r="N12" s="52"/>
      <c r="O12" s="52"/>
      <c r="P12" s="52"/>
      <c r="Q12" s="52"/>
      <c r="R12" s="52"/>
      <c r="S12" s="182"/>
      <c r="T12" s="182"/>
      <c r="U12" s="182"/>
    </row>
    <row r="13" spans="1:27">
      <c r="B13" s="52"/>
      <c r="C13" s="52"/>
      <c r="D13" s="52"/>
      <c r="E13" s="52"/>
      <c r="F13" s="52"/>
      <c r="G13" s="52"/>
      <c r="H13" s="52"/>
      <c r="I13" s="52"/>
      <c r="J13" s="52"/>
      <c r="K13" s="52"/>
      <c r="L13" s="52"/>
      <c r="M13" s="52"/>
      <c r="N13" s="52"/>
      <c r="O13" s="52"/>
      <c r="P13" s="52"/>
      <c r="Q13" s="52"/>
      <c r="R13" s="52"/>
      <c r="S13" s="52"/>
      <c r="T13" s="182"/>
      <c r="U13" s="182"/>
    </row>
    <row r="14" spans="1:27">
      <c r="A14" s="3" t="s">
        <v>119</v>
      </c>
      <c r="B14" s="182"/>
      <c r="C14" s="52"/>
      <c r="D14" s="182"/>
      <c r="E14" s="52"/>
      <c r="F14" s="182"/>
      <c r="G14" s="52"/>
      <c r="H14" s="182"/>
      <c r="I14" s="52"/>
      <c r="J14" s="182"/>
      <c r="K14" s="52"/>
      <c r="L14" s="182"/>
      <c r="M14" s="52"/>
      <c r="N14" s="182"/>
      <c r="O14" s="52"/>
      <c r="P14" s="182"/>
      <c r="Q14" s="52"/>
      <c r="R14" s="182"/>
      <c r="S14" s="182"/>
      <c r="T14" s="182"/>
      <c r="U14" s="182"/>
    </row>
    <row r="15" spans="1:27">
      <c r="A15" t="s">
        <v>820</v>
      </c>
      <c r="B15" s="182">
        <v>258382.43</v>
      </c>
      <c r="C15" s="52"/>
      <c r="D15" s="182">
        <v>0</v>
      </c>
      <c r="E15" s="52"/>
      <c r="F15" s="325">
        <v>0</v>
      </c>
      <c r="G15" s="52"/>
      <c r="H15" s="325">
        <v>0</v>
      </c>
      <c r="I15" s="52"/>
      <c r="J15" s="325">
        <v>0</v>
      </c>
      <c r="K15" s="52"/>
      <c r="L15" s="325">
        <v>0</v>
      </c>
      <c r="M15" s="52"/>
      <c r="N15" s="325">
        <v>0</v>
      </c>
      <c r="O15" s="52"/>
      <c r="P15" s="325">
        <v>0</v>
      </c>
      <c r="Q15" s="52"/>
      <c r="R15" s="52">
        <f t="shared" ref="R15:R21" si="0">SUM(B15:P15)</f>
        <v>258382.43</v>
      </c>
      <c r="S15" s="182"/>
      <c r="T15" s="182"/>
      <c r="U15" s="182"/>
    </row>
    <row r="16" spans="1:27">
      <c r="A16" t="s">
        <v>139</v>
      </c>
      <c r="B16" s="182">
        <v>0</v>
      </c>
      <c r="C16" s="52"/>
      <c r="D16" s="182">
        <v>0</v>
      </c>
      <c r="E16" s="52"/>
      <c r="F16" s="325">
        <v>0</v>
      </c>
      <c r="G16" s="52"/>
      <c r="H16" s="325">
        <v>0</v>
      </c>
      <c r="I16" s="52"/>
      <c r="J16" s="325">
        <v>0</v>
      </c>
      <c r="K16" s="52"/>
      <c r="L16" s="325">
        <v>0</v>
      </c>
      <c r="M16" s="52"/>
      <c r="N16" s="325">
        <v>0</v>
      </c>
      <c r="O16" s="52"/>
      <c r="P16" s="325">
        <v>0</v>
      </c>
      <c r="Q16" s="52"/>
      <c r="R16" s="52">
        <f t="shared" si="0"/>
        <v>0</v>
      </c>
      <c r="S16" s="182"/>
      <c r="T16" s="182"/>
      <c r="U16" s="182"/>
    </row>
    <row r="17" spans="1:21">
      <c r="A17" t="s">
        <v>822</v>
      </c>
      <c r="B17" s="182">
        <v>195615.7</v>
      </c>
      <c r="C17" s="52"/>
      <c r="D17" s="182">
        <v>0</v>
      </c>
      <c r="E17" s="52"/>
      <c r="F17" s="325">
        <v>0</v>
      </c>
      <c r="G17" s="52"/>
      <c r="H17" s="325">
        <v>0</v>
      </c>
      <c r="I17" s="52"/>
      <c r="J17" s="325">
        <v>0</v>
      </c>
      <c r="K17" s="52"/>
      <c r="L17" s="325">
        <v>0</v>
      </c>
      <c r="M17" s="52"/>
      <c r="N17" s="325">
        <v>0</v>
      </c>
      <c r="O17" s="52"/>
      <c r="P17" s="325">
        <v>0</v>
      </c>
      <c r="Q17" s="52"/>
      <c r="R17" s="52">
        <f t="shared" si="0"/>
        <v>195615.7</v>
      </c>
      <c r="S17" s="182"/>
      <c r="T17" s="182"/>
      <c r="U17" s="182"/>
    </row>
    <row r="18" spans="1:21">
      <c r="A18" t="s">
        <v>207</v>
      </c>
      <c r="B18" s="182">
        <v>7075009.6200000001</v>
      </c>
      <c r="C18" s="52"/>
      <c r="D18" s="182">
        <v>0</v>
      </c>
      <c r="E18" s="52"/>
      <c r="F18" s="325">
        <v>0</v>
      </c>
      <c r="G18" s="52"/>
      <c r="H18" s="325">
        <v>0</v>
      </c>
      <c r="I18" s="52"/>
      <c r="J18" s="325">
        <v>0</v>
      </c>
      <c r="K18" s="52"/>
      <c r="L18" s="325">
        <v>0</v>
      </c>
      <c r="M18" s="52"/>
      <c r="N18" s="325">
        <v>0</v>
      </c>
      <c r="O18" s="52"/>
      <c r="P18" s="325">
        <v>0</v>
      </c>
      <c r="Q18" s="52"/>
      <c r="R18" s="52">
        <f t="shared" si="0"/>
        <v>7075009.6200000001</v>
      </c>
      <c r="S18" s="182"/>
      <c r="T18" s="182"/>
      <c r="U18" s="182"/>
    </row>
    <row r="19" spans="1:21">
      <c r="A19" t="s">
        <v>209</v>
      </c>
      <c r="B19" s="182">
        <v>2815712.13</v>
      </c>
      <c r="C19" s="52"/>
      <c r="D19" s="182">
        <v>0</v>
      </c>
      <c r="E19" s="52"/>
      <c r="F19" s="325">
        <v>0</v>
      </c>
      <c r="G19" s="52"/>
      <c r="H19" s="325">
        <v>0</v>
      </c>
      <c r="I19" s="52"/>
      <c r="J19" s="325">
        <v>0</v>
      </c>
      <c r="K19" s="52"/>
      <c r="L19" s="325">
        <v>0</v>
      </c>
      <c r="M19" s="52"/>
      <c r="N19" s="325">
        <v>0</v>
      </c>
      <c r="O19" s="52"/>
      <c r="P19" s="325">
        <v>0</v>
      </c>
      <c r="Q19" s="52"/>
      <c r="R19" s="52">
        <f t="shared" si="0"/>
        <v>2815712.13</v>
      </c>
      <c r="S19" s="182"/>
      <c r="T19" s="182"/>
      <c r="U19" s="182"/>
    </row>
    <row r="20" spans="1:21">
      <c r="A20" t="s">
        <v>994</v>
      </c>
      <c r="B20" s="182">
        <v>662778.22</v>
      </c>
      <c r="C20" s="52"/>
      <c r="D20" s="182">
        <v>0</v>
      </c>
      <c r="E20" s="52"/>
      <c r="F20" s="325">
        <v>0</v>
      </c>
      <c r="G20" s="52"/>
      <c r="H20" s="325">
        <v>0</v>
      </c>
      <c r="I20" s="52"/>
      <c r="J20" s="325">
        <v>0</v>
      </c>
      <c r="K20" s="52"/>
      <c r="L20" s="325">
        <v>0</v>
      </c>
      <c r="M20" s="52"/>
      <c r="N20" s="325">
        <v>0</v>
      </c>
      <c r="O20" s="52"/>
      <c r="P20" s="325">
        <v>0</v>
      </c>
      <c r="Q20" s="52"/>
      <c r="R20" s="52">
        <f t="shared" si="0"/>
        <v>662778.22</v>
      </c>
      <c r="S20" s="182"/>
      <c r="T20" s="182"/>
      <c r="U20" s="182"/>
    </row>
    <row r="21" spans="1:21">
      <c r="A21" t="s">
        <v>617</v>
      </c>
      <c r="B21" s="48">
        <v>1548653.72</v>
      </c>
      <c r="C21" s="52"/>
      <c r="D21" s="48">
        <v>0</v>
      </c>
      <c r="E21" s="52"/>
      <c r="F21" s="327">
        <v>0</v>
      </c>
      <c r="G21" s="52"/>
      <c r="H21" s="327">
        <v>0</v>
      </c>
      <c r="I21" s="52"/>
      <c r="J21" s="327">
        <v>0</v>
      </c>
      <c r="K21" s="52"/>
      <c r="L21" s="327">
        <v>0</v>
      </c>
      <c r="M21" s="52"/>
      <c r="N21" s="327">
        <v>0</v>
      </c>
      <c r="O21" s="52"/>
      <c r="P21" s="327">
        <v>0</v>
      </c>
      <c r="Q21" s="52"/>
      <c r="R21" s="48">
        <f t="shared" si="0"/>
        <v>1548653.72</v>
      </c>
      <c r="S21" s="182"/>
      <c r="T21" s="182"/>
      <c r="U21" s="182"/>
    </row>
    <row r="22" spans="1:21">
      <c r="B22" s="52">
        <f>SUM(B15:B21)</f>
        <v>12556151.82</v>
      </c>
      <c r="C22" s="52"/>
      <c r="D22" s="52">
        <f>SUM(D15:D21)</f>
        <v>0</v>
      </c>
      <c r="E22" s="52"/>
      <c r="F22" s="52">
        <f>SUM(F15:F21)</f>
        <v>0</v>
      </c>
      <c r="G22" s="52"/>
      <c r="H22" s="52">
        <f>SUM(H15:H21)</f>
        <v>0</v>
      </c>
      <c r="I22" s="52"/>
      <c r="J22" s="52">
        <f>SUM(J15:J21)</f>
        <v>0</v>
      </c>
      <c r="K22" s="52"/>
      <c r="L22" s="52">
        <f>SUM(L15:L21)</f>
        <v>0</v>
      </c>
      <c r="M22" s="52"/>
      <c r="N22" s="52">
        <f>SUM(N15:N21)</f>
        <v>0</v>
      </c>
      <c r="O22" s="52"/>
      <c r="P22" s="52">
        <f>SUM(P15:P21)</f>
        <v>0</v>
      </c>
      <c r="Q22" s="52"/>
      <c r="R22" s="52">
        <f>SUM(R15:R21)</f>
        <v>12556151.82</v>
      </c>
      <c r="S22" s="52"/>
      <c r="T22" s="182"/>
      <c r="U22" s="182"/>
    </row>
    <row r="23" spans="1:21">
      <c r="B23" s="52"/>
      <c r="C23" s="52"/>
      <c r="D23" s="52"/>
      <c r="E23" s="52"/>
      <c r="F23" s="52"/>
      <c r="G23" s="52"/>
      <c r="H23" s="52"/>
      <c r="I23" s="52"/>
      <c r="J23" s="52"/>
      <c r="K23" s="52"/>
      <c r="L23" s="52"/>
      <c r="M23" s="52"/>
      <c r="N23" s="52"/>
      <c r="O23" s="52"/>
      <c r="P23" s="52"/>
      <c r="Q23" s="52"/>
      <c r="R23" s="52"/>
      <c r="S23" s="52"/>
      <c r="T23" s="182"/>
      <c r="U23" s="182"/>
    </row>
    <row r="24" spans="1:21">
      <c r="B24" s="182"/>
      <c r="C24" s="52"/>
      <c r="D24" s="182"/>
      <c r="E24" s="52"/>
      <c r="F24" s="182"/>
      <c r="G24" s="52"/>
      <c r="H24" s="182"/>
      <c r="I24" s="52"/>
      <c r="J24" s="182"/>
      <c r="K24" s="52"/>
      <c r="L24" s="182"/>
      <c r="M24" s="52"/>
      <c r="N24" s="182"/>
      <c r="O24" s="52"/>
      <c r="P24" s="182"/>
      <c r="Q24" s="52"/>
      <c r="R24" s="182"/>
      <c r="S24" s="182"/>
      <c r="T24" s="182"/>
      <c r="U24" s="182"/>
    </row>
    <row r="25" spans="1:21" ht="13.5" thickBot="1">
      <c r="A25" s="3" t="s">
        <v>42</v>
      </c>
      <c r="B25" s="46">
        <f>B22+B11</f>
        <v>12556151.82</v>
      </c>
      <c r="C25" s="52"/>
      <c r="D25" s="46">
        <f>D22+D11</f>
        <v>0</v>
      </c>
      <c r="E25" s="52"/>
      <c r="F25" s="46">
        <f>F22+F11</f>
        <v>0</v>
      </c>
      <c r="G25" s="52"/>
      <c r="H25" s="46">
        <f>H22+H11</f>
        <v>0</v>
      </c>
      <c r="I25" s="52"/>
      <c r="J25" s="46">
        <f>J22+J11</f>
        <v>0</v>
      </c>
      <c r="K25" s="52"/>
      <c r="L25" s="46">
        <f>L22+L11</f>
        <v>0</v>
      </c>
      <c r="M25" s="52"/>
      <c r="N25" s="46">
        <f>N22+N11</f>
        <v>0</v>
      </c>
      <c r="O25" s="52"/>
      <c r="P25" s="46">
        <f>P22+P11</f>
        <v>0</v>
      </c>
      <c r="Q25" s="52"/>
      <c r="R25" s="46">
        <f>R22+R11</f>
        <v>12556151.82</v>
      </c>
      <c r="S25" s="182"/>
      <c r="T25" s="182"/>
      <c r="U25" s="182"/>
    </row>
    <row r="26" spans="1:21" ht="13.5" thickTop="1">
      <c r="B26" s="4"/>
      <c r="C26" s="55"/>
      <c r="D26" s="4"/>
      <c r="E26" s="55"/>
      <c r="F26" s="4"/>
      <c r="G26" s="55"/>
      <c r="H26" s="4"/>
      <c r="I26" s="55"/>
      <c r="J26" s="4"/>
      <c r="K26" s="55"/>
      <c r="L26" s="4"/>
      <c r="M26" s="55"/>
      <c r="N26" s="4"/>
      <c r="O26" s="55"/>
      <c r="P26" s="4"/>
      <c r="Q26" s="55"/>
      <c r="R26" s="4"/>
    </row>
    <row r="28" spans="1:21">
      <c r="A28" s="3" t="s">
        <v>124</v>
      </c>
      <c r="B28" s="52"/>
      <c r="C28" s="52"/>
      <c r="D28" s="52"/>
      <c r="E28" s="52"/>
      <c r="F28" s="52"/>
      <c r="G28" s="52"/>
      <c r="H28" s="52"/>
      <c r="I28" s="52"/>
      <c r="J28" s="52"/>
      <c r="K28" s="52"/>
      <c r="L28" s="52"/>
      <c r="M28" s="52"/>
      <c r="N28" s="52"/>
      <c r="O28" s="52"/>
      <c r="P28" s="52"/>
      <c r="Q28" s="52"/>
      <c r="R28" s="52"/>
      <c r="S28" s="7"/>
      <c r="T28" s="7"/>
      <c r="U28" s="7"/>
    </row>
    <row r="29" spans="1:21">
      <c r="A29" t="s">
        <v>619</v>
      </c>
      <c r="B29" s="52">
        <v>59408.76</v>
      </c>
      <c r="C29" s="52"/>
      <c r="D29" s="52">
        <v>0</v>
      </c>
      <c r="E29" s="52"/>
      <c r="F29" s="326">
        <v>0</v>
      </c>
      <c r="G29" s="52"/>
      <c r="H29" s="326">
        <v>0</v>
      </c>
      <c r="I29" s="52"/>
      <c r="J29" s="326">
        <v>0</v>
      </c>
      <c r="K29" s="52"/>
      <c r="L29" s="326">
        <v>0</v>
      </c>
      <c r="M29" s="52"/>
      <c r="N29" s="326">
        <v>0</v>
      </c>
      <c r="O29" s="52"/>
      <c r="P29" s="326">
        <v>0</v>
      </c>
      <c r="Q29" s="52"/>
      <c r="R29" s="182">
        <f t="shared" ref="R29:R35" si="1">SUM(B29:P29)</f>
        <v>59408.76</v>
      </c>
      <c r="S29" s="7"/>
      <c r="T29" s="7"/>
      <c r="U29" s="7"/>
    </row>
    <row r="30" spans="1:21">
      <c r="A30" t="s">
        <v>621</v>
      </c>
      <c r="B30" s="52">
        <v>248453.4</v>
      </c>
      <c r="C30" s="52"/>
      <c r="D30" s="52">
        <v>0</v>
      </c>
      <c r="E30" s="52"/>
      <c r="F30" s="326">
        <v>0</v>
      </c>
      <c r="G30" s="52"/>
      <c r="H30" s="326">
        <v>0</v>
      </c>
      <c r="I30" s="52"/>
      <c r="J30" s="326">
        <v>0</v>
      </c>
      <c r="K30" s="52"/>
      <c r="L30" s="326">
        <v>0</v>
      </c>
      <c r="M30" s="52"/>
      <c r="N30" s="326">
        <v>0</v>
      </c>
      <c r="O30" s="52"/>
      <c r="P30" s="326">
        <v>0</v>
      </c>
      <c r="Q30" s="52"/>
      <c r="R30" s="182">
        <f t="shared" si="1"/>
        <v>248453.4</v>
      </c>
      <c r="S30" s="7"/>
      <c r="T30" s="7"/>
      <c r="U30" s="7"/>
    </row>
    <row r="31" spans="1:21">
      <c r="A31" t="s">
        <v>999</v>
      </c>
      <c r="B31" s="52">
        <v>554117.05000000005</v>
      </c>
      <c r="C31" s="52"/>
      <c r="D31" s="52">
        <v>0</v>
      </c>
      <c r="E31" s="52"/>
      <c r="F31" s="326">
        <v>0</v>
      </c>
      <c r="G31" s="52"/>
      <c r="H31" s="326">
        <v>0</v>
      </c>
      <c r="I31" s="52"/>
      <c r="J31" s="326">
        <v>0</v>
      </c>
      <c r="K31" s="52"/>
      <c r="L31" s="326">
        <v>0</v>
      </c>
      <c r="M31" s="52"/>
      <c r="N31" s="326">
        <v>0</v>
      </c>
      <c r="O31" s="52"/>
      <c r="P31" s="326">
        <v>0</v>
      </c>
      <c r="Q31" s="52"/>
      <c r="R31" s="182">
        <f t="shared" si="1"/>
        <v>554117.05000000005</v>
      </c>
      <c r="S31" s="7"/>
      <c r="T31" s="7"/>
      <c r="U31" s="7"/>
    </row>
    <row r="32" spans="1:21">
      <c r="A32" t="s">
        <v>1091</v>
      </c>
      <c r="B32" s="52">
        <v>251826.76</v>
      </c>
      <c r="C32" s="52"/>
      <c r="D32" s="52">
        <v>0</v>
      </c>
      <c r="E32" s="52"/>
      <c r="F32" s="326">
        <v>0</v>
      </c>
      <c r="G32" s="52"/>
      <c r="H32" s="326">
        <v>0</v>
      </c>
      <c r="I32" s="52"/>
      <c r="J32" s="326">
        <v>0</v>
      </c>
      <c r="K32" s="52"/>
      <c r="L32" s="326">
        <v>0</v>
      </c>
      <c r="M32" s="52"/>
      <c r="N32" s="326">
        <v>0</v>
      </c>
      <c r="O32" s="52"/>
      <c r="P32" s="326">
        <v>0</v>
      </c>
      <c r="Q32" s="52"/>
      <c r="R32" s="325">
        <f t="shared" si="1"/>
        <v>251826.76</v>
      </c>
      <c r="S32" s="7"/>
      <c r="T32" s="7"/>
      <c r="U32" s="7"/>
    </row>
    <row r="33" spans="1:21">
      <c r="A33" t="s">
        <v>1001</v>
      </c>
      <c r="B33" s="52">
        <v>438358.26999999996</v>
      </c>
      <c r="C33" s="52"/>
      <c r="D33" s="52">
        <v>0</v>
      </c>
      <c r="E33" s="52"/>
      <c r="F33" s="326">
        <v>-2143.48</v>
      </c>
      <c r="G33" s="52"/>
      <c r="H33" s="326">
        <v>0</v>
      </c>
      <c r="I33" s="52"/>
      <c r="J33" s="326">
        <v>0</v>
      </c>
      <c r="K33" s="52"/>
      <c r="L33" s="326">
        <v>0</v>
      </c>
      <c r="M33" s="52"/>
      <c r="N33" s="326">
        <v>0</v>
      </c>
      <c r="O33" s="52"/>
      <c r="P33" s="326">
        <v>0</v>
      </c>
      <c r="Q33" s="52"/>
      <c r="R33" s="182">
        <f>SUM(B33:P33)</f>
        <v>436214.79</v>
      </c>
      <c r="S33" s="7"/>
      <c r="T33" s="7"/>
      <c r="U33" s="7"/>
    </row>
    <row r="34" spans="1:21">
      <c r="A34" t="s">
        <v>22</v>
      </c>
      <c r="B34" s="52">
        <v>0</v>
      </c>
      <c r="C34" s="52"/>
      <c r="D34" s="52">
        <v>0</v>
      </c>
      <c r="E34" s="52"/>
      <c r="F34" s="326">
        <v>0</v>
      </c>
      <c r="G34" s="52"/>
      <c r="H34" s="326">
        <v>0</v>
      </c>
      <c r="I34" s="52"/>
      <c r="J34" s="326">
        <v>0</v>
      </c>
      <c r="K34" s="52"/>
      <c r="L34" s="326">
        <v>0</v>
      </c>
      <c r="M34" s="52"/>
      <c r="N34" s="326">
        <v>0</v>
      </c>
      <c r="O34" s="52"/>
      <c r="P34" s="326">
        <v>0</v>
      </c>
      <c r="Q34" s="52"/>
      <c r="R34" s="182">
        <f t="shared" si="1"/>
        <v>0</v>
      </c>
      <c r="S34" s="7"/>
      <c r="T34" s="7"/>
      <c r="U34" s="7"/>
    </row>
    <row r="35" spans="1:21">
      <c r="A35" t="s">
        <v>1003</v>
      </c>
      <c r="B35" s="48">
        <v>40962.85</v>
      </c>
      <c r="C35" s="52"/>
      <c r="D35" s="48">
        <v>0</v>
      </c>
      <c r="E35" s="52"/>
      <c r="F35" s="327">
        <v>0</v>
      </c>
      <c r="G35" s="52"/>
      <c r="H35" s="327">
        <v>0</v>
      </c>
      <c r="I35" s="52"/>
      <c r="J35" s="327">
        <v>0</v>
      </c>
      <c r="K35" s="52"/>
      <c r="L35" s="327">
        <v>0</v>
      </c>
      <c r="M35" s="52"/>
      <c r="N35" s="327">
        <v>0</v>
      </c>
      <c r="O35" s="52"/>
      <c r="P35" s="327">
        <v>0</v>
      </c>
      <c r="Q35" s="52"/>
      <c r="R35" s="48">
        <f t="shared" si="1"/>
        <v>40962.85</v>
      </c>
      <c r="S35" s="7"/>
      <c r="T35" s="7"/>
      <c r="U35" s="7"/>
    </row>
    <row r="36" spans="1:21">
      <c r="B36" s="89">
        <f>SUM(B29:B35)</f>
        <v>1593127.09</v>
      </c>
      <c r="D36" s="89">
        <f>SUM(D29:D35)</f>
        <v>0</v>
      </c>
      <c r="F36" s="89">
        <f>SUM(F29:F35)</f>
        <v>-2143.48</v>
      </c>
      <c r="H36" s="89">
        <f>SUM(H29:H35)</f>
        <v>0</v>
      </c>
      <c r="J36" s="89">
        <f>SUM(J29:J35)</f>
        <v>0</v>
      </c>
      <c r="L36" s="89">
        <f>SUM(L29:L35)</f>
        <v>0</v>
      </c>
      <c r="N36" s="89">
        <f>SUM(N29:N35)</f>
        <v>0</v>
      </c>
      <c r="P36" s="89">
        <f>SUM(P29:P35)</f>
        <v>0</v>
      </c>
      <c r="R36" s="89">
        <f>SUM(R29:R35)</f>
        <v>1590983.61</v>
      </c>
    </row>
    <row r="39" spans="1:21" ht="13.5" thickBot="1">
      <c r="A39" s="3" t="s">
        <v>40</v>
      </c>
      <c r="B39" s="46">
        <f>B36+B24</f>
        <v>1593127.09</v>
      </c>
      <c r="C39" s="52"/>
      <c r="D39" s="46">
        <f>D36+D24</f>
        <v>0</v>
      </c>
      <c r="E39" s="52"/>
      <c r="F39" s="46">
        <f>F36+F24</f>
        <v>-2143.48</v>
      </c>
      <c r="G39" s="52"/>
      <c r="H39" s="46">
        <f>H36+H24</f>
        <v>0</v>
      </c>
      <c r="I39" s="52"/>
      <c r="J39" s="46">
        <f>J36+J24</f>
        <v>0</v>
      </c>
      <c r="K39" s="52"/>
      <c r="L39" s="46">
        <f>L36+L24</f>
        <v>0</v>
      </c>
      <c r="M39" s="52"/>
      <c r="N39" s="46">
        <f>N36+N24</f>
        <v>0</v>
      </c>
      <c r="O39" s="52"/>
      <c r="P39" s="46">
        <f>P36+P24</f>
        <v>0</v>
      </c>
      <c r="Q39" s="52"/>
      <c r="R39" s="46">
        <f>R36+R24</f>
        <v>1590983.61</v>
      </c>
      <c r="S39" s="182"/>
      <c r="T39" s="182"/>
      <c r="U39" s="182"/>
    </row>
    <row r="40" spans="1:21" ht="13.5" thickTop="1"/>
    <row r="42" spans="1:21" s="10" customFormat="1">
      <c r="A42" s="12" t="s">
        <v>455</v>
      </c>
      <c r="C42" s="71"/>
      <c r="E42" s="71"/>
      <c r="G42" s="71"/>
      <c r="I42" s="71"/>
      <c r="K42" s="71"/>
      <c r="M42" s="71"/>
      <c r="O42" s="71"/>
      <c r="Q42" s="71"/>
    </row>
    <row r="43" spans="1:21" s="10" customFormat="1">
      <c r="A43" s="10" t="s">
        <v>816</v>
      </c>
      <c r="B43" s="64">
        <v>488750.9</v>
      </c>
      <c r="C43" s="65"/>
      <c r="D43" s="64">
        <v>0</v>
      </c>
      <c r="E43" s="65"/>
      <c r="F43" s="64">
        <v>0</v>
      </c>
      <c r="G43" s="65"/>
      <c r="H43" s="64">
        <v>0</v>
      </c>
      <c r="I43" s="65"/>
      <c r="J43" s="64">
        <v>0</v>
      </c>
      <c r="K43" s="65"/>
      <c r="L43" s="64">
        <v>0</v>
      </c>
      <c r="M43" s="65"/>
      <c r="N43" s="64">
        <v>0</v>
      </c>
      <c r="O43" s="65"/>
      <c r="P43" s="64">
        <v>0</v>
      </c>
      <c r="Q43" s="65"/>
      <c r="R43" s="64">
        <f>SUM(B43:P43)</f>
        <v>488750.9</v>
      </c>
      <c r="S43" s="64"/>
    </row>
    <row r="44" spans="1:21" s="10" customFormat="1">
      <c r="B44" s="65"/>
      <c r="C44" s="65"/>
      <c r="D44" s="65"/>
      <c r="E44" s="65"/>
      <c r="F44" s="65"/>
      <c r="G44" s="65"/>
      <c r="H44" s="65"/>
      <c r="I44" s="65"/>
      <c r="J44" s="65"/>
      <c r="K44" s="65"/>
      <c r="L44" s="65"/>
      <c r="M44" s="65"/>
      <c r="N44" s="65"/>
      <c r="O44" s="65"/>
      <c r="P44" s="65"/>
      <c r="Q44" s="65"/>
      <c r="R44" s="65"/>
      <c r="S44" s="64"/>
    </row>
    <row r="45" spans="1:21" s="10" customFormat="1">
      <c r="B45" s="64"/>
      <c r="C45" s="65"/>
      <c r="D45" s="64"/>
      <c r="E45" s="65"/>
      <c r="F45" s="64"/>
      <c r="G45" s="65"/>
      <c r="H45" s="64"/>
      <c r="I45" s="65"/>
      <c r="J45" s="64"/>
      <c r="K45" s="65"/>
      <c r="L45" s="64"/>
      <c r="M45" s="65"/>
      <c r="N45" s="64"/>
      <c r="O45" s="65"/>
      <c r="P45" s="64"/>
      <c r="Q45" s="65"/>
      <c r="R45" s="64"/>
      <c r="S45" s="64"/>
    </row>
    <row r="46" spans="1:21" s="10" customFormat="1" ht="13.5" thickBot="1">
      <c r="A46" s="12" t="s">
        <v>44</v>
      </c>
      <c r="B46" s="91">
        <f>B43</f>
        <v>488750.9</v>
      </c>
      <c r="C46" s="65"/>
      <c r="D46" s="91">
        <f>D43</f>
        <v>0</v>
      </c>
      <c r="E46" s="65"/>
      <c r="F46" s="91">
        <f>F43</f>
        <v>0</v>
      </c>
      <c r="G46" s="65"/>
      <c r="H46" s="91">
        <f>H43</f>
        <v>0</v>
      </c>
      <c r="I46" s="65"/>
      <c r="J46" s="91">
        <f>J43</f>
        <v>0</v>
      </c>
      <c r="K46" s="65"/>
      <c r="L46" s="91">
        <f>L43</f>
        <v>0</v>
      </c>
      <c r="M46" s="65"/>
      <c r="N46" s="91">
        <f>N43</f>
        <v>0</v>
      </c>
      <c r="O46" s="65"/>
      <c r="P46" s="91">
        <f>P43</f>
        <v>0</v>
      </c>
      <c r="Q46" s="65"/>
      <c r="R46" s="91">
        <f>R43</f>
        <v>488750.9</v>
      </c>
      <c r="S46" s="64"/>
    </row>
    <row r="47" spans="1:21" ht="13.5" thickTop="1"/>
    <row r="50" spans="1:18" ht="13.5" thickBot="1">
      <c r="A50" s="3" t="s">
        <v>142</v>
      </c>
      <c r="B50" s="92">
        <f>B39+B25+B46</f>
        <v>14638029.810000001</v>
      </c>
      <c r="D50" s="92">
        <f>D39+D25+D46</f>
        <v>0</v>
      </c>
      <c r="F50" s="92">
        <f>F39+F25+F46</f>
        <v>-2143.48</v>
      </c>
      <c r="H50" s="92">
        <f>H39+H25+H46</f>
        <v>0</v>
      </c>
      <c r="J50" s="92">
        <f>J39+J25+J46</f>
        <v>0</v>
      </c>
      <c r="L50" s="92">
        <f>L39+L25+L46</f>
        <v>0</v>
      </c>
      <c r="N50" s="92">
        <f>N39+N25+N46</f>
        <v>0</v>
      </c>
      <c r="P50" s="92">
        <f>P39+P25+P46</f>
        <v>0</v>
      </c>
      <c r="R50" s="92">
        <f>R39+R25+R46</f>
        <v>14635886.33</v>
      </c>
    </row>
    <row r="51" spans="1:18" ht="13.5" thickTop="1"/>
  </sheetData>
  <mergeCells count="3">
    <mergeCell ref="A1:R1"/>
    <mergeCell ref="A2:R2"/>
    <mergeCell ref="A3:R3"/>
  </mergeCells>
  <pageMargins left="0.75" right="0.75" top="1" bottom="1" header="0.5" footer="0.5"/>
  <pageSetup scale="57" fitToHeight="2" orientation="landscape" r:id="rId1"/>
  <headerFooter alignWithMargins="0">
    <oddFooter>&amp;L&amp;Z
&amp;F&amp;C&amp;A&amp;R30.&amp;P</oddFooter>
  </headerFooter>
</worksheet>
</file>

<file path=xl/worksheets/sheet15.xml><?xml version="1.0" encoding="utf-8"?>
<worksheet xmlns="http://schemas.openxmlformats.org/spreadsheetml/2006/main" xmlns:r="http://schemas.openxmlformats.org/officeDocument/2006/relationships">
  <sheetPr codeName="Sheet15"/>
  <dimension ref="A1:C1"/>
  <sheetViews>
    <sheetView workbookViewId="0"/>
  </sheetViews>
  <sheetFormatPr defaultColWidth="25.7109375" defaultRowHeight="13.5"/>
  <cols>
    <col min="1" max="16384" width="25.7109375" style="14"/>
  </cols>
  <sheetData>
    <row r="1" spans="1:3">
      <c r="A1" s="14">
        <v>0</v>
      </c>
      <c r="B1" s="14">
        <v>18</v>
      </c>
      <c r="C1" s="14" t="s">
        <v>792</v>
      </c>
    </row>
  </sheetData>
  <customSheetViews>
    <customSheetView guid="{6B74E52F-9552-408A-8775-25AFF24E6639}" state="hidden" showRuler="0">
      <pageMargins left="0.75" right="0.75" top="1" bottom="1" header="0.5" footer="0.5"/>
      <headerFooter alignWithMargins="0"/>
    </customSheetView>
  </customSheetViews>
  <phoneticPr fontId="4" type="noConversion"/>
  <pageMargins left="0.75" right="0.75" top="1" bottom="1" header="0.5" footer="0.5"/>
  <headerFooter alignWithMargins="0"/>
</worksheet>
</file>

<file path=xl/worksheets/sheet16.xml><?xml version="1.0" encoding="utf-8"?>
<worksheet xmlns="http://schemas.openxmlformats.org/spreadsheetml/2006/main" xmlns:r="http://schemas.openxmlformats.org/officeDocument/2006/relationships">
  <sheetPr codeName="Sheet16"/>
  <dimension ref="A1:AA25"/>
  <sheetViews>
    <sheetView workbookViewId="0">
      <selection activeCell="A5" sqref="A5:R5"/>
    </sheetView>
  </sheetViews>
  <sheetFormatPr defaultColWidth="25.7109375" defaultRowHeight="13.5"/>
  <cols>
    <col min="1" max="16384" width="25.7109375" style="14"/>
  </cols>
  <sheetData>
    <row r="1" spans="1:27">
      <c r="A1" s="14">
        <v>1</v>
      </c>
      <c r="B1" s="14">
        <v>27</v>
      </c>
      <c r="C1" s="14" t="s">
        <v>759</v>
      </c>
    </row>
    <row r="2" spans="1:27">
      <c r="A2" s="14">
        <v>0</v>
      </c>
      <c r="B2" s="14">
        <v>0</v>
      </c>
      <c r="D2" s="14">
        <v>101</v>
      </c>
      <c r="E2" s="14">
        <v>3841</v>
      </c>
      <c r="F2" s="18">
        <v>39410.54210648148</v>
      </c>
      <c r="G2" s="14">
        <v>1068</v>
      </c>
      <c r="H2" s="14">
        <v>13279845</v>
      </c>
      <c r="I2" s="18">
        <v>38568.400509259256</v>
      </c>
      <c r="J2" s="14">
        <v>1071</v>
      </c>
      <c r="K2" s="17" t="s">
        <v>240</v>
      </c>
      <c r="L2" s="14">
        <v>3301</v>
      </c>
      <c r="M2" s="14">
        <v>3300</v>
      </c>
      <c r="N2" s="14" t="s">
        <v>756</v>
      </c>
      <c r="P2" s="14">
        <v>1581</v>
      </c>
      <c r="R2" s="14">
        <v>3942</v>
      </c>
      <c r="T2" s="14" t="s">
        <v>736</v>
      </c>
      <c r="U2" s="14">
        <v>101</v>
      </c>
      <c r="V2" s="17" t="s">
        <v>744</v>
      </c>
      <c r="W2" s="17" t="s">
        <v>744</v>
      </c>
      <c r="Y2" s="17" t="s">
        <v>241</v>
      </c>
      <c r="Z2" s="14" t="s">
        <v>734</v>
      </c>
      <c r="AA2" s="14" t="s">
        <v>242</v>
      </c>
    </row>
    <row r="4" spans="1:27">
      <c r="A4" s="14">
        <v>1</v>
      </c>
      <c r="B4" s="14">
        <v>18</v>
      </c>
    </row>
    <row r="5" spans="1:27">
      <c r="A5" s="14">
        <v>0</v>
      </c>
      <c r="B5" s="14">
        <v>0</v>
      </c>
      <c r="D5" s="14" t="s">
        <v>902</v>
      </c>
      <c r="E5" s="14">
        <v>101</v>
      </c>
      <c r="F5" s="14">
        <v>3300</v>
      </c>
      <c r="G5" s="16">
        <v>38568</v>
      </c>
      <c r="H5" s="14">
        <v>1071</v>
      </c>
      <c r="I5" s="14">
        <v>1071</v>
      </c>
      <c r="J5" s="16">
        <v>38568</v>
      </c>
      <c r="K5" s="14">
        <v>1071</v>
      </c>
      <c r="L5" s="14" t="s">
        <v>903</v>
      </c>
      <c r="M5" s="14" t="s">
        <v>734</v>
      </c>
      <c r="N5" s="14" t="s">
        <v>904</v>
      </c>
      <c r="O5" s="14" t="s">
        <v>239</v>
      </c>
      <c r="P5" s="14" t="s">
        <v>736</v>
      </c>
      <c r="Q5" s="14">
        <v>101</v>
      </c>
    </row>
    <row r="9" spans="1:27">
      <c r="A9">
        <v>1</v>
      </c>
      <c r="B9">
        <v>18</v>
      </c>
      <c r="C9" t="s">
        <v>765</v>
      </c>
      <c r="D9"/>
      <c r="E9"/>
      <c r="F9"/>
      <c r="G9"/>
      <c r="H9"/>
      <c r="I9"/>
      <c r="J9"/>
      <c r="K9"/>
      <c r="L9"/>
      <c r="M9"/>
      <c r="N9"/>
      <c r="O9"/>
      <c r="P9"/>
      <c r="Q9"/>
      <c r="R9"/>
    </row>
    <row r="10" spans="1:27">
      <c r="A10">
        <v>0</v>
      </c>
      <c r="B10">
        <v>0</v>
      </c>
      <c r="C10"/>
      <c r="D10">
        <v>101</v>
      </c>
      <c r="E10">
        <v>3301</v>
      </c>
      <c r="F10" s="15">
        <v>38568.409583333334</v>
      </c>
      <c r="G10">
        <v>1071</v>
      </c>
      <c r="H10">
        <v>1071</v>
      </c>
      <c r="I10" s="15">
        <v>38568.399768518517</v>
      </c>
      <c r="J10">
        <v>1071</v>
      </c>
      <c r="K10" s="19" t="s">
        <v>243</v>
      </c>
      <c r="L10" t="s">
        <v>756</v>
      </c>
      <c r="M10" s="19" t="s">
        <v>244</v>
      </c>
      <c r="N10">
        <v>0</v>
      </c>
      <c r="O10" s="19" t="s">
        <v>744</v>
      </c>
      <c r="P10" t="s">
        <v>736</v>
      </c>
      <c r="Q10">
        <v>101</v>
      </c>
      <c r="R10" t="s">
        <v>245</v>
      </c>
    </row>
    <row r="14" spans="1:27">
      <c r="A14">
        <v>1</v>
      </c>
      <c r="B14">
        <v>16</v>
      </c>
      <c r="C14" t="s">
        <v>770</v>
      </c>
      <c r="D14"/>
      <c r="E14"/>
      <c r="F14"/>
      <c r="G14"/>
      <c r="H14"/>
      <c r="I14"/>
      <c r="J14"/>
      <c r="K14"/>
      <c r="L14"/>
      <c r="M14"/>
      <c r="N14"/>
      <c r="O14"/>
      <c r="P14"/>
    </row>
    <row r="15" spans="1:27">
      <c r="A15">
        <v>0</v>
      </c>
      <c r="B15">
        <v>0</v>
      </c>
      <c r="C15"/>
      <c r="D15">
        <v>101</v>
      </c>
      <c r="E15">
        <v>1581</v>
      </c>
      <c r="F15" s="15">
        <v>39410.531921296293</v>
      </c>
      <c r="G15">
        <v>1068</v>
      </c>
      <c r="H15">
        <v>13279845</v>
      </c>
      <c r="I15" s="15">
        <v>39410.531921296293</v>
      </c>
      <c r="J15">
        <v>1068</v>
      </c>
      <c r="K15" s="19" t="s">
        <v>766</v>
      </c>
      <c r="L15" t="s">
        <v>767</v>
      </c>
      <c r="M15" t="s">
        <v>736</v>
      </c>
      <c r="N15">
        <v>101</v>
      </c>
      <c r="O15" s="19" t="s">
        <v>768</v>
      </c>
      <c r="P15" t="s">
        <v>769</v>
      </c>
    </row>
    <row r="19" spans="1:18">
      <c r="A19">
        <v>1</v>
      </c>
      <c r="B19">
        <v>18</v>
      </c>
      <c r="C19" t="s">
        <v>772</v>
      </c>
      <c r="D19"/>
      <c r="E19"/>
      <c r="F19"/>
      <c r="G19"/>
      <c r="H19"/>
      <c r="I19"/>
      <c r="J19"/>
      <c r="K19"/>
      <c r="L19"/>
      <c r="M19"/>
      <c r="N19"/>
      <c r="O19"/>
      <c r="P19"/>
      <c r="Q19"/>
      <c r="R19"/>
    </row>
    <row r="20" spans="1:18">
      <c r="A20">
        <v>0</v>
      </c>
      <c r="B20">
        <v>0</v>
      </c>
      <c r="C20"/>
      <c r="D20"/>
      <c r="E20"/>
      <c r="F20" s="20">
        <v>0</v>
      </c>
      <c r="G20"/>
      <c r="H20"/>
      <c r="I20" s="20">
        <v>0</v>
      </c>
      <c r="J20"/>
      <c r="K20" s="19" t="s">
        <v>744</v>
      </c>
      <c r="L20" t="s">
        <v>771</v>
      </c>
      <c r="M20"/>
      <c r="N20"/>
      <c r="O20" s="19" t="s">
        <v>744</v>
      </c>
      <c r="P20"/>
      <c r="Q20" s="19" t="s">
        <v>744</v>
      </c>
      <c r="R20"/>
    </row>
    <row r="24" spans="1:18">
      <c r="A24">
        <v>1</v>
      </c>
      <c r="B24">
        <v>14</v>
      </c>
      <c r="C24" t="s">
        <v>773</v>
      </c>
      <c r="D24"/>
      <c r="E24"/>
      <c r="F24"/>
      <c r="G24"/>
      <c r="H24"/>
      <c r="I24"/>
      <c r="J24"/>
      <c r="K24"/>
      <c r="L24"/>
      <c r="M24"/>
      <c r="N24"/>
    </row>
    <row r="25" spans="1:18">
      <c r="A25">
        <v>0</v>
      </c>
      <c r="B25">
        <v>0</v>
      </c>
      <c r="C25"/>
      <c r="D25"/>
      <c r="E25" s="19" t="s">
        <v>744</v>
      </c>
      <c r="F25" s="20">
        <v>0</v>
      </c>
      <c r="G25"/>
      <c r="H25" s="20">
        <v>0</v>
      </c>
      <c r="I25"/>
      <c r="J25"/>
      <c r="K25"/>
      <c r="L25"/>
      <c r="M25" s="19" t="s">
        <v>744</v>
      </c>
      <c r="N25"/>
    </row>
  </sheetData>
  <customSheetViews>
    <customSheetView guid="{6B74E52F-9552-408A-8775-25AFF24E6639}" state="hidden" showRuler="0">
      <selection activeCell="A5" sqref="A5:R5"/>
      <pageMargins left="0.75" right="0.75" top="1" bottom="1" header="0.5" footer="0.5"/>
      <headerFooter alignWithMargins="0"/>
    </customSheetView>
  </customSheetViews>
  <phoneticPr fontId="4" type="noConversion"/>
  <pageMargins left="0.75" right="0.75" top="1" bottom="1" header="0.5" footer="0.5"/>
  <headerFooter alignWithMargins="0"/>
</worksheet>
</file>

<file path=xl/worksheets/sheet17.xml><?xml version="1.0" encoding="utf-8"?>
<worksheet xmlns="http://schemas.openxmlformats.org/spreadsheetml/2006/main" xmlns:r="http://schemas.openxmlformats.org/officeDocument/2006/relationships">
  <sheetPr codeName="Sheet17"/>
  <dimension ref="A1:L24"/>
  <sheetViews>
    <sheetView workbookViewId="0"/>
  </sheetViews>
  <sheetFormatPr defaultRowHeight="12.75"/>
  <cols>
    <col min="1" max="1" width="28.28515625" bestFit="1" customWidth="1"/>
    <col min="2" max="2" width="18.42578125" bestFit="1" customWidth="1"/>
    <col min="3" max="3" width="14.7109375" bestFit="1" customWidth="1"/>
    <col min="4" max="5" width="19.85546875" bestFit="1" customWidth="1"/>
    <col min="6" max="6" width="11.140625" bestFit="1" customWidth="1"/>
  </cols>
  <sheetData>
    <row r="1" spans="1:12">
      <c r="A1" t="s">
        <v>155</v>
      </c>
      <c r="B1">
        <v>1</v>
      </c>
      <c r="C1" t="s">
        <v>156</v>
      </c>
      <c r="D1" t="s">
        <v>157</v>
      </c>
      <c r="E1" t="s">
        <v>158</v>
      </c>
      <c r="F1" t="s">
        <v>159</v>
      </c>
      <c r="G1" t="s">
        <v>160</v>
      </c>
      <c r="H1" t="s">
        <v>157</v>
      </c>
      <c r="I1" t="s">
        <v>161</v>
      </c>
      <c r="J1">
        <v>4</v>
      </c>
      <c r="K1" t="s">
        <v>162</v>
      </c>
      <c r="L1">
        <v>4</v>
      </c>
    </row>
    <row r="2" spans="1:12">
      <c r="A2" t="s">
        <v>163</v>
      </c>
      <c r="B2" t="s">
        <v>815</v>
      </c>
      <c r="C2" t="s">
        <v>164</v>
      </c>
      <c r="D2" t="s">
        <v>165</v>
      </c>
      <c r="E2" t="s">
        <v>166</v>
      </c>
      <c r="F2" t="s">
        <v>167</v>
      </c>
      <c r="G2" t="s">
        <v>168</v>
      </c>
      <c r="H2" t="s">
        <v>165</v>
      </c>
      <c r="I2" t="s">
        <v>169</v>
      </c>
      <c r="J2">
        <v>3</v>
      </c>
      <c r="K2" t="s">
        <v>170</v>
      </c>
      <c r="L2">
        <v>3</v>
      </c>
    </row>
    <row r="3" spans="1:12">
      <c r="A3" t="s">
        <v>171</v>
      </c>
      <c r="B3">
        <v>101</v>
      </c>
      <c r="C3" t="s">
        <v>172</v>
      </c>
      <c r="D3" t="s">
        <v>173</v>
      </c>
      <c r="E3" t="s">
        <v>174</v>
      </c>
      <c r="F3" t="s">
        <v>175</v>
      </c>
      <c r="G3" t="s">
        <v>176</v>
      </c>
      <c r="H3" t="s">
        <v>173</v>
      </c>
      <c r="I3" t="s">
        <v>177</v>
      </c>
      <c r="J3">
        <v>6</v>
      </c>
      <c r="K3" t="s">
        <v>178</v>
      </c>
      <c r="L3">
        <v>6</v>
      </c>
    </row>
    <row r="4" spans="1:12">
      <c r="A4" t="s">
        <v>179</v>
      </c>
      <c r="B4" t="s">
        <v>180</v>
      </c>
      <c r="C4" t="s">
        <v>181</v>
      </c>
      <c r="D4" t="s">
        <v>182</v>
      </c>
      <c r="E4" t="s">
        <v>183</v>
      </c>
      <c r="F4" t="s">
        <v>184</v>
      </c>
      <c r="G4" t="s">
        <v>185</v>
      </c>
      <c r="H4" t="s">
        <v>182</v>
      </c>
      <c r="I4" t="s">
        <v>186</v>
      </c>
      <c r="J4">
        <v>6</v>
      </c>
      <c r="K4" t="s">
        <v>456</v>
      </c>
      <c r="L4">
        <v>6</v>
      </c>
    </row>
    <row r="5" spans="1:12">
      <c r="A5" t="s">
        <v>457</v>
      </c>
      <c r="B5" t="s">
        <v>458</v>
      </c>
      <c r="C5" t="s">
        <v>459</v>
      </c>
      <c r="D5" t="s">
        <v>104</v>
      </c>
      <c r="E5" t="s">
        <v>460</v>
      </c>
      <c r="F5" t="s">
        <v>461</v>
      </c>
      <c r="G5" t="s">
        <v>462</v>
      </c>
      <c r="H5" t="s">
        <v>104</v>
      </c>
      <c r="I5" t="s">
        <v>463</v>
      </c>
      <c r="J5">
        <v>6</v>
      </c>
      <c r="K5" t="s">
        <v>464</v>
      </c>
      <c r="L5">
        <v>6</v>
      </c>
    </row>
    <row r="6" spans="1:12">
      <c r="A6" t="s">
        <v>465</v>
      </c>
      <c r="B6" t="s">
        <v>466</v>
      </c>
      <c r="C6" t="s">
        <v>467</v>
      </c>
      <c r="D6" t="s">
        <v>81</v>
      </c>
      <c r="E6" t="s">
        <v>468</v>
      </c>
      <c r="F6" t="s">
        <v>469</v>
      </c>
      <c r="G6" t="s">
        <v>470</v>
      </c>
      <c r="H6" t="s">
        <v>81</v>
      </c>
      <c r="I6" t="s">
        <v>471</v>
      </c>
      <c r="J6">
        <v>4</v>
      </c>
      <c r="K6" t="s">
        <v>472</v>
      </c>
      <c r="L6">
        <v>4</v>
      </c>
    </row>
    <row r="7" spans="1:12">
      <c r="A7" t="s">
        <v>473</v>
      </c>
      <c r="B7">
        <v>101</v>
      </c>
      <c r="C7" t="s">
        <v>474</v>
      </c>
      <c r="D7" t="s">
        <v>475</v>
      </c>
      <c r="E7" t="s">
        <v>476</v>
      </c>
      <c r="F7" t="s">
        <v>477</v>
      </c>
      <c r="G7" t="s">
        <v>478</v>
      </c>
      <c r="H7" t="s">
        <v>475</v>
      </c>
      <c r="I7" t="s">
        <v>479</v>
      </c>
      <c r="J7">
        <v>4</v>
      </c>
      <c r="K7" t="s">
        <v>480</v>
      </c>
      <c r="L7">
        <v>4</v>
      </c>
    </row>
    <row r="8" spans="1:12">
      <c r="A8" t="s">
        <v>481</v>
      </c>
      <c r="B8">
        <v>50417</v>
      </c>
      <c r="C8" t="s">
        <v>482</v>
      </c>
      <c r="D8" t="s">
        <v>483</v>
      </c>
      <c r="E8" t="s">
        <v>484</v>
      </c>
      <c r="F8" t="s">
        <v>485</v>
      </c>
      <c r="G8" t="s">
        <v>486</v>
      </c>
      <c r="H8" t="s">
        <v>483</v>
      </c>
      <c r="I8" t="s">
        <v>487</v>
      </c>
      <c r="J8">
        <v>4</v>
      </c>
      <c r="K8" t="s">
        <v>488</v>
      </c>
      <c r="L8">
        <v>4</v>
      </c>
    </row>
    <row r="9" spans="1:12">
      <c r="A9" t="s">
        <v>489</v>
      </c>
      <c r="B9" t="s">
        <v>490</v>
      </c>
    </row>
    <row r="10" spans="1:12">
      <c r="A10" t="s">
        <v>491</v>
      </c>
      <c r="B10" t="s">
        <v>492</v>
      </c>
    </row>
    <row r="11" spans="1:12">
      <c r="A11" t="s">
        <v>493</v>
      </c>
      <c r="B11" t="s">
        <v>492</v>
      </c>
    </row>
    <row r="12" spans="1:12">
      <c r="A12" t="s">
        <v>494</v>
      </c>
      <c r="B12" t="s">
        <v>495</v>
      </c>
    </row>
    <row r="13" spans="1:12">
      <c r="A13" t="s">
        <v>496</v>
      </c>
      <c r="B13" t="s">
        <v>497</v>
      </c>
    </row>
    <row r="14" spans="1:12">
      <c r="A14" t="s">
        <v>187</v>
      </c>
      <c r="B14" t="s">
        <v>188</v>
      </c>
    </row>
    <row r="15" spans="1:12">
      <c r="A15" t="s">
        <v>189</v>
      </c>
      <c r="B15">
        <v>1071</v>
      </c>
    </row>
    <row r="17" spans="1:2">
      <c r="A17" t="s">
        <v>190</v>
      </c>
      <c r="B17" t="s">
        <v>191</v>
      </c>
    </row>
    <row r="18" spans="1:2">
      <c r="A18" t="s">
        <v>192</v>
      </c>
      <c r="B18">
        <v>8</v>
      </c>
    </row>
    <row r="19" spans="1:2">
      <c r="A19" t="s">
        <v>193</v>
      </c>
      <c r="B19">
        <v>-1</v>
      </c>
    </row>
    <row r="20" spans="1:2">
      <c r="A20" t="s">
        <v>194</v>
      </c>
      <c r="B20" t="s">
        <v>195</v>
      </c>
    </row>
    <row r="21" spans="1:2">
      <c r="A21" t="s">
        <v>196</v>
      </c>
      <c r="B21" t="s">
        <v>197</v>
      </c>
    </row>
    <row r="22" spans="1:2">
      <c r="A22" t="s">
        <v>198</v>
      </c>
      <c r="B22" t="s">
        <v>199</v>
      </c>
    </row>
    <row r="23" spans="1:2">
      <c r="A23" t="s">
        <v>200</v>
      </c>
      <c r="B23" t="s">
        <v>201</v>
      </c>
    </row>
    <row r="24" spans="1:2">
      <c r="A24" t="s">
        <v>731</v>
      </c>
      <c r="B24" t="s">
        <v>191</v>
      </c>
    </row>
  </sheetData>
  <customSheetViews>
    <customSheetView guid="{6B74E52F-9552-408A-8775-25AFF24E6639}" state="hidden" showRuler="0">
      <pageMargins left="0.75" right="0.75" top="1" bottom="1" header="0.5" footer="0.5"/>
      <headerFooter alignWithMargins="0"/>
    </customSheetView>
  </customSheetViews>
  <phoneticPr fontId="4" type="noConversion"/>
  <pageMargins left="0.75" right="0.75" top="1" bottom="1" header="0.5" footer="0.5"/>
  <headerFooter alignWithMargins="0"/>
</worksheet>
</file>

<file path=xl/worksheets/sheet18.xml><?xml version="1.0" encoding="utf-8"?>
<worksheet xmlns="http://schemas.openxmlformats.org/spreadsheetml/2006/main" xmlns:r="http://schemas.openxmlformats.org/officeDocument/2006/relationships">
  <sheetPr codeName="Sheet18"/>
  <dimension ref="A1:AN19"/>
  <sheetViews>
    <sheetView workbookViewId="0">
      <selection activeCell="C2" sqref="C2:C19"/>
    </sheetView>
  </sheetViews>
  <sheetFormatPr defaultColWidth="25.7109375" defaultRowHeight="13.5"/>
  <cols>
    <col min="1" max="16384" width="25.7109375" style="14"/>
  </cols>
  <sheetData>
    <row r="1" spans="1:40">
      <c r="A1" s="14">
        <v>18</v>
      </c>
      <c r="B1" s="14">
        <v>57</v>
      </c>
      <c r="C1" s="14" t="s">
        <v>748</v>
      </c>
    </row>
    <row r="2" spans="1:40">
      <c r="A2" s="14">
        <v>0</v>
      </c>
      <c r="B2" s="14">
        <v>0</v>
      </c>
      <c r="C2" s="14">
        <v>40</v>
      </c>
      <c r="D2" s="14" t="s">
        <v>556</v>
      </c>
      <c r="E2" s="14">
        <v>101</v>
      </c>
      <c r="F2" s="14">
        <v>3300</v>
      </c>
      <c r="G2" s="14">
        <v>40</v>
      </c>
      <c r="H2" s="16">
        <v>39147</v>
      </c>
      <c r="I2" s="14">
        <v>1071</v>
      </c>
      <c r="J2" s="14">
        <v>9852998</v>
      </c>
      <c r="K2" s="16">
        <v>38568</v>
      </c>
      <c r="L2" s="14">
        <v>1071</v>
      </c>
      <c r="M2" s="14" t="s">
        <v>750</v>
      </c>
      <c r="N2" s="14" t="s">
        <v>557</v>
      </c>
      <c r="T2" s="14" t="s">
        <v>558</v>
      </c>
      <c r="U2" s="14" t="s">
        <v>195</v>
      </c>
      <c r="X2" s="14">
        <v>0</v>
      </c>
      <c r="Y2" s="14" t="s">
        <v>750</v>
      </c>
      <c r="Z2" s="14" t="s">
        <v>750</v>
      </c>
      <c r="AA2" s="14">
        <v>1</v>
      </c>
      <c r="AB2" s="14">
        <v>0</v>
      </c>
      <c r="AD2" s="14" t="s">
        <v>750</v>
      </c>
      <c r="AE2" s="14" t="s">
        <v>750</v>
      </c>
      <c r="AF2" s="14" t="s">
        <v>750</v>
      </c>
      <c r="AI2" s="14" t="s">
        <v>750</v>
      </c>
      <c r="AM2" s="14">
        <v>0</v>
      </c>
      <c r="AN2" s="14">
        <v>0</v>
      </c>
    </row>
    <row r="3" spans="1:40">
      <c r="A3" s="14">
        <v>0</v>
      </c>
      <c r="B3" s="14">
        <v>0</v>
      </c>
      <c r="C3" s="14">
        <v>50</v>
      </c>
      <c r="D3" s="14" t="s">
        <v>829</v>
      </c>
      <c r="E3" s="14">
        <v>101</v>
      </c>
      <c r="F3" s="14">
        <v>3300</v>
      </c>
      <c r="G3" s="14">
        <v>50</v>
      </c>
      <c r="H3" s="16">
        <v>39147</v>
      </c>
      <c r="I3" s="14">
        <v>1071</v>
      </c>
      <c r="J3" s="14">
        <v>9852998</v>
      </c>
      <c r="K3" s="16">
        <v>38568</v>
      </c>
      <c r="L3" s="14">
        <v>1071</v>
      </c>
      <c r="M3" s="14" t="s">
        <v>750</v>
      </c>
      <c r="N3" s="14" t="s">
        <v>830</v>
      </c>
      <c r="T3" s="14" t="s">
        <v>831</v>
      </c>
      <c r="U3" s="14" t="s">
        <v>195</v>
      </c>
      <c r="X3" s="14">
        <v>0</v>
      </c>
      <c r="Y3" s="14" t="s">
        <v>750</v>
      </c>
      <c r="Z3" s="14" t="s">
        <v>750</v>
      </c>
      <c r="AA3" s="14">
        <v>0</v>
      </c>
      <c r="AB3" s="14">
        <v>0</v>
      </c>
      <c r="AD3" s="14" t="s">
        <v>750</v>
      </c>
      <c r="AE3" s="14" t="s">
        <v>750</v>
      </c>
      <c r="AF3" s="14" t="s">
        <v>750</v>
      </c>
      <c r="AI3" s="14" t="s">
        <v>750</v>
      </c>
      <c r="AM3" s="14">
        <v>0</v>
      </c>
      <c r="AN3" s="14">
        <v>0</v>
      </c>
    </row>
    <row r="4" spans="1:40">
      <c r="A4" s="14">
        <v>0</v>
      </c>
      <c r="B4" s="14">
        <v>0</v>
      </c>
      <c r="C4" s="14">
        <v>60</v>
      </c>
      <c r="D4" s="14" t="s">
        <v>211</v>
      </c>
      <c r="E4" s="14">
        <v>101</v>
      </c>
      <c r="F4" s="14">
        <v>3300</v>
      </c>
      <c r="G4" s="14">
        <v>60</v>
      </c>
      <c r="H4" s="16">
        <v>39147</v>
      </c>
      <c r="I4" s="14">
        <v>1071</v>
      </c>
      <c r="J4" s="14">
        <v>9852998</v>
      </c>
      <c r="K4" s="16">
        <v>38568</v>
      </c>
      <c r="L4" s="14">
        <v>1071</v>
      </c>
      <c r="M4" s="14" t="s">
        <v>750</v>
      </c>
      <c r="N4" s="14" t="s">
        <v>212</v>
      </c>
      <c r="T4" s="14" t="s">
        <v>213</v>
      </c>
      <c r="U4" s="14" t="s">
        <v>195</v>
      </c>
      <c r="X4" s="14">
        <v>0</v>
      </c>
      <c r="Y4" s="14" t="s">
        <v>750</v>
      </c>
      <c r="Z4" s="14" t="s">
        <v>750</v>
      </c>
      <c r="AA4" s="14">
        <v>0</v>
      </c>
      <c r="AB4" s="14">
        <v>0</v>
      </c>
      <c r="AD4" s="14" t="s">
        <v>750</v>
      </c>
      <c r="AE4" s="14" t="s">
        <v>750</v>
      </c>
      <c r="AF4" s="14" t="s">
        <v>750</v>
      </c>
      <c r="AI4" s="14" t="s">
        <v>750</v>
      </c>
      <c r="AM4" s="14">
        <v>0</v>
      </c>
      <c r="AN4" s="14">
        <v>0</v>
      </c>
    </row>
    <row r="5" spans="1:40">
      <c r="A5" s="14">
        <v>0</v>
      </c>
      <c r="B5" s="14">
        <v>0</v>
      </c>
      <c r="C5" s="14">
        <v>81</v>
      </c>
      <c r="D5" s="14" t="s">
        <v>214</v>
      </c>
      <c r="E5" s="14">
        <v>101</v>
      </c>
      <c r="F5" s="14">
        <v>3300</v>
      </c>
      <c r="G5" s="14">
        <v>81</v>
      </c>
      <c r="H5" s="16">
        <v>39650</v>
      </c>
      <c r="I5" s="14">
        <v>1071</v>
      </c>
      <c r="J5" s="14">
        <v>1071</v>
      </c>
      <c r="K5" s="16">
        <v>38568</v>
      </c>
      <c r="L5" s="14">
        <v>1071</v>
      </c>
      <c r="M5" s="14" t="s">
        <v>750</v>
      </c>
      <c r="N5" s="14" t="s">
        <v>215</v>
      </c>
      <c r="T5" s="14" t="s">
        <v>891</v>
      </c>
      <c r="U5" s="14" t="s">
        <v>195</v>
      </c>
      <c r="X5" s="14">
        <v>0</v>
      </c>
      <c r="Y5" s="14" t="s">
        <v>750</v>
      </c>
      <c r="Z5" s="14" t="s">
        <v>750</v>
      </c>
      <c r="AA5" s="14">
        <v>2</v>
      </c>
      <c r="AB5" s="14">
        <v>0</v>
      </c>
      <c r="AD5" s="14" t="s">
        <v>750</v>
      </c>
      <c r="AE5" s="14" t="s">
        <v>750</v>
      </c>
      <c r="AF5" s="14" t="s">
        <v>750</v>
      </c>
      <c r="AI5" s="14" t="s">
        <v>750</v>
      </c>
      <c r="AN5" s="14">
        <v>2</v>
      </c>
    </row>
    <row r="6" spans="1:40">
      <c r="A6" s="14">
        <v>0</v>
      </c>
      <c r="B6" s="14">
        <v>0</v>
      </c>
      <c r="C6" s="14">
        <v>90</v>
      </c>
      <c r="D6" s="14" t="s">
        <v>217</v>
      </c>
      <c r="E6" s="14">
        <v>101</v>
      </c>
      <c r="F6" s="14">
        <v>3300</v>
      </c>
      <c r="G6" s="14">
        <v>90</v>
      </c>
      <c r="H6" s="16">
        <v>39650</v>
      </c>
      <c r="I6" s="14">
        <v>1071</v>
      </c>
      <c r="J6" s="14">
        <v>1071</v>
      </c>
      <c r="K6" s="16">
        <v>39147</v>
      </c>
      <c r="L6" s="14">
        <v>1071</v>
      </c>
      <c r="M6" s="14" t="s">
        <v>750</v>
      </c>
      <c r="T6" s="14" t="s">
        <v>892</v>
      </c>
      <c r="U6" s="14" t="s">
        <v>195</v>
      </c>
      <c r="X6" s="14">
        <v>0</v>
      </c>
      <c r="Y6" s="14" t="s">
        <v>750</v>
      </c>
      <c r="Z6" s="14" t="s">
        <v>750</v>
      </c>
      <c r="AA6" s="14">
        <v>0</v>
      </c>
      <c r="AB6" s="14">
        <v>0</v>
      </c>
      <c r="AD6" s="14" t="s">
        <v>750</v>
      </c>
      <c r="AE6" s="14" t="s">
        <v>750</v>
      </c>
      <c r="AF6" s="14" t="s">
        <v>750</v>
      </c>
      <c r="AI6" s="14" t="s">
        <v>750</v>
      </c>
      <c r="AN6" s="14">
        <v>2</v>
      </c>
    </row>
    <row r="7" spans="1:40">
      <c r="A7" s="14">
        <v>0</v>
      </c>
      <c r="B7" s="14">
        <v>0</v>
      </c>
      <c r="C7" s="14">
        <v>100</v>
      </c>
      <c r="D7" s="14" t="s">
        <v>219</v>
      </c>
      <c r="E7" s="14">
        <v>101</v>
      </c>
      <c r="F7" s="14">
        <v>3300</v>
      </c>
      <c r="G7" s="14">
        <v>100</v>
      </c>
      <c r="H7" s="16">
        <v>39650</v>
      </c>
      <c r="I7" s="14">
        <v>1071</v>
      </c>
      <c r="J7" s="14">
        <v>1071</v>
      </c>
      <c r="K7" s="16">
        <v>39147</v>
      </c>
      <c r="L7" s="14">
        <v>1071</v>
      </c>
      <c r="M7" s="14" t="s">
        <v>750</v>
      </c>
      <c r="T7" s="14" t="s">
        <v>893</v>
      </c>
      <c r="U7" s="14" t="s">
        <v>195</v>
      </c>
      <c r="X7" s="14">
        <v>0</v>
      </c>
      <c r="Y7" s="14" t="s">
        <v>750</v>
      </c>
      <c r="Z7" s="14" t="s">
        <v>750</v>
      </c>
      <c r="AA7" s="14">
        <v>0</v>
      </c>
      <c r="AB7" s="14">
        <v>0</v>
      </c>
      <c r="AD7" s="14" t="s">
        <v>750</v>
      </c>
      <c r="AE7" s="14" t="s">
        <v>750</v>
      </c>
      <c r="AF7" s="14" t="s">
        <v>750</v>
      </c>
      <c r="AI7" s="14" t="s">
        <v>750</v>
      </c>
      <c r="AN7" s="14">
        <v>2</v>
      </c>
    </row>
    <row r="8" spans="1:40">
      <c r="A8" s="14">
        <v>0</v>
      </c>
      <c r="B8" s="14">
        <v>0</v>
      </c>
      <c r="C8" s="14">
        <v>103</v>
      </c>
      <c r="D8" s="14" t="s">
        <v>894</v>
      </c>
      <c r="E8" s="14">
        <v>101</v>
      </c>
      <c r="F8" s="14">
        <v>3300</v>
      </c>
      <c r="G8" s="14">
        <v>103</v>
      </c>
      <c r="H8" s="16">
        <v>39650</v>
      </c>
      <c r="I8" s="14">
        <v>1071</v>
      </c>
      <c r="J8" s="14">
        <v>1071</v>
      </c>
      <c r="K8" s="16">
        <v>39650</v>
      </c>
      <c r="L8" s="14">
        <v>1071</v>
      </c>
      <c r="M8" s="14" t="s">
        <v>750</v>
      </c>
      <c r="T8" s="14" t="s">
        <v>216</v>
      </c>
      <c r="U8" s="14" t="s">
        <v>195</v>
      </c>
      <c r="X8" s="14">
        <v>0</v>
      </c>
      <c r="Y8" s="14" t="s">
        <v>750</v>
      </c>
      <c r="Z8" s="14" t="s">
        <v>750</v>
      </c>
      <c r="AA8" s="14">
        <v>0</v>
      </c>
      <c r="AB8" s="14">
        <v>0</v>
      </c>
      <c r="AD8" s="14" t="s">
        <v>750</v>
      </c>
      <c r="AE8" s="14" t="s">
        <v>750</v>
      </c>
      <c r="AF8" s="14" t="s">
        <v>750</v>
      </c>
      <c r="AI8" s="14" t="s">
        <v>750</v>
      </c>
      <c r="AM8" s="14">
        <v>0</v>
      </c>
      <c r="AN8" s="14">
        <v>0</v>
      </c>
    </row>
    <row r="9" spans="1:40">
      <c r="A9" s="14">
        <v>0</v>
      </c>
      <c r="B9" s="14">
        <v>0</v>
      </c>
      <c r="C9" s="14">
        <v>104</v>
      </c>
      <c r="D9" s="14" t="s">
        <v>895</v>
      </c>
      <c r="E9" s="14">
        <v>101</v>
      </c>
      <c r="F9" s="14">
        <v>3300</v>
      </c>
      <c r="G9" s="14">
        <v>104</v>
      </c>
      <c r="H9" s="16">
        <v>39650</v>
      </c>
      <c r="I9" s="14">
        <v>1071</v>
      </c>
      <c r="J9" s="14">
        <v>1071</v>
      </c>
      <c r="K9" s="16">
        <v>39650</v>
      </c>
      <c r="L9" s="14">
        <v>1071</v>
      </c>
      <c r="M9" s="14" t="s">
        <v>750</v>
      </c>
      <c r="T9" s="14" t="s">
        <v>218</v>
      </c>
      <c r="U9" s="14" t="s">
        <v>195</v>
      </c>
      <c r="X9" s="14">
        <v>0</v>
      </c>
      <c r="Y9" s="14" t="s">
        <v>750</v>
      </c>
      <c r="Z9" s="14" t="s">
        <v>750</v>
      </c>
      <c r="AA9" s="14">
        <v>0</v>
      </c>
      <c r="AB9" s="14">
        <v>0</v>
      </c>
      <c r="AD9" s="14" t="s">
        <v>750</v>
      </c>
      <c r="AE9" s="14" t="s">
        <v>750</v>
      </c>
      <c r="AF9" s="14" t="s">
        <v>750</v>
      </c>
      <c r="AI9" s="14" t="s">
        <v>750</v>
      </c>
      <c r="AM9" s="14">
        <v>0</v>
      </c>
      <c r="AN9" s="14">
        <v>0</v>
      </c>
    </row>
    <row r="10" spans="1:40">
      <c r="A10" s="14">
        <v>0</v>
      </c>
      <c r="B10" s="14">
        <v>0</v>
      </c>
      <c r="C10" s="14">
        <v>105</v>
      </c>
      <c r="D10" s="14" t="s">
        <v>896</v>
      </c>
      <c r="E10" s="14">
        <v>101</v>
      </c>
      <c r="F10" s="14">
        <v>3300</v>
      </c>
      <c r="G10" s="14">
        <v>105</v>
      </c>
      <c r="H10" s="16">
        <v>39650</v>
      </c>
      <c r="I10" s="14">
        <v>1071</v>
      </c>
      <c r="J10" s="14">
        <v>1071</v>
      </c>
      <c r="K10" s="16">
        <v>39650</v>
      </c>
      <c r="L10" s="14">
        <v>1071</v>
      </c>
      <c r="M10" s="14" t="s">
        <v>750</v>
      </c>
      <c r="T10" s="14" t="s">
        <v>220</v>
      </c>
      <c r="U10" s="14" t="s">
        <v>195</v>
      </c>
      <c r="X10" s="14">
        <v>0</v>
      </c>
      <c r="Y10" s="14" t="s">
        <v>750</v>
      </c>
      <c r="Z10" s="14" t="s">
        <v>750</v>
      </c>
      <c r="AA10" s="14">
        <v>0</v>
      </c>
      <c r="AB10" s="14">
        <v>0</v>
      </c>
      <c r="AD10" s="14" t="s">
        <v>750</v>
      </c>
      <c r="AE10" s="14" t="s">
        <v>750</v>
      </c>
      <c r="AF10" s="14" t="s">
        <v>750</v>
      </c>
      <c r="AI10" s="14" t="s">
        <v>750</v>
      </c>
      <c r="AM10" s="14">
        <v>0</v>
      </c>
      <c r="AN10" s="14">
        <v>0</v>
      </c>
    </row>
    <row r="11" spans="1:40">
      <c r="A11" s="14">
        <v>0</v>
      </c>
      <c r="B11" s="14">
        <v>0</v>
      </c>
      <c r="C11" s="14">
        <v>110</v>
      </c>
      <c r="D11" s="14" t="s">
        <v>221</v>
      </c>
      <c r="E11" s="14">
        <v>101</v>
      </c>
      <c r="F11" s="14">
        <v>3300</v>
      </c>
      <c r="G11" s="14">
        <v>110</v>
      </c>
      <c r="H11" s="16">
        <v>39147</v>
      </c>
      <c r="I11" s="14">
        <v>1071</v>
      </c>
      <c r="J11" s="14">
        <v>9852998</v>
      </c>
      <c r="K11" s="16">
        <v>39147</v>
      </c>
      <c r="L11" s="14">
        <v>1071</v>
      </c>
      <c r="M11" s="14" t="s">
        <v>750</v>
      </c>
      <c r="T11" s="14" t="s">
        <v>222</v>
      </c>
      <c r="U11" s="14" t="s">
        <v>195</v>
      </c>
      <c r="X11" s="14">
        <v>0</v>
      </c>
      <c r="Y11" s="14" t="s">
        <v>750</v>
      </c>
      <c r="Z11" s="14" t="s">
        <v>750</v>
      </c>
      <c r="AA11" s="14">
        <v>2</v>
      </c>
      <c r="AB11" s="14">
        <v>0</v>
      </c>
      <c r="AD11" s="14" t="s">
        <v>750</v>
      </c>
      <c r="AE11" s="14" t="s">
        <v>750</v>
      </c>
      <c r="AF11" s="14" t="s">
        <v>750</v>
      </c>
      <c r="AI11" s="14" t="s">
        <v>750</v>
      </c>
      <c r="AN11" s="14">
        <v>2</v>
      </c>
    </row>
    <row r="12" spans="1:40">
      <c r="A12" s="14">
        <v>0</v>
      </c>
      <c r="B12" s="14">
        <v>0</v>
      </c>
      <c r="C12" s="14">
        <v>120</v>
      </c>
      <c r="D12" s="14" t="s">
        <v>223</v>
      </c>
      <c r="E12" s="14">
        <v>101</v>
      </c>
      <c r="F12" s="14">
        <v>3300</v>
      </c>
      <c r="G12" s="14">
        <v>120</v>
      </c>
      <c r="H12" s="16">
        <v>39147</v>
      </c>
      <c r="I12" s="14">
        <v>1071</v>
      </c>
      <c r="J12" s="14">
        <v>9852998</v>
      </c>
      <c r="K12" s="16">
        <v>39147</v>
      </c>
      <c r="L12" s="14">
        <v>1071</v>
      </c>
      <c r="M12" s="14" t="s">
        <v>750</v>
      </c>
      <c r="T12" s="14" t="s">
        <v>224</v>
      </c>
      <c r="U12" s="14" t="s">
        <v>195</v>
      </c>
      <c r="X12" s="14">
        <v>0</v>
      </c>
      <c r="Y12" s="14" t="s">
        <v>750</v>
      </c>
      <c r="Z12" s="14" t="s">
        <v>750</v>
      </c>
      <c r="AA12" s="14">
        <v>0</v>
      </c>
      <c r="AB12" s="14">
        <v>0</v>
      </c>
      <c r="AD12" s="14" t="s">
        <v>750</v>
      </c>
      <c r="AE12" s="14" t="s">
        <v>750</v>
      </c>
      <c r="AF12" s="14" t="s">
        <v>750</v>
      </c>
      <c r="AI12" s="14" t="s">
        <v>750</v>
      </c>
      <c r="AN12" s="14">
        <v>2</v>
      </c>
    </row>
    <row r="13" spans="1:40">
      <c r="A13" s="14">
        <v>0</v>
      </c>
      <c r="B13" s="14">
        <v>0</v>
      </c>
      <c r="C13" s="14">
        <v>130</v>
      </c>
      <c r="D13" s="14" t="s">
        <v>225</v>
      </c>
      <c r="E13" s="14">
        <v>101</v>
      </c>
      <c r="F13" s="14">
        <v>3300</v>
      </c>
      <c r="G13" s="14">
        <v>130</v>
      </c>
      <c r="H13" s="16">
        <v>39147</v>
      </c>
      <c r="I13" s="14">
        <v>1071</v>
      </c>
      <c r="J13" s="14">
        <v>9852998</v>
      </c>
      <c r="K13" s="16">
        <v>39147</v>
      </c>
      <c r="L13" s="14">
        <v>1071</v>
      </c>
      <c r="M13" s="14" t="s">
        <v>750</v>
      </c>
      <c r="T13" s="14" t="s">
        <v>226</v>
      </c>
      <c r="U13" s="14" t="s">
        <v>195</v>
      </c>
      <c r="X13" s="14">
        <v>0</v>
      </c>
      <c r="Y13" s="14" t="s">
        <v>750</v>
      </c>
      <c r="Z13" s="14" t="s">
        <v>750</v>
      </c>
      <c r="AA13" s="14">
        <v>0</v>
      </c>
      <c r="AB13" s="14">
        <v>0</v>
      </c>
      <c r="AD13" s="14" t="s">
        <v>750</v>
      </c>
      <c r="AE13" s="14" t="s">
        <v>750</v>
      </c>
      <c r="AF13" s="14" t="s">
        <v>750</v>
      </c>
      <c r="AI13" s="14" t="s">
        <v>750</v>
      </c>
      <c r="AN13" s="14">
        <v>2</v>
      </c>
    </row>
    <row r="14" spans="1:40">
      <c r="A14" s="14">
        <v>0</v>
      </c>
      <c r="B14" s="14">
        <v>0</v>
      </c>
      <c r="C14" s="14">
        <v>140</v>
      </c>
      <c r="D14" s="14" t="s">
        <v>227</v>
      </c>
      <c r="E14" s="14">
        <v>101</v>
      </c>
      <c r="F14" s="14">
        <v>3300</v>
      </c>
      <c r="G14" s="14">
        <v>140</v>
      </c>
      <c r="H14" s="16">
        <v>39147</v>
      </c>
      <c r="I14" s="14">
        <v>1071</v>
      </c>
      <c r="J14" s="14">
        <v>9852998</v>
      </c>
      <c r="K14" s="16">
        <v>39147</v>
      </c>
      <c r="L14" s="14">
        <v>1071</v>
      </c>
      <c r="M14" s="14" t="s">
        <v>750</v>
      </c>
      <c r="T14" s="14" t="s">
        <v>228</v>
      </c>
      <c r="U14" s="14" t="s">
        <v>195</v>
      </c>
      <c r="X14" s="14">
        <v>0</v>
      </c>
      <c r="Y14" s="14" t="s">
        <v>750</v>
      </c>
      <c r="Z14" s="14" t="s">
        <v>750</v>
      </c>
      <c r="AA14" s="14">
        <v>2</v>
      </c>
      <c r="AB14" s="14">
        <v>0</v>
      </c>
      <c r="AD14" s="14" t="s">
        <v>750</v>
      </c>
      <c r="AE14" s="14" t="s">
        <v>750</v>
      </c>
      <c r="AF14" s="14" t="s">
        <v>750</v>
      </c>
      <c r="AI14" s="14" t="s">
        <v>750</v>
      </c>
      <c r="AN14" s="14">
        <v>2</v>
      </c>
    </row>
    <row r="15" spans="1:40">
      <c r="A15" s="14">
        <v>0</v>
      </c>
      <c r="B15" s="14">
        <v>0</v>
      </c>
      <c r="C15" s="14">
        <v>150</v>
      </c>
      <c r="D15" s="14" t="s">
        <v>229</v>
      </c>
      <c r="E15" s="14">
        <v>101</v>
      </c>
      <c r="F15" s="14">
        <v>3300</v>
      </c>
      <c r="G15" s="14">
        <v>150</v>
      </c>
      <c r="H15" s="16">
        <v>39147</v>
      </c>
      <c r="I15" s="14">
        <v>1071</v>
      </c>
      <c r="J15" s="14">
        <v>9852998</v>
      </c>
      <c r="K15" s="16">
        <v>39147</v>
      </c>
      <c r="L15" s="14">
        <v>1071</v>
      </c>
      <c r="M15" s="14" t="s">
        <v>750</v>
      </c>
      <c r="T15" s="14" t="s">
        <v>230</v>
      </c>
      <c r="U15" s="14" t="s">
        <v>195</v>
      </c>
      <c r="X15" s="14">
        <v>0</v>
      </c>
      <c r="Y15" s="14" t="s">
        <v>750</v>
      </c>
      <c r="Z15" s="14" t="s">
        <v>750</v>
      </c>
      <c r="AA15" s="14">
        <v>0</v>
      </c>
      <c r="AB15" s="14">
        <v>0</v>
      </c>
      <c r="AD15" s="14" t="s">
        <v>750</v>
      </c>
      <c r="AE15" s="14" t="s">
        <v>750</v>
      </c>
      <c r="AF15" s="14" t="s">
        <v>750</v>
      </c>
      <c r="AI15" s="14" t="s">
        <v>750</v>
      </c>
      <c r="AN15" s="14">
        <v>2</v>
      </c>
    </row>
    <row r="16" spans="1:40">
      <c r="A16" s="14">
        <v>0</v>
      </c>
      <c r="B16" s="14">
        <v>0</v>
      </c>
      <c r="C16" s="14">
        <v>160</v>
      </c>
      <c r="D16" s="14" t="s">
        <v>231</v>
      </c>
      <c r="E16" s="14">
        <v>101</v>
      </c>
      <c r="F16" s="14">
        <v>3300</v>
      </c>
      <c r="G16" s="14">
        <v>160</v>
      </c>
      <c r="H16" s="16">
        <v>39147</v>
      </c>
      <c r="I16" s="14">
        <v>1071</v>
      </c>
      <c r="J16" s="14">
        <v>9852998</v>
      </c>
      <c r="K16" s="16">
        <v>39147</v>
      </c>
      <c r="L16" s="14">
        <v>1071</v>
      </c>
      <c r="M16" s="14" t="s">
        <v>750</v>
      </c>
      <c r="T16" s="14" t="s">
        <v>232</v>
      </c>
      <c r="U16" s="14" t="s">
        <v>195</v>
      </c>
      <c r="X16" s="14">
        <v>0</v>
      </c>
      <c r="Y16" s="14" t="s">
        <v>750</v>
      </c>
      <c r="Z16" s="14" t="s">
        <v>750</v>
      </c>
      <c r="AA16" s="14">
        <v>0</v>
      </c>
      <c r="AB16" s="14">
        <v>0</v>
      </c>
      <c r="AD16" s="14" t="s">
        <v>750</v>
      </c>
      <c r="AE16" s="14" t="s">
        <v>750</v>
      </c>
      <c r="AF16" s="14" t="s">
        <v>750</v>
      </c>
      <c r="AI16" s="14" t="s">
        <v>750</v>
      </c>
      <c r="AN16" s="14">
        <v>2</v>
      </c>
    </row>
    <row r="17" spans="1:40">
      <c r="A17" s="14">
        <v>0</v>
      </c>
      <c r="B17" s="14">
        <v>0</v>
      </c>
      <c r="C17" s="14">
        <v>170</v>
      </c>
      <c r="D17" s="14" t="s">
        <v>233</v>
      </c>
      <c r="E17" s="14">
        <v>101</v>
      </c>
      <c r="F17" s="14">
        <v>3300</v>
      </c>
      <c r="G17" s="14">
        <v>170</v>
      </c>
      <c r="H17" s="16">
        <v>39147</v>
      </c>
      <c r="I17" s="14">
        <v>1071</v>
      </c>
      <c r="J17" s="14">
        <v>9852998</v>
      </c>
      <c r="K17" s="16">
        <v>39147</v>
      </c>
      <c r="L17" s="14">
        <v>1071</v>
      </c>
      <c r="M17" s="14" t="s">
        <v>750</v>
      </c>
      <c r="T17" s="14" t="s">
        <v>234</v>
      </c>
      <c r="U17" s="14" t="s">
        <v>195</v>
      </c>
      <c r="X17" s="14">
        <v>0</v>
      </c>
      <c r="Y17" s="14" t="s">
        <v>750</v>
      </c>
      <c r="Z17" s="14" t="s">
        <v>750</v>
      </c>
      <c r="AA17" s="14">
        <v>2</v>
      </c>
      <c r="AB17" s="14">
        <v>0</v>
      </c>
      <c r="AD17" s="14" t="s">
        <v>750</v>
      </c>
      <c r="AE17" s="14" t="s">
        <v>750</v>
      </c>
      <c r="AF17" s="14" t="s">
        <v>750</v>
      </c>
      <c r="AI17" s="14" t="s">
        <v>750</v>
      </c>
      <c r="AN17" s="14">
        <v>2</v>
      </c>
    </row>
    <row r="18" spans="1:40">
      <c r="A18" s="14">
        <v>0</v>
      </c>
      <c r="B18" s="14">
        <v>0</v>
      </c>
      <c r="C18" s="14">
        <v>180</v>
      </c>
      <c r="D18" s="14" t="s">
        <v>235</v>
      </c>
      <c r="E18" s="14">
        <v>101</v>
      </c>
      <c r="F18" s="14">
        <v>3300</v>
      </c>
      <c r="G18" s="14">
        <v>180</v>
      </c>
      <c r="H18" s="16">
        <v>39147</v>
      </c>
      <c r="I18" s="14">
        <v>1071</v>
      </c>
      <c r="J18" s="14">
        <v>9852998</v>
      </c>
      <c r="K18" s="16">
        <v>39147</v>
      </c>
      <c r="L18" s="14">
        <v>1071</v>
      </c>
      <c r="M18" s="14" t="s">
        <v>750</v>
      </c>
      <c r="T18" s="14" t="s">
        <v>236</v>
      </c>
      <c r="U18" s="14" t="s">
        <v>195</v>
      </c>
      <c r="X18" s="14">
        <v>0</v>
      </c>
      <c r="Y18" s="14" t="s">
        <v>750</v>
      </c>
      <c r="Z18" s="14" t="s">
        <v>750</v>
      </c>
      <c r="AA18" s="14">
        <v>0</v>
      </c>
      <c r="AB18" s="14">
        <v>0</v>
      </c>
      <c r="AD18" s="14" t="s">
        <v>750</v>
      </c>
      <c r="AE18" s="14" t="s">
        <v>750</v>
      </c>
      <c r="AF18" s="14" t="s">
        <v>750</v>
      </c>
      <c r="AI18" s="14" t="s">
        <v>750</v>
      </c>
      <c r="AN18" s="14">
        <v>2</v>
      </c>
    </row>
    <row r="19" spans="1:40">
      <c r="A19" s="14">
        <v>0</v>
      </c>
      <c r="B19" s="14">
        <v>0</v>
      </c>
      <c r="C19" s="14">
        <v>190</v>
      </c>
      <c r="D19" s="14" t="s">
        <v>237</v>
      </c>
      <c r="E19" s="14">
        <v>101</v>
      </c>
      <c r="F19" s="14">
        <v>3300</v>
      </c>
      <c r="G19" s="14">
        <v>190</v>
      </c>
      <c r="H19" s="16">
        <v>39147</v>
      </c>
      <c r="I19" s="14">
        <v>1071</v>
      </c>
      <c r="J19" s="14">
        <v>9852998</v>
      </c>
      <c r="K19" s="16">
        <v>39147</v>
      </c>
      <c r="L19" s="14">
        <v>1071</v>
      </c>
      <c r="M19" s="14" t="s">
        <v>750</v>
      </c>
      <c r="T19" s="14" t="s">
        <v>238</v>
      </c>
      <c r="U19" s="14" t="s">
        <v>195</v>
      </c>
      <c r="X19" s="14">
        <v>0</v>
      </c>
      <c r="Y19" s="14" t="s">
        <v>750</v>
      </c>
      <c r="Z19" s="14" t="s">
        <v>750</v>
      </c>
      <c r="AA19" s="14">
        <v>0</v>
      </c>
      <c r="AB19" s="14">
        <v>0</v>
      </c>
      <c r="AD19" s="14" t="s">
        <v>750</v>
      </c>
      <c r="AE19" s="14" t="s">
        <v>750</v>
      </c>
      <c r="AF19" s="14" t="s">
        <v>750</v>
      </c>
      <c r="AI19" s="14" t="s">
        <v>750</v>
      </c>
      <c r="AN19" s="14">
        <v>2</v>
      </c>
    </row>
  </sheetData>
  <customSheetViews>
    <customSheetView guid="{6B74E52F-9552-408A-8775-25AFF24E6639}" state="hidden" showRuler="0">
      <selection activeCell="C2" sqref="C2:C19"/>
      <pageMargins left="0.75" right="0.75" top="1" bottom="1" header="0.5" footer="0.5"/>
      <pageSetup orientation="portrait" r:id="rId1"/>
      <headerFooter alignWithMargins="0"/>
    </customSheetView>
  </customSheetViews>
  <phoneticPr fontId="4" type="noConversion"/>
  <pageMargins left="0.75" right="0.75" top="1" bottom="1" header="0.5" footer="0.5"/>
  <pageSetup orientation="portrait" r:id="rId2"/>
  <headerFooter alignWithMargins="0"/>
</worksheet>
</file>

<file path=xl/worksheets/sheet19.xml><?xml version="1.0" encoding="utf-8"?>
<worksheet xmlns="http://schemas.openxmlformats.org/spreadsheetml/2006/main" xmlns:r="http://schemas.openxmlformats.org/officeDocument/2006/relationships">
  <sheetPr codeName="Sheet19"/>
  <dimension ref="A1:AN64"/>
  <sheetViews>
    <sheetView workbookViewId="0">
      <selection activeCell="A2" sqref="A2:AN64"/>
    </sheetView>
  </sheetViews>
  <sheetFormatPr defaultColWidth="25.7109375" defaultRowHeight="13.5"/>
  <cols>
    <col min="1" max="16384" width="25.7109375" style="14"/>
  </cols>
  <sheetData>
    <row r="1" spans="1:40">
      <c r="A1" s="14">
        <v>63</v>
      </c>
      <c r="B1" s="14">
        <v>40</v>
      </c>
      <c r="C1" s="14" t="s">
        <v>740</v>
      </c>
    </row>
    <row r="2" spans="1:40">
      <c r="A2" s="14">
        <v>0</v>
      </c>
      <c r="B2" s="14">
        <v>0</v>
      </c>
      <c r="C2" s="14">
        <v>40</v>
      </c>
      <c r="D2" s="14">
        <v>101</v>
      </c>
      <c r="E2" s="14">
        <v>3300</v>
      </c>
      <c r="F2" s="14">
        <v>40</v>
      </c>
      <c r="G2" s="16">
        <v>39147</v>
      </c>
      <c r="H2" s="14">
        <v>1071</v>
      </c>
      <c r="I2" s="14">
        <v>9852998</v>
      </c>
      <c r="J2" s="16">
        <v>38761</v>
      </c>
      <c r="K2" s="14">
        <v>1071</v>
      </c>
      <c r="L2" s="14" t="s">
        <v>197</v>
      </c>
      <c r="M2" s="14" t="s">
        <v>738</v>
      </c>
      <c r="N2" s="14" t="s">
        <v>199</v>
      </c>
      <c r="P2" s="14" t="s">
        <v>905</v>
      </c>
      <c r="Q2" s="17" t="s">
        <v>744</v>
      </c>
      <c r="R2" s="17" t="s">
        <v>744</v>
      </c>
      <c r="S2" s="14" t="s">
        <v>742</v>
      </c>
      <c r="T2" s="17" t="s">
        <v>515</v>
      </c>
      <c r="U2" s="17" t="s">
        <v>515</v>
      </c>
      <c r="V2" s="14" t="s">
        <v>742</v>
      </c>
      <c r="W2" s="17" t="s">
        <v>744</v>
      </c>
      <c r="X2" s="17" t="s">
        <v>744</v>
      </c>
      <c r="Y2" s="14" t="s">
        <v>742</v>
      </c>
      <c r="Z2" s="17" t="s">
        <v>744</v>
      </c>
      <c r="AA2" s="17" t="s">
        <v>744</v>
      </c>
      <c r="AB2" s="14" t="s">
        <v>742</v>
      </c>
      <c r="AC2" s="17" t="s">
        <v>530</v>
      </c>
      <c r="AD2" s="17" t="s">
        <v>550</v>
      </c>
      <c r="AE2" s="14" t="s">
        <v>742</v>
      </c>
      <c r="AF2" s="17" t="s">
        <v>744</v>
      </c>
      <c r="AG2" s="17" t="s">
        <v>744</v>
      </c>
      <c r="AH2" s="14" t="s">
        <v>742</v>
      </c>
      <c r="AI2" s="17" t="s">
        <v>744</v>
      </c>
      <c r="AJ2" s="17" t="s">
        <v>744</v>
      </c>
      <c r="AK2" s="14" t="s">
        <v>742</v>
      </c>
      <c r="AL2" s="17" t="s">
        <v>744</v>
      </c>
      <c r="AM2" s="17" t="s">
        <v>744</v>
      </c>
      <c r="AN2" s="14" t="s">
        <v>742</v>
      </c>
    </row>
    <row r="3" spans="1:40">
      <c r="A3" s="14">
        <v>0</v>
      </c>
      <c r="B3" s="14">
        <v>0</v>
      </c>
      <c r="C3" s="14">
        <v>40</v>
      </c>
      <c r="D3" s="14">
        <v>101</v>
      </c>
      <c r="E3" s="14">
        <v>3300</v>
      </c>
      <c r="F3" s="14">
        <v>40</v>
      </c>
      <c r="G3" s="16">
        <v>39147</v>
      </c>
      <c r="H3" s="14">
        <v>1071</v>
      </c>
      <c r="I3" s="14">
        <v>9852998</v>
      </c>
      <c r="J3" s="16">
        <v>39147</v>
      </c>
      <c r="K3" s="14">
        <v>1071</v>
      </c>
      <c r="L3" s="14" t="s">
        <v>197</v>
      </c>
      <c r="M3" s="14" t="s">
        <v>906</v>
      </c>
      <c r="N3" s="14" t="s">
        <v>199</v>
      </c>
      <c r="P3" s="14" t="s">
        <v>907</v>
      </c>
      <c r="Q3" s="17" t="s">
        <v>744</v>
      </c>
      <c r="R3" s="17" t="s">
        <v>744</v>
      </c>
      <c r="S3" s="14" t="s">
        <v>742</v>
      </c>
      <c r="T3" s="17" t="s">
        <v>515</v>
      </c>
      <c r="U3" s="17" t="s">
        <v>515</v>
      </c>
      <c r="V3" s="14" t="s">
        <v>742</v>
      </c>
      <c r="W3" s="17" t="s">
        <v>744</v>
      </c>
      <c r="X3" s="17" t="s">
        <v>744</v>
      </c>
      <c r="Y3" s="14" t="s">
        <v>742</v>
      </c>
      <c r="Z3" s="17" t="s">
        <v>744</v>
      </c>
      <c r="AA3" s="17" t="s">
        <v>744</v>
      </c>
      <c r="AB3" s="14" t="s">
        <v>742</v>
      </c>
      <c r="AC3" s="17" t="s">
        <v>531</v>
      </c>
      <c r="AD3" s="17" t="s">
        <v>531</v>
      </c>
      <c r="AE3" s="14" t="s">
        <v>742</v>
      </c>
      <c r="AF3" s="17" t="s">
        <v>744</v>
      </c>
      <c r="AG3" s="17" t="s">
        <v>744</v>
      </c>
      <c r="AH3" s="14" t="s">
        <v>742</v>
      </c>
      <c r="AI3" s="17" t="s">
        <v>744</v>
      </c>
      <c r="AJ3" s="17" t="s">
        <v>744</v>
      </c>
      <c r="AK3" s="14" t="s">
        <v>742</v>
      </c>
      <c r="AL3" s="17" t="s">
        <v>744</v>
      </c>
      <c r="AM3" s="17" t="s">
        <v>744</v>
      </c>
      <c r="AN3" s="14" t="s">
        <v>742</v>
      </c>
    </row>
    <row r="4" spans="1:40">
      <c r="A4" s="14">
        <v>0</v>
      </c>
      <c r="B4" s="14">
        <v>0</v>
      </c>
      <c r="C4" s="14">
        <v>40</v>
      </c>
      <c r="D4" s="14">
        <v>101</v>
      </c>
      <c r="E4" s="14">
        <v>3300</v>
      </c>
      <c r="F4" s="14">
        <v>40</v>
      </c>
      <c r="G4" s="16">
        <v>39147</v>
      </c>
      <c r="H4" s="14">
        <v>1071</v>
      </c>
      <c r="I4" s="14">
        <v>9852998</v>
      </c>
      <c r="J4" s="16">
        <v>38761</v>
      </c>
      <c r="K4" s="14">
        <v>1071</v>
      </c>
      <c r="L4" s="14" t="s">
        <v>197</v>
      </c>
      <c r="M4" s="14" t="s">
        <v>738</v>
      </c>
      <c r="N4" s="14" t="s">
        <v>199</v>
      </c>
      <c r="P4" s="14" t="s">
        <v>908</v>
      </c>
      <c r="Q4" s="17" t="s">
        <v>744</v>
      </c>
      <c r="R4" s="17" t="s">
        <v>744</v>
      </c>
      <c r="S4" s="14" t="s">
        <v>742</v>
      </c>
      <c r="T4" s="17" t="s">
        <v>516</v>
      </c>
      <c r="U4" s="17" t="s">
        <v>516</v>
      </c>
      <c r="V4" s="14" t="s">
        <v>742</v>
      </c>
      <c r="W4" s="17" t="s">
        <v>744</v>
      </c>
      <c r="X4" s="17" t="s">
        <v>744</v>
      </c>
      <c r="Y4" s="14" t="s">
        <v>742</v>
      </c>
      <c r="Z4" s="17" t="s">
        <v>744</v>
      </c>
      <c r="AA4" s="17" t="s">
        <v>744</v>
      </c>
      <c r="AB4" s="14" t="s">
        <v>742</v>
      </c>
      <c r="AC4" s="17" t="s">
        <v>530</v>
      </c>
      <c r="AD4" s="17" t="s">
        <v>550</v>
      </c>
      <c r="AE4" s="14" t="s">
        <v>742</v>
      </c>
      <c r="AF4" s="17" t="s">
        <v>744</v>
      </c>
      <c r="AG4" s="17" t="s">
        <v>744</v>
      </c>
      <c r="AH4" s="14" t="s">
        <v>742</v>
      </c>
      <c r="AI4" s="17" t="s">
        <v>744</v>
      </c>
      <c r="AJ4" s="17" t="s">
        <v>744</v>
      </c>
      <c r="AK4" s="14" t="s">
        <v>742</v>
      </c>
      <c r="AL4" s="17" t="s">
        <v>744</v>
      </c>
      <c r="AM4" s="17" t="s">
        <v>744</v>
      </c>
      <c r="AN4" s="14" t="s">
        <v>742</v>
      </c>
    </row>
    <row r="5" spans="1:40">
      <c r="A5" s="14">
        <v>0</v>
      </c>
      <c r="B5" s="14">
        <v>0</v>
      </c>
      <c r="C5" s="14">
        <v>40</v>
      </c>
      <c r="D5" s="14">
        <v>101</v>
      </c>
      <c r="E5" s="14">
        <v>3300</v>
      </c>
      <c r="F5" s="14">
        <v>40</v>
      </c>
      <c r="G5" s="16">
        <v>39147</v>
      </c>
      <c r="H5" s="14">
        <v>1071</v>
      </c>
      <c r="I5" s="14">
        <v>9852998</v>
      </c>
      <c r="J5" s="16">
        <v>39147</v>
      </c>
      <c r="K5" s="14">
        <v>1071</v>
      </c>
      <c r="L5" s="14" t="s">
        <v>197</v>
      </c>
      <c r="M5" s="14" t="s">
        <v>906</v>
      </c>
      <c r="N5" s="14" t="s">
        <v>199</v>
      </c>
      <c r="P5" s="14" t="s">
        <v>909</v>
      </c>
      <c r="Q5" s="17" t="s">
        <v>744</v>
      </c>
      <c r="R5" s="17" t="s">
        <v>744</v>
      </c>
      <c r="S5" s="14" t="s">
        <v>742</v>
      </c>
      <c r="T5" s="17" t="s">
        <v>516</v>
      </c>
      <c r="U5" s="17" t="s">
        <v>516</v>
      </c>
      <c r="V5" s="14" t="s">
        <v>742</v>
      </c>
      <c r="W5" s="17" t="s">
        <v>744</v>
      </c>
      <c r="X5" s="17" t="s">
        <v>744</v>
      </c>
      <c r="Y5" s="14" t="s">
        <v>742</v>
      </c>
      <c r="Z5" s="17" t="s">
        <v>744</v>
      </c>
      <c r="AA5" s="17" t="s">
        <v>744</v>
      </c>
      <c r="AB5" s="14" t="s">
        <v>742</v>
      </c>
      <c r="AC5" s="17" t="s">
        <v>531</v>
      </c>
      <c r="AD5" s="17" t="s">
        <v>531</v>
      </c>
      <c r="AE5" s="14" t="s">
        <v>742</v>
      </c>
      <c r="AF5" s="17" t="s">
        <v>744</v>
      </c>
      <c r="AG5" s="17" t="s">
        <v>744</v>
      </c>
      <c r="AH5" s="14" t="s">
        <v>742</v>
      </c>
      <c r="AI5" s="17" t="s">
        <v>744</v>
      </c>
      <c r="AJ5" s="17" t="s">
        <v>744</v>
      </c>
      <c r="AK5" s="14" t="s">
        <v>742</v>
      </c>
      <c r="AL5" s="17" t="s">
        <v>744</v>
      </c>
      <c r="AM5" s="17" t="s">
        <v>744</v>
      </c>
      <c r="AN5" s="14" t="s">
        <v>742</v>
      </c>
    </row>
    <row r="6" spans="1:40">
      <c r="A6" s="14">
        <v>0</v>
      </c>
      <c r="B6" s="14">
        <v>0</v>
      </c>
      <c r="C6" s="14">
        <v>50</v>
      </c>
      <c r="D6" s="14">
        <v>101</v>
      </c>
      <c r="E6" s="14">
        <v>3300</v>
      </c>
      <c r="F6" s="14">
        <v>50</v>
      </c>
      <c r="G6" s="16">
        <v>39147</v>
      </c>
      <c r="H6" s="14">
        <v>1071</v>
      </c>
      <c r="I6" s="14">
        <v>9852998</v>
      </c>
      <c r="J6" s="16">
        <v>38568</v>
      </c>
      <c r="K6" s="14">
        <v>1071</v>
      </c>
      <c r="L6" s="14" t="s">
        <v>197</v>
      </c>
      <c r="M6" s="14" t="s">
        <v>738</v>
      </c>
      <c r="N6" s="14" t="s">
        <v>199</v>
      </c>
      <c r="P6" s="14" t="s">
        <v>910</v>
      </c>
      <c r="Q6" s="17" t="s">
        <v>744</v>
      </c>
      <c r="R6" s="17" t="s">
        <v>744</v>
      </c>
      <c r="S6" s="14" t="s">
        <v>742</v>
      </c>
      <c r="T6" s="17" t="s">
        <v>517</v>
      </c>
      <c r="U6" s="17" t="s">
        <v>527</v>
      </c>
      <c r="V6" s="14" t="s">
        <v>742</v>
      </c>
      <c r="W6" s="17" t="s">
        <v>744</v>
      </c>
      <c r="X6" s="17" t="s">
        <v>744</v>
      </c>
      <c r="Y6" s="14" t="s">
        <v>742</v>
      </c>
      <c r="Z6" s="17" t="s">
        <v>744</v>
      </c>
      <c r="AA6" s="17" t="s">
        <v>744</v>
      </c>
      <c r="AB6" s="14" t="s">
        <v>742</v>
      </c>
      <c r="AC6" s="17" t="s">
        <v>532</v>
      </c>
      <c r="AD6" s="17" t="s">
        <v>551</v>
      </c>
      <c r="AE6" s="14" t="s">
        <v>742</v>
      </c>
      <c r="AF6" s="17" t="s">
        <v>744</v>
      </c>
      <c r="AG6" s="17" t="s">
        <v>744</v>
      </c>
      <c r="AH6" s="14" t="s">
        <v>742</v>
      </c>
      <c r="AI6" s="17" t="s">
        <v>744</v>
      </c>
      <c r="AJ6" s="17" t="s">
        <v>744</v>
      </c>
      <c r="AK6" s="14" t="s">
        <v>742</v>
      </c>
      <c r="AL6" s="17" t="s">
        <v>744</v>
      </c>
      <c r="AM6" s="17" t="s">
        <v>744</v>
      </c>
      <c r="AN6" s="14" t="s">
        <v>742</v>
      </c>
    </row>
    <row r="7" spans="1:40">
      <c r="A7" s="14">
        <v>0</v>
      </c>
      <c r="B7" s="14">
        <v>0</v>
      </c>
      <c r="C7" s="14">
        <v>50</v>
      </c>
      <c r="D7" s="14">
        <v>101</v>
      </c>
      <c r="E7" s="14">
        <v>3300</v>
      </c>
      <c r="F7" s="14">
        <v>50</v>
      </c>
      <c r="G7" s="16">
        <v>39147</v>
      </c>
      <c r="H7" s="14">
        <v>1071</v>
      </c>
      <c r="I7" s="14">
        <v>9852998</v>
      </c>
      <c r="J7" s="16">
        <v>39147</v>
      </c>
      <c r="K7" s="14">
        <v>1071</v>
      </c>
      <c r="L7" s="14" t="s">
        <v>197</v>
      </c>
      <c r="M7" s="14" t="s">
        <v>738</v>
      </c>
      <c r="N7" s="14" t="s">
        <v>199</v>
      </c>
      <c r="P7" s="14" t="s">
        <v>911</v>
      </c>
      <c r="Q7" s="17" t="s">
        <v>744</v>
      </c>
      <c r="R7" s="17" t="s">
        <v>744</v>
      </c>
      <c r="S7" s="14" t="s">
        <v>742</v>
      </c>
      <c r="T7" s="17" t="s">
        <v>517</v>
      </c>
      <c r="U7" s="17" t="s">
        <v>527</v>
      </c>
      <c r="V7" s="14" t="s">
        <v>742</v>
      </c>
      <c r="W7" s="17" t="s">
        <v>744</v>
      </c>
      <c r="X7" s="17" t="s">
        <v>744</v>
      </c>
      <c r="Y7" s="14" t="s">
        <v>742</v>
      </c>
      <c r="Z7" s="17" t="s">
        <v>744</v>
      </c>
      <c r="AA7" s="17" t="s">
        <v>744</v>
      </c>
      <c r="AB7" s="14" t="s">
        <v>742</v>
      </c>
      <c r="AC7" s="17" t="s">
        <v>533</v>
      </c>
      <c r="AD7" s="17" t="s">
        <v>552</v>
      </c>
      <c r="AE7" s="14" t="s">
        <v>742</v>
      </c>
      <c r="AF7" s="17" t="s">
        <v>744</v>
      </c>
      <c r="AG7" s="17" t="s">
        <v>744</v>
      </c>
      <c r="AH7" s="14" t="s">
        <v>742</v>
      </c>
      <c r="AI7" s="17" t="s">
        <v>744</v>
      </c>
      <c r="AJ7" s="17" t="s">
        <v>744</v>
      </c>
      <c r="AK7" s="14" t="s">
        <v>742</v>
      </c>
      <c r="AL7" s="17" t="s">
        <v>744</v>
      </c>
      <c r="AM7" s="17" t="s">
        <v>744</v>
      </c>
      <c r="AN7" s="14" t="s">
        <v>742</v>
      </c>
    </row>
    <row r="8" spans="1:40">
      <c r="A8" s="14">
        <v>0</v>
      </c>
      <c r="B8" s="14">
        <v>0</v>
      </c>
      <c r="C8" s="14">
        <v>50</v>
      </c>
      <c r="D8" s="14">
        <v>101</v>
      </c>
      <c r="E8" s="14">
        <v>3300</v>
      </c>
      <c r="F8" s="14">
        <v>50</v>
      </c>
      <c r="G8" s="16">
        <v>39147</v>
      </c>
      <c r="H8" s="14">
        <v>1071</v>
      </c>
      <c r="I8" s="14">
        <v>9852998</v>
      </c>
      <c r="J8" s="16">
        <v>39147</v>
      </c>
      <c r="K8" s="14">
        <v>1071</v>
      </c>
      <c r="L8" s="14" t="s">
        <v>197</v>
      </c>
      <c r="M8" s="14" t="s">
        <v>738</v>
      </c>
      <c r="N8" s="14" t="s">
        <v>199</v>
      </c>
      <c r="P8" s="14" t="s">
        <v>912</v>
      </c>
      <c r="Q8" s="17" t="s">
        <v>744</v>
      </c>
      <c r="R8" s="17" t="s">
        <v>744</v>
      </c>
      <c r="S8" s="14" t="s">
        <v>742</v>
      </c>
      <c r="T8" s="17" t="s">
        <v>518</v>
      </c>
      <c r="U8" s="17" t="s">
        <v>518</v>
      </c>
      <c r="V8" s="14" t="s">
        <v>742</v>
      </c>
      <c r="W8" s="17" t="s">
        <v>744</v>
      </c>
      <c r="X8" s="17" t="s">
        <v>744</v>
      </c>
      <c r="Y8" s="14" t="s">
        <v>742</v>
      </c>
      <c r="Z8" s="17" t="s">
        <v>744</v>
      </c>
      <c r="AA8" s="17" t="s">
        <v>744</v>
      </c>
      <c r="AB8" s="14" t="s">
        <v>742</v>
      </c>
      <c r="AC8" s="17" t="s">
        <v>532</v>
      </c>
      <c r="AD8" s="17" t="s">
        <v>552</v>
      </c>
      <c r="AE8" s="14" t="s">
        <v>742</v>
      </c>
      <c r="AF8" s="17" t="s">
        <v>744</v>
      </c>
      <c r="AG8" s="17" t="s">
        <v>744</v>
      </c>
      <c r="AH8" s="14" t="s">
        <v>742</v>
      </c>
      <c r="AI8" s="17" t="s">
        <v>744</v>
      </c>
      <c r="AJ8" s="17" t="s">
        <v>744</v>
      </c>
      <c r="AK8" s="14" t="s">
        <v>742</v>
      </c>
      <c r="AL8" s="17" t="s">
        <v>744</v>
      </c>
      <c r="AM8" s="17" t="s">
        <v>744</v>
      </c>
      <c r="AN8" s="14" t="s">
        <v>742</v>
      </c>
    </row>
    <row r="9" spans="1:40">
      <c r="A9" s="14">
        <v>0</v>
      </c>
      <c r="B9" s="14">
        <v>0</v>
      </c>
      <c r="C9" s="14">
        <v>50</v>
      </c>
      <c r="D9" s="14">
        <v>101</v>
      </c>
      <c r="E9" s="14">
        <v>3300</v>
      </c>
      <c r="F9" s="14">
        <v>50</v>
      </c>
      <c r="G9" s="16">
        <v>39147</v>
      </c>
      <c r="H9" s="14">
        <v>1071</v>
      </c>
      <c r="I9" s="14">
        <v>9852998</v>
      </c>
      <c r="J9" s="16">
        <v>38758</v>
      </c>
      <c r="K9" s="14">
        <v>1071</v>
      </c>
      <c r="L9" s="14" t="s">
        <v>197</v>
      </c>
      <c r="M9" s="14" t="s">
        <v>738</v>
      </c>
      <c r="N9" s="14" t="s">
        <v>199</v>
      </c>
      <c r="P9" s="14" t="s">
        <v>913</v>
      </c>
      <c r="Q9" s="17" t="s">
        <v>744</v>
      </c>
      <c r="R9" s="17" t="s">
        <v>744</v>
      </c>
      <c r="S9" s="14" t="s">
        <v>742</v>
      </c>
      <c r="T9" s="17" t="s">
        <v>519</v>
      </c>
      <c r="U9" s="17" t="s">
        <v>528</v>
      </c>
      <c r="V9" s="14" t="s">
        <v>742</v>
      </c>
      <c r="W9" s="17" t="s">
        <v>744</v>
      </c>
      <c r="X9" s="17" t="s">
        <v>744</v>
      </c>
      <c r="Y9" s="14" t="s">
        <v>742</v>
      </c>
      <c r="Z9" s="17" t="s">
        <v>744</v>
      </c>
      <c r="AA9" s="17" t="s">
        <v>744</v>
      </c>
      <c r="AB9" s="14" t="s">
        <v>742</v>
      </c>
      <c r="AC9" s="17" t="s">
        <v>532</v>
      </c>
      <c r="AD9" s="17" t="s">
        <v>551</v>
      </c>
      <c r="AE9" s="14" t="s">
        <v>742</v>
      </c>
      <c r="AF9" s="17" t="s">
        <v>744</v>
      </c>
      <c r="AG9" s="17" t="s">
        <v>744</v>
      </c>
      <c r="AH9" s="14" t="s">
        <v>742</v>
      </c>
      <c r="AI9" s="17" t="s">
        <v>744</v>
      </c>
      <c r="AJ9" s="17" t="s">
        <v>744</v>
      </c>
      <c r="AK9" s="14" t="s">
        <v>742</v>
      </c>
      <c r="AL9" s="17" t="s">
        <v>744</v>
      </c>
      <c r="AM9" s="17" t="s">
        <v>744</v>
      </c>
      <c r="AN9" s="14" t="s">
        <v>742</v>
      </c>
    </row>
    <row r="10" spans="1:40">
      <c r="A10" s="14">
        <v>0</v>
      </c>
      <c r="B10" s="14">
        <v>0</v>
      </c>
      <c r="C10" s="14">
        <v>50</v>
      </c>
      <c r="D10" s="14">
        <v>101</v>
      </c>
      <c r="E10" s="14">
        <v>3300</v>
      </c>
      <c r="F10" s="14">
        <v>50</v>
      </c>
      <c r="G10" s="16">
        <v>39147</v>
      </c>
      <c r="H10" s="14">
        <v>1071</v>
      </c>
      <c r="I10" s="14">
        <v>9852998</v>
      </c>
      <c r="J10" s="16">
        <v>39147</v>
      </c>
      <c r="K10" s="14">
        <v>1071</v>
      </c>
      <c r="L10" s="14" t="s">
        <v>197</v>
      </c>
      <c r="M10" s="14" t="s">
        <v>738</v>
      </c>
      <c r="N10" s="14" t="s">
        <v>199</v>
      </c>
      <c r="P10" s="14" t="s">
        <v>914</v>
      </c>
      <c r="Q10" s="17" t="s">
        <v>744</v>
      </c>
      <c r="R10" s="17" t="s">
        <v>744</v>
      </c>
      <c r="S10" s="14" t="s">
        <v>742</v>
      </c>
      <c r="T10" s="17" t="s">
        <v>519</v>
      </c>
      <c r="U10" s="17" t="s">
        <v>528</v>
      </c>
      <c r="V10" s="14" t="s">
        <v>742</v>
      </c>
      <c r="W10" s="17" t="s">
        <v>744</v>
      </c>
      <c r="X10" s="17" t="s">
        <v>744</v>
      </c>
      <c r="Y10" s="14" t="s">
        <v>742</v>
      </c>
      <c r="Z10" s="17" t="s">
        <v>744</v>
      </c>
      <c r="AA10" s="17" t="s">
        <v>744</v>
      </c>
      <c r="AB10" s="14" t="s">
        <v>742</v>
      </c>
      <c r="AC10" s="17" t="s">
        <v>533</v>
      </c>
      <c r="AD10" s="17" t="s">
        <v>552</v>
      </c>
      <c r="AE10" s="14" t="s">
        <v>742</v>
      </c>
      <c r="AF10" s="17" t="s">
        <v>744</v>
      </c>
      <c r="AG10" s="17" t="s">
        <v>744</v>
      </c>
      <c r="AH10" s="14" t="s">
        <v>742</v>
      </c>
      <c r="AI10" s="17" t="s">
        <v>744</v>
      </c>
      <c r="AJ10" s="17" t="s">
        <v>744</v>
      </c>
      <c r="AK10" s="14" t="s">
        <v>742</v>
      </c>
      <c r="AL10" s="17" t="s">
        <v>744</v>
      </c>
      <c r="AM10" s="17" t="s">
        <v>744</v>
      </c>
      <c r="AN10" s="14" t="s">
        <v>742</v>
      </c>
    </row>
    <row r="11" spans="1:40">
      <c r="A11" s="14">
        <v>0</v>
      </c>
      <c r="B11" s="14">
        <v>0</v>
      </c>
      <c r="C11" s="14">
        <v>60</v>
      </c>
      <c r="D11" s="14">
        <v>101</v>
      </c>
      <c r="E11" s="14">
        <v>3300</v>
      </c>
      <c r="F11" s="14">
        <v>60</v>
      </c>
      <c r="G11" s="16">
        <v>39147</v>
      </c>
      <c r="H11" s="14">
        <v>1071</v>
      </c>
      <c r="I11" s="14">
        <v>9852998</v>
      </c>
      <c r="J11" s="16">
        <v>38568</v>
      </c>
      <c r="K11" s="14">
        <v>1071</v>
      </c>
      <c r="L11" s="14" t="s">
        <v>197</v>
      </c>
      <c r="M11" s="14" t="s">
        <v>738</v>
      </c>
      <c r="N11" s="14" t="s">
        <v>199</v>
      </c>
      <c r="P11" s="14" t="s">
        <v>915</v>
      </c>
      <c r="Q11" s="17" t="s">
        <v>744</v>
      </c>
      <c r="R11" s="17" t="s">
        <v>744</v>
      </c>
      <c r="S11" s="14" t="s">
        <v>742</v>
      </c>
      <c r="T11" s="17" t="s">
        <v>520</v>
      </c>
      <c r="U11" s="17" t="s">
        <v>520</v>
      </c>
      <c r="V11" s="14" t="s">
        <v>742</v>
      </c>
      <c r="W11" s="17" t="s">
        <v>744</v>
      </c>
      <c r="X11" s="17" t="s">
        <v>744</v>
      </c>
      <c r="Y11" s="14" t="s">
        <v>742</v>
      </c>
      <c r="Z11" s="17" t="s">
        <v>744</v>
      </c>
      <c r="AA11" s="17" t="s">
        <v>744</v>
      </c>
      <c r="AB11" s="14" t="s">
        <v>742</v>
      </c>
      <c r="AC11" s="17" t="s">
        <v>534</v>
      </c>
      <c r="AD11" s="17" t="s">
        <v>553</v>
      </c>
      <c r="AE11" s="14" t="s">
        <v>742</v>
      </c>
      <c r="AF11" s="17" t="s">
        <v>744</v>
      </c>
      <c r="AG11" s="17" t="s">
        <v>744</v>
      </c>
      <c r="AH11" s="14" t="s">
        <v>742</v>
      </c>
      <c r="AI11" s="17" t="s">
        <v>744</v>
      </c>
      <c r="AJ11" s="17" t="s">
        <v>744</v>
      </c>
      <c r="AK11" s="14" t="s">
        <v>742</v>
      </c>
      <c r="AL11" s="17" t="s">
        <v>744</v>
      </c>
      <c r="AM11" s="17" t="s">
        <v>744</v>
      </c>
      <c r="AN11" s="14" t="s">
        <v>742</v>
      </c>
    </row>
    <row r="12" spans="1:40">
      <c r="A12" s="14">
        <v>0</v>
      </c>
      <c r="B12" s="14">
        <v>0</v>
      </c>
      <c r="C12" s="14">
        <v>60</v>
      </c>
      <c r="D12" s="14">
        <v>101</v>
      </c>
      <c r="E12" s="14">
        <v>3300</v>
      </c>
      <c r="F12" s="14">
        <v>60</v>
      </c>
      <c r="G12" s="16">
        <v>39147</v>
      </c>
      <c r="H12" s="14">
        <v>1071</v>
      </c>
      <c r="I12" s="14">
        <v>9852998</v>
      </c>
      <c r="J12" s="16">
        <v>39147</v>
      </c>
      <c r="K12" s="14">
        <v>1071</v>
      </c>
      <c r="L12" s="14" t="s">
        <v>197</v>
      </c>
      <c r="M12" s="14" t="s">
        <v>738</v>
      </c>
      <c r="N12" s="14" t="s">
        <v>199</v>
      </c>
      <c r="P12" s="14" t="s">
        <v>916</v>
      </c>
      <c r="Q12" s="17" t="s">
        <v>744</v>
      </c>
      <c r="R12" s="17" t="s">
        <v>744</v>
      </c>
      <c r="S12" s="14" t="s">
        <v>742</v>
      </c>
      <c r="T12" s="17" t="s">
        <v>518</v>
      </c>
      <c r="U12" s="17" t="s">
        <v>518</v>
      </c>
      <c r="V12" s="14" t="s">
        <v>742</v>
      </c>
      <c r="W12" s="17" t="s">
        <v>744</v>
      </c>
      <c r="X12" s="17" t="s">
        <v>744</v>
      </c>
      <c r="Y12" s="14" t="s">
        <v>742</v>
      </c>
      <c r="Z12" s="17" t="s">
        <v>744</v>
      </c>
      <c r="AA12" s="17" t="s">
        <v>744</v>
      </c>
      <c r="AB12" s="14" t="s">
        <v>742</v>
      </c>
      <c r="AC12" s="17" t="s">
        <v>535</v>
      </c>
      <c r="AD12" s="17" t="s">
        <v>535</v>
      </c>
      <c r="AE12" s="14" t="s">
        <v>742</v>
      </c>
      <c r="AF12" s="17" t="s">
        <v>744</v>
      </c>
      <c r="AG12" s="17" t="s">
        <v>744</v>
      </c>
      <c r="AH12" s="14" t="s">
        <v>742</v>
      </c>
      <c r="AI12" s="17" t="s">
        <v>744</v>
      </c>
      <c r="AJ12" s="17" t="s">
        <v>744</v>
      </c>
      <c r="AK12" s="14" t="s">
        <v>742</v>
      </c>
      <c r="AL12" s="17" t="s">
        <v>744</v>
      </c>
      <c r="AM12" s="17" t="s">
        <v>744</v>
      </c>
      <c r="AN12" s="14" t="s">
        <v>742</v>
      </c>
    </row>
    <row r="13" spans="1:40">
      <c r="A13" s="14">
        <v>0</v>
      </c>
      <c r="B13" s="14">
        <v>0</v>
      </c>
      <c r="C13" s="14">
        <v>60</v>
      </c>
      <c r="D13" s="14">
        <v>101</v>
      </c>
      <c r="E13" s="14">
        <v>3300</v>
      </c>
      <c r="F13" s="14">
        <v>60</v>
      </c>
      <c r="G13" s="16">
        <v>39147</v>
      </c>
      <c r="H13" s="14">
        <v>1071</v>
      </c>
      <c r="I13" s="14">
        <v>9852998</v>
      </c>
      <c r="J13" s="16">
        <v>39147</v>
      </c>
      <c r="K13" s="14">
        <v>1071</v>
      </c>
      <c r="L13" s="14" t="s">
        <v>197</v>
      </c>
      <c r="M13" s="14" t="s">
        <v>738</v>
      </c>
      <c r="N13" s="14" t="s">
        <v>199</v>
      </c>
      <c r="P13" s="14" t="s">
        <v>917</v>
      </c>
      <c r="Q13" s="17" t="s">
        <v>744</v>
      </c>
      <c r="R13" s="17" t="s">
        <v>744</v>
      </c>
      <c r="S13" s="14" t="s">
        <v>742</v>
      </c>
      <c r="T13" s="17" t="s">
        <v>518</v>
      </c>
      <c r="U13" s="17" t="s">
        <v>518</v>
      </c>
      <c r="V13" s="14" t="s">
        <v>742</v>
      </c>
      <c r="W13" s="17" t="s">
        <v>744</v>
      </c>
      <c r="X13" s="17" t="s">
        <v>744</v>
      </c>
      <c r="Y13" s="14" t="s">
        <v>742</v>
      </c>
      <c r="Z13" s="17" t="s">
        <v>744</v>
      </c>
      <c r="AA13" s="17" t="s">
        <v>744</v>
      </c>
      <c r="AB13" s="14" t="s">
        <v>742</v>
      </c>
      <c r="AC13" s="17" t="s">
        <v>536</v>
      </c>
      <c r="AD13" s="17" t="s">
        <v>536</v>
      </c>
      <c r="AE13" s="14" t="s">
        <v>742</v>
      </c>
      <c r="AF13" s="17" t="s">
        <v>744</v>
      </c>
      <c r="AG13" s="17" t="s">
        <v>744</v>
      </c>
      <c r="AH13" s="14" t="s">
        <v>742</v>
      </c>
      <c r="AI13" s="17" t="s">
        <v>744</v>
      </c>
      <c r="AJ13" s="17" t="s">
        <v>744</v>
      </c>
      <c r="AK13" s="14" t="s">
        <v>742</v>
      </c>
      <c r="AL13" s="17" t="s">
        <v>744</v>
      </c>
      <c r="AM13" s="17" t="s">
        <v>744</v>
      </c>
      <c r="AN13" s="14" t="s">
        <v>742</v>
      </c>
    </row>
    <row r="14" spans="1:40">
      <c r="A14" s="14">
        <v>0</v>
      </c>
      <c r="B14" s="14">
        <v>0</v>
      </c>
      <c r="C14" s="14">
        <v>60</v>
      </c>
      <c r="D14" s="14">
        <v>101</v>
      </c>
      <c r="E14" s="14">
        <v>3300</v>
      </c>
      <c r="F14" s="14">
        <v>60</v>
      </c>
      <c r="G14" s="16">
        <v>39147</v>
      </c>
      <c r="H14" s="14">
        <v>1071</v>
      </c>
      <c r="I14" s="14">
        <v>9852998</v>
      </c>
      <c r="J14" s="16">
        <v>38758</v>
      </c>
      <c r="K14" s="14">
        <v>1071</v>
      </c>
      <c r="L14" s="14" t="s">
        <v>197</v>
      </c>
      <c r="M14" s="14" t="s">
        <v>738</v>
      </c>
      <c r="N14" s="14" t="s">
        <v>199</v>
      </c>
      <c r="P14" s="14" t="s">
        <v>918</v>
      </c>
      <c r="Q14" s="17" t="s">
        <v>744</v>
      </c>
      <c r="R14" s="17" t="s">
        <v>744</v>
      </c>
      <c r="S14" s="14" t="s">
        <v>742</v>
      </c>
      <c r="T14" s="17" t="s">
        <v>521</v>
      </c>
      <c r="U14" s="17" t="s">
        <v>529</v>
      </c>
      <c r="V14" s="14" t="s">
        <v>742</v>
      </c>
      <c r="W14" s="17" t="s">
        <v>744</v>
      </c>
      <c r="X14" s="17" t="s">
        <v>744</v>
      </c>
      <c r="Y14" s="14" t="s">
        <v>742</v>
      </c>
      <c r="Z14" s="17" t="s">
        <v>744</v>
      </c>
      <c r="AA14" s="17" t="s">
        <v>744</v>
      </c>
      <c r="AB14" s="14" t="s">
        <v>742</v>
      </c>
      <c r="AC14" s="17" t="s">
        <v>534</v>
      </c>
      <c r="AD14" s="17" t="s">
        <v>553</v>
      </c>
      <c r="AE14" s="14" t="s">
        <v>742</v>
      </c>
      <c r="AF14" s="17" t="s">
        <v>744</v>
      </c>
      <c r="AG14" s="17" t="s">
        <v>744</v>
      </c>
      <c r="AH14" s="14" t="s">
        <v>742</v>
      </c>
      <c r="AI14" s="17" t="s">
        <v>744</v>
      </c>
      <c r="AJ14" s="17" t="s">
        <v>744</v>
      </c>
      <c r="AK14" s="14" t="s">
        <v>742</v>
      </c>
      <c r="AL14" s="17" t="s">
        <v>744</v>
      </c>
      <c r="AM14" s="17" t="s">
        <v>744</v>
      </c>
      <c r="AN14" s="14" t="s">
        <v>742</v>
      </c>
    </row>
    <row r="15" spans="1:40">
      <c r="A15" s="14">
        <v>0</v>
      </c>
      <c r="B15" s="14">
        <v>0</v>
      </c>
      <c r="C15" s="14">
        <v>81</v>
      </c>
      <c r="D15" s="14">
        <v>101</v>
      </c>
      <c r="E15" s="14">
        <v>3300</v>
      </c>
      <c r="F15" s="14">
        <v>81</v>
      </c>
      <c r="G15" s="16">
        <v>39650</v>
      </c>
      <c r="H15" s="14">
        <v>1071</v>
      </c>
      <c r="I15" s="14">
        <v>1071</v>
      </c>
      <c r="J15" s="16">
        <v>39650</v>
      </c>
      <c r="K15" s="14">
        <v>1071</v>
      </c>
      <c r="L15" s="14" t="s">
        <v>197</v>
      </c>
      <c r="M15" s="14" t="s">
        <v>738</v>
      </c>
      <c r="N15" s="14" t="s">
        <v>199</v>
      </c>
      <c r="P15" s="14" t="s">
        <v>249</v>
      </c>
      <c r="Q15" s="17" t="s">
        <v>744</v>
      </c>
      <c r="R15" s="17" t="s">
        <v>744</v>
      </c>
      <c r="S15" s="14" t="s">
        <v>742</v>
      </c>
      <c r="T15" s="17" t="s">
        <v>515</v>
      </c>
      <c r="U15" s="17" t="s">
        <v>515</v>
      </c>
      <c r="V15" s="14" t="s">
        <v>742</v>
      </c>
      <c r="W15" s="17" t="s">
        <v>744</v>
      </c>
      <c r="X15" s="17" t="s">
        <v>744</v>
      </c>
      <c r="Y15" s="14" t="s">
        <v>742</v>
      </c>
      <c r="Z15" s="17" t="s">
        <v>744</v>
      </c>
      <c r="AA15" s="17" t="s">
        <v>744</v>
      </c>
      <c r="AB15" s="14" t="s">
        <v>742</v>
      </c>
      <c r="AC15" s="17" t="s">
        <v>537</v>
      </c>
      <c r="AD15" s="17" t="s">
        <v>554</v>
      </c>
      <c r="AE15" s="14" t="s">
        <v>742</v>
      </c>
      <c r="AF15" s="17" t="s">
        <v>744</v>
      </c>
      <c r="AG15" s="17" t="s">
        <v>744</v>
      </c>
      <c r="AH15" s="14" t="s">
        <v>742</v>
      </c>
      <c r="AI15" s="17" t="s">
        <v>744</v>
      </c>
      <c r="AJ15" s="17" t="s">
        <v>744</v>
      </c>
      <c r="AK15" s="14" t="s">
        <v>742</v>
      </c>
      <c r="AL15" s="17" t="s">
        <v>744</v>
      </c>
      <c r="AM15" s="17" t="s">
        <v>744</v>
      </c>
      <c r="AN15" s="14" t="s">
        <v>742</v>
      </c>
    </row>
    <row r="16" spans="1:40">
      <c r="A16" s="14">
        <v>0</v>
      </c>
      <c r="B16" s="14">
        <v>0</v>
      </c>
      <c r="C16" s="14">
        <v>81</v>
      </c>
      <c r="D16" s="14">
        <v>101</v>
      </c>
      <c r="E16" s="14">
        <v>3300</v>
      </c>
      <c r="F16" s="14">
        <v>81</v>
      </c>
      <c r="G16" s="16">
        <v>39650</v>
      </c>
      <c r="H16" s="14">
        <v>1071</v>
      </c>
      <c r="I16" s="14">
        <v>1071</v>
      </c>
      <c r="J16" s="16">
        <v>39650</v>
      </c>
      <c r="K16" s="14">
        <v>1071</v>
      </c>
      <c r="L16" s="14" t="s">
        <v>197</v>
      </c>
      <c r="M16" s="14" t="s">
        <v>906</v>
      </c>
      <c r="N16" s="14" t="s">
        <v>199</v>
      </c>
      <c r="P16" s="14" t="s">
        <v>250</v>
      </c>
      <c r="Q16" s="17" t="s">
        <v>744</v>
      </c>
      <c r="R16" s="17" t="s">
        <v>744</v>
      </c>
      <c r="S16" s="14" t="s">
        <v>742</v>
      </c>
      <c r="T16" s="17" t="s">
        <v>515</v>
      </c>
      <c r="U16" s="17" t="s">
        <v>515</v>
      </c>
      <c r="V16" s="14" t="s">
        <v>742</v>
      </c>
      <c r="W16" s="17" t="s">
        <v>744</v>
      </c>
      <c r="X16" s="17" t="s">
        <v>744</v>
      </c>
      <c r="Y16" s="14" t="s">
        <v>742</v>
      </c>
      <c r="Z16" s="17" t="s">
        <v>744</v>
      </c>
      <c r="AA16" s="17" t="s">
        <v>744</v>
      </c>
      <c r="AB16" s="14" t="s">
        <v>742</v>
      </c>
      <c r="AC16" s="17" t="s">
        <v>538</v>
      </c>
      <c r="AD16" s="17" t="s">
        <v>538</v>
      </c>
      <c r="AE16" s="14" t="s">
        <v>742</v>
      </c>
      <c r="AF16" s="17" t="s">
        <v>744</v>
      </c>
      <c r="AG16" s="17" t="s">
        <v>744</v>
      </c>
      <c r="AH16" s="14" t="s">
        <v>742</v>
      </c>
      <c r="AI16" s="17" t="s">
        <v>744</v>
      </c>
      <c r="AJ16" s="17" t="s">
        <v>744</v>
      </c>
      <c r="AK16" s="14" t="s">
        <v>742</v>
      </c>
      <c r="AL16" s="17" t="s">
        <v>744</v>
      </c>
      <c r="AM16" s="17" t="s">
        <v>744</v>
      </c>
      <c r="AN16" s="14" t="s">
        <v>742</v>
      </c>
    </row>
    <row r="17" spans="1:40">
      <c r="A17" s="14">
        <v>0</v>
      </c>
      <c r="B17" s="14">
        <v>0</v>
      </c>
      <c r="C17" s="14">
        <v>81</v>
      </c>
      <c r="D17" s="14">
        <v>101</v>
      </c>
      <c r="E17" s="14">
        <v>3300</v>
      </c>
      <c r="F17" s="14">
        <v>81</v>
      </c>
      <c r="G17" s="16">
        <v>39650</v>
      </c>
      <c r="H17" s="14">
        <v>1071</v>
      </c>
      <c r="I17" s="14">
        <v>1071</v>
      </c>
      <c r="J17" s="16">
        <v>39650</v>
      </c>
      <c r="K17" s="14">
        <v>1071</v>
      </c>
      <c r="L17" s="14" t="s">
        <v>197</v>
      </c>
      <c r="M17" s="14" t="s">
        <v>738</v>
      </c>
      <c r="N17" s="14" t="s">
        <v>199</v>
      </c>
      <c r="P17" s="14" t="s">
        <v>251</v>
      </c>
      <c r="Q17" s="17" t="s">
        <v>744</v>
      </c>
      <c r="R17" s="17" t="s">
        <v>744</v>
      </c>
      <c r="S17" s="14" t="s">
        <v>742</v>
      </c>
      <c r="T17" s="17" t="s">
        <v>516</v>
      </c>
      <c r="U17" s="17" t="s">
        <v>516</v>
      </c>
      <c r="V17" s="14" t="s">
        <v>742</v>
      </c>
      <c r="W17" s="17" t="s">
        <v>744</v>
      </c>
      <c r="X17" s="17" t="s">
        <v>744</v>
      </c>
      <c r="Y17" s="14" t="s">
        <v>742</v>
      </c>
      <c r="Z17" s="17" t="s">
        <v>744</v>
      </c>
      <c r="AA17" s="17" t="s">
        <v>744</v>
      </c>
      <c r="AB17" s="14" t="s">
        <v>742</v>
      </c>
      <c r="AC17" s="17" t="s">
        <v>537</v>
      </c>
      <c r="AD17" s="17" t="s">
        <v>554</v>
      </c>
      <c r="AE17" s="14" t="s">
        <v>742</v>
      </c>
      <c r="AF17" s="17" t="s">
        <v>744</v>
      </c>
      <c r="AG17" s="17" t="s">
        <v>744</v>
      </c>
      <c r="AH17" s="14" t="s">
        <v>742</v>
      </c>
      <c r="AI17" s="17" t="s">
        <v>744</v>
      </c>
      <c r="AJ17" s="17" t="s">
        <v>744</v>
      </c>
      <c r="AK17" s="14" t="s">
        <v>742</v>
      </c>
      <c r="AL17" s="17" t="s">
        <v>744</v>
      </c>
      <c r="AM17" s="17" t="s">
        <v>744</v>
      </c>
      <c r="AN17" s="14" t="s">
        <v>742</v>
      </c>
    </row>
    <row r="18" spans="1:40">
      <c r="A18" s="14">
        <v>0</v>
      </c>
      <c r="B18" s="14">
        <v>0</v>
      </c>
      <c r="C18" s="14">
        <v>81</v>
      </c>
      <c r="D18" s="14">
        <v>101</v>
      </c>
      <c r="E18" s="14">
        <v>3300</v>
      </c>
      <c r="F18" s="14">
        <v>81</v>
      </c>
      <c r="G18" s="16">
        <v>39650</v>
      </c>
      <c r="H18" s="14">
        <v>1071</v>
      </c>
      <c r="I18" s="14">
        <v>1071</v>
      </c>
      <c r="J18" s="16">
        <v>39650</v>
      </c>
      <c r="K18" s="14">
        <v>1071</v>
      </c>
      <c r="L18" s="14" t="s">
        <v>197</v>
      </c>
      <c r="M18" s="14" t="s">
        <v>906</v>
      </c>
      <c r="N18" s="14" t="s">
        <v>199</v>
      </c>
      <c r="P18" s="14" t="s">
        <v>252</v>
      </c>
      <c r="Q18" s="17" t="s">
        <v>744</v>
      </c>
      <c r="R18" s="17" t="s">
        <v>744</v>
      </c>
      <c r="S18" s="14" t="s">
        <v>742</v>
      </c>
      <c r="T18" s="17" t="s">
        <v>516</v>
      </c>
      <c r="U18" s="17" t="s">
        <v>516</v>
      </c>
      <c r="V18" s="14" t="s">
        <v>742</v>
      </c>
      <c r="W18" s="17" t="s">
        <v>744</v>
      </c>
      <c r="X18" s="17" t="s">
        <v>744</v>
      </c>
      <c r="Y18" s="14" t="s">
        <v>742</v>
      </c>
      <c r="Z18" s="17" t="s">
        <v>744</v>
      </c>
      <c r="AA18" s="17" t="s">
        <v>744</v>
      </c>
      <c r="AB18" s="14" t="s">
        <v>742</v>
      </c>
      <c r="AC18" s="17" t="s">
        <v>538</v>
      </c>
      <c r="AD18" s="17" t="s">
        <v>538</v>
      </c>
      <c r="AE18" s="14" t="s">
        <v>742</v>
      </c>
      <c r="AF18" s="17" t="s">
        <v>744</v>
      </c>
      <c r="AG18" s="17" t="s">
        <v>744</v>
      </c>
      <c r="AH18" s="14" t="s">
        <v>742</v>
      </c>
      <c r="AI18" s="17" t="s">
        <v>744</v>
      </c>
      <c r="AJ18" s="17" t="s">
        <v>744</v>
      </c>
      <c r="AK18" s="14" t="s">
        <v>742</v>
      </c>
      <c r="AL18" s="17" t="s">
        <v>744</v>
      </c>
      <c r="AM18" s="17" t="s">
        <v>744</v>
      </c>
      <c r="AN18" s="14" t="s">
        <v>742</v>
      </c>
    </row>
    <row r="19" spans="1:40">
      <c r="A19" s="14">
        <v>0</v>
      </c>
      <c r="B19" s="14">
        <v>0</v>
      </c>
      <c r="C19" s="14">
        <v>90</v>
      </c>
      <c r="D19" s="14">
        <v>101</v>
      </c>
      <c r="E19" s="14">
        <v>3300</v>
      </c>
      <c r="F19" s="14">
        <v>90</v>
      </c>
      <c r="G19" s="16">
        <v>39650</v>
      </c>
      <c r="H19" s="14">
        <v>1071</v>
      </c>
      <c r="I19" s="14">
        <v>1071</v>
      </c>
      <c r="J19" s="16">
        <v>39650</v>
      </c>
      <c r="K19" s="14">
        <v>1071</v>
      </c>
      <c r="L19" s="14" t="s">
        <v>197</v>
      </c>
      <c r="M19" s="14" t="s">
        <v>738</v>
      </c>
      <c r="N19" s="14" t="s">
        <v>199</v>
      </c>
      <c r="P19" s="14" t="s">
        <v>253</v>
      </c>
      <c r="Q19" s="17" t="s">
        <v>744</v>
      </c>
      <c r="R19" s="17" t="s">
        <v>744</v>
      </c>
      <c r="S19" s="14" t="s">
        <v>742</v>
      </c>
      <c r="T19" s="17" t="s">
        <v>522</v>
      </c>
      <c r="U19" s="17" t="s">
        <v>522</v>
      </c>
      <c r="V19" s="14" t="s">
        <v>742</v>
      </c>
      <c r="W19" s="17" t="s">
        <v>744</v>
      </c>
      <c r="X19" s="17" t="s">
        <v>744</v>
      </c>
      <c r="Y19" s="14" t="s">
        <v>742</v>
      </c>
      <c r="Z19" s="17" t="s">
        <v>744</v>
      </c>
      <c r="AA19" s="17" t="s">
        <v>744</v>
      </c>
      <c r="AB19" s="14" t="s">
        <v>742</v>
      </c>
      <c r="AC19" s="17" t="s">
        <v>539</v>
      </c>
      <c r="AD19" s="17" t="s">
        <v>555</v>
      </c>
      <c r="AE19" s="14" t="s">
        <v>742</v>
      </c>
      <c r="AF19" s="17" t="s">
        <v>744</v>
      </c>
      <c r="AG19" s="17" t="s">
        <v>744</v>
      </c>
      <c r="AH19" s="14" t="s">
        <v>742</v>
      </c>
      <c r="AI19" s="17" t="s">
        <v>744</v>
      </c>
      <c r="AJ19" s="17" t="s">
        <v>744</v>
      </c>
      <c r="AK19" s="14" t="s">
        <v>742</v>
      </c>
      <c r="AL19" s="17" t="s">
        <v>744</v>
      </c>
      <c r="AM19" s="17" t="s">
        <v>744</v>
      </c>
      <c r="AN19" s="14" t="s">
        <v>742</v>
      </c>
    </row>
    <row r="20" spans="1:40">
      <c r="A20" s="14">
        <v>0</v>
      </c>
      <c r="B20" s="14">
        <v>0</v>
      </c>
      <c r="C20" s="14">
        <v>90</v>
      </c>
      <c r="D20" s="14">
        <v>101</v>
      </c>
      <c r="E20" s="14">
        <v>3300</v>
      </c>
      <c r="F20" s="14">
        <v>90</v>
      </c>
      <c r="G20" s="16">
        <v>39650</v>
      </c>
      <c r="H20" s="14">
        <v>1071</v>
      </c>
      <c r="I20" s="14">
        <v>1071</v>
      </c>
      <c r="J20" s="16">
        <v>39650</v>
      </c>
      <c r="K20" s="14">
        <v>1071</v>
      </c>
      <c r="L20" s="14" t="s">
        <v>197</v>
      </c>
      <c r="M20" s="14" t="s">
        <v>738</v>
      </c>
      <c r="N20" s="14" t="s">
        <v>199</v>
      </c>
      <c r="P20" s="14" t="s">
        <v>254</v>
      </c>
      <c r="Q20" s="17" t="s">
        <v>744</v>
      </c>
      <c r="R20" s="17" t="s">
        <v>744</v>
      </c>
      <c r="S20" s="14" t="s">
        <v>742</v>
      </c>
      <c r="T20" s="17" t="s">
        <v>523</v>
      </c>
      <c r="U20" s="17" t="s">
        <v>523</v>
      </c>
      <c r="V20" s="14" t="s">
        <v>742</v>
      </c>
      <c r="W20" s="17" t="s">
        <v>744</v>
      </c>
      <c r="X20" s="17" t="s">
        <v>744</v>
      </c>
      <c r="Y20" s="14" t="s">
        <v>742</v>
      </c>
      <c r="Z20" s="17" t="s">
        <v>744</v>
      </c>
      <c r="AA20" s="17" t="s">
        <v>744</v>
      </c>
      <c r="AB20" s="14" t="s">
        <v>742</v>
      </c>
      <c r="AC20" s="17" t="s">
        <v>539</v>
      </c>
      <c r="AD20" s="17" t="s">
        <v>555</v>
      </c>
      <c r="AE20" s="14" t="s">
        <v>742</v>
      </c>
      <c r="AF20" s="17" t="s">
        <v>744</v>
      </c>
      <c r="AG20" s="17" t="s">
        <v>744</v>
      </c>
      <c r="AH20" s="14" t="s">
        <v>742</v>
      </c>
      <c r="AI20" s="17" t="s">
        <v>744</v>
      </c>
      <c r="AJ20" s="17" t="s">
        <v>744</v>
      </c>
      <c r="AK20" s="14" t="s">
        <v>742</v>
      </c>
      <c r="AL20" s="17" t="s">
        <v>744</v>
      </c>
      <c r="AM20" s="17" t="s">
        <v>744</v>
      </c>
      <c r="AN20" s="14" t="s">
        <v>742</v>
      </c>
    </row>
    <row r="21" spans="1:40">
      <c r="A21" s="14">
        <v>0</v>
      </c>
      <c r="B21" s="14">
        <v>0</v>
      </c>
      <c r="C21" s="14">
        <v>90</v>
      </c>
      <c r="D21" s="14">
        <v>101</v>
      </c>
      <c r="E21" s="14">
        <v>3300</v>
      </c>
      <c r="F21" s="14">
        <v>90</v>
      </c>
      <c r="G21" s="16">
        <v>39650</v>
      </c>
      <c r="H21" s="14">
        <v>1071</v>
      </c>
      <c r="I21" s="14">
        <v>1071</v>
      </c>
      <c r="J21" s="16">
        <v>39650</v>
      </c>
      <c r="K21" s="14">
        <v>1071</v>
      </c>
      <c r="L21" s="14" t="s">
        <v>197</v>
      </c>
      <c r="M21" s="14" t="s">
        <v>738</v>
      </c>
      <c r="N21" s="14" t="s">
        <v>199</v>
      </c>
      <c r="P21" s="14" t="s">
        <v>255</v>
      </c>
      <c r="Q21" s="17" t="s">
        <v>744</v>
      </c>
      <c r="R21" s="17" t="s">
        <v>744</v>
      </c>
      <c r="S21" s="14" t="s">
        <v>742</v>
      </c>
      <c r="T21" s="17" t="s">
        <v>524</v>
      </c>
      <c r="U21" s="17" t="s">
        <v>524</v>
      </c>
      <c r="V21" s="14" t="s">
        <v>742</v>
      </c>
      <c r="W21" s="17" t="s">
        <v>744</v>
      </c>
      <c r="X21" s="17" t="s">
        <v>744</v>
      </c>
      <c r="Y21" s="14" t="s">
        <v>742</v>
      </c>
      <c r="Z21" s="17" t="s">
        <v>744</v>
      </c>
      <c r="AA21" s="17" t="s">
        <v>744</v>
      </c>
      <c r="AB21" s="14" t="s">
        <v>742</v>
      </c>
      <c r="AC21" s="17" t="s">
        <v>539</v>
      </c>
      <c r="AD21" s="17" t="s">
        <v>555</v>
      </c>
      <c r="AE21" s="14" t="s">
        <v>742</v>
      </c>
      <c r="AF21" s="17" t="s">
        <v>744</v>
      </c>
      <c r="AG21" s="17" t="s">
        <v>744</v>
      </c>
      <c r="AH21" s="14" t="s">
        <v>742</v>
      </c>
      <c r="AI21" s="17" t="s">
        <v>744</v>
      </c>
      <c r="AJ21" s="17" t="s">
        <v>744</v>
      </c>
      <c r="AK21" s="14" t="s">
        <v>742</v>
      </c>
      <c r="AL21" s="17" t="s">
        <v>744</v>
      </c>
      <c r="AM21" s="17" t="s">
        <v>744</v>
      </c>
      <c r="AN21" s="14" t="s">
        <v>742</v>
      </c>
    </row>
    <row r="22" spans="1:40">
      <c r="A22" s="14">
        <v>0</v>
      </c>
      <c r="B22" s="14">
        <v>0</v>
      </c>
      <c r="C22" s="14">
        <v>100</v>
      </c>
      <c r="D22" s="14">
        <v>101</v>
      </c>
      <c r="E22" s="14">
        <v>3300</v>
      </c>
      <c r="F22" s="14">
        <v>100</v>
      </c>
      <c r="G22" s="16">
        <v>39650</v>
      </c>
      <c r="H22" s="14">
        <v>1071</v>
      </c>
      <c r="I22" s="14">
        <v>1071</v>
      </c>
      <c r="J22" s="16">
        <v>39650</v>
      </c>
      <c r="K22" s="14">
        <v>1071</v>
      </c>
      <c r="L22" s="14" t="s">
        <v>197</v>
      </c>
      <c r="M22" s="14" t="s">
        <v>738</v>
      </c>
      <c r="N22" s="14" t="s">
        <v>199</v>
      </c>
      <c r="P22" s="14" t="s">
        <v>878</v>
      </c>
      <c r="Q22" s="17" t="s">
        <v>744</v>
      </c>
      <c r="R22" s="17" t="s">
        <v>744</v>
      </c>
      <c r="S22" s="14" t="s">
        <v>742</v>
      </c>
      <c r="T22" s="17" t="s">
        <v>520</v>
      </c>
      <c r="U22" s="17" t="s">
        <v>520</v>
      </c>
      <c r="V22" s="14" t="s">
        <v>742</v>
      </c>
      <c r="W22" s="17" t="s">
        <v>744</v>
      </c>
      <c r="X22" s="17" t="s">
        <v>744</v>
      </c>
      <c r="Y22" s="14" t="s">
        <v>742</v>
      </c>
      <c r="Z22" s="17" t="s">
        <v>744</v>
      </c>
      <c r="AA22" s="17" t="s">
        <v>744</v>
      </c>
      <c r="AB22" s="14" t="s">
        <v>742</v>
      </c>
      <c r="AC22" s="17" t="s">
        <v>540</v>
      </c>
      <c r="AD22" s="17" t="s">
        <v>541</v>
      </c>
      <c r="AE22" s="14" t="s">
        <v>742</v>
      </c>
      <c r="AF22" s="17" t="s">
        <v>744</v>
      </c>
      <c r="AG22" s="17" t="s">
        <v>744</v>
      </c>
      <c r="AH22" s="14" t="s">
        <v>742</v>
      </c>
      <c r="AI22" s="17" t="s">
        <v>744</v>
      </c>
      <c r="AJ22" s="17" t="s">
        <v>744</v>
      </c>
      <c r="AK22" s="14" t="s">
        <v>742</v>
      </c>
      <c r="AL22" s="17" t="s">
        <v>744</v>
      </c>
      <c r="AM22" s="17" t="s">
        <v>744</v>
      </c>
      <c r="AN22" s="14" t="s">
        <v>742</v>
      </c>
    </row>
    <row r="23" spans="1:40">
      <c r="A23" s="14">
        <v>0</v>
      </c>
      <c r="B23" s="14">
        <v>0</v>
      </c>
      <c r="C23" s="14">
        <v>100</v>
      </c>
      <c r="D23" s="14">
        <v>101</v>
      </c>
      <c r="E23" s="14">
        <v>3300</v>
      </c>
      <c r="F23" s="14">
        <v>100</v>
      </c>
      <c r="G23" s="16">
        <v>39650</v>
      </c>
      <c r="H23" s="14">
        <v>1071</v>
      </c>
      <c r="I23" s="14">
        <v>1071</v>
      </c>
      <c r="J23" s="16">
        <v>39650</v>
      </c>
      <c r="K23" s="14">
        <v>1071</v>
      </c>
      <c r="L23" s="14" t="s">
        <v>197</v>
      </c>
      <c r="M23" s="14" t="s">
        <v>738</v>
      </c>
      <c r="N23" s="14" t="s">
        <v>199</v>
      </c>
      <c r="P23" s="14" t="s">
        <v>879</v>
      </c>
      <c r="Q23" s="17" t="s">
        <v>744</v>
      </c>
      <c r="R23" s="17" t="s">
        <v>744</v>
      </c>
      <c r="S23" s="14" t="s">
        <v>742</v>
      </c>
      <c r="T23" s="17" t="s">
        <v>523</v>
      </c>
      <c r="U23" s="17" t="s">
        <v>523</v>
      </c>
      <c r="V23" s="14" t="s">
        <v>742</v>
      </c>
      <c r="W23" s="17" t="s">
        <v>744</v>
      </c>
      <c r="X23" s="17" t="s">
        <v>744</v>
      </c>
      <c r="Y23" s="14" t="s">
        <v>742</v>
      </c>
      <c r="Z23" s="17" t="s">
        <v>744</v>
      </c>
      <c r="AA23" s="17" t="s">
        <v>744</v>
      </c>
      <c r="AB23" s="14" t="s">
        <v>742</v>
      </c>
      <c r="AC23" s="17" t="s">
        <v>540</v>
      </c>
      <c r="AD23" s="17" t="s">
        <v>540</v>
      </c>
      <c r="AE23" s="14" t="s">
        <v>742</v>
      </c>
      <c r="AF23" s="17" t="s">
        <v>744</v>
      </c>
      <c r="AG23" s="17" t="s">
        <v>744</v>
      </c>
      <c r="AH23" s="14" t="s">
        <v>742</v>
      </c>
      <c r="AI23" s="17" t="s">
        <v>744</v>
      </c>
      <c r="AJ23" s="17" t="s">
        <v>744</v>
      </c>
      <c r="AK23" s="14" t="s">
        <v>742</v>
      </c>
      <c r="AL23" s="17" t="s">
        <v>744</v>
      </c>
      <c r="AM23" s="17" t="s">
        <v>744</v>
      </c>
      <c r="AN23" s="14" t="s">
        <v>742</v>
      </c>
    </row>
    <row r="24" spans="1:40">
      <c r="A24" s="14">
        <v>0</v>
      </c>
      <c r="B24" s="14">
        <v>0</v>
      </c>
      <c r="C24" s="14">
        <v>100</v>
      </c>
      <c r="D24" s="14">
        <v>101</v>
      </c>
      <c r="E24" s="14">
        <v>3300</v>
      </c>
      <c r="F24" s="14">
        <v>100</v>
      </c>
      <c r="G24" s="16">
        <v>39650</v>
      </c>
      <c r="H24" s="14">
        <v>1071</v>
      </c>
      <c r="I24" s="14">
        <v>1071</v>
      </c>
      <c r="J24" s="16">
        <v>39650</v>
      </c>
      <c r="K24" s="14">
        <v>1071</v>
      </c>
      <c r="L24" s="14" t="s">
        <v>197</v>
      </c>
      <c r="M24" s="14" t="s">
        <v>738</v>
      </c>
      <c r="N24" s="14" t="s">
        <v>199</v>
      </c>
      <c r="P24" s="14" t="s">
        <v>880</v>
      </c>
      <c r="Q24" s="17" t="s">
        <v>744</v>
      </c>
      <c r="R24" s="17" t="s">
        <v>744</v>
      </c>
      <c r="S24" s="14" t="s">
        <v>742</v>
      </c>
      <c r="T24" s="17" t="s">
        <v>523</v>
      </c>
      <c r="U24" s="17" t="s">
        <v>523</v>
      </c>
      <c r="V24" s="14" t="s">
        <v>742</v>
      </c>
      <c r="W24" s="17" t="s">
        <v>744</v>
      </c>
      <c r="X24" s="17" t="s">
        <v>744</v>
      </c>
      <c r="Y24" s="14" t="s">
        <v>742</v>
      </c>
      <c r="Z24" s="17" t="s">
        <v>744</v>
      </c>
      <c r="AA24" s="17" t="s">
        <v>744</v>
      </c>
      <c r="AB24" s="14" t="s">
        <v>742</v>
      </c>
      <c r="AC24" s="17" t="s">
        <v>541</v>
      </c>
      <c r="AD24" s="17" t="s">
        <v>541</v>
      </c>
      <c r="AE24" s="14" t="s">
        <v>742</v>
      </c>
      <c r="AF24" s="17" t="s">
        <v>744</v>
      </c>
      <c r="AG24" s="17" t="s">
        <v>744</v>
      </c>
      <c r="AH24" s="14" t="s">
        <v>742</v>
      </c>
      <c r="AI24" s="17" t="s">
        <v>744</v>
      </c>
      <c r="AJ24" s="17" t="s">
        <v>744</v>
      </c>
      <c r="AK24" s="14" t="s">
        <v>742</v>
      </c>
      <c r="AL24" s="17" t="s">
        <v>744</v>
      </c>
      <c r="AM24" s="17" t="s">
        <v>744</v>
      </c>
      <c r="AN24" s="14" t="s">
        <v>742</v>
      </c>
    </row>
    <row r="25" spans="1:40">
      <c r="A25" s="14">
        <v>0</v>
      </c>
      <c r="B25" s="14">
        <v>0</v>
      </c>
      <c r="C25" s="14">
        <v>100</v>
      </c>
      <c r="D25" s="14">
        <v>101</v>
      </c>
      <c r="E25" s="14">
        <v>3300</v>
      </c>
      <c r="F25" s="14">
        <v>100</v>
      </c>
      <c r="G25" s="16">
        <v>39650</v>
      </c>
      <c r="H25" s="14">
        <v>1071</v>
      </c>
      <c r="I25" s="14">
        <v>1071</v>
      </c>
      <c r="J25" s="16">
        <v>39650</v>
      </c>
      <c r="K25" s="14">
        <v>1071</v>
      </c>
      <c r="L25" s="14" t="s">
        <v>197</v>
      </c>
      <c r="M25" s="14" t="s">
        <v>738</v>
      </c>
      <c r="N25" s="14" t="s">
        <v>199</v>
      </c>
      <c r="P25" s="14" t="s">
        <v>881</v>
      </c>
      <c r="Q25" s="17" t="s">
        <v>744</v>
      </c>
      <c r="R25" s="17" t="s">
        <v>744</v>
      </c>
      <c r="S25" s="14" t="s">
        <v>742</v>
      </c>
      <c r="T25" s="17" t="s">
        <v>521</v>
      </c>
      <c r="U25" s="17" t="s">
        <v>529</v>
      </c>
      <c r="V25" s="14" t="s">
        <v>742</v>
      </c>
      <c r="W25" s="17" t="s">
        <v>744</v>
      </c>
      <c r="X25" s="17" t="s">
        <v>744</v>
      </c>
      <c r="Y25" s="14" t="s">
        <v>742</v>
      </c>
      <c r="Z25" s="17" t="s">
        <v>744</v>
      </c>
      <c r="AA25" s="17" t="s">
        <v>744</v>
      </c>
      <c r="AB25" s="14" t="s">
        <v>742</v>
      </c>
      <c r="AC25" s="17" t="s">
        <v>540</v>
      </c>
      <c r="AD25" s="17" t="s">
        <v>541</v>
      </c>
      <c r="AE25" s="14" t="s">
        <v>742</v>
      </c>
      <c r="AF25" s="17" t="s">
        <v>744</v>
      </c>
      <c r="AG25" s="17" t="s">
        <v>744</v>
      </c>
      <c r="AH25" s="14" t="s">
        <v>742</v>
      </c>
      <c r="AI25" s="17" t="s">
        <v>744</v>
      </c>
      <c r="AJ25" s="17" t="s">
        <v>744</v>
      </c>
      <c r="AK25" s="14" t="s">
        <v>742</v>
      </c>
      <c r="AL25" s="17" t="s">
        <v>744</v>
      </c>
      <c r="AM25" s="17" t="s">
        <v>744</v>
      </c>
      <c r="AN25" s="14" t="s">
        <v>742</v>
      </c>
    </row>
    <row r="26" spans="1:40">
      <c r="A26" s="14">
        <v>0</v>
      </c>
      <c r="B26" s="14">
        <v>0</v>
      </c>
      <c r="C26" s="14">
        <v>103</v>
      </c>
      <c r="D26" s="14">
        <v>101</v>
      </c>
      <c r="E26" s="14">
        <v>3300</v>
      </c>
      <c r="F26" s="14">
        <v>103</v>
      </c>
      <c r="G26" s="16">
        <v>39650</v>
      </c>
      <c r="H26" s="14">
        <v>1071</v>
      </c>
      <c r="I26" s="14">
        <v>1071</v>
      </c>
      <c r="J26" s="16">
        <v>39650</v>
      </c>
      <c r="K26" s="14">
        <v>1071</v>
      </c>
      <c r="L26" s="14" t="s">
        <v>197</v>
      </c>
      <c r="M26" s="14" t="s">
        <v>738</v>
      </c>
      <c r="N26" s="14" t="s">
        <v>199</v>
      </c>
      <c r="P26" s="14" t="s">
        <v>882</v>
      </c>
      <c r="Q26" s="17" t="s">
        <v>744</v>
      </c>
      <c r="R26" s="17" t="s">
        <v>744</v>
      </c>
      <c r="S26" s="14" t="s">
        <v>742</v>
      </c>
      <c r="T26" s="17" t="s">
        <v>515</v>
      </c>
      <c r="U26" s="17" t="s">
        <v>515</v>
      </c>
      <c r="V26" s="14" t="s">
        <v>742</v>
      </c>
      <c r="W26" s="17" t="s">
        <v>744</v>
      </c>
      <c r="X26" s="17" t="s">
        <v>744</v>
      </c>
      <c r="Y26" s="14" t="s">
        <v>742</v>
      </c>
      <c r="Z26" s="17" t="s">
        <v>744</v>
      </c>
      <c r="AA26" s="17" t="s">
        <v>744</v>
      </c>
      <c r="AB26" s="14" t="s">
        <v>742</v>
      </c>
      <c r="AC26" s="17" t="s">
        <v>885</v>
      </c>
      <c r="AD26" s="17" t="s">
        <v>888</v>
      </c>
      <c r="AE26" s="14" t="s">
        <v>742</v>
      </c>
      <c r="AF26" s="17" t="s">
        <v>744</v>
      </c>
      <c r="AG26" s="17" t="s">
        <v>744</v>
      </c>
      <c r="AH26" s="14" t="s">
        <v>742</v>
      </c>
      <c r="AI26" s="17" t="s">
        <v>744</v>
      </c>
      <c r="AJ26" s="17" t="s">
        <v>744</v>
      </c>
      <c r="AK26" s="14" t="s">
        <v>742</v>
      </c>
      <c r="AL26" s="17" t="s">
        <v>744</v>
      </c>
      <c r="AM26" s="17" t="s">
        <v>744</v>
      </c>
      <c r="AN26" s="14" t="s">
        <v>742</v>
      </c>
    </row>
    <row r="27" spans="1:40">
      <c r="A27" s="14">
        <v>0</v>
      </c>
      <c r="B27" s="14">
        <v>0</v>
      </c>
      <c r="C27" s="14">
        <v>104</v>
      </c>
      <c r="D27" s="14">
        <v>101</v>
      </c>
      <c r="E27" s="14">
        <v>3300</v>
      </c>
      <c r="F27" s="14">
        <v>104</v>
      </c>
      <c r="G27" s="16">
        <v>39650</v>
      </c>
      <c r="H27" s="14">
        <v>1071</v>
      </c>
      <c r="I27" s="14">
        <v>1071</v>
      </c>
      <c r="J27" s="16">
        <v>39650</v>
      </c>
      <c r="K27" s="14">
        <v>1071</v>
      </c>
      <c r="L27" s="14" t="s">
        <v>197</v>
      </c>
      <c r="M27" s="14" t="s">
        <v>738</v>
      </c>
      <c r="N27" s="14" t="s">
        <v>199</v>
      </c>
      <c r="P27" s="14" t="s">
        <v>883</v>
      </c>
      <c r="Q27" s="17" t="s">
        <v>744</v>
      </c>
      <c r="R27" s="17" t="s">
        <v>744</v>
      </c>
      <c r="S27" s="14" t="s">
        <v>742</v>
      </c>
      <c r="T27" s="17" t="s">
        <v>522</v>
      </c>
      <c r="U27" s="17" t="s">
        <v>522</v>
      </c>
      <c r="V27" s="14" t="s">
        <v>742</v>
      </c>
      <c r="W27" s="17" t="s">
        <v>744</v>
      </c>
      <c r="X27" s="17" t="s">
        <v>744</v>
      </c>
      <c r="Y27" s="14" t="s">
        <v>742</v>
      </c>
      <c r="Z27" s="17" t="s">
        <v>744</v>
      </c>
      <c r="AA27" s="17" t="s">
        <v>744</v>
      </c>
      <c r="AB27" s="14" t="s">
        <v>742</v>
      </c>
      <c r="AC27" s="17" t="s">
        <v>886</v>
      </c>
      <c r="AD27" s="17" t="s">
        <v>889</v>
      </c>
      <c r="AE27" s="14" t="s">
        <v>742</v>
      </c>
      <c r="AF27" s="17" t="s">
        <v>744</v>
      </c>
      <c r="AG27" s="17" t="s">
        <v>744</v>
      </c>
      <c r="AH27" s="14" t="s">
        <v>742</v>
      </c>
      <c r="AI27" s="17" t="s">
        <v>744</v>
      </c>
      <c r="AJ27" s="17" t="s">
        <v>744</v>
      </c>
      <c r="AK27" s="14" t="s">
        <v>742</v>
      </c>
      <c r="AL27" s="17" t="s">
        <v>744</v>
      </c>
      <c r="AM27" s="17" t="s">
        <v>744</v>
      </c>
      <c r="AN27" s="14" t="s">
        <v>742</v>
      </c>
    </row>
    <row r="28" spans="1:40">
      <c r="A28" s="14">
        <v>0</v>
      </c>
      <c r="B28" s="14">
        <v>0</v>
      </c>
      <c r="C28" s="14">
        <v>105</v>
      </c>
      <c r="D28" s="14">
        <v>101</v>
      </c>
      <c r="E28" s="14">
        <v>3300</v>
      </c>
      <c r="F28" s="14">
        <v>105</v>
      </c>
      <c r="G28" s="16">
        <v>39650</v>
      </c>
      <c r="H28" s="14">
        <v>1071</v>
      </c>
      <c r="I28" s="14">
        <v>1071</v>
      </c>
      <c r="J28" s="16">
        <v>39650</v>
      </c>
      <c r="K28" s="14">
        <v>1071</v>
      </c>
      <c r="L28" s="14" t="s">
        <v>197</v>
      </c>
      <c r="M28" s="14" t="s">
        <v>738</v>
      </c>
      <c r="N28" s="14" t="s">
        <v>199</v>
      </c>
      <c r="P28" s="14" t="s">
        <v>884</v>
      </c>
      <c r="Q28" s="17" t="s">
        <v>744</v>
      </c>
      <c r="R28" s="17" t="s">
        <v>744</v>
      </c>
      <c r="S28" s="14" t="s">
        <v>742</v>
      </c>
      <c r="T28" s="17" t="s">
        <v>526</v>
      </c>
      <c r="U28" s="17" t="s">
        <v>526</v>
      </c>
      <c r="V28" s="14" t="s">
        <v>742</v>
      </c>
      <c r="W28" s="17" t="s">
        <v>744</v>
      </c>
      <c r="X28" s="17" t="s">
        <v>744</v>
      </c>
      <c r="Y28" s="14" t="s">
        <v>742</v>
      </c>
      <c r="Z28" s="17" t="s">
        <v>744</v>
      </c>
      <c r="AA28" s="17" t="s">
        <v>744</v>
      </c>
      <c r="AB28" s="14" t="s">
        <v>742</v>
      </c>
      <c r="AC28" s="17" t="s">
        <v>887</v>
      </c>
      <c r="AD28" s="17" t="s">
        <v>890</v>
      </c>
      <c r="AE28" s="14" t="s">
        <v>742</v>
      </c>
      <c r="AF28" s="17" t="s">
        <v>744</v>
      </c>
      <c r="AG28" s="17" t="s">
        <v>744</v>
      </c>
      <c r="AH28" s="14" t="s">
        <v>742</v>
      </c>
      <c r="AI28" s="17" t="s">
        <v>744</v>
      </c>
      <c r="AJ28" s="17" t="s">
        <v>744</v>
      </c>
      <c r="AK28" s="14" t="s">
        <v>742</v>
      </c>
      <c r="AL28" s="17" t="s">
        <v>744</v>
      </c>
      <c r="AM28" s="17" t="s">
        <v>744</v>
      </c>
      <c r="AN28" s="14" t="s">
        <v>742</v>
      </c>
    </row>
    <row r="29" spans="1:40">
      <c r="A29" s="14">
        <v>0</v>
      </c>
      <c r="B29" s="14">
        <v>0</v>
      </c>
      <c r="C29" s="14">
        <v>110</v>
      </c>
      <c r="D29" s="14">
        <v>101</v>
      </c>
      <c r="E29" s="14">
        <v>3300</v>
      </c>
      <c r="F29" s="14">
        <v>110</v>
      </c>
      <c r="G29" s="16">
        <v>39147</v>
      </c>
      <c r="H29" s="14">
        <v>1071</v>
      </c>
      <c r="I29" s="14">
        <v>9852998</v>
      </c>
      <c r="J29" s="16">
        <v>39147</v>
      </c>
      <c r="K29" s="14">
        <v>1071</v>
      </c>
      <c r="L29" s="14" t="s">
        <v>197</v>
      </c>
      <c r="M29" s="14" t="s">
        <v>738</v>
      </c>
      <c r="N29" s="14" t="s">
        <v>199</v>
      </c>
      <c r="P29" s="14" t="s">
        <v>930</v>
      </c>
      <c r="Q29" s="17" t="s">
        <v>744</v>
      </c>
      <c r="R29" s="17" t="s">
        <v>744</v>
      </c>
      <c r="S29" s="14" t="s">
        <v>742</v>
      </c>
      <c r="T29" s="17" t="s">
        <v>515</v>
      </c>
      <c r="U29" s="17" t="s">
        <v>515</v>
      </c>
      <c r="V29" s="14" t="s">
        <v>742</v>
      </c>
      <c r="W29" s="17" t="s">
        <v>744</v>
      </c>
      <c r="X29" s="17" t="s">
        <v>744</v>
      </c>
      <c r="Y29" s="14" t="s">
        <v>742</v>
      </c>
      <c r="Z29" s="17" t="s">
        <v>744</v>
      </c>
      <c r="AA29" s="17" t="s">
        <v>744</v>
      </c>
      <c r="AB29" s="14" t="s">
        <v>742</v>
      </c>
      <c r="AC29" s="17" t="s">
        <v>531</v>
      </c>
      <c r="AD29" s="17" t="s">
        <v>531</v>
      </c>
      <c r="AE29" s="14" t="s">
        <v>742</v>
      </c>
      <c r="AF29" s="17" t="s">
        <v>744</v>
      </c>
      <c r="AG29" s="17" t="s">
        <v>744</v>
      </c>
      <c r="AH29" s="14" t="s">
        <v>742</v>
      </c>
      <c r="AI29" s="17" t="s">
        <v>744</v>
      </c>
      <c r="AJ29" s="17" t="s">
        <v>744</v>
      </c>
      <c r="AK29" s="14" t="s">
        <v>742</v>
      </c>
      <c r="AL29" s="17" t="s">
        <v>744</v>
      </c>
      <c r="AM29" s="17" t="s">
        <v>744</v>
      </c>
      <c r="AN29" s="14" t="s">
        <v>742</v>
      </c>
    </row>
    <row r="30" spans="1:40">
      <c r="A30" s="14">
        <v>0</v>
      </c>
      <c r="B30" s="14">
        <v>0</v>
      </c>
      <c r="C30" s="14">
        <v>110</v>
      </c>
      <c r="D30" s="14">
        <v>101</v>
      </c>
      <c r="E30" s="14">
        <v>3300</v>
      </c>
      <c r="F30" s="14">
        <v>110</v>
      </c>
      <c r="G30" s="16">
        <v>39147</v>
      </c>
      <c r="H30" s="14">
        <v>1071</v>
      </c>
      <c r="I30" s="14">
        <v>9852998</v>
      </c>
      <c r="J30" s="16">
        <v>39147</v>
      </c>
      <c r="K30" s="14">
        <v>1071</v>
      </c>
      <c r="L30" s="14" t="s">
        <v>197</v>
      </c>
      <c r="M30" s="14" t="s">
        <v>738</v>
      </c>
      <c r="N30" s="14" t="s">
        <v>199</v>
      </c>
      <c r="P30" s="14" t="s">
        <v>931</v>
      </c>
      <c r="Q30" s="17" t="s">
        <v>744</v>
      </c>
      <c r="R30" s="17" t="s">
        <v>744</v>
      </c>
      <c r="S30" s="14" t="s">
        <v>742</v>
      </c>
      <c r="T30" s="17" t="s">
        <v>515</v>
      </c>
      <c r="U30" s="17" t="s">
        <v>515</v>
      </c>
      <c r="V30" s="14" t="s">
        <v>742</v>
      </c>
      <c r="W30" s="17" t="s">
        <v>744</v>
      </c>
      <c r="X30" s="17" t="s">
        <v>744</v>
      </c>
      <c r="Y30" s="14" t="s">
        <v>742</v>
      </c>
      <c r="Z30" s="17" t="s">
        <v>744</v>
      </c>
      <c r="AA30" s="17" t="s">
        <v>744</v>
      </c>
      <c r="AB30" s="14" t="s">
        <v>742</v>
      </c>
      <c r="AC30" s="17" t="s">
        <v>538</v>
      </c>
      <c r="AD30" s="17" t="s">
        <v>538</v>
      </c>
      <c r="AE30" s="14" t="s">
        <v>742</v>
      </c>
      <c r="AF30" s="17" t="s">
        <v>744</v>
      </c>
      <c r="AG30" s="17" t="s">
        <v>744</v>
      </c>
      <c r="AH30" s="14" t="s">
        <v>742</v>
      </c>
      <c r="AI30" s="17" t="s">
        <v>744</v>
      </c>
      <c r="AJ30" s="17" t="s">
        <v>744</v>
      </c>
      <c r="AK30" s="14" t="s">
        <v>742</v>
      </c>
      <c r="AL30" s="17" t="s">
        <v>744</v>
      </c>
      <c r="AM30" s="17" t="s">
        <v>744</v>
      </c>
      <c r="AN30" s="14" t="s">
        <v>742</v>
      </c>
    </row>
    <row r="31" spans="1:40">
      <c r="A31" s="14">
        <v>0</v>
      </c>
      <c r="B31" s="14">
        <v>0</v>
      </c>
      <c r="C31" s="14">
        <v>110</v>
      </c>
      <c r="D31" s="14">
        <v>101</v>
      </c>
      <c r="E31" s="14">
        <v>3300</v>
      </c>
      <c r="F31" s="14">
        <v>110</v>
      </c>
      <c r="G31" s="16">
        <v>39147</v>
      </c>
      <c r="H31" s="14">
        <v>1071</v>
      </c>
      <c r="I31" s="14">
        <v>9852998</v>
      </c>
      <c r="J31" s="16">
        <v>39147</v>
      </c>
      <c r="K31" s="14">
        <v>1071</v>
      </c>
      <c r="L31" s="14" t="s">
        <v>197</v>
      </c>
      <c r="M31" s="14" t="s">
        <v>738</v>
      </c>
      <c r="N31" s="14" t="s">
        <v>199</v>
      </c>
      <c r="P31" s="14" t="s">
        <v>932</v>
      </c>
      <c r="Q31" s="17" t="s">
        <v>744</v>
      </c>
      <c r="R31" s="17" t="s">
        <v>744</v>
      </c>
      <c r="S31" s="14" t="s">
        <v>742</v>
      </c>
      <c r="T31" s="17" t="s">
        <v>515</v>
      </c>
      <c r="U31" s="17" t="s">
        <v>515</v>
      </c>
      <c r="V31" s="14" t="s">
        <v>742</v>
      </c>
      <c r="W31" s="17" t="s">
        <v>744</v>
      </c>
      <c r="X31" s="17" t="s">
        <v>744</v>
      </c>
      <c r="Y31" s="14" t="s">
        <v>742</v>
      </c>
      <c r="Z31" s="17" t="s">
        <v>744</v>
      </c>
      <c r="AA31" s="17" t="s">
        <v>744</v>
      </c>
      <c r="AB31" s="14" t="s">
        <v>742</v>
      </c>
      <c r="AC31" s="17" t="s">
        <v>542</v>
      </c>
      <c r="AD31" s="17" t="s">
        <v>542</v>
      </c>
      <c r="AE31" s="14" t="s">
        <v>742</v>
      </c>
      <c r="AF31" s="17" t="s">
        <v>744</v>
      </c>
      <c r="AG31" s="17" t="s">
        <v>744</v>
      </c>
      <c r="AH31" s="14" t="s">
        <v>742</v>
      </c>
      <c r="AI31" s="17" t="s">
        <v>744</v>
      </c>
      <c r="AJ31" s="17" t="s">
        <v>744</v>
      </c>
      <c r="AK31" s="14" t="s">
        <v>742</v>
      </c>
      <c r="AL31" s="17" t="s">
        <v>744</v>
      </c>
      <c r="AM31" s="17" t="s">
        <v>744</v>
      </c>
      <c r="AN31" s="14" t="s">
        <v>742</v>
      </c>
    </row>
    <row r="32" spans="1:40">
      <c r="A32" s="14">
        <v>0</v>
      </c>
      <c r="B32" s="14">
        <v>0</v>
      </c>
      <c r="C32" s="14">
        <v>110</v>
      </c>
      <c r="D32" s="14">
        <v>101</v>
      </c>
      <c r="E32" s="14">
        <v>3300</v>
      </c>
      <c r="F32" s="14">
        <v>110</v>
      </c>
      <c r="G32" s="16">
        <v>39147</v>
      </c>
      <c r="H32" s="14">
        <v>1071</v>
      </c>
      <c r="I32" s="14">
        <v>9852998</v>
      </c>
      <c r="J32" s="16">
        <v>39147</v>
      </c>
      <c r="K32" s="14">
        <v>1071</v>
      </c>
      <c r="L32" s="14" t="s">
        <v>197</v>
      </c>
      <c r="M32" s="14" t="s">
        <v>738</v>
      </c>
      <c r="N32" s="14" t="s">
        <v>199</v>
      </c>
      <c r="P32" s="14" t="s">
        <v>933</v>
      </c>
      <c r="Q32" s="17" t="s">
        <v>744</v>
      </c>
      <c r="R32" s="17" t="s">
        <v>744</v>
      </c>
      <c r="S32" s="14" t="s">
        <v>742</v>
      </c>
      <c r="T32" s="17" t="s">
        <v>516</v>
      </c>
      <c r="U32" s="17" t="s">
        <v>516</v>
      </c>
      <c r="V32" s="14" t="s">
        <v>742</v>
      </c>
      <c r="W32" s="17" t="s">
        <v>744</v>
      </c>
      <c r="X32" s="17" t="s">
        <v>744</v>
      </c>
      <c r="Y32" s="14" t="s">
        <v>742</v>
      </c>
      <c r="Z32" s="17" t="s">
        <v>744</v>
      </c>
      <c r="AA32" s="17" t="s">
        <v>744</v>
      </c>
      <c r="AB32" s="14" t="s">
        <v>742</v>
      </c>
      <c r="AC32" s="17" t="s">
        <v>531</v>
      </c>
      <c r="AD32" s="17" t="s">
        <v>531</v>
      </c>
      <c r="AE32" s="14" t="s">
        <v>742</v>
      </c>
      <c r="AF32" s="17" t="s">
        <v>744</v>
      </c>
      <c r="AG32" s="17" t="s">
        <v>744</v>
      </c>
      <c r="AH32" s="14" t="s">
        <v>742</v>
      </c>
      <c r="AI32" s="17" t="s">
        <v>744</v>
      </c>
      <c r="AJ32" s="17" t="s">
        <v>744</v>
      </c>
      <c r="AK32" s="14" t="s">
        <v>742</v>
      </c>
      <c r="AL32" s="17" t="s">
        <v>744</v>
      </c>
      <c r="AM32" s="17" t="s">
        <v>744</v>
      </c>
      <c r="AN32" s="14" t="s">
        <v>742</v>
      </c>
    </row>
    <row r="33" spans="1:40">
      <c r="A33" s="14">
        <v>0</v>
      </c>
      <c r="B33" s="14">
        <v>0</v>
      </c>
      <c r="C33" s="14">
        <v>110</v>
      </c>
      <c r="D33" s="14">
        <v>101</v>
      </c>
      <c r="E33" s="14">
        <v>3300</v>
      </c>
      <c r="F33" s="14">
        <v>110</v>
      </c>
      <c r="G33" s="16">
        <v>39147</v>
      </c>
      <c r="H33" s="14">
        <v>1071</v>
      </c>
      <c r="I33" s="14">
        <v>9852998</v>
      </c>
      <c r="J33" s="16">
        <v>39147</v>
      </c>
      <c r="K33" s="14">
        <v>1071</v>
      </c>
      <c r="L33" s="14" t="s">
        <v>197</v>
      </c>
      <c r="M33" s="14" t="s">
        <v>738</v>
      </c>
      <c r="N33" s="14" t="s">
        <v>199</v>
      </c>
      <c r="P33" s="14" t="s">
        <v>934</v>
      </c>
      <c r="Q33" s="17" t="s">
        <v>744</v>
      </c>
      <c r="R33" s="17" t="s">
        <v>744</v>
      </c>
      <c r="S33" s="14" t="s">
        <v>742</v>
      </c>
      <c r="T33" s="17" t="s">
        <v>516</v>
      </c>
      <c r="U33" s="17" t="s">
        <v>516</v>
      </c>
      <c r="V33" s="14" t="s">
        <v>742</v>
      </c>
      <c r="W33" s="17" t="s">
        <v>744</v>
      </c>
      <c r="X33" s="17" t="s">
        <v>744</v>
      </c>
      <c r="Y33" s="14" t="s">
        <v>742</v>
      </c>
      <c r="Z33" s="17" t="s">
        <v>744</v>
      </c>
      <c r="AA33" s="17" t="s">
        <v>744</v>
      </c>
      <c r="AB33" s="14" t="s">
        <v>742</v>
      </c>
      <c r="AC33" s="17" t="s">
        <v>538</v>
      </c>
      <c r="AD33" s="17" t="s">
        <v>538</v>
      </c>
      <c r="AE33" s="14" t="s">
        <v>742</v>
      </c>
      <c r="AF33" s="17" t="s">
        <v>744</v>
      </c>
      <c r="AG33" s="17" t="s">
        <v>744</v>
      </c>
      <c r="AH33" s="14" t="s">
        <v>742</v>
      </c>
      <c r="AI33" s="17" t="s">
        <v>744</v>
      </c>
      <c r="AJ33" s="17" t="s">
        <v>744</v>
      </c>
      <c r="AK33" s="14" t="s">
        <v>742</v>
      </c>
      <c r="AL33" s="17" t="s">
        <v>744</v>
      </c>
      <c r="AM33" s="17" t="s">
        <v>744</v>
      </c>
      <c r="AN33" s="14" t="s">
        <v>742</v>
      </c>
    </row>
    <row r="34" spans="1:40">
      <c r="A34" s="14">
        <v>0</v>
      </c>
      <c r="B34" s="14">
        <v>0</v>
      </c>
      <c r="C34" s="14">
        <v>110</v>
      </c>
      <c r="D34" s="14">
        <v>101</v>
      </c>
      <c r="E34" s="14">
        <v>3300</v>
      </c>
      <c r="F34" s="14">
        <v>110</v>
      </c>
      <c r="G34" s="16">
        <v>39147</v>
      </c>
      <c r="H34" s="14">
        <v>1071</v>
      </c>
      <c r="I34" s="14">
        <v>9852998</v>
      </c>
      <c r="J34" s="16">
        <v>39147</v>
      </c>
      <c r="K34" s="14">
        <v>1071</v>
      </c>
      <c r="L34" s="14" t="s">
        <v>197</v>
      </c>
      <c r="M34" s="14" t="s">
        <v>738</v>
      </c>
      <c r="N34" s="14" t="s">
        <v>199</v>
      </c>
      <c r="P34" s="14" t="s">
        <v>935</v>
      </c>
      <c r="Q34" s="17" t="s">
        <v>744</v>
      </c>
      <c r="R34" s="17" t="s">
        <v>744</v>
      </c>
      <c r="S34" s="14" t="s">
        <v>742</v>
      </c>
      <c r="T34" s="17" t="s">
        <v>516</v>
      </c>
      <c r="U34" s="17" t="s">
        <v>516</v>
      </c>
      <c r="V34" s="14" t="s">
        <v>742</v>
      </c>
      <c r="W34" s="17" t="s">
        <v>744</v>
      </c>
      <c r="X34" s="17" t="s">
        <v>744</v>
      </c>
      <c r="Y34" s="14" t="s">
        <v>742</v>
      </c>
      <c r="Z34" s="17" t="s">
        <v>744</v>
      </c>
      <c r="AA34" s="17" t="s">
        <v>744</v>
      </c>
      <c r="AB34" s="14" t="s">
        <v>742</v>
      </c>
      <c r="AC34" s="17" t="s">
        <v>542</v>
      </c>
      <c r="AD34" s="17" t="s">
        <v>542</v>
      </c>
      <c r="AE34" s="14" t="s">
        <v>742</v>
      </c>
      <c r="AF34" s="17" t="s">
        <v>744</v>
      </c>
      <c r="AG34" s="17" t="s">
        <v>744</v>
      </c>
      <c r="AH34" s="14" t="s">
        <v>742</v>
      </c>
      <c r="AI34" s="17" t="s">
        <v>744</v>
      </c>
      <c r="AJ34" s="17" t="s">
        <v>744</v>
      </c>
      <c r="AK34" s="14" t="s">
        <v>742</v>
      </c>
      <c r="AL34" s="17" t="s">
        <v>744</v>
      </c>
      <c r="AM34" s="17" t="s">
        <v>744</v>
      </c>
      <c r="AN34" s="14" t="s">
        <v>742</v>
      </c>
    </row>
    <row r="35" spans="1:40">
      <c r="A35" s="14">
        <v>0</v>
      </c>
      <c r="B35" s="14">
        <v>0</v>
      </c>
      <c r="C35" s="14">
        <v>120</v>
      </c>
      <c r="D35" s="14">
        <v>101</v>
      </c>
      <c r="E35" s="14">
        <v>3300</v>
      </c>
      <c r="F35" s="14">
        <v>120</v>
      </c>
      <c r="G35" s="16">
        <v>39147</v>
      </c>
      <c r="H35" s="14">
        <v>1071</v>
      </c>
      <c r="I35" s="14">
        <v>9852998</v>
      </c>
      <c r="J35" s="16">
        <v>39147</v>
      </c>
      <c r="K35" s="14">
        <v>1071</v>
      </c>
      <c r="L35" s="14" t="s">
        <v>197</v>
      </c>
      <c r="M35" s="14" t="s">
        <v>738</v>
      </c>
      <c r="N35" s="14" t="s">
        <v>199</v>
      </c>
      <c r="P35" s="14" t="s">
        <v>936</v>
      </c>
      <c r="Q35" s="17" t="s">
        <v>744</v>
      </c>
      <c r="R35" s="17" t="s">
        <v>744</v>
      </c>
      <c r="S35" s="14" t="s">
        <v>742</v>
      </c>
      <c r="T35" s="17" t="s">
        <v>522</v>
      </c>
      <c r="U35" s="17" t="s">
        <v>522</v>
      </c>
      <c r="V35" s="14" t="s">
        <v>742</v>
      </c>
      <c r="W35" s="17" t="s">
        <v>744</v>
      </c>
      <c r="X35" s="17" t="s">
        <v>744</v>
      </c>
      <c r="Y35" s="14" t="s">
        <v>742</v>
      </c>
      <c r="Z35" s="17" t="s">
        <v>744</v>
      </c>
      <c r="AA35" s="17" t="s">
        <v>744</v>
      </c>
      <c r="AB35" s="14" t="s">
        <v>742</v>
      </c>
      <c r="AC35" s="17" t="s">
        <v>543</v>
      </c>
      <c r="AD35" s="17" t="s">
        <v>543</v>
      </c>
      <c r="AE35" s="14" t="s">
        <v>742</v>
      </c>
      <c r="AF35" s="17" t="s">
        <v>744</v>
      </c>
      <c r="AG35" s="17" t="s">
        <v>744</v>
      </c>
      <c r="AH35" s="14" t="s">
        <v>742</v>
      </c>
      <c r="AI35" s="17" t="s">
        <v>744</v>
      </c>
      <c r="AJ35" s="17" t="s">
        <v>744</v>
      </c>
      <c r="AK35" s="14" t="s">
        <v>742</v>
      </c>
      <c r="AL35" s="17" t="s">
        <v>744</v>
      </c>
      <c r="AM35" s="17" t="s">
        <v>744</v>
      </c>
      <c r="AN35" s="14" t="s">
        <v>742</v>
      </c>
    </row>
    <row r="36" spans="1:40">
      <c r="A36" s="14">
        <v>0</v>
      </c>
      <c r="B36" s="14">
        <v>0</v>
      </c>
      <c r="C36" s="14">
        <v>120</v>
      </c>
      <c r="D36" s="14">
        <v>101</v>
      </c>
      <c r="E36" s="14">
        <v>3300</v>
      </c>
      <c r="F36" s="14">
        <v>120</v>
      </c>
      <c r="G36" s="16">
        <v>39147</v>
      </c>
      <c r="H36" s="14">
        <v>1071</v>
      </c>
      <c r="I36" s="14">
        <v>9852998</v>
      </c>
      <c r="J36" s="16">
        <v>39147</v>
      </c>
      <c r="K36" s="14">
        <v>1071</v>
      </c>
      <c r="L36" s="14" t="s">
        <v>197</v>
      </c>
      <c r="M36" s="14" t="s">
        <v>738</v>
      </c>
      <c r="N36" s="14" t="s">
        <v>199</v>
      </c>
      <c r="P36" s="14" t="s">
        <v>937</v>
      </c>
      <c r="Q36" s="17" t="s">
        <v>744</v>
      </c>
      <c r="R36" s="17" t="s">
        <v>744</v>
      </c>
      <c r="S36" s="14" t="s">
        <v>742</v>
      </c>
      <c r="T36" s="17" t="s">
        <v>522</v>
      </c>
      <c r="U36" s="17" t="s">
        <v>522</v>
      </c>
      <c r="V36" s="14" t="s">
        <v>742</v>
      </c>
      <c r="W36" s="17" t="s">
        <v>744</v>
      </c>
      <c r="X36" s="17" t="s">
        <v>744</v>
      </c>
      <c r="Y36" s="14" t="s">
        <v>742</v>
      </c>
      <c r="Z36" s="17" t="s">
        <v>744</v>
      </c>
      <c r="AA36" s="17" t="s">
        <v>744</v>
      </c>
      <c r="AB36" s="14" t="s">
        <v>742</v>
      </c>
      <c r="AC36" s="17" t="s">
        <v>544</v>
      </c>
      <c r="AD36" s="17" t="s">
        <v>544</v>
      </c>
      <c r="AE36" s="14" t="s">
        <v>742</v>
      </c>
      <c r="AF36" s="17" t="s">
        <v>744</v>
      </c>
      <c r="AG36" s="17" t="s">
        <v>744</v>
      </c>
      <c r="AH36" s="14" t="s">
        <v>742</v>
      </c>
      <c r="AI36" s="17" t="s">
        <v>744</v>
      </c>
      <c r="AJ36" s="17" t="s">
        <v>744</v>
      </c>
      <c r="AK36" s="14" t="s">
        <v>742</v>
      </c>
      <c r="AL36" s="17" t="s">
        <v>744</v>
      </c>
      <c r="AM36" s="17" t="s">
        <v>744</v>
      </c>
      <c r="AN36" s="14" t="s">
        <v>742</v>
      </c>
    </row>
    <row r="37" spans="1:40">
      <c r="A37" s="14">
        <v>0</v>
      </c>
      <c r="B37" s="14">
        <v>0</v>
      </c>
      <c r="C37" s="14">
        <v>120</v>
      </c>
      <c r="D37" s="14">
        <v>101</v>
      </c>
      <c r="E37" s="14">
        <v>3300</v>
      </c>
      <c r="F37" s="14">
        <v>120</v>
      </c>
      <c r="G37" s="16">
        <v>39147</v>
      </c>
      <c r="H37" s="14">
        <v>1071</v>
      </c>
      <c r="I37" s="14">
        <v>9852998</v>
      </c>
      <c r="J37" s="16">
        <v>39147</v>
      </c>
      <c r="K37" s="14">
        <v>1071</v>
      </c>
      <c r="L37" s="14" t="s">
        <v>197</v>
      </c>
      <c r="M37" s="14" t="s">
        <v>738</v>
      </c>
      <c r="N37" s="14" t="s">
        <v>199</v>
      </c>
      <c r="P37" s="14" t="s">
        <v>938</v>
      </c>
      <c r="Q37" s="17" t="s">
        <v>744</v>
      </c>
      <c r="R37" s="17" t="s">
        <v>744</v>
      </c>
      <c r="S37" s="14" t="s">
        <v>742</v>
      </c>
      <c r="T37" s="17" t="s">
        <v>524</v>
      </c>
      <c r="U37" s="17" t="s">
        <v>524</v>
      </c>
      <c r="V37" s="14" t="s">
        <v>742</v>
      </c>
      <c r="W37" s="17" t="s">
        <v>744</v>
      </c>
      <c r="X37" s="17" t="s">
        <v>744</v>
      </c>
      <c r="Y37" s="14" t="s">
        <v>742</v>
      </c>
      <c r="Z37" s="17" t="s">
        <v>744</v>
      </c>
      <c r="AA37" s="17" t="s">
        <v>744</v>
      </c>
      <c r="AB37" s="14" t="s">
        <v>742</v>
      </c>
      <c r="AC37" s="17" t="s">
        <v>543</v>
      </c>
      <c r="AD37" s="17" t="s">
        <v>543</v>
      </c>
      <c r="AE37" s="14" t="s">
        <v>742</v>
      </c>
      <c r="AF37" s="17" t="s">
        <v>744</v>
      </c>
      <c r="AG37" s="17" t="s">
        <v>744</v>
      </c>
      <c r="AH37" s="14" t="s">
        <v>742</v>
      </c>
      <c r="AI37" s="17" t="s">
        <v>744</v>
      </c>
      <c r="AJ37" s="17" t="s">
        <v>744</v>
      </c>
      <c r="AK37" s="14" t="s">
        <v>742</v>
      </c>
      <c r="AL37" s="17" t="s">
        <v>744</v>
      </c>
      <c r="AM37" s="17" t="s">
        <v>744</v>
      </c>
      <c r="AN37" s="14" t="s">
        <v>742</v>
      </c>
    </row>
    <row r="38" spans="1:40">
      <c r="A38" s="14">
        <v>0</v>
      </c>
      <c r="B38" s="14">
        <v>0</v>
      </c>
      <c r="C38" s="14">
        <v>120</v>
      </c>
      <c r="D38" s="14">
        <v>101</v>
      </c>
      <c r="E38" s="14">
        <v>3300</v>
      </c>
      <c r="F38" s="14">
        <v>120</v>
      </c>
      <c r="G38" s="16">
        <v>39147</v>
      </c>
      <c r="H38" s="14">
        <v>1071</v>
      </c>
      <c r="I38" s="14">
        <v>9852998</v>
      </c>
      <c r="J38" s="16">
        <v>39147</v>
      </c>
      <c r="K38" s="14">
        <v>1071</v>
      </c>
      <c r="L38" s="14" t="s">
        <v>197</v>
      </c>
      <c r="M38" s="14" t="s">
        <v>738</v>
      </c>
      <c r="N38" s="14" t="s">
        <v>199</v>
      </c>
      <c r="P38" s="14" t="s">
        <v>939</v>
      </c>
      <c r="Q38" s="17" t="s">
        <v>744</v>
      </c>
      <c r="R38" s="17" t="s">
        <v>744</v>
      </c>
      <c r="S38" s="14" t="s">
        <v>742</v>
      </c>
      <c r="T38" s="17" t="s">
        <v>524</v>
      </c>
      <c r="U38" s="17" t="s">
        <v>524</v>
      </c>
      <c r="V38" s="14" t="s">
        <v>742</v>
      </c>
      <c r="W38" s="17" t="s">
        <v>744</v>
      </c>
      <c r="X38" s="17" t="s">
        <v>744</v>
      </c>
      <c r="Y38" s="14" t="s">
        <v>742</v>
      </c>
      <c r="Z38" s="17" t="s">
        <v>744</v>
      </c>
      <c r="AA38" s="17" t="s">
        <v>744</v>
      </c>
      <c r="AB38" s="14" t="s">
        <v>742</v>
      </c>
      <c r="AC38" s="17" t="s">
        <v>544</v>
      </c>
      <c r="AD38" s="17" t="s">
        <v>544</v>
      </c>
      <c r="AE38" s="14" t="s">
        <v>742</v>
      </c>
      <c r="AF38" s="17" t="s">
        <v>744</v>
      </c>
      <c r="AG38" s="17" t="s">
        <v>744</v>
      </c>
      <c r="AH38" s="14" t="s">
        <v>742</v>
      </c>
      <c r="AI38" s="17" t="s">
        <v>744</v>
      </c>
      <c r="AJ38" s="17" t="s">
        <v>744</v>
      </c>
      <c r="AK38" s="14" t="s">
        <v>742</v>
      </c>
      <c r="AL38" s="17" t="s">
        <v>744</v>
      </c>
      <c r="AM38" s="17" t="s">
        <v>744</v>
      </c>
      <c r="AN38" s="14" t="s">
        <v>742</v>
      </c>
    </row>
    <row r="39" spans="1:40">
      <c r="A39" s="14">
        <v>0</v>
      </c>
      <c r="B39" s="14">
        <v>0</v>
      </c>
      <c r="C39" s="14">
        <v>130</v>
      </c>
      <c r="D39" s="14">
        <v>101</v>
      </c>
      <c r="E39" s="14">
        <v>3300</v>
      </c>
      <c r="F39" s="14">
        <v>130</v>
      </c>
      <c r="G39" s="16">
        <v>39147</v>
      </c>
      <c r="H39" s="14">
        <v>1071</v>
      </c>
      <c r="I39" s="14">
        <v>9852998</v>
      </c>
      <c r="J39" s="16">
        <v>39147</v>
      </c>
      <c r="K39" s="14">
        <v>1071</v>
      </c>
      <c r="L39" s="14" t="s">
        <v>197</v>
      </c>
      <c r="M39" s="14" t="s">
        <v>738</v>
      </c>
      <c r="N39" s="14" t="s">
        <v>199</v>
      </c>
      <c r="P39" s="14" t="s">
        <v>940</v>
      </c>
      <c r="Q39" s="17" t="s">
        <v>744</v>
      </c>
      <c r="R39" s="17" t="s">
        <v>744</v>
      </c>
      <c r="S39" s="14" t="s">
        <v>742</v>
      </c>
      <c r="T39" s="17" t="s">
        <v>520</v>
      </c>
      <c r="U39" s="17" t="s">
        <v>520</v>
      </c>
      <c r="V39" s="14" t="s">
        <v>742</v>
      </c>
      <c r="W39" s="17" t="s">
        <v>744</v>
      </c>
      <c r="X39" s="17" t="s">
        <v>744</v>
      </c>
      <c r="Y39" s="14" t="s">
        <v>742</v>
      </c>
      <c r="Z39" s="17" t="s">
        <v>744</v>
      </c>
      <c r="AA39" s="17" t="s">
        <v>744</v>
      </c>
      <c r="AB39" s="14" t="s">
        <v>742</v>
      </c>
      <c r="AC39" s="17" t="s">
        <v>545</v>
      </c>
      <c r="AD39" s="17" t="s">
        <v>545</v>
      </c>
      <c r="AE39" s="14" t="s">
        <v>742</v>
      </c>
      <c r="AF39" s="17" t="s">
        <v>744</v>
      </c>
      <c r="AG39" s="17" t="s">
        <v>744</v>
      </c>
      <c r="AH39" s="14" t="s">
        <v>742</v>
      </c>
      <c r="AI39" s="17" t="s">
        <v>744</v>
      </c>
      <c r="AJ39" s="17" t="s">
        <v>744</v>
      </c>
      <c r="AK39" s="14" t="s">
        <v>742</v>
      </c>
      <c r="AL39" s="17" t="s">
        <v>744</v>
      </c>
      <c r="AM39" s="17" t="s">
        <v>744</v>
      </c>
      <c r="AN39" s="14" t="s">
        <v>742</v>
      </c>
    </row>
    <row r="40" spans="1:40">
      <c r="A40" s="14">
        <v>0</v>
      </c>
      <c r="B40" s="14">
        <v>0</v>
      </c>
      <c r="C40" s="14">
        <v>130</v>
      </c>
      <c r="D40" s="14">
        <v>101</v>
      </c>
      <c r="E40" s="14">
        <v>3300</v>
      </c>
      <c r="F40" s="14">
        <v>130</v>
      </c>
      <c r="G40" s="16">
        <v>39147</v>
      </c>
      <c r="H40" s="14">
        <v>1071</v>
      </c>
      <c r="I40" s="14">
        <v>9852998</v>
      </c>
      <c r="J40" s="16">
        <v>39147</v>
      </c>
      <c r="K40" s="14">
        <v>1071</v>
      </c>
      <c r="L40" s="14" t="s">
        <v>197</v>
      </c>
      <c r="M40" s="14" t="s">
        <v>738</v>
      </c>
      <c r="N40" s="14" t="s">
        <v>199</v>
      </c>
      <c r="P40" s="14" t="s">
        <v>941</v>
      </c>
      <c r="Q40" s="17" t="s">
        <v>744</v>
      </c>
      <c r="R40" s="17" t="s">
        <v>744</v>
      </c>
      <c r="S40" s="14" t="s">
        <v>742</v>
      </c>
      <c r="T40" s="17" t="s">
        <v>525</v>
      </c>
      <c r="U40" s="17" t="s">
        <v>525</v>
      </c>
      <c r="V40" s="14" t="s">
        <v>742</v>
      </c>
      <c r="W40" s="17" t="s">
        <v>744</v>
      </c>
      <c r="X40" s="17" t="s">
        <v>744</v>
      </c>
      <c r="Y40" s="14" t="s">
        <v>742</v>
      </c>
      <c r="Z40" s="17" t="s">
        <v>744</v>
      </c>
      <c r="AA40" s="17" t="s">
        <v>744</v>
      </c>
      <c r="AB40" s="14" t="s">
        <v>742</v>
      </c>
      <c r="AC40" s="17" t="s">
        <v>545</v>
      </c>
      <c r="AD40" s="17" t="s">
        <v>545</v>
      </c>
      <c r="AE40" s="14" t="s">
        <v>742</v>
      </c>
      <c r="AF40" s="17" t="s">
        <v>744</v>
      </c>
      <c r="AG40" s="17" t="s">
        <v>744</v>
      </c>
      <c r="AH40" s="14" t="s">
        <v>742</v>
      </c>
      <c r="AI40" s="17" t="s">
        <v>744</v>
      </c>
      <c r="AJ40" s="17" t="s">
        <v>744</v>
      </c>
      <c r="AK40" s="14" t="s">
        <v>742</v>
      </c>
      <c r="AL40" s="17" t="s">
        <v>744</v>
      </c>
      <c r="AM40" s="17" t="s">
        <v>744</v>
      </c>
      <c r="AN40" s="14" t="s">
        <v>742</v>
      </c>
    </row>
    <row r="41" spans="1:40">
      <c r="A41" s="14">
        <v>0</v>
      </c>
      <c r="B41" s="14">
        <v>0</v>
      </c>
      <c r="C41" s="14">
        <v>140</v>
      </c>
      <c r="D41" s="14">
        <v>101</v>
      </c>
      <c r="E41" s="14">
        <v>3300</v>
      </c>
      <c r="F41" s="14">
        <v>140</v>
      </c>
      <c r="G41" s="16">
        <v>39147</v>
      </c>
      <c r="H41" s="14">
        <v>1071</v>
      </c>
      <c r="I41" s="14">
        <v>9852998</v>
      </c>
      <c r="J41" s="16">
        <v>39147</v>
      </c>
      <c r="K41" s="14">
        <v>1071</v>
      </c>
      <c r="L41" s="14" t="s">
        <v>197</v>
      </c>
      <c r="M41" s="14" t="s">
        <v>738</v>
      </c>
      <c r="N41" s="14" t="s">
        <v>199</v>
      </c>
      <c r="P41" s="14" t="s">
        <v>942</v>
      </c>
      <c r="Q41" s="17" t="s">
        <v>744</v>
      </c>
      <c r="R41" s="17" t="s">
        <v>744</v>
      </c>
      <c r="S41" s="14" t="s">
        <v>742</v>
      </c>
      <c r="T41" s="17" t="s">
        <v>515</v>
      </c>
      <c r="U41" s="17" t="s">
        <v>515</v>
      </c>
      <c r="V41" s="14" t="s">
        <v>742</v>
      </c>
      <c r="W41" s="17" t="s">
        <v>744</v>
      </c>
      <c r="X41" s="17" t="s">
        <v>744</v>
      </c>
      <c r="Y41" s="14" t="s">
        <v>742</v>
      </c>
      <c r="Z41" s="17" t="s">
        <v>744</v>
      </c>
      <c r="AA41" s="17" t="s">
        <v>744</v>
      </c>
      <c r="AB41" s="14" t="s">
        <v>742</v>
      </c>
      <c r="AC41" s="17" t="s">
        <v>546</v>
      </c>
      <c r="AD41" s="17" t="s">
        <v>546</v>
      </c>
      <c r="AE41" s="14" t="s">
        <v>742</v>
      </c>
      <c r="AF41" s="17" t="s">
        <v>744</v>
      </c>
      <c r="AG41" s="17" t="s">
        <v>744</v>
      </c>
      <c r="AH41" s="14" t="s">
        <v>742</v>
      </c>
      <c r="AI41" s="17" t="s">
        <v>744</v>
      </c>
      <c r="AJ41" s="17" t="s">
        <v>744</v>
      </c>
      <c r="AK41" s="14" t="s">
        <v>742</v>
      </c>
      <c r="AL41" s="17" t="s">
        <v>744</v>
      </c>
      <c r="AM41" s="17" t="s">
        <v>744</v>
      </c>
      <c r="AN41" s="14" t="s">
        <v>742</v>
      </c>
    </row>
    <row r="42" spans="1:40">
      <c r="A42" s="14">
        <v>0</v>
      </c>
      <c r="B42" s="14">
        <v>0</v>
      </c>
      <c r="C42" s="14">
        <v>140</v>
      </c>
      <c r="D42" s="14">
        <v>101</v>
      </c>
      <c r="E42" s="14">
        <v>3300</v>
      </c>
      <c r="F42" s="14">
        <v>140</v>
      </c>
      <c r="G42" s="16">
        <v>39147</v>
      </c>
      <c r="H42" s="14">
        <v>1071</v>
      </c>
      <c r="I42" s="14">
        <v>9852998</v>
      </c>
      <c r="J42" s="16">
        <v>39147</v>
      </c>
      <c r="K42" s="14">
        <v>1071</v>
      </c>
      <c r="L42" s="14" t="s">
        <v>197</v>
      </c>
      <c r="M42" s="14" t="s">
        <v>738</v>
      </c>
      <c r="N42" s="14" t="s">
        <v>199</v>
      </c>
      <c r="P42" s="14" t="s">
        <v>943</v>
      </c>
      <c r="Q42" s="17" t="s">
        <v>744</v>
      </c>
      <c r="R42" s="17" t="s">
        <v>744</v>
      </c>
      <c r="S42" s="14" t="s">
        <v>742</v>
      </c>
      <c r="T42" s="17" t="s">
        <v>515</v>
      </c>
      <c r="U42" s="17" t="s">
        <v>515</v>
      </c>
      <c r="V42" s="14" t="s">
        <v>742</v>
      </c>
      <c r="W42" s="17" t="s">
        <v>744</v>
      </c>
      <c r="X42" s="17" t="s">
        <v>744</v>
      </c>
      <c r="Y42" s="14" t="s">
        <v>742</v>
      </c>
      <c r="Z42" s="17" t="s">
        <v>744</v>
      </c>
      <c r="AA42" s="17" t="s">
        <v>744</v>
      </c>
      <c r="AB42" s="14" t="s">
        <v>742</v>
      </c>
      <c r="AC42" s="17" t="s">
        <v>547</v>
      </c>
      <c r="AD42" s="17" t="s">
        <v>547</v>
      </c>
      <c r="AE42" s="14" t="s">
        <v>742</v>
      </c>
      <c r="AF42" s="17" t="s">
        <v>744</v>
      </c>
      <c r="AG42" s="17" t="s">
        <v>744</v>
      </c>
      <c r="AH42" s="14" t="s">
        <v>742</v>
      </c>
      <c r="AI42" s="17" t="s">
        <v>744</v>
      </c>
      <c r="AJ42" s="17" t="s">
        <v>744</v>
      </c>
      <c r="AK42" s="14" t="s">
        <v>742</v>
      </c>
      <c r="AL42" s="17" t="s">
        <v>744</v>
      </c>
      <c r="AM42" s="17" t="s">
        <v>744</v>
      </c>
      <c r="AN42" s="14" t="s">
        <v>742</v>
      </c>
    </row>
    <row r="43" spans="1:40">
      <c r="A43" s="14">
        <v>0</v>
      </c>
      <c r="B43" s="14">
        <v>0</v>
      </c>
      <c r="C43" s="14">
        <v>140</v>
      </c>
      <c r="D43" s="14">
        <v>101</v>
      </c>
      <c r="E43" s="14">
        <v>3300</v>
      </c>
      <c r="F43" s="14">
        <v>140</v>
      </c>
      <c r="G43" s="16">
        <v>39147</v>
      </c>
      <c r="H43" s="14">
        <v>1071</v>
      </c>
      <c r="I43" s="14">
        <v>9852998</v>
      </c>
      <c r="J43" s="16">
        <v>39147</v>
      </c>
      <c r="K43" s="14">
        <v>1071</v>
      </c>
      <c r="L43" s="14" t="s">
        <v>197</v>
      </c>
      <c r="M43" s="14" t="s">
        <v>738</v>
      </c>
      <c r="N43" s="14" t="s">
        <v>199</v>
      </c>
      <c r="P43" s="14" t="s">
        <v>944</v>
      </c>
      <c r="Q43" s="17" t="s">
        <v>744</v>
      </c>
      <c r="R43" s="17" t="s">
        <v>744</v>
      </c>
      <c r="S43" s="14" t="s">
        <v>742</v>
      </c>
      <c r="T43" s="17" t="s">
        <v>516</v>
      </c>
      <c r="U43" s="17" t="s">
        <v>516</v>
      </c>
      <c r="V43" s="14" t="s">
        <v>742</v>
      </c>
      <c r="W43" s="17" t="s">
        <v>744</v>
      </c>
      <c r="X43" s="17" t="s">
        <v>744</v>
      </c>
      <c r="Y43" s="14" t="s">
        <v>742</v>
      </c>
      <c r="Z43" s="17" t="s">
        <v>744</v>
      </c>
      <c r="AA43" s="17" t="s">
        <v>744</v>
      </c>
      <c r="AB43" s="14" t="s">
        <v>742</v>
      </c>
      <c r="AC43" s="17" t="s">
        <v>546</v>
      </c>
      <c r="AD43" s="17" t="s">
        <v>546</v>
      </c>
      <c r="AE43" s="14" t="s">
        <v>742</v>
      </c>
      <c r="AF43" s="17" t="s">
        <v>744</v>
      </c>
      <c r="AG43" s="17" t="s">
        <v>744</v>
      </c>
      <c r="AH43" s="14" t="s">
        <v>742</v>
      </c>
      <c r="AI43" s="17" t="s">
        <v>744</v>
      </c>
      <c r="AJ43" s="17" t="s">
        <v>744</v>
      </c>
      <c r="AK43" s="14" t="s">
        <v>742</v>
      </c>
      <c r="AL43" s="17" t="s">
        <v>744</v>
      </c>
      <c r="AM43" s="17" t="s">
        <v>744</v>
      </c>
      <c r="AN43" s="14" t="s">
        <v>742</v>
      </c>
    </row>
    <row r="44" spans="1:40">
      <c r="A44" s="14">
        <v>0</v>
      </c>
      <c r="B44" s="14">
        <v>0</v>
      </c>
      <c r="C44" s="14">
        <v>140</v>
      </c>
      <c r="D44" s="14">
        <v>101</v>
      </c>
      <c r="E44" s="14">
        <v>3300</v>
      </c>
      <c r="F44" s="14">
        <v>140</v>
      </c>
      <c r="G44" s="16">
        <v>39147</v>
      </c>
      <c r="H44" s="14">
        <v>1071</v>
      </c>
      <c r="I44" s="14">
        <v>9852998</v>
      </c>
      <c r="J44" s="16">
        <v>39147</v>
      </c>
      <c r="K44" s="14">
        <v>1071</v>
      </c>
      <c r="L44" s="14" t="s">
        <v>197</v>
      </c>
      <c r="M44" s="14" t="s">
        <v>738</v>
      </c>
      <c r="N44" s="14" t="s">
        <v>199</v>
      </c>
      <c r="P44" s="14" t="s">
        <v>945</v>
      </c>
      <c r="Q44" s="17" t="s">
        <v>744</v>
      </c>
      <c r="R44" s="17" t="s">
        <v>744</v>
      </c>
      <c r="S44" s="14" t="s">
        <v>742</v>
      </c>
      <c r="T44" s="17" t="s">
        <v>516</v>
      </c>
      <c r="U44" s="17" t="s">
        <v>516</v>
      </c>
      <c r="V44" s="14" t="s">
        <v>742</v>
      </c>
      <c r="W44" s="17" t="s">
        <v>744</v>
      </c>
      <c r="X44" s="17" t="s">
        <v>744</v>
      </c>
      <c r="Y44" s="14" t="s">
        <v>742</v>
      </c>
      <c r="Z44" s="17" t="s">
        <v>744</v>
      </c>
      <c r="AA44" s="17" t="s">
        <v>744</v>
      </c>
      <c r="AB44" s="14" t="s">
        <v>742</v>
      </c>
      <c r="AC44" s="17" t="s">
        <v>547</v>
      </c>
      <c r="AD44" s="17" t="s">
        <v>547</v>
      </c>
      <c r="AE44" s="14" t="s">
        <v>742</v>
      </c>
      <c r="AF44" s="17" t="s">
        <v>744</v>
      </c>
      <c r="AG44" s="17" t="s">
        <v>744</v>
      </c>
      <c r="AH44" s="14" t="s">
        <v>742</v>
      </c>
      <c r="AI44" s="17" t="s">
        <v>744</v>
      </c>
      <c r="AJ44" s="17" t="s">
        <v>744</v>
      </c>
      <c r="AK44" s="14" t="s">
        <v>742</v>
      </c>
      <c r="AL44" s="17" t="s">
        <v>744</v>
      </c>
      <c r="AM44" s="17" t="s">
        <v>744</v>
      </c>
      <c r="AN44" s="14" t="s">
        <v>742</v>
      </c>
    </row>
    <row r="45" spans="1:40">
      <c r="A45" s="14">
        <v>0</v>
      </c>
      <c r="B45" s="14">
        <v>0</v>
      </c>
      <c r="C45" s="14">
        <v>150</v>
      </c>
      <c r="D45" s="14">
        <v>101</v>
      </c>
      <c r="E45" s="14">
        <v>3300</v>
      </c>
      <c r="F45" s="14">
        <v>150</v>
      </c>
      <c r="G45" s="16">
        <v>39147</v>
      </c>
      <c r="H45" s="14">
        <v>1071</v>
      </c>
      <c r="I45" s="14">
        <v>9852998</v>
      </c>
      <c r="J45" s="16">
        <v>39147</v>
      </c>
      <c r="K45" s="14">
        <v>1071</v>
      </c>
      <c r="L45" s="14" t="s">
        <v>197</v>
      </c>
      <c r="M45" s="14" t="s">
        <v>738</v>
      </c>
      <c r="N45" s="14" t="s">
        <v>199</v>
      </c>
      <c r="P45" s="14" t="s">
        <v>946</v>
      </c>
      <c r="Q45" s="17" t="s">
        <v>744</v>
      </c>
      <c r="R45" s="17" t="s">
        <v>744</v>
      </c>
      <c r="S45" s="14" t="s">
        <v>742</v>
      </c>
      <c r="T45" s="17" t="s">
        <v>522</v>
      </c>
      <c r="U45" s="17" t="s">
        <v>522</v>
      </c>
      <c r="V45" s="14" t="s">
        <v>742</v>
      </c>
      <c r="W45" s="17" t="s">
        <v>744</v>
      </c>
      <c r="X45" s="17" t="s">
        <v>744</v>
      </c>
      <c r="Y45" s="14" t="s">
        <v>742</v>
      </c>
      <c r="Z45" s="17" t="s">
        <v>744</v>
      </c>
      <c r="AA45" s="17" t="s">
        <v>744</v>
      </c>
      <c r="AB45" s="14" t="s">
        <v>742</v>
      </c>
      <c r="AC45" s="17" t="s">
        <v>546</v>
      </c>
      <c r="AD45" s="17" t="s">
        <v>546</v>
      </c>
      <c r="AE45" s="14" t="s">
        <v>742</v>
      </c>
      <c r="AF45" s="17" t="s">
        <v>744</v>
      </c>
      <c r="AG45" s="17" t="s">
        <v>744</v>
      </c>
      <c r="AH45" s="14" t="s">
        <v>742</v>
      </c>
      <c r="AI45" s="17" t="s">
        <v>744</v>
      </c>
      <c r="AJ45" s="17" t="s">
        <v>744</v>
      </c>
      <c r="AK45" s="14" t="s">
        <v>742</v>
      </c>
      <c r="AL45" s="17" t="s">
        <v>744</v>
      </c>
      <c r="AM45" s="17" t="s">
        <v>744</v>
      </c>
      <c r="AN45" s="14" t="s">
        <v>742</v>
      </c>
    </row>
    <row r="46" spans="1:40">
      <c r="A46" s="14">
        <v>0</v>
      </c>
      <c r="B46" s="14">
        <v>0</v>
      </c>
      <c r="C46" s="14">
        <v>150</v>
      </c>
      <c r="D46" s="14">
        <v>101</v>
      </c>
      <c r="E46" s="14">
        <v>3300</v>
      </c>
      <c r="F46" s="14">
        <v>150</v>
      </c>
      <c r="G46" s="16">
        <v>39147</v>
      </c>
      <c r="H46" s="14">
        <v>1071</v>
      </c>
      <c r="I46" s="14">
        <v>9852998</v>
      </c>
      <c r="J46" s="16">
        <v>39147</v>
      </c>
      <c r="K46" s="14">
        <v>1071</v>
      </c>
      <c r="L46" s="14" t="s">
        <v>197</v>
      </c>
      <c r="M46" s="14" t="s">
        <v>738</v>
      </c>
      <c r="N46" s="14" t="s">
        <v>199</v>
      </c>
      <c r="P46" s="14" t="s">
        <v>947</v>
      </c>
      <c r="Q46" s="17" t="s">
        <v>744</v>
      </c>
      <c r="R46" s="17" t="s">
        <v>744</v>
      </c>
      <c r="S46" s="14" t="s">
        <v>742</v>
      </c>
      <c r="T46" s="17" t="s">
        <v>522</v>
      </c>
      <c r="U46" s="17" t="s">
        <v>522</v>
      </c>
      <c r="V46" s="14" t="s">
        <v>742</v>
      </c>
      <c r="W46" s="17" t="s">
        <v>744</v>
      </c>
      <c r="X46" s="17" t="s">
        <v>744</v>
      </c>
      <c r="Y46" s="14" t="s">
        <v>742</v>
      </c>
      <c r="Z46" s="17" t="s">
        <v>744</v>
      </c>
      <c r="AA46" s="17" t="s">
        <v>744</v>
      </c>
      <c r="AB46" s="14" t="s">
        <v>742</v>
      </c>
      <c r="AC46" s="17" t="s">
        <v>547</v>
      </c>
      <c r="AD46" s="17" t="s">
        <v>547</v>
      </c>
      <c r="AE46" s="14" t="s">
        <v>742</v>
      </c>
      <c r="AF46" s="17" t="s">
        <v>744</v>
      </c>
      <c r="AG46" s="17" t="s">
        <v>744</v>
      </c>
      <c r="AH46" s="14" t="s">
        <v>742</v>
      </c>
      <c r="AI46" s="17" t="s">
        <v>744</v>
      </c>
      <c r="AJ46" s="17" t="s">
        <v>744</v>
      </c>
      <c r="AK46" s="14" t="s">
        <v>742</v>
      </c>
      <c r="AL46" s="17" t="s">
        <v>744</v>
      </c>
      <c r="AM46" s="17" t="s">
        <v>744</v>
      </c>
      <c r="AN46" s="14" t="s">
        <v>742</v>
      </c>
    </row>
    <row r="47" spans="1:40">
      <c r="A47" s="14">
        <v>0</v>
      </c>
      <c r="B47" s="14">
        <v>0</v>
      </c>
      <c r="C47" s="14">
        <v>150</v>
      </c>
      <c r="D47" s="14">
        <v>101</v>
      </c>
      <c r="E47" s="14">
        <v>3300</v>
      </c>
      <c r="F47" s="14">
        <v>150</v>
      </c>
      <c r="G47" s="16">
        <v>39147</v>
      </c>
      <c r="H47" s="14">
        <v>1071</v>
      </c>
      <c r="I47" s="14">
        <v>9852998</v>
      </c>
      <c r="J47" s="16">
        <v>39147</v>
      </c>
      <c r="K47" s="14">
        <v>1071</v>
      </c>
      <c r="L47" s="14" t="s">
        <v>197</v>
      </c>
      <c r="M47" s="14" t="s">
        <v>738</v>
      </c>
      <c r="N47" s="14" t="s">
        <v>199</v>
      </c>
      <c r="P47" s="14" t="s">
        <v>671</v>
      </c>
      <c r="Q47" s="17" t="s">
        <v>744</v>
      </c>
      <c r="R47" s="17" t="s">
        <v>744</v>
      </c>
      <c r="S47" s="14" t="s">
        <v>742</v>
      </c>
      <c r="T47" s="17" t="s">
        <v>524</v>
      </c>
      <c r="U47" s="17" t="s">
        <v>524</v>
      </c>
      <c r="V47" s="14" t="s">
        <v>742</v>
      </c>
      <c r="W47" s="17" t="s">
        <v>744</v>
      </c>
      <c r="X47" s="17" t="s">
        <v>744</v>
      </c>
      <c r="Y47" s="14" t="s">
        <v>742</v>
      </c>
      <c r="Z47" s="17" t="s">
        <v>744</v>
      </c>
      <c r="AA47" s="17" t="s">
        <v>744</v>
      </c>
      <c r="AB47" s="14" t="s">
        <v>742</v>
      </c>
      <c r="AC47" s="17" t="s">
        <v>546</v>
      </c>
      <c r="AD47" s="17" t="s">
        <v>546</v>
      </c>
      <c r="AE47" s="14" t="s">
        <v>742</v>
      </c>
      <c r="AF47" s="17" t="s">
        <v>744</v>
      </c>
      <c r="AG47" s="17" t="s">
        <v>744</v>
      </c>
      <c r="AH47" s="14" t="s">
        <v>742</v>
      </c>
      <c r="AI47" s="17" t="s">
        <v>744</v>
      </c>
      <c r="AJ47" s="17" t="s">
        <v>744</v>
      </c>
      <c r="AK47" s="14" t="s">
        <v>742</v>
      </c>
      <c r="AL47" s="17" t="s">
        <v>744</v>
      </c>
      <c r="AM47" s="17" t="s">
        <v>744</v>
      </c>
      <c r="AN47" s="14" t="s">
        <v>742</v>
      </c>
    </row>
    <row r="48" spans="1:40">
      <c r="A48" s="14">
        <v>0</v>
      </c>
      <c r="B48" s="14">
        <v>0</v>
      </c>
      <c r="C48" s="14">
        <v>150</v>
      </c>
      <c r="D48" s="14">
        <v>101</v>
      </c>
      <c r="E48" s="14">
        <v>3300</v>
      </c>
      <c r="F48" s="14">
        <v>150</v>
      </c>
      <c r="G48" s="16">
        <v>39147</v>
      </c>
      <c r="H48" s="14">
        <v>1071</v>
      </c>
      <c r="I48" s="14">
        <v>9852998</v>
      </c>
      <c r="J48" s="16">
        <v>39147</v>
      </c>
      <c r="K48" s="14">
        <v>1071</v>
      </c>
      <c r="L48" s="14" t="s">
        <v>197</v>
      </c>
      <c r="M48" s="14" t="s">
        <v>738</v>
      </c>
      <c r="N48" s="14" t="s">
        <v>199</v>
      </c>
      <c r="P48" s="14" t="s">
        <v>672</v>
      </c>
      <c r="Q48" s="17" t="s">
        <v>744</v>
      </c>
      <c r="R48" s="17" t="s">
        <v>744</v>
      </c>
      <c r="S48" s="14" t="s">
        <v>742</v>
      </c>
      <c r="T48" s="17" t="s">
        <v>524</v>
      </c>
      <c r="U48" s="17" t="s">
        <v>524</v>
      </c>
      <c r="V48" s="14" t="s">
        <v>742</v>
      </c>
      <c r="W48" s="17" t="s">
        <v>744</v>
      </c>
      <c r="X48" s="17" t="s">
        <v>744</v>
      </c>
      <c r="Y48" s="14" t="s">
        <v>742</v>
      </c>
      <c r="Z48" s="17" t="s">
        <v>744</v>
      </c>
      <c r="AA48" s="17" t="s">
        <v>744</v>
      </c>
      <c r="AB48" s="14" t="s">
        <v>742</v>
      </c>
      <c r="AC48" s="17" t="s">
        <v>547</v>
      </c>
      <c r="AD48" s="17" t="s">
        <v>547</v>
      </c>
      <c r="AE48" s="14" t="s">
        <v>742</v>
      </c>
      <c r="AF48" s="17" t="s">
        <v>744</v>
      </c>
      <c r="AG48" s="17" t="s">
        <v>744</v>
      </c>
      <c r="AH48" s="14" t="s">
        <v>742</v>
      </c>
      <c r="AI48" s="17" t="s">
        <v>744</v>
      </c>
      <c r="AJ48" s="17" t="s">
        <v>744</v>
      </c>
      <c r="AK48" s="14" t="s">
        <v>742</v>
      </c>
      <c r="AL48" s="17" t="s">
        <v>744</v>
      </c>
      <c r="AM48" s="17" t="s">
        <v>744</v>
      </c>
      <c r="AN48" s="14" t="s">
        <v>742</v>
      </c>
    </row>
    <row r="49" spans="1:40">
      <c r="A49" s="14">
        <v>0</v>
      </c>
      <c r="B49" s="14">
        <v>0</v>
      </c>
      <c r="C49" s="14">
        <v>160</v>
      </c>
      <c r="D49" s="14">
        <v>101</v>
      </c>
      <c r="E49" s="14">
        <v>3300</v>
      </c>
      <c r="F49" s="14">
        <v>160</v>
      </c>
      <c r="G49" s="16">
        <v>39147</v>
      </c>
      <c r="H49" s="14">
        <v>1071</v>
      </c>
      <c r="I49" s="14">
        <v>9852998</v>
      </c>
      <c r="J49" s="16">
        <v>39147</v>
      </c>
      <c r="K49" s="14">
        <v>1071</v>
      </c>
      <c r="L49" s="14" t="s">
        <v>197</v>
      </c>
      <c r="M49" s="14" t="s">
        <v>738</v>
      </c>
      <c r="N49" s="14" t="s">
        <v>199</v>
      </c>
      <c r="P49" s="14" t="s">
        <v>673</v>
      </c>
      <c r="Q49" s="17" t="s">
        <v>744</v>
      </c>
      <c r="R49" s="17" t="s">
        <v>744</v>
      </c>
      <c r="S49" s="14" t="s">
        <v>742</v>
      </c>
      <c r="T49" s="17" t="s">
        <v>526</v>
      </c>
      <c r="U49" s="17" t="s">
        <v>526</v>
      </c>
      <c r="V49" s="14" t="s">
        <v>742</v>
      </c>
      <c r="W49" s="17" t="s">
        <v>744</v>
      </c>
      <c r="X49" s="17" t="s">
        <v>744</v>
      </c>
      <c r="Y49" s="14" t="s">
        <v>742</v>
      </c>
      <c r="Z49" s="17" t="s">
        <v>744</v>
      </c>
      <c r="AA49" s="17" t="s">
        <v>744</v>
      </c>
      <c r="AB49" s="14" t="s">
        <v>742</v>
      </c>
      <c r="AC49" s="17" t="s">
        <v>546</v>
      </c>
      <c r="AD49" s="17" t="s">
        <v>546</v>
      </c>
      <c r="AE49" s="14" t="s">
        <v>742</v>
      </c>
      <c r="AF49" s="17" t="s">
        <v>744</v>
      </c>
      <c r="AG49" s="17" t="s">
        <v>744</v>
      </c>
      <c r="AH49" s="14" t="s">
        <v>742</v>
      </c>
      <c r="AI49" s="17" t="s">
        <v>744</v>
      </c>
      <c r="AJ49" s="17" t="s">
        <v>744</v>
      </c>
      <c r="AK49" s="14" t="s">
        <v>742</v>
      </c>
      <c r="AL49" s="17" t="s">
        <v>744</v>
      </c>
      <c r="AM49" s="17" t="s">
        <v>744</v>
      </c>
      <c r="AN49" s="14" t="s">
        <v>742</v>
      </c>
    </row>
    <row r="50" spans="1:40">
      <c r="A50" s="14">
        <v>0</v>
      </c>
      <c r="B50" s="14">
        <v>0</v>
      </c>
      <c r="C50" s="14">
        <v>160</v>
      </c>
      <c r="D50" s="14">
        <v>101</v>
      </c>
      <c r="E50" s="14">
        <v>3300</v>
      </c>
      <c r="F50" s="14">
        <v>160</v>
      </c>
      <c r="G50" s="16">
        <v>39147</v>
      </c>
      <c r="H50" s="14">
        <v>1071</v>
      </c>
      <c r="I50" s="14">
        <v>9852998</v>
      </c>
      <c r="J50" s="16">
        <v>39147</v>
      </c>
      <c r="K50" s="14">
        <v>1071</v>
      </c>
      <c r="L50" s="14" t="s">
        <v>197</v>
      </c>
      <c r="M50" s="14" t="s">
        <v>738</v>
      </c>
      <c r="N50" s="14" t="s">
        <v>199</v>
      </c>
      <c r="P50" s="14" t="s">
        <v>674</v>
      </c>
      <c r="Q50" s="17" t="s">
        <v>744</v>
      </c>
      <c r="R50" s="17" t="s">
        <v>744</v>
      </c>
      <c r="S50" s="14" t="s">
        <v>742</v>
      </c>
      <c r="T50" s="17" t="s">
        <v>526</v>
      </c>
      <c r="U50" s="17" t="s">
        <v>526</v>
      </c>
      <c r="V50" s="14" t="s">
        <v>742</v>
      </c>
      <c r="W50" s="17" t="s">
        <v>744</v>
      </c>
      <c r="X50" s="17" t="s">
        <v>744</v>
      </c>
      <c r="Y50" s="14" t="s">
        <v>742</v>
      </c>
      <c r="Z50" s="17" t="s">
        <v>744</v>
      </c>
      <c r="AA50" s="17" t="s">
        <v>744</v>
      </c>
      <c r="AB50" s="14" t="s">
        <v>742</v>
      </c>
      <c r="AC50" s="17" t="s">
        <v>547</v>
      </c>
      <c r="AD50" s="17" t="s">
        <v>547</v>
      </c>
      <c r="AE50" s="14" t="s">
        <v>742</v>
      </c>
      <c r="AF50" s="17" t="s">
        <v>744</v>
      </c>
      <c r="AG50" s="17" t="s">
        <v>744</v>
      </c>
      <c r="AH50" s="14" t="s">
        <v>742</v>
      </c>
      <c r="AI50" s="17" t="s">
        <v>744</v>
      </c>
      <c r="AJ50" s="17" t="s">
        <v>744</v>
      </c>
      <c r="AK50" s="14" t="s">
        <v>742</v>
      </c>
      <c r="AL50" s="17" t="s">
        <v>744</v>
      </c>
      <c r="AM50" s="17" t="s">
        <v>744</v>
      </c>
      <c r="AN50" s="14" t="s">
        <v>742</v>
      </c>
    </row>
    <row r="51" spans="1:40">
      <c r="A51" s="14">
        <v>0</v>
      </c>
      <c r="B51" s="14">
        <v>0</v>
      </c>
      <c r="C51" s="14">
        <v>160</v>
      </c>
      <c r="D51" s="14">
        <v>101</v>
      </c>
      <c r="E51" s="14">
        <v>3300</v>
      </c>
      <c r="F51" s="14">
        <v>160</v>
      </c>
      <c r="G51" s="16">
        <v>39147</v>
      </c>
      <c r="H51" s="14">
        <v>1071</v>
      </c>
      <c r="I51" s="14">
        <v>9852998</v>
      </c>
      <c r="J51" s="16">
        <v>39147</v>
      </c>
      <c r="K51" s="14">
        <v>1071</v>
      </c>
      <c r="L51" s="14" t="s">
        <v>197</v>
      </c>
      <c r="M51" s="14" t="s">
        <v>738</v>
      </c>
      <c r="N51" s="14" t="s">
        <v>199</v>
      </c>
      <c r="P51" s="14" t="s">
        <v>1012</v>
      </c>
      <c r="Q51" s="17" t="s">
        <v>744</v>
      </c>
      <c r="R51" s="17" t="s">
        <v>744</v>
      </c>
      <c r="S51" s="14" t="s">
        <v>742</v>
      </c>
      <c r="T51" s="17" t="s">
        <v>525</v>
      </c>
      <c r="U51" s="17" t="s">
        <v>525</v>
      </c>
      <c r="V51" s="14" t="s">
        <v>742</v>
      </c>
      <c r="W51" s="17" t="s">
        <v>744</v>
      </c>
      <c r="X51" s="17" t="s">
        <v>744</v>
      </c>
      <c r="Y51" s="14" t="s">
        <v>742</v>
      </c>
      <c r="Z51" s="17" t="s">
        <v>744</v>
      </c>
      <c r="AA51" s="17" t="s">
        <v>744</v>
      </c>
      <c r="AB51" s="14" t="s">
        <v>742</v>
      </c>
      <c r="AC51" s="17" t="s">
        <v>546</v>
      </c>
      <c r="AD51" s="17" t="s">
        <v>546</v>
      </c>
      <c r="AE51" s="14" t="s">
        <v>742</v>
      </c>
      <c r="AF51" s="17" t="s">
        <v>744</v>
      </c>
      <c r="AG51" s="17" t="s">
        <v>744</v>
      </c>
      <c r="AH51" s="14" t="s">
        <v>742</v>
      </c>
      <c r="AI51" s="17" t="s">
        <v>744</v>
      </c>
      <c r="AJ51" s="17" t="s">
        <v>744</v>
      </c>
      <c r="AK51" s="14" t="s">
        <v>742</v>
      </c>
      <c r="AL51" s="17" t="s">
        <v>744</v>
      </c>
      <c r="AM51" s="17" t="s">
        <v>744</v>
      </c>
      <c r="AN51" s="14" t="s">
        <v>742</v>
      </c>
    </row>
    <row r="52" spans="1:40">
      <c r="A52" s="14">
        <v>0</v>
      </c>
      <c r="B52" s="14">
        <v>0</v>
      </c>
      <c r="C52" s="14">
        <v>160</v>
      </c>
      <c r="D52" s="14">
        <v>101</v>
      </c>
      <c r="E52" s="14">
        <v>3300</v>
      </c>
      <c r="F52" s="14">
        <v>160</v>
      </c>
      <c r="G52" s="16">
        <v>39147</v>
      </c>
      <c r="H52" s="14">
        <v>1071</v>
      </c>
      <c r="I52" s="14">
        <v>9852998</v>
      </c>
      <c r="J52" s="16">
        <v>39147</v>
      </c>
      <c r="K52" s="14">
        <v>1071</v>
      </c>
      <c r="L52" s="14" t="s">
        <v>197</v>
      </c>
      <c r="M52" s="14" t="s">
        <v>738</v>
      </c>
      <c r="N52" s="14" t="s">
        <v>199</v>
      </c>
      <c r="P52" s="14" t="s">
        <v>1013</v>
      </c>
      <c r="Q52" s="17" t="s">
        <v>744</v>
      </c>
      <c r="R52" s="17" t="s">
        <v>744</v>
      </c>
      <c r="S52" s="14" t="s">
        <v>742</v>
      </c>
      <c r="T52" s="17" t="s">
        <v>525</v>
      </c>
      <c r="U52" s="17" t="s">
        <v>525</v>
      </c>
      <c r="V52" s="14" t="s">
        <v>742</v>
      </c>
      <c r="W52" s="17" t="s">
        <v>744</v>
      </c>
      <c r="X52" s="17" t="s">
        <v>744</v>
      </c>
      <c r="Y52" s="14" t="s">
        <v>742</v>
      </c>
      <c r="Z52" s="17" t="s">
        <v>744</v>
      </c>
      <c r="AA52" s="17" t="s">
        <v>744</v>
      </c>
      <c r="AB52" s="14" t="s">
        <v>742</v>
      </c>
      <c r="AC52" s="17" t="s">
        <v>547</v>
      </c>
      <c r="AD52" s="17" t="s">
        <v>547</v>
      </c>
      <c r="AE52" s="14" t="s">
        <v>742</v>
      </c>
      <c r="AF52" s="17" t="s">
        <v>744</v>
      </c>
      <c r="AG52" s="17" t="s">
        <v>744</v>
      </c>
      <c r="AH52" s="14" t="s">
        <v>742</v>
      </c>
      <c r="AI52" s="17" t="s">
        <v>744</v>
      </c>
      <c r="AJ52" s="17" t="s">
        <v>744</v>
      </c>
      <c r="AK52" s="14" t="s">
        <v>742</v>
      </c>
      <c r="AL52" s="17" t="s">
        <v>744</v>
      </c>
      <c r="AM52" s="17" t="s">
        <v>744</v>
      </c>
      <c r="AN52" s="14" t="s">
        <v>742</v>
      </c>
    </row>
    <row r="53" spans="1:40">
      <c r="A53" s="14">
        <v>0</v>
      </c>
      <c r="B53" s="14">
        <v>0</v>
      </c>
      <c r="C53" s="14">
        <v>170</v>
      </c>
      <c r="D53" s="14">
        <v>101</v>
      </c>
      <c r="E53" s="14">
        <v>3300</v>
      </c>
      <c r="F53" s="14">
        <v>170</v>
      </c>
      <c r="G53" s="16">
        <v>39147</v>
      </c>
      <c r="H53" s="14">
        <v>1071</v>
      </c>
      <c r="I53" s="14">
        <v>9852998</v>
      </c>
      <c r="J53" s="16">
        <v>39147</v>
      </c>
      <c r="K53" s="14">
        <v>1071</v>
      </c>
      <c r="L53" s="14" t="s">
        <v>197</v>
      </c>
      <c r="M53" s="14" t="s">
        <v>738</v>
      </c>
      <c r="N53" s="14" t="s">
        <v>199</v>
      </c>
      <c r="P53" s="14" t="s">
        <v>503</v>
      </c>
      <c r="Q53" s="17" t="s">
        <v>744</v>
      </c>
      <c r="R53" s="17" t="s">
        <v>744</v>
      </c>
      <c r="S53" s="14" t="s">
        <v>742</v>
      </c>
      <c r="T53" s="17" t="s">
        <v>515</v>
      </c>
      <c r="U53" s="17" t="s">
        <v>515</v>
      </c>
      <c r="V53" s="14" t="s">
        <v>742</v>
      </c>
      <c r="W53" s="17" t="s">
        <v>744</v>
      </c>
      <c r="X53" s="17" t="s">
        <v>744</v>
      </c>
      <c r="Y53" s="14" t="s">
        <v>742</v>
      </c>
      <c r="Z53" s="17" t="s">
        <v>744</v>
      </c>
      <c r="AA53" s="17" t="s">
        <v>744</v>
      </c>
      <c r="AB53" s="14" t="s">
        <v>742</v>
      </c>
      <c r="AC53" s="17" t="s">
        <v>548</v>
      </c>
      <c r="AD53" s="17" t="s">
        <v>548</v>
      </c>
      <c r="AE53" s="14" t="s">
        <v>742</v>
      </c>
      <c r="AF53" s="17" t="s">
        <v>744</v>
      </c>
      <c r="AG53" s="17" t="s">
        <v>744</v>
      </c>
      <c r="AH53" s="14" t="s">
        <v>742</v>
      </c>
      <c r="AI53" s="17" t="s">
        <v>744</v>
      </c>
      <c r="AJ53" s="17" t="s">
        <v>744</v>
      </c>
      <c r="AK53" s="14" t="s">
        <v>742</v>
      </c>
      <c r="AL53" s="17" t="s">
        <v>744</v>
      </c>
      <c r="AM53" s="17" t="s">
        <v>744</v>
      </c>
      <c r="AN53" s="14" t="s">
        <v>742</v>
      </c>
    </row>
    <row r="54" spans="1:40">
      <c r="A54" s="14">
        <v>0</v>
      </c>
      <c r="B54" s="14">
        <v>0</v>
      </c>
      <c r="C54" s="14">
        <v>170</v>
      </c>
      <c r="D54" s="14">
        <v>101</v>
      </c>
      <c r="E54" s="14">
        <v>3300</v>
      </c>
      <c r="F54" s="14">
        <v>170</v>
      </c>
      <c r="G54" s="16">
        <v>39147</v>
      </c>
      <c r="H54" s="14">
        <v>1071</v>
      </c>
      <c r="I54" s="14">
        <v>9852998</v>
      </c>
      <c r="J54" s="16">
        <v>39147</v>
      </c>
      <c r="K54" s="14">
        <v>1071</v>
      </c>
      <c r="L54" s="14" t="s">
        <v>197</v>
      </c>
      <c r="M54" s="14" t="s">
        <v>738</v>
      </c>
      <c r="N54" s="14" t="s">
        <v>199</v>
      </c>
      <c r="P54" s="14" t="s">
        <v>504</v>
      </c>
      <c r="Q54" s="17" t="s">
        <v>744</v>
      </c>
      <c r="R54" s="17" t="s">
        <v>744</v>
      </c>
      <c r="S54" s="14" t="s">
        <v>742</v>
      </c>
      <c r="T54" s="17" t="s">
        <v>515</v>
      </c>
      <c r="U54" s="17" t="s">
        <v>515</v>
      </c>
      <c r="V54" s="14" t="s">
        <v>742</v>
      </c>
      <c r="W54" s="17" t="s">
        <v>744</v>
      </c>
      <c r="X54" s="17" t="s">
        <v>744</v>
      </c>
      <c r="Y54" s="14" t="s">
        <v>742</v>
      </c>
      <c r="Z54" s="17" t="s">
        <v>744</v>
      </c>
      <c r="AA54" s="17" t="s">
        <v>744</v>
      </c>
      <c r="AB54" s="14" t="s">
        <v>742</v>
      </c>
      <c r="AC54" s="17" t="s">
        <v>549</v>
      </c>
      <c r="AD54" s="17" t="s">
        <v>549</v>
      </c>
      <c r="AE54" s="14" t="s">
        <v>742</v>
      </c>
      <c r="AF54" s="17" t="s">
        <v>744</v>
      </c>
      <c r="AG54" s="17" t="s">
        <v>744</v>
      </c>
      <c r="AH54" s="14" t="s">
        <v>742</v>
      </c>
      <c r="AI54" s="17" t="s">
        <v>744</v>
      </c>
      <c r="AJ54" s="17" t="s">
        <v>744</v>
      </c>
      <c r="AK54" s="14" t="s">
        <v>742</v>
      </c>
      <c r="AL54" s="17" t="s">
        <v>744</v>
      </c>
      <c r="AM54" s="17" t="s">
        <v>744</v>
      </c>
      <c r="AN54" s="14" t="s">
        <v>742</v>
      </c>
    </row>
    <row r="55" spans="1:40">
      <c r="A55" s="14">
        <v>0</v>
      </c>
      <c r="B55" s="14">
        <v>0</v>
      </c>
      <c r="C55" s="14">
        <v>170</v>
      </c>
      <c r="D55" s="14">
        <v>101</v>
      </c>
      <c r="E55" s="14">
        <v>3300</v>
      </c>
      <c r="F55" s="14">
        <v>170</v>
      </c>
      <c r="G55" s="16">
        <v>39147</v>
      </c>
      <c r="H55" s="14">
        <v>1071</v>
      </c>
      <c r="I55" s="14">
        <v>9852998</v>
      </c>
      <c r="J55" s="16">
        <v>39147</v>
      </c>
      <c r="K55" s="14">
        <v>1071</v>
      </c>
      <c r="L55" s="14" t="s">
        <v>197</v>
      </c>
      <c r="M55" s="14" t="s">
        <v>738</v>
      </c>
      <c r="N55" s="14" t="s">
        <v>199</v>
      </c>
      <c r="P55" s="14" t="s">
        <v>505</v>
      </c>
      <c r="Q55" s="17" t="s">
        <v>744</v>
      </c>
      <c r="R55" s="17" t="s">
        <v>744</v>
      </c>
      <c r="S55" s="14" t="s">
        <v>742</v>
      </c>
      <c r="T55" s="17" t="s">
        <v>516</v>
      </c>
      <c r="U55" s="17" t="s">
        <v>516</v>
      </c>
      <c r="V55" s="14" t="s">
        <v>742</v>
      </c>
      <c r="W55" s="17" t="s">
        <v>744</v>
      </c>
      <c r="X55" s="17" t="s">
        <v>744</v>
      </c>
      <c r="Y55" s="14" t="s">
        <v>742</v>
      </c>
      <c r="Z55" s="17" t="s">
        <v>744</v>
      </c>
      <c r="AA55" s="17" t="s">
        <v>744</v>
      </c>
      <c r="AB55" s="14" t="s">
        <v>742</v>
      </c>
      <c r="AC55" s="17" t="s">
        <v>548</v>
      </c>
      <c r="AD55" s="17" t="s">
        <v>548</v>
      </c>
      <c r="AE55" s="14" t="s">
        <v>742</v>
      </c>
      <c r="AF55" s="17" t="s">
        <v>744</v>
      </c>
      <c r="AG55" s="17" t="s">
        <v>744</v>
      </c>
      <c r="AH55" s="14" t="s">
        <v>742</v>
      </c>
      <c r="AI55" s="17" t="s">
        <v>744</v>
      </c>
      <c r="AJ55" s="17" t="s">
        <v>744</v>
      </c>
      <c r="AK55" s="14" t="s">
        <v>742</v>
      </c>
      <c r="AL55" s="17" t="s">
        <v>744</v>
      </c>
      <c r="AM55" s="17" t="s">
        <v>744</v>
      </c>
      <c r="AN55" s="14" t="s">
        <v>742</v>
      </c>
    </row>
    <row r="56" spans="1:40">
      <c r="A56" s="14">
        <v>0</v>
      </c>
      <c r="B56" s="14">
        <v>0</v>
      </c>
      <c r="C56" s="14">
        <v>170</v>
      </c>
      <c r="D56" s="14">
        <v>101</v>
      </c>
      <c r="E56" s="14">
        <v>3300</v>
      </c>
      <c r="F56" s="14">
        <v>170</v>
      </c>
      <c r="G56" s="16">
        <v>39147</v>
      </c>
      <c r="H56" s="14">
        <v>1071</v>
      </c>
      <c r="I56" s="14">
        <v>9852998</v>
      </c>
      <c r="J56" s="16">
        <v>39147</v>
      </c>
      <c r="K56" s="14">
        <v>1071</v>
      </c>
      <c r="L56" s="14" t="s">
        <v>197</v>
      </c>
      <c r="M56" s="14" t="s">
        <v>738</v>
      </c>
      <c r="N56" s="14" t="s">
        <v>199</v>
      </c>
      <c r="P56" s="14" t="s">
        <v>506</v>
      </c>
      <c r="Q56" s="17" t="s">
        <v>744</v>
      </c>
      <c r="R56" s="17" t="s">
        <v>744</v>
      </c>
      <c r="S56" s="14" t="s">
        <v>742</v>
      </c>
      <c r="T56" s="17" t="s">
        <v>516</v>
      </c>
      <c r="U56" s="17" t="s">
        <v>516</v>
      </c>
      <c r="V56" s="14" t="s">
        <v>742</v>
      </c>
      <c r="W56" s="17" t="s">
        <v>744</v>
      </c>
      <c r="X56" s="17" t="s">
        <v>744</v>
      </c>
      <c r="Y56" s="14" t="s">
        <v>742</v>
      </c>
      <c r="Z56" s="17" t="s">
        <v>744</v>
      </c>
      <c r="AA56" s="17" t="s">
        <v>744</v>
      </c>
      <c r="AB56" s="14" t="s">
        <v>742</v>
      </c>
      <c r="AC56" s="17" t="s">
        <v>549</v>
      </c>
      <c r="AD56" s="17" t="s">
        <v>549</v>
      </c>
      <c r="AE56" s="14" t="s">
        <v>742</v>
      </c>
      <c r="AF56" s="17" t="s">
        <v>744</v>
      </c>
      <c r="AG56" s="17" t="s">
        <v>744</v>
      </c>
      <c r="AH56" s="14" t="s">
        <v>742</v>
      </c>
      <c r="AI56" s="17" t="s">
        <v>744</v>
      </c>
      <c r="AJ56" s="17" t="s">
        <v>744</v>
      </c>
      <c r="AK56" s="14" t="s">
        <v>742</v>
      </c>
      <c r="AL56" s="17" t="s">
        <v>744</v>
      </c>
      <c r="AM56" s="17" t="s">
        <v>744</v>
      </c>
      <c r="AN56" s="14" t="s">
        <v>742</v>
      </c>
    </row>
    <row r="57" spans="1:40">
      <c r="A57" s="14">
        <v>0</v>
      </c>
      <c r="B57" s="14">
        <v>0</v>
      </c>
      <c r="C57" s="14">
        <v>180</v>
      </c>
      <c r="D57" s="14">
        <v>101</v>
      </c>
      <c r="E57" s="14">
        <v>3300</v>
      </c>
      <c r="F57" s="14">
        <v>180</v>
      </c>
      <c r="G57" s="16">
        <v>39147</v>
      </c>
      <c r="H57" s="14">
        <v>1071</v>
      </c>
      <c r="I57" s="14">
        <v>9852998</v>
      </c>
      <c r="J57" s="16">
        <v>39147</v>
      </c>
      <c r="K57" s="14">
        <v>1071</v>
      </c>
      <c r="L57" s="14" t="s">
        <v>197</v>
      </c>
      <c r="M57" s="14" t="s">
        <v>738</v>
      </c>
      <c r="N57" s="14" t="s">
        <v>199</v>
      </c>
      <c r="P57" s="14" t="s">
        <v>507</v>
      </c>
      <c r="Q57" s="17" t="s">
        <v>744</v>
      </c>
      <c r="R57" s="17" t="s">
        <v>744</v>
      </c>
      <c r="S57" s="14" t="s">
        <v>742</v>
      </c>
      <c r="T57" s="17" t="s">
        <v>522</v>
      </c>
      <c r="U57" s="17" t="s">
        <v>522</v>
      </c>
      <c r="V57" s="14" t="s">
        <v>742</v>
      </c>
      <c r="W57" s="17" t="s">
        <v>744</v>
      </c>
      <c r="X57" s="17" t="s">
        <v>744</v>
      </c>
      <c r="Y57" s="14" t="s">
        <v>742</v>
      </c>
      <c r="Z57" s="17" t="s">
        <v>744</v>
      </c>
      <c r="AA57" s="17" t="s">
        <v>744</v>
      </c>
      <c r="AB57" s="14" t="s">
        <v>742</v>
      </c>
      <c r="AC57" s="17" t="s">
        <v>548</v>
      </c>
      <c r="AD57" s="17" t="s">
        <v>548</v>
      </c>
      <c r="AE57" s="14" t="s">
        <v>742</v>
      </c>
      <c r="AF57" s="17" t="s">
        <v>744</v>
      </c>
      <c r="AG57" s="17" t="s">
        <v>744</v>
      </c>
      <c r="AH57" s="14" t="s">
        <v>742</v>
      </c>
      <c r="AI57" s="17" t="s">
        <v>744</v>
      </c>
      <c r="AJ57" s="17" t="s">
        <v>744</v>
      </c>
      <c r="AK57" s="14" t="s">
        <v>742</v>
      </c>
      <c r="AL57" s="17" t="s">
        <v>744</v>
      </c>
      <c r="AM57" s="17" t="s">
        <v>744</v>
      </c>
      <c r="AN57" s="14" t="s">
        <v>742</v>
      </c>
    </row>
    <row r="58" spans="1:40">
      <c r="A58" s="14">
        <v>0</v>
      </c>
      <c r="B58" s="14">
        <v>0</v>
      </c>
      <c r="C58" s="14">
        <v>180</v>
      </c>
      <c r="D58" s="14">
        <v>101</v>
      </c>
      <c r="E58" s="14">
        <v>3300</v>
      </c>
      <c r="F58" s="14">
        <v>180</v>
      </c>
      <c r="G58" s="16">
        <v>39147</v>
      </c>
      <c r="H58" s="14">
        <v>1071</v>
      </c>
      <c r="I58" s="14">
        <v>9852998</v>
      </c>
      <c r="J58" s="16">
        <v>39147</v>
      </c>
      <c r="K58" s="14">
        <v>1071</v>
      </c>
      <c r="L58" s="14" t="s">
        <v>197</v>
      </c>
      <c r="M58" s="14" t="s">
        <v>738</v>
      </c>
      <c r="N58" s="14" t="s">
        <v>199</v>
      </c>
      <c r="P58" s="14" t="s">
        <v>508</v>
      </c>
      <c r="Q58" s="17" t="s">
        <v>744</v>
      </c>
      <c r="R58" s="17" t="s">
        <v>744</v>
      </c>
      <c r="S58" s="14" t="s">
        <v>742</v>
      </c>
      <c r="T58" s="17" t="s">
        <v>522</v>
      </c>
      <c r="U58" s="17" t="s">
        <v>522</v>
      </c>
      <c r="V58" s="14" t="s">
        <v>742</v>
      </c>
      <c r="W58" s="17" t="s">
        <v>744</v>
      </c>
      <c r="X58" s="17" t="s">
        <v>744</v>
      </c>
      <c r="Y58" s="14" t="s">
        <v>742</v>
      </c>
      <c r="Z58" s="17" t="s">
        <v>744</v>
      </c>
      <c r="AA58" s="17" t="s">
        <v>744</v>
      </c>
      <c r="AB58" s="14" t="s">
        <v>742</v>
      </c>
      <c r="AC58" s="17" t="s">
        <v>549</v>
      </c>
      <c r="AD58" s="17" t="s">
        <v>549</v>
      </c>
      <c r="AE58" s="14" t="s">
        <v>742</v>
      </c>
      <c r="AF58" s="17" t="s">
        <v>744</v>
      </c>
      <c r="AG58" s="17" t="s">
        <v>744</v>
      </c>
      <c r="AH58" s="14" t="s">
        <v>742</v>
      </c>
      <c r="AI58" s="17" t="s">
        <v>744</v>
      </c>
      <c r="AJ58" s="17" t="s">
        <v>744</v>
      </c>
      <c r="AK58" s="14" t="s">
        <v>742</v>
      </c>
      <c r="AL58" s="17" t="s">
        <v>744</v>
      </c>
      <c r="AM58" s="17" t="s">
        <v>744</v>
      </c>
      <c r="AN58" s="14" t="s">
        <v>742</v>
      </c>
    </row>
    <row r="59" spans="1:40">
      <c r="A59" s="14">
        <v>0</v>
      </c>
      <c r="B59" s="14">
        <v>0</v>
      </c>
      <c r="C59" s="14">
        <v>180</v>
      </c>
      <c r="D59" s="14">
        <v>101</v>
      </c>
      <c r="E59" s="14">
        <v>3300</v>
      </c>
      <c r="F59" s="14">
        <v>180</v>
      </c>
      <c r="G59" s="16">
        <v>39147</v>
      </c>
      <c r="H59" s="14">
        <v>1071</v>
      </c>
      <c r="I59" s="14">
        <v>9852998</v>
      </c>
      <c r="J59" s="16">
        <v>39147</v>
      </c>
      <c r="K59" s="14">
        <v>1071</v>
      </c>
      <c r="L59" s="14" t="s">
        <v>197</v>
      </c>
      <c r="M59" s="14" t="s">
        <v>738</v>
      </c>
      <c r="N59" s="14" t="s">
        <v>199</v>
      </c>
      <c r="P59" s="14" t="s">
        <v>509</v>
      </c>
      <c r="Q59" s="17" t="s">
        <v>744</v>
      </c>
      <c r="R59" s="17" t="s">
        <v>744</v>
      </c>
      <c r="S59" s="14" t="s">
        <v>742</v>
      </c>
      <c r="T59" s="17" t="s">
        <v>524</v>
      </c>
      <c r="U59" s="17" t="s">
        <v>524</v>
      </c>
      <c r="V59" s="14" t="s">
        <v>742</v>
      </c>
      <c r="W59" s="17" t="s">
        <v>744</v>
      </c>
      <c r="X59" s="17" t="s">
        <v>744</v>
      </c>
      <c r="Y59" s="14" t="s">
        <v>742</v>
      </c>
      <c r="Z59" s="17" t="s">
        <v>744</v>
      </c>
      <c r="AA59" s="17" t="s">
        <v>744</v>
      </c>
      <c r="AB59" s="14" t="s">
        <v>742</v>
      </c>
      <c r="AC59" s="17" t="s">
        <v>548</v>
      </c>
      <c r="AD59" s="17" t="s">
        <v>548</v>
      </c>
      <c r="AE59" s="14" t="s">
        <v>742</v>
      </c>
      <c r="AF59" s="17" t="s">
        <v>744</v>
      </c>
      <c r="AG59" s="17" t="s">
        <v>744</v>
      </c>
      <c r="AH59" s="14" t="s">
        <v>742</v>
      </c>
      <c r="AI59" s="17" t="s">
        <v>744</v>
      </c>
      <c r="AJ59" s="17" t="s">
        <v>744</v>
      </c>
      <c r="AK59" s="14" t="s">
        <v>742</v>
      </c>
      <c r="AL59" s="17" t="s">
        <v>744</v>
      </c>
      <c r="AM59" s="17" t="s">
        <v>744</v>
      </c>
      <c r="AN59" s="14" t="s">
        <v>742</v>
      </c>
    </row>
    <row r="60" spans="1:40">
      <c r="A60" s="14">
        <v>0</v>
      </c>
      <c r="B60" s="14">
        <v>0</v>
      </c>
      <c r="C60" s="14">
        <v>180</v>
      </c>
      <c r="D60" s="14">
        <v>101</v>
      </c>
      <c r="E60" s="14">
        <v>3300</v>
      </c>
      <c r="F60" s="14">
        <v>180</v>
      </c>
      <c r="G60" s="16">
        <v>39147</v>
      </c>
      <c r="H60" s="14">
        <v>1071</v>
      </c>
      <c r="I60" s="14">
        <v>9852998</v>
      </c>
      <c r="J60" s="16">
        <v>39147</v>
      </c>
      <c r="K60" s="14">
        <v>1071</v>
      </c>
      <c r="L60" s="14" t="s">
        <v>197</v>
      </c>
      <c r="M60" s="14" t="s">
        <v>738</v>
      </c>
      <c r="N60" s="14" t="s">
        <v>199</v>
      </c>
      <c r="P60" s="14" t="s">
        <v>510</v>
      </c>
      <c r="Q60" s="17" t="s">
        <v>744</v>
      </c>
      <c r="R60" s="17" t="s">
        <v>744</v>
      </c>
      <c r="S60" s="14" t="s">
        <v>742</v>
      </c>
      <c r="T60" s="17" t="s">
        <v>524</v>
      </c>
      <c r="U60" s="17" t="s">
        <v>524</v>
      </c>
      <c r="V60" s="14" t="s">
        <v>742</v>
      </c>
      <c r="W60" s="17" t="s">
        <v>744</v>
      </c>
      <c r="X60" s="17" t="s">
        <v>744</v>
      </c>
      <c r="Y60" s="14" t="s">
        <v>742</v>
      </c>
      <c r="Z60" s="17" t="s">
        <v>744</v>
      </c>
      <c r="AA60" s="17" t="s">
        <v>744</v>
      </c>
      <c r="AB60" s="14" t="s">
        <v>742</v>
      </c>
      <c r="AC60" s="17" t="s">
        <v>549</v>
      </c>
      <c r="AD60" s="17" t="s">
        <v>549</v>
      </c>
      <c r="AE60" s="14" t="s">
        <v>742</v>
      </c>
      <c r="AF60" s="17" t="s">
        <v>744</v>
      </c>
      <c r="AG60" s="17" t="s">
        <v>744</v>
      </c>
      <c r="AH60" s="14" t="s">
        <v>742</v>
      </c>
      <c r="AI60" s="17" t="s">
        <v>744</v>
      </c>
      <c r="AJ60" s="17" t="s">
        <v>744</v>
      </c>
      <c r="AK60" s="14" t="s">
        <v>742</v>
      </c>
      <c r="AL60" s="17" t="s">
        <v>744</v>
      </c>
      <c r="AM60" s="17" t="s">
        <v>744</v>
      </c>
      <c r="AN60" s="14" t="s">
        <v>742</v>
      </c>
    </row>
    <row r="61" spans="1:40">
      <c r="A61" s="14">
        <v>0</v>
      </c>
      <c r="B61" s="14">
        <v>0</v>
      </c>
      <c r="C61" s="14">
        <v>190</v>
      </c>
      <c r="D61" s="14">
        <v>101</v>
      </c>
      <c r="E61" s="14">
        <v>3300</v>
      </c>
      <c r="F61" s="14">
        <v>190</v>
      </c>
      <c r="G61" s="16">
        <v>39147</v>
      </c>
      <c r="H61" s="14">
        <v>1071</v>
      </c>
      <c r="I61" s="14">
        <v>9852998</v>
      </c>
      <c r="J61" s="16">
        <v>39147</v>
      </c>
      <c r="K61" s="14">
        <v>1071</v>
      </c>
      <c r="L61" s="14" t="s">
        <v>197</v>
      </c>
      <c r="M61" s="14" t="s">
        <v>738</v>
      </c>
      <c r="N61" s="14" t="s">
        <v>199</v>
      </c>
      <c r="P61" s="14" t="s">
        <v>511</v>
      </c>
      <c r="Q61" s="17" t="s">
        <v>744</v>
      </c>
      <c r="R61" s="17" t="s">
        <v>744</v>
      </c>
      <c r="S61" s="14" t="s">
        <v>742</v>
      </c>
      <c r="T61" s="17" t="s">
        <v>526</v>
      </c>
      <c r="U61" s="17" t="s">
        <v>526</v>
      </c>
      <c r="V61" s="14" t="s">
        <v>742</v>
      </c>
      <c r="W61" s="17" t="s">
        <v>744</v>
      </c>
      <c r="X61" s="17" t="s">
        <v>744</v>
      </c>
      <c r="Y61" s="14" t="s">
        <v>742</v>
      </c>
      <c r="Z61" s="17" t="s">
        <v>744</v>
      </c>
      <c r="AA61" s="17" t="s">
        <v>744</v>
      </c>
      <c r="AB61" s="14" t="s">
        <v>742</v>
      </c>
      <c r="AC61" s="17" t="s">
        <v>548</v>
      </c>
      <c r="AD61" s="17" t="s">
        <v>548</v>
      </c>
      <c r="AE61" s="14" t="s">
        <v>742</v>
      </c>
      <c r="AF61" s="17" t="s">
        <v>744</v>
      </c>
      <c r="AG61" s="17" t="s">
        <v>744</v>
      </c>
      <c r="AH61" s="14" t="s">
        <v>742</v>
      </c>
      <c r="AI61" s="17" t="s">
        <v>744</v>
      </c>
      <c r="AJ61" s="17" t="s">
        <v>744</v>
      </c>
      <c r="AK61" s="14" t="s">
        <v>742</v>
      </c>
      <c r="AL61" s="17" t="s">
        <v>744</v>
      </c>
      <c r="AM61" s="17" t="s">
        <v>744</v>
      </c>
      <c r="AN61" s="14" t="s">
        <v>742</v>
      </c>
    </row>
    <row r="62" spans="1:40">
      <c r="A62" s="14">
        <v>0</v>
      </c>
      <c r="B62" s="14">
        <v>0</v>
      </c>
      <c r="C62" s="14">
        <v>190</v>
      </c>
      <c r="D62" s="14">
        <v>101</v>
      </c>
      <c r="E62" s="14">
        <v>3300</v>
      </c>
      <c r="F62" s="14">
        <v>190</v>
      </c>
      <c r="G62" s="16">
        <v>39147</v>
      </c>
      <c r="H62" s="14">
        <v>1071</v>
      </c>
      <c r="I62" s="14">
        <v>9852998</v>
      </c>
      <c r="J62" s="16">
        <v>39147</v>
      </c>
      <c r="K62" s="14">
        <v>1071</v>
      </c>
      <c r="L62" s="14" t="s">
        <v>197</v>
      </c>
      <c r="M62" s="14" t="s">
        <v>738</v>
      </c>
      <c r="N62" s="14" t="s">
        <v>199</v>
      </c>
      <c r="P62" s="14" t="s">
        <v>512</v>
      </c>
      <c r="Q62" s="17" t="s">
        <v>744</v>
      </c>
      <c r="R62" s="17" t="s">
        <v>744</v>
      </c>
      <c r="S62" s="14" t="s">
        <v>742</v>
      </c>
      <c r="T62" s="17" t="s">
        <v>526</v>
      </c>
      <c r="U62" s="17" t="s">
        <v>526</v>
      </c>
      <c r="V62" s="14" t="s">
        <v>742</v>
      </c>
      <c r="W62" s="17" t="s">
        <v>744</v>
      </c>
      <c r="X62" s="17" t="s">
        <v>744</v>
      </c>
      <c r="Y62" s="14" t="s">
        <v>742</v>
      </c>
      <c r="Z62" s="17" t="s">
        <v>744</v>
      </c>
      <c r="AA62" s="17" t="s">
        <v>744</v>
      </c>
      <c r="AB62" s="14" t="s">
        <v>742</v>
      </c>
      <c r="AC62" s="17" t="s">
        <v>549</v>
      </c>
      <c r="AD62" s="17" t="s">
        <v>549</v>
      </c>
      <c r="AE62" s="14" t="s">
        <v>742</v>
      </c>
      <c r="AF62" s="17" t="s">
        <v>744</v>
      </c>
      <c r="AG62" s="17" t="s">
        <v>744</v>
      </c>
      <c r="AH62" s="14" t="s">
        <v>742</v>
      </c>
      <c r="AI62" s="17" t="s">
        <v>744</v>
      </c>
      <c r="AJ62" s="17" t="s">
        <v>744</v>
      </c>
      <c r="AK62" s="14" t="s">
        <v>742</v>
      </c>
      <c r="AL62" s="17" t="s">
        <v>744</v>
      </c>
      <c r="AM62" s="17" t="s">
        <v>744</v>
      </c>
      <c r="AN62" s="14" t="s">
        <v>742</v>
      </c>
    </row>
    <row r="63" spans="1:40">
      <c r="A63" s="14">
        <v>0</v>
      </c>
      <c r="B63" s="14">
        <v>0</v>
      </c>
      <c r="C63" s="14">
        <v>190</v>
      </c>
      <c r="D63" s="14">
        <v>101</v>
      </c>
      <c r="E63" s="14">
        <v>3300</v>
      </c>
      <c r="F63" s="14">
        <v>190</v>
      </c>
      <c r="G63" s="16">
        <v>39147</v>
      </c>
      <c r="H63" s="14">
        <v>1071</v>
      </c>
      <c r="I63" s="14">
        <v>9852998</v>
      </c>
      <c r="J63" s="16">
        <v>39147</v>
      </c>
      <c r="K63" s="14">
        <v>1071</v>
      </c>
      <c r="L63" s="14" t="s">
        <v>197</v>
      </c>
      <c r="M63" s="14" t="s">
        <v>738</v>
      </c>
      <c r="N63" s="14" t="s">
        <v>199</v>
      </c>
      <c r="P63" s="14" t="s">
        <v>513</v>
      </c>
      <c r="Q63" s="17" t="s">
        <v>744</v>
      </c>
      <c r="R63" s="17" t="s">
        <v>744</v>
      </c>
      <c r="S63" s="14" t="s">
        <v>742</v>
      </c>
      <c r="T63" s="17" t="s">
        <v>525</v>
      </c>
      <c r="U63" s="17" t="s">
        <v>525</v>
      </c>
      <c r="V63" s="14" t="s">
        <v>742</v>
      </c>
      <c r="W63" s="17" t="s">
        <v>744</v>
      </c>
      <c r="X63" s="17" t="s">
        <v>744</v>
      </c>
      <c r="Y63" s="14" t="s">
        <v>742</v>
      </c>
      <c r="Z63" s="17" t="s">
        <v>744</v>
      </c>
      <c r="AA63" s="17" t="s">
        <v>744</v>
      </c>
      <c r="AB63" s="14" t="s">
        <v>742</v>
      </c>
      <c r="AC63" s="17" t="s">
        <v>548</v>
      </c>
      <c r="AD63" s="17" t="s">
        <v>548</v>
      </c>
      <c r="AE63" s="14" t="s">
        <v>742</v>
      </c>
      <c r="AF63" s="17" t="s">
        <v>744</v>
      </c>
      <c r="AG63" s="17" t="s">
        <v>744</v>
      </c>
      <c r="AH63" s="14" t="s">
        <v>742</v>
      </c>
      <c r="AI63" s="17" t="s">
        <v>744</v>
      </c>
      <c r="AJ63" s="17" t="s">
        <v>744</v>
      </c>
      <c r="AK63" s="14" t="s">
        <v>742</v>
      </c>
      <c r="AL63" s="17" t="s">
        <v>744</v>
      </c>
      <c r="AM63" s="17" t="s">
        <v>744</v>
      </c>
      <c r="AN63" s="14" t="s">
        <v>742</v>
      </c>
    </row>
    <row r="64" spans="1:40">
      <c r="A64" s="14">
        <v>0</v>
      </c>
      <c r="B64" s="14">
        <v>0</v>
      </c>
      <c r="C64" s="14">
        <v>190</v>
      </c>
      <c r="D64" s="14">
        <v>101</v>
      </c>
      <c r="E64" s="14">
        <v>3300</v>
      </c>
      <c r="F64" s="14">
        <v>190</v>
      </c>
      <c r="G64" s="16">
        <v>39147</v>
      </c>
      <c r="H64" s="14">
        <v>1071</v>
      </c>
      <c r="I64" s="14">
        <v>9852998</v>
      </c>
      <c r="J64" s="16">
        <v>39147</v>
      </c>
      <c r="K64" s="14">
        <v>1071</v>
      </c>
      <c r="L64" s="14" t="s">
        <v>197</v>
      </c>
      <c r="M64" s="14" t="s">
        <v>738</v>
      </c>
      <c r="N64" s="14" t="s">
        <v>199</v>
      </c>
      <c r="P64" s="14" t="s">
        <v>514</v>
      </c>
      <c r="Q64" s="17" t="s">
        <v>744</v>
      </c>
      <c r="R64" s="17" t="s">
        <v>744</v>
      </c>
      <c r="S64" s="14" t="s">
        <v>742</v>
      </c>
      <c r="T64" s="17" t="s">
        <v>525</v>
      </c>
      <c r="U64" s="17" t="s">
        <v>525</v>
      </c>
      <c r="V64" s="14" t="s">
        <v>742</v>
      </c>
      <c r="W64" s="17" t="s">
        <v>744</v>
      </c>
      <c r="X64" s="17" t="s">
        <v>744</v>
      </c>
      <c r="Y64" s="14" t="s">
        <v>742</v>
      </c>
      <c r="Z64" s="17" t="s">
        <v>744</v>
      </c>
      <c r="AA64" s="17" t="s">
        <v>744</v>
      </c>
      <c r="AB64" s="14" t="s">
        <v>742</v>
      </c>
      <c r="AC64" s="17" t="s">
        <v>549</v>
      </c>
      <c r="AD64" s="17" t="s">
        <v>549</v>
      </c>
      <c r="AE64" s="14" t="s">
        <v>742</v>
      </c>
      <c r="AF64" s="17" t="s">
        <v>744</v>
      </c>
      <c r="AG64" s="17" t="s">
        <v>744</v>
      </c>
      <c r="AH64" s="14" t="s">
        <v>742</v>
      </c>
      <c r="AI64" s="17" t="s">
        <v>744</v>
      </c>
      <c r="AJ64" s="17" t="s">
        <v>744</v>
      </c>
      <c r="AK64" s="14" t="s">
        <v>742</v>
      </c>
      <c r="AL64" s="17" t="s">
        <v>744</v>
      </c>
      <c r="AM64" s="17" t="s">
        <v>744</v>
      </c>
      <c r="AN64" s="14" t="s">
        <v>742</v>
      </c>
    </row>
  </sheetData>
  <customSheetViews>
    <customSheetView guid="{6B74E52F-9552-408A-8775-25AFF24E6639}" state="hidden" showRuler="0">
      <selection activeCell="A2" sqref="A2:AN64"/>
      <pageMargins left="0.75" right="0.75" top="1" bottom="1" header="0.5" footer="0.5"/>
      <headerFooter alignWithMargins="0"/>
    </customSheetView>
  </customSheetViews>
  <phoneticPr fontId="4" type="noConversion"/>
  <pageMargins left="0.75" right="0.75" top="1" bottom="1" header="0.5" footer="0.5"/>
  <headerFooter alignWithMargins="0"/>
</worksheet>
</file>

<file path=xl/worksheets/sheet2.xml><?xml version="1.0" encoding="utf-8"?>
<worksheet xmlns="http://schemas.openxmlformats.org/spreadsheetml/2006/main" xmlns:r="http://schemas.openxmlformats.org/officeDocument/2006/relationships">
  <sheetPr codeName="Sheet153">
    <tabColor indexed="14"/>
    <pageSetUpPr fitToPage="1"/>
  </sheetPr>
  <dimension ref="A1:W286"/>
  <sheetViews>
    <sheetView topLeftCell="A24" zoomScale="70" zoomScaleNormal="70" workbookViewId="0">
      <selection activeCell="I63" sqref="I63"/>
    </sheetView>
  </sheetViews>
  <sheetFormatPr defaultRowHeight="12.75"/>
  <cols>
    <col min="1" max="1" width="4.42578125" customWidth="1"/>
    <col min="2" max="2" width="32.7109375" customWidth="1"/>
    <col min="3" max="3" width="18.7109375" customWidth="1"/>
    <col min="4" max="4" width="1.7109375" customWidth="1"/>
    <col min="5" max="5" width="18.7109375" customWidth="1"/>
    <col min="6" max="6" width="1.7109375" customWidth="1"/>
    <col min="7" max="7" width="18.7109375" customWidth="1"/>
    <col min="8" max="8" width="1.7109375" customWidth="1"/>
    <col min="9" max="9" width="16.7109375" customWidth="1"/>
    <col min="10" max="10" width="1.7109375" customWidth="1"/>
    <col min="11" max="11" width="18.7109375" customWidth="1"/>
    <col min="12" max="12" width="1.7109375" customWidth="1"/>
    <col min="13" max="13" width="18.85546875" customWidth="1"/>
    <col min="14" max="14" width="1.7109375" customWidth="1"/>
    <col min="15" max="15" width="12.7109375" customWidth="1"/>
    <col min="16" max="16" width="1.7109375" customWidth="1"/>
    <col min="17" max="17" width="14.7109375" customWidth="1"/>
    <col min="18" max="18" width="1.7109375" customWidth="1"/>
    <col min="19" max="19" width="18.7109375" customWidth="1"/>
    <col min="20" max="20" width="14.7109375" customWidth="1"/>
    <col min="21" max="21" width="14.42578125" bestFit="1" customWidth="1"/>
    <col min="22" max="22" width="18.5703125" bestFit="1" customWidth="1"/>
  </cols>
  <sheetData>
    <row r="1" spans="1:21">
      <c r="A1" s="356" t="s">
        <v>134</v>
      </c>
      <c r="B1" s="356"/>
      <c r="C1" s="356"/>
      <c r="D1" s="356"/>
      <c r="E1" s="356"/>
      <c r="F1" s="356"/>
      <c r="G1" s="356"/>
      <c r="H1" s="356"/>
      <c r="I1" s="356"/>
      <c r="J1" s="356"/>
      <c r="K1" s="356"/>
      <c r="L1" s="356"/>
      <c r="M1" s="356"/>
      <c r="N1" s="356"/>
      <c r="O1" s="356"/>
      <c r="P1" s="356"/>
      <c r="Q1" s="356"/>
      <c r="R1" s="356"/>
      <c r="S1" s="356"/>
    </row>
    <row r="2" spans="1:21">
      <c r="A2" s="356" t="s">
        <v>1277</v>
      </c>
      <c r="B2" s="356"/>
      <c r="C2" s="356"/>
      <c r="D2" s="356"/>
      <c r="E2" s="356"/>
      <c r="F2" s="356"/>
      <c r="G2" s="356"/>
      <c r="H2" s="356"/>
      <c r="I2" s="356"/>
      <c r="J2" s="356"/>
      <c r="K2" s="356"/>
      <c r="L2" s="356"/>
      <c r="M2" s="356"/>
      <c r="N2" s="356"/>
      <c r="O2" s="356"/>
      <c r="P2" s="356"/>
      <c r="Q2" s="356"/>
      <c r="R2" s="356"/>
      <c r="S2" s="356"/>
    </row>
    <row r="3" spans="1:21">
      <c r="A3" s="357" t="str">
        <f>'Summary - Cost - PG 1 (Tot)'!A3:N3</f>
        <v>MARCH 2012</v>
      </c>
      <c r="B3" s="357"/>
      <c r="C3" s="357"/>
      <c r="D3" s="357"/>
      <c r="E3" s="357"/>
      <c r="F3" s="357"/>
      <c r="G3" s="357"/>
      <c r="H3" s="357"/>
      <c r="I3" s="357"/>
      <c r="J3" s="357"/>
      <c r="K3" s="357"/>
      <c r="L3" s="357"/>
      <c r="M3" s="357"/>
      <c r="N3" s="357"/>
      <c r="O3" s="357"/>
      <c r="P3" s="357"/>
      <c r="Q3" s="357"/>
      <c r="R3" s="357"/>
      <c r="S3" s="357"/>
    </row>
    <row r="4" spans="1:21" ht="20.25">
      <c r="A4" s="94" t="s">
        <v>992</v>
      </c>
      <c r="B4" s="270"/>
      <c r="C4" s="270"/>
      <c r="D4" s="270"/>
      <c r="E4" s="270"/>
      <c r="F4" s="270"/>
      <c r="G4" s="270"/>
      <c r="H4" s="270"/>
      <c r="I4" s="270"/>
      <c r="J4" s="270"/>
      <c r="K4" s="270"/>
      <c r="L4" s="270"/>
      <c r="M4" s="270"/>
      <c r="N4" s="270"/>
      <c r="O4" s="270"/>
      <c r="P4" s="270"/>
      <c r="Q4" s="270"/>
      <c r="R4" s="270"/>
      <c r="S4" s="270"/>
      <c r="T4" s="270"/>
    </row>
    <row r="6" spans="1:21">
      <c r="C6" s="41" t="s">
        <v>25</v>
      </c>
      <c r="E6" s="33"/>
      <c r="G6" s="33"/>
      <c r="I6" s="41" t="s">
        <v>612</v>
      </c>
      <c r="K6" s="41" t="s">
        <v>28</v>
      </c>
      <c r="M6" s="54" t="s">
        <v>37</v>
      </c>
      <c r="O6" s="41"/>
      <c r="Q6" s="54" t="s">
        <v>39</v>
      </c>
      <c r="S6" s="41" t="s">
        <v>26</v>
      </c>
    </row>
    <row r="7" spans="1:21">
      <c r="C7" s="42" t="s">
        <v>27</v>
      </c>
      <c r="E7" s="42" t="s">
        <v>954</v>
      </c>
      <c r="G7" s="42" t="s">
        <v>108</v>
      </c>
      <c r="I7" s="42" t="s">
        <v>613</v>
      </c>
      <c r="K7" s="42" t="s">
        <v>29</v>
      </c>
      <c r="M7" s="42" t="s">
        <v>38</v>
      </c>
      <c r="O7" s="42" t="s">
        <v>955</v>
      </c>
      <c r="Q7" s="42" t="s">
        <v>105</v>
      </c>
      <c r="S7" s="42" t="s">
        <v>27</v>
      </c>
      <c r="T7" s="114">
        <v>108901</v>
      </c>
      <c r="U7" s="114">
        <v>108799</v>
      </c>
    </row>
    <row r="8" spans="1:21">
      <c r="A8" s="3" t="s">
        <v>35</v>
      </c>
      <c r="C8" s="36"/>
      <c r="D8" s="36"/>
      <c r="E8" s="36"/>
      <c r="F8" s="36"/>
      <c r="G8" s="36"/>
      <c r="H8" s="36"/>
      <c r="I8" s="36"/>
      <c r="J8" s="36"/>
      <c r="K8" s="36"/>
      <c r="L8" s="36"/>
      <c r="M8" s="36"/>
      <c r="N8" s="36"/>
      <c r="O8" s="36"/>
      <c r="P8" s="36"/>
      <c r="Q8" s="36"/>
      <c r="R8" s="36"/>
      <c r="S8" s="36"/>
    </row>
    <row r="9" spans="1:21">
      <c r="B9" t="s">
        <v>455</v>
      </c>
      <c r="C9" s="33">
        <f>'Summary - Reserve - PG 2 (Tot)'!C10+'Summary - Reserve - PG 2 (Tot)'!C35+'Summary - Reserve - PG 2 (Tot)'!C51</f>
        <v>-14267995.819999985</v>
      </c>
      <c r="D9" s="33"/>
      <c r="E9" s="33">
        <f>'Summary - Reserve - PG 2 (Tot)'!E10+'Summary - Reserve - PG 2 (Tot)'!E35+'Summary - Reserve - PG 2 (Tot)'!E51</f>
        <v>-3103890.72</v>
      </c>
      <c r="F9" s="33"/>
      <c r="G9" s="33">
        <f>'Summary - Reserve - PG 2 (Tot)'!G10+'Summary - Reserve - PG 2 (Tot)'!G35+'Summary - Reserve - PG 2 (Tot)'!G51</f>
        <v>96055.439999999944</v>
      </c>
      <c r="H9" s="33"/>
      <c r="I9" s="33">
        <f>'Summary - Reserve - PG 2 (Tot)'!I10+'Summary - Reserve - PG 2 (Tot)'!I35+'Summary - Reserve - PG 2 (Tot)'!I51</f>
        <v>0</v>
      </c>
      <c r="J9" s="33"/>
      <c r="K9" s="33">
        <f>'Summary - Reserve - PG 2 (Tot)'!M10+'Summary - Reserve - PG 2 (Tot)'!M35+'Summary - Reserve - PG 2 (Tot)'!M51</f>
        <v>0</v>
      </c>
      <c r="L9" s="33"/>
      <c r="M9" s="33">
        <f>'Summary - Reserve - PG 2 (Tot)'!O10+'Summary - Reserve - PG 2 (Tot)'!O35+'Summary - Reserve - PG 2 (Tot)'!O51</f>
        <v>16557.84</v>
      </c>
      <c r="N9" s="33"/>
      <c r="O9" s="33">
        <f>'Summary - Reserve - PG 2 (Tot)'!Q10+'Summary - Reserve - PG 2 (Tot)'!Q35+'Summary - Reserve - PG 2 (Tot)'!Q51</f>
        <v>-3000</v>
      </c>
      <c r="P9" s="33"/>
      <c r="Q9" s="33">
        <f>'Summary - Reserve - PG 2 (Tot)'!S10+'Summary - Reserve - PG 2 (Tot)'!S35+'Summary - Reserve - PG 2 (Tot)'!S51</f>
        <v>0</v>
      </c>
      <c r="R9" s="33"/>
      <c r="S9" s="33">
        <f>'Summary - Reserve - PG 2 (Tot)'!U10+'Summary - Reserve - PG 2 (Tot)'!U35+'Summary - Reserve - PG 2 (Tot)'!U51</f>
        <v>-17262273.259999987</v>
      </c>
    </row>
    <row r="10" spans="1:21">
      <c r="B10" t="s">
        <v>851</v>
      </c>
      <c r="C10" s="33">
        <f>'Summary - Reserve - PG 2 (Tot)'!C11</f>
        <v>-2403.5899999999979</v>
      </c>
      <c r="D10" s="33"/>
      <c r="E10" s="33">
        <f>'Summary - Reserve - PG 2 (Tot)'!E11</f>
        <v>-515.09999999999991</v>
      </c>
      <c r="F10" s="33"/>
      <c r="G10" s="33">
        <f>'Summary - Reserve - PG 2 (Tot)'!G11</f>
        <v>0</v>
      </c>
      <c r="H10" s="33"/>
      <c r="I10" s="33">
        <f>'Summary - Reserve - PG 2 (Tot)'!I11</f>
        <v>0</v>
      </c>
      <c r="J10" s="33"/>
      <c r="K10" s="33">
        <f>'Summary - Reserve - PG 2 (Tot)'!M11</f>
        <v>0</v>
      </c>
      <c r="L10" s="33"/>
      <c r="M10" s="33">
        <f>'Summary - Reserve - PG 2 (Tot)'!O11</f>
        <v>0</v>
      </c>
      <c r="N10" s="33"/>
      <c r="O10" s="33">
        <f>'Summary - Reserve - PG 2 (Tot)'!Q11</f>
        <v>0</v>
      </c>
      <c r="P10" s="33"/>
      <c r="Q10" s="33">
        <f>'Summary - Reserve - PG 2 (Tot)'!S11</f>
        <v>0</v>
      </c>
      <c r="R10" s="33"/>
      <c r="S10" s="33">
        <f>'Summary - Reserve - PG 2 (Tot)'!U11</f>
        <v>-2918.6899999999978</v>
      </c>
    </row>
    <row r="11" spans="1:21">
      <c r="B11" t="s">
        <v>113</v>
      </c>
      <c r="C11" s="33">
        <f>'Summary - Reserve - PG 2 (Tot)'!C12+'Summary - Reserve - PG 2 (Tot)'!C36+'Summary - Reserve - PG 2 (Tot)'!C52</f>
        <v>-146587450.4900001</v>
      </c>
      <c r="D11" s="33"/>
      <c r="E11" s="33">
        <f>'Summary - Reserve - PG 2 (Tot)'!E12+'Summary - Reserve - PG 2 (Tot)'!E36+'Summary - Reserve - PG 2 (Tot)'!E52</f>
        <v>-5982410.3700000001</v>
      </c>
      <c r="F11" s="33"/>
      <c r="G11" s="33">
        <f>'Summary - Reserve - PG 2 (Tot)'!G12+'Summary - Reserve - PG 2 (Tot)'!G36+'Summary - Reserve - PG 2 (Tot)'!G52</f>
        <v>1212153.9299999997</v>
      </c>
      <c r="H11" s="33"/>
      <c r="I11" s="33">
        <f>'Summary - Reserve - PG 2 (Tot)'!I12+'Summary - Reserve - PG 2 (Tot)'!I36+'Summary - Reserve - PG 2 (Tot)'!I52</f>
        <v>0</v>
      </c>
      <c r="J11" s="33"/>
      <c r="K11" s="33">
        <f>'Summary - Reserve - PG 2 (Tot)'!M12+'Summary - Reserve - PG 2 (Tot)'!M36+'Summary - Reserve - PG 2 (Tot)'!M52</f>
        <v>0</v>
      </c>
      <c r="L11" s="33"/>
      <c r="M11" s="33">
        <f>'Summary - Reserve - PG 2 (Tot)'!O12+'Summary - Reserve - PG 2 (Tot)'!O36+'Summary - Reserve - PG 2 (Tot)'!O52</f>
        <v>2613761.9900000002</v>
      </c>
      <c r="N11" s="33"/>
      <c r="O11" s="33">
        <f>'Summary - Reserve - PG 2 (Tot)'!Q12+'Summary - Reserve - PG 2 (Tot)'!Q36+'Summary - Reserve - PG 2 (Tot)'!Q52</f>
        <v>-54967.23</v>
      </c>
      <c r="P11" s="33"/>
      <c r="Q11" s="33">
        <f>'Summary - Reserve - PG 2 (Tot)'!S12+'Summary - Reserve - PG 2 (Tot)'!S36+'Summary - Reserve - PG 2 (Tot)'!S52</f>
        <v>0</v>
      </c>
      <c r="R11" s="33"/>
      <c r="S11" s="33">
        <f>'Summary - Reserve - PG 2 (Tot)'!U12+'Summary - Reserve - PG 2 (Tot)'!U36+'Summary - Reserve - PG 2 (Tot)'!U52</f>
        <v>-148798912.17000011</v>
      </c>
    </row>
    <row r="12" spans="1:21">
      <c r="B12" t="s">
        <v>852</v>
      </c>
      <c r="C12" s="33">
        <f>'Summary - Reserve - PG 2 (Tot)'!C13</f>
        <v>-7290.4000000000697</v>
      </c>
      <c r="D12" s="33"/>
      <c r="E12" s="33">
        <f>'Summary - Reserve - PG 2 (Tot)'!E13</f>
        <v>-2849.7799999999997</v>
      </c>
      <c r="F12" s="33"/>
      <c r="G12" s="33">
        <f>'Summary - Reserve - PG 2 (Tot)'!G13</f>
        <v>0</v>
      </c>
      <c r="H12" s="33"/>
      <c r="I12" s="33">
        <f>'Summary - Reserve - PG 2 (Tot)'!I13</f>
        <v>-223.56</v>
      </c>
      <c r="J12" s="33"/>
      <c r="K12" s="33">
        <f>'Summary - Reserve - PG 2 (Tot)'!M13</f>
        <v>0</v>
      </c>
      <c r="L12" s="33"/>
      <c r="M12" s="33">
        <f>'Summary - Reserve - PG 2 (Tot)'!O13</f>
        <v>0</v>
      </c>
      <c r="N12" s="33"/>
      <c r="O12" s="33">
        <f>'Summary - Reserve - PG 2 (Tot)'!Q13</f>
        <v>0</v>
      </c>
      <c r="P12" s="33"/>
      <c r="Q12" s="33">
        <f>'Summary - Reserve - PG 2 (Tot)'!S13</f>
        <v>0</v>
      </c>
      <c r="R12" s="33"/>
      <c r="S12" s="33">
        <f>'Summary - Reserve - PG 2 (Tot)'!U13</f>
        <v>-10363.740000000069</v>
      </c>
    </row>
    <row r="13" spans="1:21">
      <c r="B13" t="s">
        <v>114</v>
      </c>
      <c r="C13" s="33">
        <f>'Summary - Reserve - PG 2 (Tot)'!C14+'Summary - Reserve - PG 2 (Tot)'!C37+'Summary - Reserve - PG 2 (Tot)'!C53</f>
        <v>-335463.57999999763</v>
      </c>
      <c r="D13" s="33"/>
      <c r="E13" s="33">
        <f>'Summary - Reserve - PG 2 (Tot)'!E14+'Summary - Reserve - PG 2 (Tot)'!E37+'Summary - Reserve - PG 2 (Tot)'!E53</f>
        <v>-137887.97</v>
      </c>
      <c r="F13" s="33"/>
      <c r="G13" s="33">
        <f>'Summary - Reserve - PG 2 (Tot)'!G14+'Summary - Reserve - PG 2 (Tot)'!G37+'Summary - Reserve - PG 2 (Tot)'!G53</f>
        <v>0</v>
      </c>
      <c r="H13" s="33"/>
      <c r="I13" s="33">
        <f>'Summary - Reserve - PG 2 (Tot)'!I14+'Summary - Reserve - PG 2 (Tot)'!I37+'Summary - Reserve - PG 2 (Tot)'!I53</f>
        <v>0</v>
      </c>
      <c r="J13" s="33"/>
      <c r="K13" s="33">
        <f>'Summary - Reserve - PG 2 (Tot)'!M14+'Summary - Reserve - PG 2 (Tot)'!M37+'Summary - Reserve - PG 2 (Tot)'!M53</f>
        <v>0</v>
      </c>
      <c r="L13" s="33"/>
      <c r="M13" s="33">
        <f>'Summary - Reserve - PG 2 (Tot)'!O14+'Summary - Reserve - PG 2 (Tot)'!O37+'Summary - Reserve - PG 2 (Tot)'!O53</f>
        <v>0</v>
      </c>
      <c r="N13" s="33"/>
      <c r="O13" s="33">
        <f>'Summary - Reserve - PG 2 (Tot)'!Q14+'Summary - Reserve - PG 2 (Tot)'!Q37+'Summary - Reserve - PG 2 (Tot)'!Q53</f>
        <v>0</v>
      </c>
      <c r="P13" s="33"/>
      <c r="Q13" s="33">
        <f>'Summary - Reserve - PG 2 (Tot)'!S14+'Summary - Reserve - PG 2 (Tot)'!S37+'Summary - Reserve - PG 2 (Tot)'!S53</f>
        <v>0</v>
      </c>
      <c r="R13" s="33"/>
      <c r="S13" s="33">
        <f>'Summary - Reserve - PG 2 (Tot)'!U14+'Summary - Reserve - PG 2 (Tot)'!U37+'Summary - Reserve - PG 2 (Tot)'!U53</f>
        <v>-473351.5499999976</v>
      </c>
    </row>
    <row r="14" spans="1:21">
      <c r="B14" t="s">
        <v>115</v>
      </c>
      <c r="C14" s="33">
        <f>'Summary - Reserve - PG 2 (Tot)'!C15+'Summary - Reserve - PG 2 (Tot)'!C38+'Summary - Reserve - PG 2 (Tot)'!C54</f>
        <v>578428.50999999861</v>
      </c>
      <c r="D14" s="33"/>
      <c r="E14" s="33">
        <f>'Summary - Reserve - PG 2 (Tot)'!E15+'Summary - Reserve - PG 2 (Tot)'!E38+'Summary - Reserve - PG 2 (Tot)'!E54</f>
        <v>-152207.15</v>
      </c>
      <c r="F14" s="33"/>
      <c r="G14" s="33">
        <f>'Summary - Reserve - PG 2 (Tot)'!G15+'Summary - Reserve - PG 2 (Tot)'!G38+'Summary - Reserve - PG 2 (Tot)'!G54</f>
        <v>-18.109999999999957</v>
      </c>
      <c r="H14" s="33"/>
      <c r="I14" s="33">
        <f>'Summary - Reserve - PG 2 (Tot)'!I15+'Summary - Reserve - PG 2 (Tot)'!I38+'Summary - Reserve - PG 2 (Tot)'!I54</f>
        <v>0</v>
      </c>
      <c r="J14" s="33"/>
      <c r="K14" s="33">
        <f>'Summary - Reserve - PG 2 (Tot)'!M15+'Summary - Reserve - PG 2 (Tot)'!M38+'Summary - Reserve - PG 2 (Tot)'!M54</f>
        <v>0</v>
      </c>
      <c r="L14" s="33"/>
      <c r="M14" s="33">
        <f>'Summary - Reserve - PG 2 (Tot)'!O15+'Summary - Reserve - PG 2 (Tot)'!O38+'Summary - Reserve - PG 2 (Tot)'!O54</f>
        <v>1017.4</v>
      </c>
      <c r="N14" s="33"/>
      <c r="O14" s="33">
        <f>'Summary - Reserve - PG 2 (Tot)'!Q15+'Summary - Reserve - PG 2 (Tot)'!Q38+'Summary - Reserve - PG 2 (Tot)'!Q54</f>
        <v>0</v>
      </c>
      <c r="P14" s="33"/>
      <c r="Q14" s="33">
        <f>'Summary - Reserve - PG 2 (Tot)'!S15+'Summary - Reserve - PG 2 (Tot)'!S38+'Summary - Reserve - PG 2 (Tot)'!S54</f>
        <v>0</v>
      </c>
      <c r="R14" s="33"/>
      <c r="S14" s="33">
        <f>'Summary - Reserve - PG 2 (Tot)'!U15+'Summary - Reserve - PG 2 (Tot)'!U38+'Summary - Reserve - PG 2 (Tot)'!U54</f>
        <v>427220.64999999868</v>
      </c>
    </row>
    <row r="15" spans="1:21">
      <c r="B15" t="s">
        <v>853</v>
      </c>
      <c r="C15" s="33">
        <f>'Summary - Reserve - PG 2 (Tot)'!C16</f>
        <v>-2112.6200000000099</v>
      </c>
      <c r="D15" s="33"/>
      <c r="E15" s="33">
        <f>'Summary - Reserve - PG 2 (Tot)'!E16</f>
        <v>-437.13</v>
      </c>
      <c r="F15" s="33"/>
      <c r="G15" s="33">
        <f>'Summary - Reserve - PG 2 (Tot)'!G16</f>
        <v>0</v>
      </c>
      <c r="H15" s="33"/>
      <c r="I15" s="33">
        <f>'Summary - Reserve - PG 2 (Tot)'!I16</f>
        <v>0</v>
      </c>
      <c r="J15" s="33"/>
      <c r="K15" s="33">
        <f>'Summary - Reserve - PG 2 (Tot)'!M16</f>
        <v>0</v>
      </c>
      <c r="L15" s="33"/>
      <c r="M15" s="33">
        <f>'Summary - Reserve - PG 2 (Tot)'!O16</f>
        <v>0</v>
      </c>
      <c r="N15" s="33"/>
      <c r="O15" s="33">
        <f>'Summary - Reserve - PG 2 (Tot)'!Q16</f>
        <v>0</v>
      </c>
      <c r="P15" s="33"/>
      <c r="Q15" s="33">
        <f>'Summary - Reserve - PG 2 (Tot)'!S16</f>
        <v>0</v>
      </c>
      <c r="R15" s="33"/>
      <c r="S15" s="33">
        <f>'Summary - Reserve - PG 2 (Tot)'!U16</f>
        <v>-2549.75000000001</v>
      </c>
    </row>
    <row r="16" spans="1:21">
      <c r="B16" t="s">
        <v>117</v>
      </c>
      <c r="C16" s="33">
        <f>'Summary - Reserve - PG 2 (Tot)'!C17+'Summary - Reserve - PG 2 (Tot)'!C39+'Summary - Reserve - PG 2 (Tot)'!C55</f>
        <v>-11378666.929999998</v>
      </c>
      <c r="D16" s="33"/>
      <c r="E16" s="33">
        <f>'Summary - Reserve - PG 2 (Tot)'!E17+'Summary - Reserve - PG 2 (Tot)'!E39+'Summary - Reserve - PG 2 (Tot)'!E55</f>
        <v>-2185164.1599999997</v>
      </c>
      <c r="F16" s="33"/>
      <c r="G16" s="33">
        <f>'Summary - Reserve - PG 2 (Tot)'!G17+'Summary - Reserve - PG 2 (Tot)'!G39+'Summary - Reserve - PG 2 (Tot)'!G55</f>
        <v>482249.92000000004</v>
      </c>
      <c r="H16" s="33"/>
      <c r="I16" s="33">
        <f>'Summary - Reserve - PG 2 (Tot)'!I17+'Summary - Reserve - PG 2 (Tot)'!I39+'Summary - Reserve - PG 2 (Tot)'!I55</f>
        <v>0</v>
      </c>
      <c r="J16" s="33"/>
      <c r="K16" s="33">
        <f>'Summary - Reserve - PG 2 (Tot)'!M17+'Summary - Reserve - PG 2 (Tot)'!M39+'Summary - Reserve - PG 2 (Tot)'!M55</f>
        <v>0</v>
      </c>
      <c r="L16" s="33"/>
      <c r="M16" s="33">
        <f>'Summary - Reserve - PG 2 (Tot)'!O17+'Summary - Reserve - PG 2 (Tot)'!O39+'Summary - Reserve - PG 2 (Tot)'!O55</f>
        <v>170979.16</v>
      </c>
      <c r="N16" s="33"/>
      <c r="O16" s="33">
        <f>'Summary - Reserve - PG 2 (Tot)'!Q17+'Summary - Reserve - PG 2 (Tot)'!Q39+'Summary - Reserve - PG 2 (Tot)'!Q55</f>
        <v>0</v>
      </c>
      <c r="P16" s="33"/>
      <c r="Q16" s="33">
        <f>'Summary - Reserve - PG 2 (Tot)'!S17+'Summary - Reserve - PG 2 (Tot)'!S39+'Summary - Reserve - PG 2 (Tot)'!S55</f>
        <v>0</v>
      </c>
      <c r="R16" s="33"/>
      <c r="S16" s="33">
        <f>'Summary - Reserve - PG 2 (Tot)'!U17+'Summary - Reserve - PG 2 (Tot)'!U39+'Summary - Reserve - PG 2 (Tot)'!U55</f>
        <v>-12910602.009999996</v>
      </c>
    </row>
    <row r="17" spans="2:22">
      <c r="B17" t="s">
        <v>953</v>
      </c>
      <c r="C17" s="33">
        <f>'Summary - Reserve - PG 2 (Tot)'!C18</f>
        <v>-1302.8200000001236</v>
      </c>
      <c r="D17" s="33"/>
      <c r="E17" s="33">
        <f>'Summary - Reserve - PG 2 (Tot)'!E18</f>
        <v>-289.68</v>
      </c>
      <c r="F17" s="33"/>
      <c r="G17" s="33">
        <f>'Summary - Reserve - PG 2 (Tot)'!G18</f>
        <v>0</v>
      </c>
      <c r="H17" s="33"/>
      <c r="I17" s="33">
        <f>'Summary - Reserve - PG 2 (Tot)'!I18</f>
        <v>0</v>
      </c>
      <c r="J17" s="33"/>
      <c r="K17" s="33">
        <f>'Summary - Reserve - PG 2 (Tot)'!M18</f>
        <v>0</v>
      </c>
      <c r="L17" s="33"/>
      <c r="M17" s="33">
        <f>'Summary - Reserve - PG 2 (Tot)'!O18</f>
        <v>0</v>
      </c>
      <c r="N17" s="33"/>
      <c r="O17" s="33">
        <f>'Summary - Reserve - PG 2 (Tot)'!Q18</f>
        <v>0</v>
      </c>
      <c r="P17" s="33"/>
      <c r="Q17" s="33">
        <f>'Summary - Reserve - PG 2 (Tot)'!S18</f>
        <v>0</v>
      </c>
      <c r="R17" s="33"/>
      <c r="S17" s="33">
        <f>'Summary - Reserve - PG 2 (Tot)'!U18</f>
        <v>-1592.5000000001237</v>
      </c>
    </row>
    <row r="18" spans="2:22">
      <c r="B18" t="s">
        <v>118</v>
      </c>
      <c r="C18" s="33">
        <f>'Summary - Reserve - PG 2 (Tot)'!C19+'Summary - Reserve - PG 2 (Tot)'!C40+'Summary - Reserve - PG 2 (Tot)'!C56</f>
        <v>-136528190.60000011</v>
      </c>
      <c r="D18" s="33"/>
      <c r="E18" s="33">
        <f>'Summary - Reserve - PG 2 (Tot)'!E19+'Summary - Reserve - PG 2 (Tot)'!E40+'Summary - Reserve - PG 2 (Tot)'!E56</f>
        <v>-18151737.710000001</v>
      </c>
      <c r="F18" s="33"/>
      <c r="G18" s="33">
        <f>'Summary - Reserve - PG 2 (Tot)'!G19+'Summary - Reserve - PG 2 (Tot)'!G40+'Summary - Reserve - PG 2 (Tot)'!G56</f>
        <v>1121933.4899999998</v>
      </c>
      <c r="H18" s="33"/>
      <c r="I18" s="33">
        <f>'Summary - Reserve - PG 2 (Tot)'!I19+'Summary - Reserve - PG 2 (Tot)'!I40+'Summary - Reserve - PG 2 (Tot)'!I56</f>
        <v>0</v>
      </c>
      <c r="J18" s="33"/>
      <c r="K18" s="33">
        <f>'Summary - Reserve - PG 2 (Tot)'!M19+'Summary - Reserve - PG 2 (Tot)'!M40+'Summary - Reserve - PG 2 (Tot)'!M56</f>
        <v>0</v>
      </c>
      <c r="L18" s="33"/>
      <c r="M18" s="33">
        <f>'Summary - Reserve - PG 2 (Tot)'!O19+'Summary - Reserve - PG 2 (Tot)'!O40+'Summary - Reserve - PG 2 (Tot)'!O56</f>
        <v>1387859.46</v>
      </c>
      <c r="N18" s="33"/>
      <c r="O18" s="33">
        <f>'Summary - Reserve - PG 2 (Tot)'!Q19+'Summary - Reserve - PG 2 (Tot)'!Q40+'Summary - Reserve - PG 2 (Tot)'!Q56</f>
        <v>-126226.16</v>
      </c>
      <c r="P18" s="33"/>
      <c r="Q18" s="33">
        <f>'Summary - Reserve - PG 2 (Tot)'!S19+'Summary - Reserve - PG 2 (Tot)'!S40+'Summary - Reserve - PG 2 (Tot)'!S56</f>
        <v>0</v>
      </c>
      <c r="R18" s="33"/>
      <c r="S18" s="33">
        <f>'Summary - Reserve - PG 2 (Tot)'!U19+'Summary - Reserve - PG 2 (Tot)'!U40+'Summary - Reserve - PG 2 (Tot)'!U56</f>
        <v>-152296361.5200001</v>
      </c>
    </row>
    <row r="19" spans="2:22">
      <c r="B19" t="s">
        <v>949</v>
      </c>
      <c r="C19" s="33">
        <f>'Summary - Reserve - PG 2 (Tot)'!C20</f>
        <v>-1402047.92</v>
      </c>
      <c r="D19" s="33"/>
      <c r="E19" s="33">
        <f>'Summary - Reserve - PG 2 (Tot)'!E20</f>
        <v>-448236.04999999993</v>
      </c>
      <c r="F19" s="33"/>
      <c r="G19" s="33">
        <f>'Summary - Reserve - PG 2 (Tot)'!G20</f>
        <v>0</v>
      </c>
      <c r="H19" s="33"/>
      <c r="I19" s="33">
        <f>'Summary - Reserve - PG 2 (Tot)'!I20</f>
        <v>0</v>
      </c>
      <c r="J19" s="33"/>
      <c r="K19" s="33">
        <f>'Summary - Reserve - PG 2 (Tot)'!M20</f>
        <v>0</v>
      </c>
      <c r="L19" s="33"/>
      <c r="M19" s="33">
        <f>'Summary - Reserve - PG 2 (Tot)'!O20</f>
        <v>0</v>
      </c>
      <c r="N19" s="33"/>
      <c r="O19" s="33">
        <f>'Summary - Reserve - PG 2 (Tot)'!Q20</f>
        <v>0</v>
      </c>
      <c r="P19" s="33"/>
      <c r="Q19" s="33">
        <f>'Summary - Reserve - PG 2 (Tot)'!S20</f>
        <v>0</v>
      </c>
      <c r="R19" s="33"/>
      <c r="S19" s="33">
        <f>'Summary - Reserve - PG 2 (Tot)'!U20</f>
        <v>-1850283.9699999997</v>
      </c>
    </row>
    <row r="20" spans="2:22">
      <c r="B20" t="s">
        <v>119</v>
      </c>
      <c r="C20" s="33">
        <f>'Summary - Reserve - PG 2 (Tot)'!C21+'Summary - Reserve - PG 2 (Tot)'!C41+'Summary - Reserve - PG 2 (Tot)'!C57</f>
        <v>-23659699.279999994</v>
      </c>
      <c r="D20" s="33"/>
      <c r="E20" s="33">
        <f>'Summary - Reserve - PG 2 (Tot)'!E21+'Summary - Reserve - PG 2 (Tot)'!E41+'Summary - Reserve - PG 2 (Tot)'!E57</f>
        <v>-1427801.2899999998</v>
      </c>
      <c r="F20" s="33"/>
      <c r="G20" s="33">
        <f>'Summary - Reserve - PG 2 (Tot)'!G21+'Summary - Reserve - PG 2 (Tot)'!G41+'Summary - Reserve - PG 2 (Tot)'!G57</f>
        <v>456718.33000000007</v>
      </c>
      <c r="H20" s="33"/>
      <c r="I20" s="33">
        <f>'Summary - Reserve - PG 2 (Tot)'!I21+'Summary - Reserve - PG 2 (Tot)'!I41+'Summary - Reserve - PG 2 (Tot)'!I57</f>
        <v>0</v>
      </c>
      <c r="J20" s="33"/>
      <c r="K20" s="33">
        <f>'Summary - Reserve - PG 2 (Tot)'!M21+'Summary - Reserve - PG 2 (Tot)'!M41+'Summary - Reserve - PG 2 (Tot)'!M57</f>
        <v>0</v>
      </c>
      <c r="L20" s="33"/>
      <c r="M20" s="33">
        <f>'Summary - Reserve - PG 2 (Tot)'!O21+'Summary - Reserve - PG 2 (Tot)'!O41+'Summary - Reserve - PG 2 (Tot)'!O57</f>
        <v>404164.79</v>
      </c>
      <c r="N20" s="33"/>
      <c r="O20" s="33">
        <f>'Summary - Reserve - PG 2 (Tot)'!Q21+'Summary - Reserve - PG 2 (Tot)'!Q41+'Summary - Reserve - PG 2 (Tot)'!Q57</f>
        <v>-357106.44</v>
      </c>
      <c r="P20" s="33"/>
      <c r="Q20" s="33">
        <f>'Summary - Reserve - PG 2 (Tot)'!S21+'Summary - Reserve - PG 2 (Tot)'!S41+'Summary - Reserve - PG 2 (Tot)'!S57</f>
        <v>0</v>
      </c>
      <c r="R20" s="33"/>
      <c r="S20" s="33">
        <f>'Summary - Reserve - PG 2 (Tot)'!U21+'Summary - Reserve - PG 2 (Tot)'!U41+'Summary - Reserve - PG 2 (Tot)'!U57</f>
        <v>-24583723.889999993</v>
      </c>
    </row>
    <row r="21" spans="2:22">
      <c r="B21" t="s">
        <v>950</v>
      </c>
      <c r="C21" s="33">
        <f>'Summary - Reserve - PG 2 (Tot)'!C22</f>
        <v>-903.27999999999975</v>
      </c>
      <c r="D21" s="33"/>
      <c r="E21" s="33">
        <f>'Summary - Reserve - PG 2 (Tot)'!E22</f>
        <v>-2038.83</v>
      </c>
      <c r="F21" s="33"/>
      <c r="G21" s="33">
        <f>'Summary - Reserve - PG 2 (Tot)'!G22</f>
        <v>0</v>
      </c>
      <c r="H21" s="33"/>
      <c r="I21" s="33">
        <f>'Summary - Reserve - PG 2 (Tot)'!I22</f>
        <v>0</v>
      </c>
      <c r="J21" s="33"/>
      <c r="K21" s="33">
        <f>'Summary - Reserve - PG 2 (Tot)'!M22</f>
        <v>0</v>
      </c>
      <c r="L21" s="33"/>
      <c r="M21" s="33">
        <f>'Summary - Reserve - PG 2 (Tot)'!O22</f>
        <v>0</v>
      </c>
      <c r="N21" s="33"/>
      <c r="O21" s="33">
        <f>'Summary - Reserve - PG 2 (Tot)'!Q22</f>
        <v>0</v>
      </c>
      <c r="P21" s="33"/>
      <c r="Q21" s="33">
        <f>'Summary - Reserve - PG 2 (Tot)'!S22</f>
        <v>0</v>
      </c>
      <c r="R21" s="33"/>
      <c r="S21" s="33">
        <f>'Summary - Reserve - PG 2 (Tot)'!U22</f>
        <v>-2942.1099999999997</v>
      </c>
    </row>
    <row r="22" spans="2:22">
      <c r="B22" t="s">
        <v>121</v>
      </c>
      <c r="C22" s="33">
        <f>'Summary - Reserve - PG 2 (Tot)'!C23+'Summary - Reserve - PG 2 (Tot)'!C42+'Summary - Reserve - PG 2 (Tot)'!C58</f>
        <v>-66850587.999999985</v>
      </c>
      <c r="D22" s="33"/>
      <c r="E22" s="33">
        <f>'Summary - Reserve - PG 2 (Tot)'!E23+'Summary - Reserve - PG 2 (Tot)'!E42+'Summary - Reserve - PG 2 (Tot)'!E58</f>
        <v>-3852937.95</v>
      </c>
      <c r="F22" s="33"/>
      <c r="G22" s="33">
        <f>'Summary - Reserve - PG 2 (Tot)'!G23+'Summary - Reserve - PG 2 (Tot)'!G42+'Summary - Reserve - PG 2 (Tot)'!G58</f>
        <v>9131.720000000003</v>
      </c>
      <c r="H22" s="33"/>
      <c r="I22" s="33">
        <f>'Summary - Reserve - PG 2 (Tot)'!I23+'Summary - Reserve - PG 2 (Tot)'!I42+'Summary - Reserve - PG 2 (Tot)'!I58</f>
        <v>1337.83</v>
      </c>
      <c r="J22" s="33"/>
      <c r="K22" s="33">
        <f>'Summary - Reserve - PG 2 (Tot)'!M23+'Summary - Reserve - PG 2 (Tot)'!M42+'Summary - Reserve - PG 2 (Tot)'!M58</f>
        <v>0</v>
      </c>
      <c r="L22" s="33"/>
      <c r="M22" s="33">
        <f>'Summary - Reserve - PG 2 (Tot)'!O23+'Summary - Reserve - PG 2 (Tot)'!O42+'Summary - Reserve - PG 2 (Tot)'!O58</f>
        <v>60363.729999999996</v>
      </c>
      <c r="N22" s="33"/>
      <c r="O22" s="33">
        <f>'Summary - Reserve - PG 2 (Tot)'!Q23+'Summary - Reserve - PG 2 (Tot)'!Q42+'Summary - Reserve - PG 2 (Tot)'!Q58</f>
        <v>0</v>
      </c>
      <c r="P22" s="33"/>
      <c r="Q22" s="33">
        <f>'Summary - Reserve - PG 2 (Tot)'!S23+'Summary - Reserve - PG 2 (Tot)'!S42+'Summary - Reserve - PG 2 (Tot)'!S58</f>
        <v>0</v>
      </c>
      <c r="R22" s="33"/>
      <c r="S22" s="33">
        <f>'Summary - Reserve - PG 2 (Tot)'!U23+'Summary - Reserve - PG 2 (Tot)'!U42+'Summary - Reserve - PG 2 (Tot)'!U58</f>
        <v>-70632692.669999987</v>
      </c>
    </row>
    <row r="23" spans="2:22">
      <c r="B23" t="s">
        <v>951</v>
      </c>
      <c r="C23" s="33">
        <f>'Summary - Reserve - PG 2 (Tot)'!C24</f>
        <v>-346237.50999999919</v>
      </c>
      <c r="D23" s="33"/>
      <c r="E23" s="33">
        <f>'Summary - Reserve - PG 2 (Tot)'!E24</f>
        <v>-74185.929999999993</v>
      </c>
      <c r="F23" s="33"/>
      <c r="G23" s="33">
        <f>'Summary - Reserve - PG 2 (Tot)'!G24</f>
        <v>0</v>
      </c>
      <c r="H23" s="33"/>
      <c r="I23" s="33">
        <f>'Summary - Reserve - PG 2 (Tot)'!I24</f>
        <v>0</v>
      </c>
      <c r="J23" s="33"/>
      <c r="K23" s="33">
        <f>'Summary - Reserve - PG 2 (Tot)'!M24</f>
        <v>0</v>
      </c>
      <c r="L23" s="33"/>
      <c r="M23" s="33">
        <f>'Summary - Reserve - PG 2 (Tot)'!O24</f>
        <v>0</v>
      </c>
      <c r="N23" s="33"/>
      <c r="O23" s="33">
        <f>'Summary - Reserve - PG 2 (Tot)'!Q24</f>
        <v>0</v>
      </c>
      <c r="P23" s="33"/>
      <c r="Q23" s="33">
        <f>'Summary - Reserve - PG 2 (Tot)'!S24</f>
        <v>0</v>
      </c>
      <c r="R23" s="33"/>
      <c r="S23" s="33">
        <f>'Summary - Reserve - PG 2 (Tot)'!U24</f>
        <v>-420423.43999999919</v>
      </c>
    </row>
    <row r="24" spans="2:22">
      <c r="B24" t="s">
        <v>122</v>
      </c>
      <c r="C24" s="33">
        <f>'Summary - Reserve - PG 2 (Tot)'!C25+'Summary - Reserve - PG 2 (Tot)'!C43+'Summary - Reserve - PG 2 (Tot)'!C59</f>
        <v>-101726.04999999967</v>
      </c>
      <c r="D24" s="33"/>
      <c r="E24" s="33">
        <f>'Summary - Reserve - PG 2 (Tot)'!E25+'Summary - Reserve - PG 2 (Tot)'!E43+'Summary - Reserve - PG 2 (Tot)'!E59</f>
        <v>-92481.41</v>
      </c>
      <c r="F24" s="33"/>
      <c r="G24" s="33">
        <f>'Summary - Reserve - PG 2 (Tot)'!G25+'Summary - Reserve - PG 2 (Tot)'!G43+'Summary - Reserve - PG 2 (Tot)'!G59</f>
        <v>0</v>
      </c>
      <c r="H24" s="33"/>
      <c r="I24" s="33">
        <f>'Summary - Reserve - PG 2 (Tot)'!I25+'Summary - Reserve - PG 2 (Tot)'!I43+'Summary - Reserve - PG 2 (Tot)'!I59</f>
        <v>0</v>
      </c>
      <c r="J24" s="33"/>
      <c r="K24" s="33">
        <f>'Summary - Reserve - PG 2 (Tot)'!M25+'Summary - Reserve - PG 2 (Tot)'!M43+'Summary - Reserve - PG 2 (Tot)'!M59</f>
        <v>0</v>
      </c>
      <c r="L24" s="33"/>
      <c r="M24" s="33">
        <f>'Summary - Reserve - PG 2 (Tot)'!O25+'Summary - Reserve - PG 2 (Tot)'!O43+'Summary - Reserve - PG 2 (Tot)'!O59</f>
        <v>0</v>
      </c>
      <c r="N24" s="33"/>
      <c r="O24" s="33">
        <f>'Summary - Reserve - PG 2 (Tot)'!Q25+'Summary - Reserve - PG 2 (Tot)'!Q43+'Summary - Reserve - PG 2 (Tot)'!Q59</f>
        <v>0</v>
      </c>
      <c r="P24" s="33"/>
      <c r="Q24" s="33">
        <f>'Summary - Reserve - PG 2 (Tot)'!S25+'Summary - Reserve - PG 2 (Tot)'!S43+'Summary - Reserve - PG 2 (Tot)'!S59</f>
        <v>0</v>
      </c>
      <c r="R24" s="33"/>
      <c r="S24" s="33">
        <f>'Summary - Reserve - PG 2 (Tot)'!U25+'Summary - Reserve - PG 2 (Tot)'!U43+'Summary - Reserve - PG 2 (Tot)'!U59</f>
        <v>-194207.45999999967</v>
      </c>
    </row>
    <row r="25" spans="2:22">
      <c r="B25" t="s">
        <v>124</v>
      </c>
      <c r="C25" s="33">
        <f>'Summary - Reserve - PG 2 (Tot)'!C26+'Summary - Reserve - PG 2 (Tot)'!C44+'Summary - Reserve - PG 2 (Tot)'!C60</f>
        <v>947292.87999999512</v>
      </c>
      <c r="D25" s="33"/>
      <c r="E25" s="33">
        <f>'Summary - Reserve - PG 2 (Tot)'!E26+'Summary - Reserve - PG 2 (Tot)'!E44+'Summary - Reserve - PG 2 (Tot)'!E60</f>
        <v>-339666.92999999993</v>
      </c>
      <c r="F25" s="33"/>
      <c r="G25" s="33">
        <f>'Summary - Reserve - PG 2 (Tot)'!G26+'Summary - Reserve - PG 2 (Tot)'!G44+'Summary - Reserve - PG 2 (Tot)'!G60</f>
        <v>19463.049999999996</v>
      </c>
      <c r="H25" s="33"/>
      <c r="I25" s="33">
        <f>'Summary - Reserve - PG 2 (Tot)'!I26+'Summary - Reserve - PG 2 (Tot)'!I44+'Summary - Reserve - PG 2 (Tot)'!I60</f>
        <v>0</v>
      </c>
      <c r="J25" s="33"/>
      <c r="K25" s="33">
        <f>'Summary - Reserve - PG 2 (Tot)'!M26+'Summary - Reserve - PG 2 (Tot)'!M44+'Summary - Reserve - PG 2 (Tot)'!M60</f>
        <v>0</v>
      </c>
      <c r="L25" s="33"/>
      <c r="M25" s="33">
        <f>'Summary - Reserve - PG 2 (Tot)'!O26+'Summary - Reserve - PG 2 (Tot)'!O44+'Summary - Reserve - PG 2 (Tot)'!O60</f>
        <v>0</v>
      </c>
      <c r="N25" s="33"/>
      <c r="O25" s="33">
        <f>'Summary - Reserve - PG 2 (Tot)'!Q26+'Summary - Reserve - PG 2 (Tot)'!Q44+'Summary - Reserve - PG 2 (Tot)'!Q60</f>
        <v>0</v>
      </c>
      <c r="P25" s="33"/>
      <c r="Q25" s="33">
        <f>'Summary - Reserve - PG 2 (Tot)'!S26+'Summary - Reserve - PG 2 (Tot)'!S44+'Summary - Reserve - PG 2 (Tot)'!S60</f>
        <v>0</v>
      </c>
      <c r="R25" s="33"/>
      <c r="S25" s="33">
        <f>'Summary - Reserve - PG 2 (Tot)'!U26+'Summary - Reserve - PG 2 (Tot)'!U44+'Summary - Reserve - PG 2 (Tot)'!U60</f>
        <v>627088.99999999511</v>
      </c>
    </row>
    <row r="26" spans="2:22">
      <c r="B26" t="s">
        <v>952</v>
      </c>
      <c r="C26" s="33">
        <f>'Summary - Reserve - PG 2 (Tot)'!C27</f>
        <v>-257551.23999999993</v>
      </c>
      <c r="D26" s="33"/>
      <c r="E26" s="33">
        <f>'Summary - Reserve - PG 2 (Tot)'!E27</f>
        <v>-55045.34</v>
      </c>
      <c r="F26" s="33"/>
      <c r="G26" s="33">
        <f>'Summary - Reserve - PG 2 (Tot)'!G27</f>
        <v>0</v>
      </c>
      <c r="H26" s="33"/>
      <c r="I26" s="33">
        <f>'Summary - Reserve - PG 2 (Tot)'!I27</f>
        <v>0</v>
      </c>
      <c r="J26" s="33"/>
      <c r="K26" s="33">
        <f>'Summary - Reserve - PG 2 (Tot)'!M27</f>
        <v>0</v>
      </c>
      <c r="L26" s="33"/>
      <c r="M26" s="33">
        <f>'Summary - Reserve - PG 2 (Tot)'!O27</f>
        <v>0</v>
      </c>
      <c r="N26" s="33"/>
      <c r="O26" s="33">
        <f>'Summary - Reserve - PG 2 (Tot)'!Q27</f>
        <v>0</v>
      </c>
      <c r="P26" s="33"/>
      <c r="Q26" s="33">
        <f>'Summary - Reserve - PG 2 (Tot)'!S27</f>
        <v>0</v>
      </c>
      <c r="R26" s="33"/>
      <c r="S26" s="33">
        <f>'Summary - Reserve - PG 2 (Tot)'!U27</f>
        <v>-312596.57999999996</v>
      </c>
    </row>
    <row r="27" spans="2:22">
      <c r="B27" t="s">
        <v>129</v>
      </c>
      <c r="C27" s="33">
        <f>'Summary - Reserve - PG 2 (Tot)'!C28+'Summary - Reserve - PG 2 (Tot)'!C45+'Summary - Reserve - PG 2 (Tot)'!C61</f>
        <v>0</v>
      </c>
      <c r="D27" s="33"/>
      <c r="E27" s="33">
        <f>'Summary - Reserve - PG 2 (Tot)'!E28+'Summary - Reserve - PG 2 (Tot)'!E45+'Summary - Reserve - PG 2 (Tot)'!E61</f>
        <v>0</v>
      </c>
      <c r="F27" s="33"/>
      <c r="G27" s="33">
        <f>'Summary - Reserve - PG 2 (Tot)'!G28+'Summary - Reserve - PG 2 (Tot)'!G45+'Summary - Reserve - PG 2 (Tot)'!G61</f>
        <v>0</v>
      </c>
      <c r="H27" s="33"/>
      <c r="I27" s="33">
        <f>'Summary - Reserve - PG 2 (Tot)'!I28+'Summary - Reserve - PG 2 (Tot)'!I45+'Summary - Reserve - PG 2 (Tot)'!I61</f>
        <v>0</v>
      </c>
      <c r="J27" s="33"/>
      <c r="K27" s="33">
        <f>'Summary - Reserve - PG 2 (Tot)'!M28+'Summary - Reserve - PG 2 (Tot)'!M45+'Summary - Reserve - PG 2 (Tot)'!M61</f>
        <v>0</v>
      </c>
      <c r="L27" s="33"/>
      <c r="M27" s="33">
        <f>'Summary - Reserve - PG 2 (Tot)'!O28+'Summary - Reserve - PG 2 (Tot)'!O45+'Summary - Reserve - PG 2 (Tot)'!O61</f>
        <v>0</v>
      </c>
      <c r="N27" s="33"/>
      <c r="O27" s="33">
        <f>'Summary - Reserve - PG 2 (Tot)'!Q28+'Summary - Reserve - PG 2 (Tot)'!Q45+'Summary - Reserve - PG 2 (Tot)'!Q61</f>
        <v>0</v>
      </c>
      <c r="P27" s="33"/>
      <c r="Q27" s="33">
        <f>'Summary - Reserve - PG 2 (Tot)'!S28+'Summary - Reserve - PG 2 (Tot)'!S45+'Summary - Reserve - PG 2 (Tot)'!S61</f>
        <v>0</v>
      </c>
      <c r="R27" s="33"/>
      <c r="S27" s="33">
        <f>'Summary - Reserve - PG 2 (Tot)'!U28+'Summary - Reserve - PG 2 (Tot)'!U45+'Summary - Reserve - PG 2 (Tot)'!U61</f>
        <v>0</v>
      </c>
    </row>
    <row r="28" spans="2:22">
      <c r="B28" t="s">
        <v>125</v>
      </c>
      <c r="C28" s="33">
        <f>'Summary - Reserve - PG 2 (Tot)'!C29+'Summary - Reserve - PG 2 (Tot)'!C46+'Summary - Reserve - PG 2 (Tot)'!C62</f>
        <v>-2821290.4800000042</v>
      </c>
      <c r="D28" s="37"/>
      <c r="E28" s="33">
        <f>'Summary - Reserve - PG 2 (Tot)'!E29+'Summary - Reserve - PG 2 (Tot)'!E46+'Summary - Reserve - PG 2 (Tot)'!E62</f>
        <v>-17579.800000000003</v>
      </c>
      <c r="F28" s="37"/>
      <c r="G28" s="33">
        <f>'Summary - Reserve - PG 2 (Tot)'!G29+'Summary - Reserve - PG 2 (Tot)'!G46+'Summary - Reserve - PG 2 (Tot)'!G62</f>
        <v>691.69</v>
      </c>
      <c r="H28" s="37"/>
      <c r="I28" s="33">
        <f>'Summary - Reserve - PG 2 (Tot)'!I29+'Summary - Reserve - PG 2 (Tot)'!I46+'Summary - Reserve - PG 2 (Tot)'!I62</f>
        <v>-1337.83</v>
      </c>
      <c r="J28" s="37"/>
      <c r="K28" s="33">
        <f>'Summary - Reserve - PG 2 (Tot)'!M29+'Summary - Reserve - PG 2 (Tot)'!M46+'Summary - Reserve - PG 2 (Tot)'!M62</f>
        <v>0</v>
      </c>
      <c r="L28" s="37"/>
      <c r="M28" s="33">
        <f>'Summary - Reserve - PG 2 (Tot)'!O29+'Summary - Reserve - PG 2 (Tot)'!O46+'Summary - Reserve - PG 2 (Tot)'!O62</f>
        <v>21090.05</v>
      </c>
      <c r="N28" s="37"/>
      <c r="O28" s="33">
        <f>'Summary - Reserve - PG 2 (Tot)'!Q29+'Summary - Reserve - PG 2 (Tot)'!Q46+'Summary - Reserve - PG 2 (Tot)'!Q62</f>
        <v>0</v>
      </c>
      <c r="P28" s="37"/>
      <c r="Q28" s="33">
        <f>'Summary - Reserve - PG 2 (Tot)'!S29+'Summary - Reserve - PG 2 (Tot)'!S46+'Summary - Reserve - PG 2 (Tot)'!S62</f>
        <v>0</v>
      </c>
      <c r="R28" s="37"/>
      <c r="S28" s="33">
        <f>'Summary - Reserve - PG 2 (Tot)'!U29+'Summary - Reserve - PG 2 (Tot)'!U46+'Summary - Reserve - PG 2 (Tot)'!U62</f>
        <v>-2818426.3700000038</v>
      </c>
    </row>
    <row r="29" spans="2:22">
      <c r="B29" t="s">
        <v>131</v>
      </c>
      <c r="C29" s="35">
        <f>'Summary - Reserve - PG 2 (Tot)'!C31+'Summary - Reserve - PG 2 (Tot)'!C47+'Summary - Reserve - PG 2 (Tot)'!C63</f>
        <v>0</v>
      </c>
      <c r="D29" s="37"/>
      <c r="E29" s="35">
        <f>'Summary - Reserve - PG 2 (Tot)'!E31+'Summary - Reserve - PG 2 (Tot)'!E47+'Summary - Reserve - PG 2 (Tot)'!E63</f>
        <v>0</v>
      </c>
      <c r="F29" s="37"/>
      <c r="G29" s="35">
        <f>'Summary - Reserve - PG 2 (Tot)'!G31+'Summary - Reserve - PG 2 (Tot)'!G47+'Summary - Reserve - PG 2 (Tot)'!G63</f>
        <v>0</v>
      </c>
      <c r="H29" s="37"/>
      <c r="I29" s="35">
        <f>'Summary - Reserve - PG 2 (Tot)'!I31+'Summary - Reserve - PG 2 (Tot)'!I47+'Summary - Reserve - PG 2 (Tot)'!I63</f>
        <v>0</v>
      </c>
      <c r="J29" s="37"/>
      <c r="K29" s="35">
        <f>'Summary - Reserve - PG 2 (Tot)'!M31+'Summary - Reserve - PG 2 (Tot)'!M47+'Summary - Reserve - PG 2 (Tot)'!M63</f>
        <v>0</v>
      </c>
      <c r="L29" s="37"/>
      <c r="M29" s="35">
        <f>'Summary - Reserve - PG 2 (Tot)'!O31+'Summary - Reserve - PG 2 (Tot)'!O47+'Summary - Reserve - PG 2 (Tot)'!O63</f>
        <v>0</v>
      </c>
      <c r="N29" s="37"/>
      <c r="O29" s="35">
        <f>'Summary - Reserve - PG 2 (Tot)'!Q31+'Summary - Reserve - PG 2 (Tot)'!Q47+'Summary - Reserve - PG 2 (Tot)'!Q63</f>
        <v>0</v>
      </c>
      <c r="P29" s="37"/>
      <c r="Q29" s="35">
        <f>'Summary - Reserve - PG 2 (Tot)'!S31+'Summary - Reserve - PG 2 (Tot)'!S47+'Summary - Reserve - PG 2 (Tot)'!S63</f>
        <v>0</v>
      </c>
      <c r="R29" s="37"/>
      <c r="S29" s="35">
        <f>'Summary - Reserve - PG 2 (Tot)'!U31+'Summary - Reserve - PG 2 (Tot)'!U47+'Summary - Reserve - PG 2 (Tot)'!U63</f>
        <v>0</v>
      </c>
    </row>
    <row r="30" spans="2:22">
      <c r="B30" s="2"/>
      <c r="C30" s="37">
        <f>SUM(C9:C29)</f>
        <v>-403025199.22000021</v>
      </c>
      <c r="D30" s="37"/>
      <c r="E30" s="37">
        <f>SUM(E9:E29)</f>
        <v>-36027363.299999997</v>
      </c>
      <c r="F30" s="37"/>
      <c r="G30" s="37">
        <f>SUM(G9:G29)</f>
        <v>3398379.4599999995</v>
      </c>
      <c r="H30" s="37"/>
      <c r="I30" s="37">
        <f>SUM(I9:I29)</f>
        <v>-223.55999999999995</v>
      </c>
      <c r="J30" s="37"/>
      <c r="K30" s="37">
        <f>SUM(K9:K29)</f>
        <v>0</v>
      </c>
      <c r="L30" s="37"/>
      <c r="M30" s="37">
        <f>SUM(M9:M29)</f>
        <v>4675794.42</v>
      </c>
      <c r="N30" s="37"/>
      <c r="O30" s="37">
        <f>SUM(O9:O29)</f>
        <v>-541299.83000000007</v>
      </c>
      <c r="P30" s="37"/>
      <c r="Q30" s="37">
        <f>SUM(Q9:Q29)</f>
        <v>0</v>
      </c>
      <c r="R30" s="37"/>
      <c r="S30" s="37">
        <f>SUM(S9:S29)</f>
        <v>-431519912.03000015</v>
      </c>
    </row>
    <row r="31" spans="2:22">
      <c r="C31" s="7"/>
      <c r="D31" s="7"/>
      <c r="E31" s="7"/>
      <c r="F31" s="7"/>
      <c r="G31" s="7"/>
      <c r="H31" s="7"/>
      <c r="I31" s="51"/>
      <c r="J31" s="7"/>
      <c r="K31" s="7"/>
      <c r="L31" s="7"/>
      <c r="M31" s="7"/>
      <c r="N31" s="7"/>
      <c r="O31" s="7"/>
      <c r="P31" s="7"/>
      <c r="Q31" s="7"/>
      <c r="R31" s="7"/>
      <c r="S31" s="7"/>
      <c r="V31" s="29" t="s">
        <v>1085</v>
      </c>
    </row>
    <row r="32" spans="2:22" hidden="1">
      <c r="C32" s="37"/>
      <c r="D32" s="37"/>
      <c r="E32" s="37"/>
      <c r="F32" s="37"/>
      <c r="G32" s="37"/>
      <c r="H32" s="37"/>
      <c r="I32" s="37"/>
      <c r="J32" s="37"/>
      <c r="K32" s="37"/>
      <c r="L32" s="37"/>
      <c r="M32" s="37"/>
      <c r="N32" s="37"/>
      <c r="O32" s="37"/>
      <c r="P32" s="37"/>
      <c r="Q32" s="37"/>
      <c r="R32" s="37"/>
      <c r="S32" s="37"/>
    </row>
    <row r="33" spans="1:20" hidden="1">
      <c r="A33" s="3" t="s">
        <v>1006</v>
      </c>
      <c r="C33" s="33"/>
      <c r="D33" s="33"/>
      <c r="E33" s="33"/>
      <c r="F33" s="33"/>
      <c r="G33" s="33"/>
      <c r="H33" s="33"/>
      <c r="I33" s="33"/>
      <c r="J33" s="33"/>
      <c r="K33" s="33"/>
      <c r="L33" s="33"/>
      <c r="M33" s="33"/>
      <c r="N33" s="33"/>
      <c r="O33" s="33"/>
      <c r="P33" s="33"/>
      <c r="Q33" s="33"/>
      <c r="R33" s="33"/>
      <c r="S33" s="33"/>
    </row>
    <row r="34" spans="1:20" hidden="1">
      <c r="B34" t="s">
        <v>652</v>
      </c>
      <c r="C34" s="33">
        <f>C9+C10+C29</f>
        <v>-14270399.409999985</v>
      </c>
      <c r="D34" s="33"/>
      <c r="E34" s="33">
        <f>E9+E10+E29</f>
        <v>-3104405.8200000003</v>
      </c>
      <c r="F34" s="33"/>
      <c r="G34" s="33">
        <f>G9+G10+G29</f>
        <v>96055.439999999944</v>
      </c>
      <c r="H34" s="33"/>
      <c r="I34" s="33">
        <f>I9+I10+I29</f>
        <v>0</v>
      </c>
      <c r="J34" s="33"/>
      <c r="K34" s="33">
        <f>K9+K10+K29</f>
        <v>0</v>
      </c>
      <c r="L34" s="33"/>
      <c r="M34" s="33">
        <f>M9+M10+M29</f>
        <v>16557.84</v>
      </c>
      <c r="N34" s="33"/>
      <c r="O34" s="33">
        <f>O9+O10+O29</f>
        <v>-3000</v>
      </c>
      <c r="P34" s="33"/>
      <c r="Q34" s="33">
        <f>Q9+Q10+Q29</f>
        <v>0</v>
      </c>
      <c r="R34" s="33"/>
      <c r="S34" s="33">
        <f>S9+S10+S29</f>
        <v>-17265191.949999988</v>
      </c>
    </row>
    <row r="35" spans="1:20" hidden="1">
      <c r="B35" t="s">
        <v>112</v>
      </c>
      <c r="C35" s="37">
        <f>SUM(C11:C21)</f>
        <v>-319324699.41000015</v>
      </c>
      <c r="D35" s="37"/>
      <c r="E35" s="37">
        <f>SUM(E11:E21)</f>
        <v>-28491060.120000001</v>
      </c>
      <c r="F35" s="37"/>
      <c r="G35" s="37">
        <f>SUM(G11:G21)</f>
        <v>3273037.5599999996</v>
      </c>
      <c r="H35" s="37"/>
      <c r="I35" s="37">
        <f>SUM(I11:I21)</f>
        <v>-223.56</v>
      </c>
      <c r="J35" s="37"/>
      <c r="K35" s="37">
        <f>SUM(K11:K21)</f>
        <v>0</v>
      </c>
      <c r="L35" s="37"/>
      <c r="M35" s="37">
        <f>SUM(M11:M21)</f>
        <v>4577782.8</v>
      </c>
      <c r="N35" s="37"/>
      <c r="O35" s="37">
        <f>SUM(O11:O21)</f>
        <v>-538299.83000000007</v>
      </c>
      <c r="P35" s="37"/>
      <c r="Q35" s="37">
        <f>SUM(Q11:Q21)</f>
        <v>0</v>
      </c>
      <c r="R35" s="37"/>
      <c r="S35" s="37">
        <f>SUM(S11:S21)</f>
        <v>-340503462.56000024</v>
      </c>
    </row>
    <row r="36" spans="1:20" hidden="1">
      <c r="B36" t="s">
        <v>120</v>
      </c>
      <c r="C36" s="35">
        <f>SUM(C22:C28)</f>
        <v>-69430100.400000006</v>
      </c>
      <c r="D36" s="37"/>
      <c r="E36" s="35">
        <f>SUM(E22:E28)</f>
        <v>-4431897.3600000003</v>
      </c>
      <c r="F36" s="37"/>
      <c r="G36" s="35">
        <f>SUM(G22:G28)</f>
        <v>29286.459999999995</v>
      </c>
      <c r="H36" s="37"/>
      <c r="I36" s="35">
        <f>SUM(I22:I28)</f>
        <v>0</v>
      </c>
      <c r="J36" s="37"/>
      <c r="K36" s="35">
        <f>SUM(K22:K28)</f>
        <v>0</v>
      </c>
      <c r="L36" s="37"/>
      <c r="M36" s="35">
        <f>SUM(M22:M28)</f>
        <v>81453.78</v>
      </c>
      <c r="N36" s="37"/>
      <c r="O36" s="35">
        <f>SUM(O22:O28)</f>
        <v>0</v>
      </c>
      <c r="P36" s="37"/>
      <c r="Q36" s="35">
        <f>SUM(Q22:Q28)</f>
        <v>0</v>
      </c>
      <c r="R36" s="37"/>
      <c r="S36" s="35">
        <f>SUM(S22:S28)</f>
        <v>-73751257.519999981</v>
      </c>
    </row>
    <row r="37" spans="1:20" s="10" customFormat="1" hidden="1">
      <c r="B37" s="11"/>
      <c r="C37" s="27">
        <f>SUM(C34:C36)</f>
        <v>-403025199.22000015</v>
      </c>
      <c r="D37" s="27"/>
      <c r="E37" s="27">
        <f>SUM(E34:E36)</f>
        <v>-36027363.300000004</v>
      </c>
      <c r="F37" s="27"/>
      <c r="G37" s="27">
        <f>SUM(G34:G36)</f>
        <v>3398379.4599999995</v>
      </c>
      <c r="H37" s="27"/>
      <c r="I37" s="27">
        <f>SUM(I34:I36)</f>
        <v>-223.56</v>
      </c>
      <c r="J37" s="27"/>
      <c r="K37" s="27">
        <f>SUM(K34:K36)</f>
        <v>0</v>
      </c>
      <c r="L37" s="27"/>
      <c r="M37" s="27">
        <f>SUM(M34:M36)</f>
        <v>4675794.42</v>
      </c>
      <c r="N37" s="27"/>
      <c r="O37" s="27">
        <f>SUM(O34:O36)</f>
        <v>-541299.83000000007</v>
      </c>
      <c r="P37" s="27"/>
      <c r="Q37" s="27">
        <f>SUM(Q34:Q36)</f>
        <v>0</v>
      </c>
      <c r="R37" s="27"/>
      <c r="S37" s="27">
        <f>SUM(S34:S36)</f>
        <v>-431519912.03000021</v>
      </c>
    </row>
    <row r="38" spans="1:20" s="10" customFormat="1" hidden="1">
      <c r="B38" s="11"/>
      <c r="C38" s="27"/>
      <c r="D38" s="27"/>
      <c r="E38" s="27"/>
      <c r="F38" s="27"/>
      <c r="G38" s="27"/>
      <c r="H38" s="27"/>
      <c r="I38" s="27"/>
      <c r="J38" s="27"/>
      <c r="K38" s="27"/>
      <c r="L38" s="27"/>
      <c r="M38" s="27"/>
      <c r="N38" s="27"/>
      <c r="O38" s="27"/>
      <c r="P38" s="27"/>
      <c r="Q38" s="27"/>
      <c r="R38" s="27"/>
      <c r="S38" s="27"/>
    </row>
    <row r="39" spans="1:20" hidden="1">
      <c r="A39" s="3" t="s">
        <v>656</v>
      </c>
      <c r="C39" s="33"/>
      <c r="D39" s="33"/>
      <c r="E39" s="33"/>
      <c r="F39" s="33"/>
      <c r="G39" s="33"/>
      <c r="H39" s="33"/>
      <c r="I39" s="33"/>
      <c r="J39" s="33"/>
      <c r="K39" s="33"/>
      <c r="L39" s="33"/>
      <c r="M39" s="33"/>
      <c r="N39" s="33"/>
      <c r="O39" s="33"/>
      <c r="P39" s="33"/>
      <c r="Q39" s="33"/>
      <c r="R39" s="33"/>
      <c r="S39" s="33"/>
    </row>
    <row r="40" spans="1:20" hidden="1">
      <c r="B40" t="s">
        <v>652</v>
      </c>
      <c r="C40" s="33">
        <f>'Summary - Reserve - PG 2 (Tot)'!C73</f>
        <v>149762.35</v>
      </c>
      <c r="D40" s="33"/>
      <c r="E40" s="33">
        <f>'Summary - Reserve - PG 2 (Tot)'!E73</f>
        <v>0</v>
      </c>
      <c r="F40" s="33"/>
      <c r="G40" s="33">
        <f>'Summary - Reserve - PG 2 (Tot)'!G73</f>
        <v>0</v>
      </c>
      <c r="H40" s="33"/>
      <c r="I40" s="33">
        <f>'Summary - Reserve - PG 2 (Tot)'!I73</f>
        <v>0</v>
      </c>
      <c r="J40" s="33"/>
      <c r="K40" s="33">
        <f>'Summary - Reserve - PG 2 (Tot)'!M73</f>
        <v>-13557.84</v>
      </c>
      <c r="L40" s="33"/>
      <c r="M40" s="33">
        <f>'Summary - Reserve - PG 2 (Tot)'!O73</f>
        <v>-17161.189999999999</v>
      </c>
      <c r="N40" s="33"/>
      <c r="O40" s="33">
        <f>'Summary - Reserve - PG 2 (Tot)'!Q73</f>
        <v>-10496.95</v>
      </c>
      <c r="P40" s="33"/>
      <c r="Q40" s="33">
        <f>'Summary - Reserve - PG 2 (Tot)'!S73</f>
        <v>0</v>
      </c>
      <c r="R40" s="33"/>
      <c r="S40" s="33">
        <f>Q40+O40+M40+K40+I40+G40+E40+C40</f>
        <v>108546.37000000001</v>
      </c>
      <c r="T40" s="5"/>
    </row>
    <row r="41" spans="1:20" hidden="1">
      <c r="B41" t="s">
        <v>112</v>
      </c>
      <c r="C41" s="33">
        <f>'Summary - Reserve - PG 2 (Tot)'!C74</f>
        <v>11924715.030000003</v>
      </c>
      <c r="D41" s="33"/>
      <c r="E41" s="33">
        <f>'Summary - Reserve - PG 2 (Tot)'!E74</f>
        <v>0</v>
      </c>
      <c r="F41" s="33"/>
      <c r="G41" s="33">
        <f>'Summary - Reserve - PG 2 (Tot)'!G74</f>
        <v>0</v>
      </c>
      <c r="H41" s="33"/>
      <c r="I41" s="33">
        <f>'Summary - Reserve - PG 2 (Tot)'!I74</f>
        <v>-14615.87</v>
      </c>
      <c r="J41" s="33"/>
      <c r="K41" s="33">
        <f>'Summary - Reserve - PG 2 (Tot)'!M74</f>
        <v>-4039482.9699999997</v>
      </c>
      <c r="L41" s="33"/>
      <c r="M41" s="33">
        <f>'Summary - Reserve - PG 2 (Tot)'!O74</f>
        <v>5226585.53</v>
      </c>
      <c r="N41" s="33"/>
      <c r="O41" s="33">
        <f>'Summary - Reserve - PG 2 (Tot)'!Q74</f>
        <v>-301510.06</v>
      </c>
      <c r="P41" s="33"/>
      <c r="Q41" s="33">
        <f>'Summary - Reserve - PG 2 (Tot)'!S74</f>
        <v>-83094.73</v>
      </c>
      <c r="R41" s="33"/>
      <c r="S41" s="33">
        <f>Q41+O41+M41+K41+I41+G41+E41+C41</f>
        <v>12712596.930000003</v>
      </c>
      <c r="T41" s="5"/>
    </row>
    <row r="42" spans="1:20" hidden="1">
      <c r="B42" t="s">
        <v>120</v>
      </c>
      <c r="C42" s="33">
        <f>'Summary - Reserve - PG 2 (Tot)'!C75</f>
        <v>1590687.7799999993</v>
      </c>
      <c r="D42" s="33"/>
      <c r="E42" s="33">
        <f>'Summary - Reserve - PG 2 (Tot)'!E75</f>
        <v>0</v>
      </c>
      <c r="F42" s="33"/>
      <c r="G42" s="33">
        <f>'Summary - Reserve - PG 2 (Tot)'!G75</f>
        <v>0</v>
      </c>
      <c r="H42" s="33"/>
      <c r="I42" s="33">
        <f>'Summary - Reserve - PG 2 (Tot)'!I75</f>
        <v>14615.87</v>
      </c>
      <c r="J42" s="33"/>
      <c r="K42" s="33">
        <f>'Summary - Reserve - PG 2 (Tot)'!M75</f>
        <v>-81453.78</v>
      </c>
      <c r="L42" s="33"/>
      <c r="M42" s="33">
        <f>'Summary - Reserve - PG 2 (Tot)'!O75</f>
        <v>284819.84999999998</v>
      </c>
      <c r="N42" s="33"/>
      <c r="O42" s="33">
        <f>'Summary - Reserve - PG 2 (Tot)'!Q75</f>
        <v>-1181.0900000000001</v>
      </c>
      <c r="P42" s="33"/>
      <c r="Q42" s="33">
        <f>'Summary - Reserve - PG 2 (Tot)'!S75</f>
        <v>0</v>
      </c>
      <c r="R42" s="33"/>
      <c r="S42" s="33">
        <f>Q42+O42+M42+K42+I42+G42+E42+C42</f>
        <v>1807488.6299999992</v>
      </c>
      <c r="T42" s="5"/>
    </row>
    <row r="43" spans="1:20" hidden="1">
      <c r="B43" s="2"/>
      <c r="C43" s="34">
        <f>SUM(C40:C42)</f>
        <v>13665165.160000002</v>
      </c>
      <c r="D43" s="33"/>
      <c r="E43" s="34">
        <f>SUM(E40:E42)</f>
        <v>0</v>
      </c>
      <c r="F43" s="33"/>
      <c r="G43" s="34">
        <f>SUM(G40:G42)</f>
        <v>0</v>
      </c>
      <c r="H43" s="33"/>
      <c r="I43" s="34">
        <f>SUM(I40:I42)</f>
        <v>0</v>
      </c>
      <c r="J43" s="33"/>
      <c r="K43" s="34">
        <f>SUM(K40:K42)</f>
        <v>-4134494.5899999994</v>
      </c>
      <c r="L43" s="33"/>
      <c r="M43" s="34">
        <f>SUM(M40:M42)</f>
        <v>5494244.1899999995</v>
      </c>
      <c r="N43" s="33"/>
      <c r="O43" s="34">
        <f>SUM(O40:O42)</f>
        <v>-313188.10000000003</v>
      </c>
      <c r="P43" s="33"/>
      <c r="Q43" s="34">
        <f>SUM(Q40:Q42)</f>
        <v>-83094.73</v>
      </c>
      <c r="R43" s="33"/>
      <c r="S43" s="34">
        <f>SUM(S40:S42)</f>
        <v>14628631.930000002</v>
      </c>
      <c r="T43" s="5"/>
    </row>
    <row r="44" spans="1:20" hidden="1">
      <c r="C44" s="37"/>
      <c r="D44" s="37"/>
      <c r="E44" s="37"/>
      <c r="F44" s="37"/>
      <c r="G44" s="37"/>
      <c r="H44" s="37"/>
      <c r="I44" s="37"/>
      <c r="J44" s="37"/>
      <c r="K44" s="37"/>
      <c r="L44" s="37"/>
      <c r="M44" s="37"/>
      <c r="N44" s="37"/>
      <c r="O44" s="37"/>
      <c r="P44" s="37"/>
      <c r="Q44" s="37"/>
      <c r="R44" s="37"/>
      <c r="S44" s="37"/>
    </row>
    <row r="45" spans="1:20" hidden="1">
      <c r="B45" t="s">
        <v>36</v>
      </c>
      <c r="C45" s="33">
        <f>'Summary - Reserve - PG 2 (Tot)'!C70-'Summary - Reserve - PG 2 (Tot)'!C76</f>
        <v>-416725635.24000019</v>
      </c>
      <c r="D45" s="33"/>
      <c r="E45" s="33">
        <f>'Summary - Reserve - PG 2 (Tot)'!E70-'Summary - Reserve - PG 2 (Tot)'!E76</f>
        <v>-36053816.43</v>
      </c>
      <c r="F45" s="33"/>
      <c r="G45" s="33">
        <f>'Summary - Reserve - PG 2 (Tot)'!G70-'Summary - Reserve - PG 2 (Tot)'!G76</f>
        <v>3398379.4599999995</v>
      </c>
      <c r="H45" s="33"/>
      <c r="I45" s="33">
        <f>'Summary - Reserve - PG 2 (Tot)'!I70-'Summary - Reserve - PG 2 (Tot)'!I76</f>
        <v>-223.56</v>
      </c>
      <c r="J45" s="33"/>
      <c r="K45" s="33">
        <f>'Summary - Reserve - PG 2 (Tot)'!M70-'Summary - Reserve - PG 2 (Tot)'!M76</f>
        <v>4134494.5899999994</v>
      </c>
      <c r="L45" s="33"/>
      <c r="M45" s="33">
        <f>'Summary - Reserve - PG 2 (Tot)'!O70-'Summary - Reserve - PG 2 (Tot)'!O76</f>
        <v>-818449.76999999955</v>
      </c>
      <c r="N45" s="33"/>
      <c r="O45" s="33">
        <f>'Summary - Reserve - PG 2 (Tot)'!Q70-'Summary - Reserve - PG 2 (Tot)'!Q76</f>
        <v>-228111.73000000004</v>
      </c>
      <c r="P45" s="33"/>
      <c r="Q45" s="33">
        <f>'Summary - Reserve - PG 2 (Tot)'!S70-'Summary - Reserve - PG 2 (Tot)'!S76</f>
        <v>83094.73</v>
      </c>
      <c r="R45" s="33"/>
      <c r="S45" s="33">
        <f>'Summary - Reserve - PG 2 (Tot)'!U70-'Summary - Reserve - PG 2 (Tot)'!U76</f>
        <v>-446210267.95000017</v>
      </c>
      <c r="T45" s="5"/>
    </row>
    <row r="46" spans="1:20" hidden="1">
      <c r="C46" s="5"/>
      <c r="D46" s="5"/>
      <c r="E46" s="5"/>
      <c r="F46" s="5"/>
      <c r="G46" s="5"/>
      <c r="H46" s="5"/>
      <c r="I46" s="5"/>
      <c r="J46" s="5"/>
      <c r="K46" s="5"/>
      <c r="L46" s="5"/>
      <c r="M46" s="5"/>
      <c r="N46" s="5"/>
      <c r="O46" s="5"/>
      <c r="P46" s="5"/>
      <c r="Q46" s="5"/>
      <c r="R46" s="5"/>
      <c r="S46" s="5"/>
      <c r="T46" s="5"/>
    </row>
    <row r="47" spans="1:20" hidden="1">
      <c r="C47" s="5">
        <f>C37-C43-C45</f>
        <v>35270.860000014305</v>
      </c>
      <c r="D47" s="5"/>
      <c r="E47" s="5">
        <f>E37-E43-E45</f>
        <v>26453.129999995232</v>
      </c>
      <c r="F47" s="5"/>
      <c r="G47" s="5">
        <f>G37-G43-G45</f>
        <v>0</v>
      </c>
      <c r="H47" s="5"/>
      <c r="I47" s="5">
        <f>I37-I43-I45</f>
        <v>0</v>
      </c>
      <c r="J47" s="5"/>
      <c r="K47" s="5">
        <f>K37-K43-K45</f>
        <v>0</v>
      </c>
      <c r="L47" s="5"/>
      <c r="M47" s="5">
        <f>M37-M43-M45</f>
        <v>0</v>
      </c>
      <c r="N47" s="5"/>
      <c r="O47" s="5">
        <f>O37-O43-O45</f>
        <v>0</v>
      </c>
      <c r="P47" s="5"/>
      <c r="Q47" s="5">
        <f>Q37-Q43-Q45</f>
        <v>0</v>
      </c>
      <c r="R47" s="5"/>
      <c r="S47" s="5">
        <f>S37-S43-S45</f>
        <v>61723.989999949932</v>
      </c>
      <c r="T47" s="5"/>
    </row>
    <row r="48" spans="1:20" hidden="1">
      <c r="C48" s="5"/>
      <c r="D48" s="5"/>
      <c r="E48" s="5"/>
      <c r="F48" s="5"/>
      <c r="G48" s="5"/>
      <c r="H48" s="5"/>
      <c r="I48" s="5"/>
      <c r="J48" s="5"/>
      <c r="K48" s="5"/>
      <c r="L48" s="5"/>
      <c r="M48" s="5"/>
      <c r="N48" s="5"/>
      <c r="O48" s="5"/>
      <c r="P48" s="5"/>
      <c r="Q48" s="5"/>
      <c r="R48" s="5"/>
      <c r="S48" s="5"/>
      <c r="T48" s="5"/>
    </row>
    <row r="49" spans="1:23" hidden="1">
      <c r="A49" s="3" t="s">
        <v>1007</v>
      </c>
      <c r="C49" s="5"/>
      <c r="D49" s="5"/>
      <c r="E49" s="5"/>
      <c r="F49" s="5"/>
      <c r="G49" s="5"/>
      <c r="H49" s="5"/>
      <c r="I49" s="5"/>
      <c r="J49" s="5"/>
      <c r="K49" s="5"/>
      <c r="L49" s="5"/>
      <c r="M49" s="5"/>
      <c r="N49" s="5"/>
      <c r="O49" s="5"/>
      <c r="P49" s="5"/>
      <c r="Q49" s="5"/>
      <c r="R49" s="5"/>
      <c r="S49" s="5"/>
      <c r="T49" s="5"/>
    </row>
    <row r="50" spans="1:23" hidden="1">
      <c r="B50" t="s">
        <v>652</v>
      </c>
      <c r="C50" s="5">
        <f>C34-C40</f>
        <v>-14420161.759999985</v>
      </c>
      <c r="D50" s="5"/>
      <c r="E50" s="5">
        <f>E34-E40</f>
        <v>-3104405.8200000003</v>
      </c>
      <c r="F50" s="5"/>
      <c r="G50" s="5">
        <f>G34-G40</f>
        <v>96055.439999999944</v>
      </c>
      <c r="H50" s="5"/>
      <c r="I50" s="5">
        <f>I34-I40</f>
        <v>0</v>
      </c>
      <c r="J50" s="5"/>
      <c r="K50" s="5">
        <f>K34-K40</f>
        <v>13557.84</v>
      </c>
      <c r="L50" s="5"/>
      <c r="M50" s="5">
        <f>M34-M40</f>
        <v>33719.03</v>
      </c>
      <c r="N50" s="5"/>
      <c r="O50" s="5">
        <f>O34-O40</f>
        <v>7496.9500000000007</v>
      </c>
      <c r="P50" s="5"/>
      <c r="Q50" s="5">
        <f>Q34-Q40</f>
        <v>0</v>
      </c>
      <c r="R50" s="5"/>
      <c r="S50" s="33">
        <f>Q50+O50+M50+K50+I50+G50+E50+C50</f>
        <v>-17373738.319999985</v>
      </c>
      <c r="T50" s="5"/>
    </row>
    <row r="51" spans="1:23" hidden="1">
      <c r="B51" t="s">
        <v>112</v>
      </c>
      <c r="C51" s="5">
        <f>C35-C41</f>
        <v>-331249414.44000018</v>
      </c>
      <c r="D51" s="5"/>
      <c r="E51" s="5">
        <f>E35-E41</f>
        <v>-28491060.120000001</v>
      </c>
      <c r="F51" s="5"/>
      <c r="G51" s="5">
        <f>G35-G41</f>
        <v>3273037.5599999996</v>
      </c>
      <c r="H51" s="5"/>
      <c r="I51" s="5">
        <f>I35-I41</f>
        <v>14392.310000000001</v>
      </c>
      <c r="J51" s="5"/>
      <c r="K51" s="5">
        <f>K35-K41</f>
        <v>4039482.9699999997</v>
      </c>
      <c r="L51" s="5"/>
      <c r="M51" s="5">
        <f>M35-M41</f>
        <v>-648802.73000000045</v>
      </c>
      <c r="N51" s="5"/>
      <c r="O51" s="5">
        <f>O35-O41</f>
        <v>-236789.77000000008</v>
      </c>
      <c r="P51" s="5"/>
      <c r="Q51" s="5">
        <f>Q35-Q41</f>
        <v>83094.73</v>
      </c>
      <c r="R51" s="5"/>
      <c r="S51" s="33">
        <f>Q51+O51+M51+K51+I51+G51+E51+C51</f>
        <v>-353216059.49000019</v>
      </c>
      <c r="T51" s="5"/>
    </row>
    <row r="52" spans="1:23" hidden="1">
      <c r="B52" t="s">
        <v>120</v>
      </c>
      <c r="C52" s="5">
        <f>C36-C42</f>
        <v>-71020788.180000007</v>
      </c>
      <c r="D52" s="5"/>
      <c r="E52" s="5">
        <f>E36-E42</f>
        <v>-4431897.3600000003</v>
      </c>
      <c r="F52" s="5"/>
      <c r="G52" s="5">
        <f>G36-G42</f>
        <v>29286.459999999995</v>
      </c>
      <c r="H52" s="5"/>
      <c r="I52" s="5">
        <f>I36-I42</f>
        <v>-14615.87</v>
      </c>
      <c r="J52" s="5"/>
      <c r="K52" s="5">
        <f>K36-K42</f>
        <v>81453.78</v>
      </c>
      <c r="L52" s="5"/>
      <c r="M52" s="5">
        <f>M36-M42</f>
        <v>-203366.06999999998</v>
      </c>
      <c r="N52" s="5"/>
      <c r="O52" s="5">
        <f>O36-O42</f>
        <v>1181.0900000000001</v>
      </c>
      <c r="P52" s="5"/>
      <c r="Q52" s="5">
        <f>Q36-Q42</f>
        <v>0</v>
      </c>
      <c r="R52" s="5"/>
      <c r="S52" s="33">
        <f>Q52+O52+M52+K52+I52+G52+E52+C52</f>
        <v>-75558746.150000006</v>
      </c>
      <c r="T52" s="5"/>
    </row>
    <row r="53" spans="1:23" ht="13.5" hidden="1" thickBot="1">
      <c r="C53" s="75">
        <f>SUM(C50:C52)</f>
        <v>-416690364.38000017</v>
      </c>
      <c r="D53" s="5"/>
      <c r="E53" s="75">
        <f>SUM(E50:E52)</f>
        <v>-36027363.300000004</v>
      </c>
      <c r="F53" s="5"/>
      <c r="G53" s="75">
        <f>SUM(G50:G52)</f>
        <v>3398379.4599999995</v>
      </c>
      <c r="H53" s="5"/>
      <c r="I53" s="75">
        <f>SUM(I50:I52)</f>
        <v>-223.55999999999949</v>
      </c>
      <c r="J53" s="5"/>
      <c r="K53" s="75">
        <f>SUM(K50:K52)</f>
        <v>4134494.5899999994</v>
      </c>
      <c r="L53" s="5"/>
      <c r="M53" s="75">
        <f>SUM(M50:M52)</f>
        <v>-818449.77000000037</v>
      </c>
      <c r="N53" s="5"/>
      <c r="O53" s="75">
        <f>SUM(O50:O52)</f>
        <v>-228111.73000000007</v>
      </c>
      <c r="P53" s="5"/>
      <c r="Q53" s="75">
        <f>SUM(Q50:Q52)</f>
        <v>83094.73</v>
      </c>
      <c r="R53" s="5"/>
      <c r="S53" s="34">
        <f>SUM(S50:S52)</f>
        <v>-446148543.96000016</v>
      </c>
      <c r="T53" s="5"/>
    </row>
    <row r="54" spans="1:23" hidden="1">
      <c r="C54" s="5"/>
      <c r="D54" s="5"/>
      <c r="E54" s="5"/>
      <c r="F54" s="5"/>
      <c r="G54" s="5"/>
      <c r="H54" s="5"/>
      <c r="I54" s="5"/>
      <c r="J54" s="5"/>
      <c r="K54" s="5"/>
      <c r="L54" s="5"/>
      <c r="M54" s="5"/>
      <c r="N54" s="5"/>
      <c r="O54" s="5"/>
      <c r="P54" s="5"/>
      <c r="Q54" s="5"/>
      <c r="R54" s="5"/>
      <c r="S54" s="5"/>
      <c r="T54" s="5"/>
    </row>
    <row r="55" spans="1:23" hidden="1">
      <c r="A55" t="s">
        <v>1008</v>
      </c>
      <c r="C55" s="5"/>
      <c r="D55" s="5"/>
      <c r="E55" s="5"/>
      <c r="F55" s="5"/>
      <c r="G55" s="5"/>
      <c r="H55" s="5"/>
      <c r="I55" s="5"/>
      <c r="J55" s="5"/>
      <c r="K55" s="5"/>
      <c r="L55" s="5"/>
      <c r="M55" s="5"/>
      <c r="N55" s="5"/>
      <c r="O55" s="5"/>
      <c r="P55" s="5"/>
      <c r="Q55" s="5"/>
      <c r="R55" s="5"/>
      <c r="S55" s="5"/>
      <c r="T55" s="5"/>
    </row>
    <row r="56" spans="1:23" hidden="1">
      <c r="A56" s="76" t="s">
        <v>1005</v>
      </c>
      <c r="B56" s="77"/>
      <c r="C56" s="78"/>
      <c r="D56" s="78"/>
      <c r="E56" s="78"/>
      <c r="F56" s="78"/>
      <c r="G56" s="78"/>
      <c r="H56" s="78"/>
      <c r="I56" s="78"/>
      <c r="J56" s="78"/>
      <c r="K56" s="78"/>
      <c r="L56" s="78"/>
      <c r="M56" s="78"/>
      <c r="N56" s="78"/>
      <c r="O56" s="78"/>
      <c r="P56" s="78"/>
      <c r="Q56" s="78"/>
      <c r="R56" s="78"/>
      <c r="S56" s="78"/>
      <c r="T56" s="5"/>
    </row>
    <row r="57" spans="1:23" hidden="1">
      <c r="A57" s="77"/>
      <c r="B57" s="77" t="s">
        <v>652</v>
      </c>
      <c r="C57" s="78">
        <f>C34-C40-C29</f>
        <v>-14420161.759999985</v>
      </c>
      <c r="D57" s="78"/>
      <c r="E57" s="78">
        <f>E34-E40-E29</f>
        <v>-3104405.8200000003</v>
      </c>
      <c r="F57" s="78"/>
      <c r="G57" s="78">
        <f>G34-G40-G29</f>
        <v>96055.439999999944</v>
      </c>
      <c r="H57" s="78"/>
      <c r="I57" s="78">
        <f>I34-I40-I29</f>
        <v>0</v>
      </c>
      <c r="J57" s="78"/>
      <c r="K57" s="78">
        <f>K34-K40-K29</f>
        <v>13557.84</v>
      </c>
      <c r="L57" s="78"/>
      <c r="M57" s="78">
        <f>M34-M40-M29</f>
        <v>33719.03</v>
      </c>
      <c r="N57" s="78"/>
      <c r="O57" s="78">
        <f>O34-O40-O29</f>
        <v>7496.9500000000007</v>
      </c>
      <c r="P57" s="78"/>
      <c r="Q57" s="78">
        <f>Q34-Q40-Q29</f>
        <v>0</v>
      </c>
      <c r="R57" s="78"/>
      <c r="S57" s="79">
        <f>Q57+O57+M57+K57+I57+G57+E57+C57</f>
        <v>-17373738.319999985</v>
      </c>
      <c r="T57" s="5"/>
    </row>
    <row r="58" spans="1:23" hidden="1">
      <c r="A58" s="77"/>
      <c r="B58" s="77" t="s">
        <v>112</v>
      </c>
      <c r="C58" s="78">
        <f>C35-C41</f>
        <v>-331249414.44000018</v>
      </c>
      <c r="D58" s="78"/>
      <c r="E58" s="78">
        <f>E35-E41</f>
        <v>-28491060.120000001</v>
      </c>
      <c r="F58" s="78"/>
      <c r="G58" s="78">
        <f>G35-G41</f>
        <v>3273037.5599999996</v>
      </c>
      <c r="H58" s="78"/>
      <c r="I58" s="78">
        <f>I35-I41</f>
        <v>14392.310000000001</v>
      </c>
      <c r="J58" s="78"/>
      <c r="K58" s="78">
        <f>K35-K41</f>
        <v>4039482.9699999997</v>
      </c>
      <c r="L58" s="78"/>
      <c r="M58" s="78">
        <f>M35-M41</f>
        <v>-648802.73000000045</v>
      </c>
      <c r="N58" s="78"/>
      <c r="O58" s="78">
        <f>O35-O41</f>
        <v>-236789.77000000008</v>
      </c>
      <c r="P58" s="78"/>
      <c r="Q58" s="78">
        <f>Q35-Q41</f>
        <v>83094.73</v>
      </c>
      <c r="R58" s="78"/>
      <c r="S58" s="79">
        <f>Q58+O58+M58+K58+I58+G58+E58+C58</f>
        <v>-353216059.49000019</v>
      </c>
      <c r="T58" s="5"/>
    </row>
    <row r="59" spans="1:23" hidden="1">
      <c r="A59" s="77"/>
      <c r="B59" s="77" t="s">
        <v>120</v>
      </c>
      <c r="C59" s="78">
        <f>C36-C42</f>
        <v>-71020788.180000007</v>
      </c>
      <c r="D59" s="78"/>
      <c r="E59" s="78">
        <f>E36-E42</f>
        <v>-4431897.3600000003</v>
      </c>
      <c r="F59" s="78"/>
      <c r="G59" s="78">
        <f>G36-G42</f>
        <v>29286.459999999995</v>
      </c>
      <c r="H59" s="78"/>
      <c r="I59" s="78">
        <f>I36-I42</f>
        <v>-14615.87</v>
      </c>
      <c r="J59" s="78"/>
      <c r="K59" s="78">
        <f>K36-K42</f>
        <v>81453.78</v>
      </c>
      <c r="L59" s="78"/>
      <c r="M59" s="78">
        <f>M36-M42</f>
        <v>-203366.06999999998</v>
      </c>
      <c r="N59" s="78"/>
      <c r="O59" s="78">
        <f>O36-O42</f>
        <v>1181.0900000000001</v>
      </c>
      <c r="P59" s="78"/>
      <c r="Q59" s="78">
        <f>Q36-Q42</f>
        <v>0</v>
      </c>
      <c r="R59" s="78"/>
      <c r="S59" s="79">
        <f>Q59+O59+M59+K59+I59+G59+E59+C59</f>
        <v>-75558746.150000006</v>
      </c>
      <c r="T59" s="5"/>
    </row>
    <row r="60" spans="1:23" ht="13.5" hidden="1" thickBot="1">
      <c r="A60" s="77"/>
      <c r="B60" s="77"/>
      <c r="C60" s="80">
        <f>SUM(C57:C59)</f>
        <v>-416690364.38000017</v>
      </c>
      <c r="D60" s="78"/>
      <c r="E60" s="80">
        <f>SUM(E57:E59)</f>
        <v>-36027363.300000004</v>
      </c>
      <c r="F60" s="78"/>
      <c r="G60" s="80">
        <f>SUM(G57:G59)</f>
        <v>3398379.4599999995</v>
      </c>
      <c r="H60" s="78"/>
      <c r="I60" s="80">
        <f>SUM(I57:I59)</f>
        <v>-223.55999999999949</v>
      </c>
      <c r="J60" s="78"/>
      <c r="K60" s="80">
        <f>SUM(K57:K59)</f>
        <v>4134494.5899999994</v>
      </c>
      <c r="L60" s="78"/>
      <c r="M60" s="80">
        <f>SUM(M57:M59)</f>
        <v>-818449.77000000037</v>
      </c>
      <c r="N60" s="78"/>
      <c r="O60" s="80">
        <f>SUM(O57:O59)</f>
        <v>-228111.73000000007</v>
      </c>
      <c r="P60" s="78"/>
      <c r="Q60" s="80">
        <f>SUM(Q57:Q59)</f>
        <v>83094.73</v>
      </c>
      <c r="R60" s="78"/>
      <c r="S60" s="81">
        <f>SUM(S57:S59)</f>
        <v>-446148543.96000016</v>
      </c>
      <c r="T60" s="5"/>
    </row>
    <row r="61" spans="1:23" s="10" customFormat="1" hidden="1">
      <c r="C61" s="82"/>
      <c r="D61" s="21"/>
      <c r="E61" s="82"/>
      <c r="F61" s="21"/>
      <c r="G61" s="82"/>
      <c r="H61" s="21"/>
      <c r="I61" s="82"/>
      <c r="J61" s="21"/>
      <c r="K61" s="82"/>
      <c r="L61" s="21"/>
      <c r="M61" s="82"/>
      <c r="N61" s="21"/>
      <c r="O61" s="82"/>
      <c r="P61" s="21"/>
      <c r="Q61" s="82"/>
      <c r="R61" s="21"/>
      <c r="S61" s="27"/>
      <c r="T61" s="21"/>
    </row>
    <row r="62" spans="1:23" s="10" customFormat="1" hidden="1">
      <c r="C62" s="82"/>
      <c r="D62" s="21"/>
      <c r="E62" s="82"/>
      <c r="F62" s="21"/>
      <c r="G62" s="82"/>
      <c r="H62" s="21"/>
      <c r="I62" s="82"/>
      <c r="J62" s="21"/>
      <c r="K62" s="82"/>
      <c r="L62" s="21"/>
      <c r="M62" s="82"/>
      <c r="N62" s="21"/>
      <c r="O62" s="82"/>
      <c r="P62" s="21"/>
      <c r="Q62" s="82"/>
      <c r="R62" s="21"/>
      <c r="S62" s="27"/>
      <c r="T62" s="21"/>
    </row>
    <row r="63" spans="1:23">
      <c r="A63" s="107" t="s">
        <v>1011</v>
      </c>
      <c r="B63" s="107"/>
      <c r="C63" s="105"/>
      <c r="D63" s="105"/>
      <c r="E63" s="105"/>
      <c r="F63" s="105"/>
      <c r="G63" s="105"/>
      <c r="H63" s="105"/>
      <c r="I63" s="105"/>
      <c r="J63" s="105"/>
      <c r="K63" s="105"/>
      <c r="L63" s="105"/>
      <c r="M63" s="105"/>
      <c r="N63" s="105"/>
      <c r="O63" s="105"/>
      <c r="P63" s="105"/>
      <c r="Q63" s="105"/>
      <c r="R63" s="105"/>
      <c r="S63" s="105"/>
      <c r="T63" s="5"/>
      <c r="U63" s="179"/>
    </row>
    <row r="64" spans="1:23">
      <c r="A64" s="108" t="s">
        <v>810</v>
      </c>
      <c r="B64" s="107"/>
      <c r="C64" s="105"/>
      <c r="D64" s="105"/>
      <c r="E64" s="105"/>
      <c r="F64" s="105"/>
      <c r="G64" s="105"/>
      <c r="H64" s="105"/>
      <c r="I64" s="105"/>
      <c r="J64" s="105"/>
      <c r="K64" s="105"/>
      <c r="L64" s="105"/>
      <c r="M64" s="105"/>
      <c r="N64" s="105"/>
      <c r="O64" s="105"/>
      <c r="P64" s="105"/>
      <c r="Q64" s="105"/>
      <c r="R64" s="105"/>
      <c r="S64" s="105">
        <f>'Summary - Reserve - PG 2 (Tot)'!U82</f>
        <v>0</v>
      </c>
      <c r="T64" s="5"/>
      <c r="V64" s="5">
        <f>SUM(S64:U64)</f>
        <v>0</v>
      </c>
      <c r="W64" s="108" t="str">
        <f>+A64</f>
        <v>Intangible</v>
      </c>
    </row>
    <row r="65" spans="1:23">
      <c r="A65" s="108" t="s">
        <v>1009</v>
      </c>
      <c r="B65" s="108"/>
      <c r="C65" s="105"/>
      <c r="D65" s="105"/>
      <c r="E65" s="105"/>
      <c r="F65" s="105"/>
      <c r="G65" s="105"/>
      <c r="H65" s="105"/>
      <c r="I65" s="105"/>
      <c r="J65" s="105"/>
      <c r="K65" s="105"/>
      <c r="L65" s="105"/>
      <c r="M65" s="105"/>
      <c r="N65" s="105"/>
      <c r="O65" s="105"/>
      <c r="P65" s="105"/>
      <c r="Q65" s="105"/>
      <c r="R65" s="105"/>
      <c r="S65" s="105">
        <f>S18+S19</f>
        <v>-154146645.4900001</v>
      </c>
      <c r="T65" s="183" t="e">
        <f>+#REF!</f>
        <v>#REF!</v>
      </c>
      <c r="U65" s="183" t="e">
        <f>+#REF!</f>
        <v>#REF!</v>
      </c>
      <c r="V65" s="5" t="e">
        <f t="shared" ref="V65:V70" si="0">SUM(S65:U65)</f>
        <v>#REF!</v>
      </c>
      <c r="W65" s="108" t="str">
        <f t="shared" ref="W65:W70" si="1">+A65</f>
        <v>Steam production Plant</v>
      </c>
    </row>
    <row r="66" spans="1:23">
      <c r="A66" s="108" t="s">
        <v>1010</v>
      </c>
      <c r="B66" s="108"/>
      <c r="C66" s="105"/>
      <c r="D66" s="105"/>
      <c r="E66" s="105"/>
      <c r="F66" s="105"/>
      <c r="G66" s="105"/>
      <c r="H66" s="105"/>
      <c r="I66" s="105"/>
      <c r="J66" s="105"/>
      <c r="K66" s="105"/>
      <c r="L66" s="105"/>
      <c r="M66" s="105"/>
      <c r="N66" s="105"/>
      <c r="O66" s="105"/>
      <c r="P66" s="105"/>
      <c r="Q66" s="105"/>
      <c r="R66" s="105"/>
      <c r="S66" s="105">
        <f>S14+S15</f>
        <v>424670.89999999868</v>
      </c>
      <c r="T66" s="183" t="e">
        <f>+#REF!</f>
        <v>#REF!</v>
      </c>
      <c r="U66" s="183" t="e">
        <f>+#REF!</f>
        <v>#REF!</v>
      </c>
      <c r="V66" s="5" t="e">
        <f t="shared" si="0"/>
        <v>#REF!</v>
      </c>
      <c r="W66" s="108" t="str">
        <f t="shared" si="1"/>
        <v>Hydraulic</v>
      </c>
    </row>
    <row r="67" spans="1:23">
      <c r="A67" s="108" t="s">
        <v>811</v>
      </c>
      <c r="B67" s="108"/>
      <c r="C67" s="105"/>
      <c r="D67" s="105"/>
      <c r="E67" s="105"/>
      <c r="F67" s="105"/>
      <c r="G67" s="105"/>
      <c r="H67" s="105"/>
      <c r="I67" s="105"/>
      <c r="J67" s="105"/>
      <c r="K67" s="105"/>
      <c r="L67" s="105"/>
      <c r="M67" s="105"/>
      <c r="N67" s="105"/>
      <c r="O67" s="105"/>
      <c r="P67" s="105"/>
      <c r="Q67" s="105"/>
      <c r="R67" s="105"/>
      <c r="S67" s="105">
        <f>S16+S17</f>
        <v>-12912194.509999996</v>
      </c>
      <c r="T67" s="183" t="e">
        <f>+#REF!</f>
        <v>#REF!</v>
      </c>
      <c r="U67" s="183" t="e">
        <f>+#REF!</f>
        <v>#REF!</v>
      </c>
      <c r="V67" s="5" t="e">
        <f t="shared" si="0"/>
        <v>#REF!</v>
      </c>
      <c r="W67" s="108" t="str">
        <f t="shared" si="1"/>
        <v>Other Production</v>
      </c>
    </row>
    <row r="68" spans="1:23">
      <c r="A68" s="109" t="s">
        <v>814</v>
      </c>
      <c r="B68" s="108"/>
      <c r="C68" s="105"/>
      <c r="D68" s="105"/>
      <c r="E68" s="105"/>
      <c r="F68" s="105"/>
      <c r="G68" s="105"/>
      <c r="H68" s="105"/>
      <c r="I68" s="105"/>
      <c r="J68" s="105"/>
      <c r="K68" s="105"/>
      <c r="L68" s="105"/>
      <c r="M68" s="105"/>
      <c r="N68" s="105"/>
      <c r="O68" s="105"/>
      <c r="P68" s="105"/>
      <c r="Q68" s="105"/>
      <c r="R68" s="105"/>
      <c r="S68" s="105">
        <f>S20+S21</f>
        <v>-24586665.999999993</v>
      </c>
      <c r="T68" s="183" t="e">
        <f>+#REF!</f>
        <v>#REF!</v>
      </c>
      <c r="U68" s="183" t="e">
        <f>+#REF!</f>
        <v>#REF!</v>
      </c>
      <c r="V68" s="5" t="e">
        <f t="shared" si="0"/>
        <v>#REF!</v>
      </c>
      <c r="W68" s="108" t="str">
        <f t="shared" si="1"/>
        <v>Transmission</v>
      </c>
    </row>
    <row r="69" spans="1:23">
      <c r="A69" s="109" t="s">
        <v>691</v>
      </c>
      <c r="B69" s="108"/>
      <c r="C69" s="105"/>
      <c r="D69" s="105"/>
      <c r="E69" s="105"/>
      <c r="F69" s="105"/>
      <c r="G69" s="105"/>
      <c r="H69" s="105"/>
      <c r="I69" s="105"/>
      <c r="J69" s="105"/>
      <c r="K69" s="105"/>
      <c r="L69" s="105"/>
      <c r="M69" s="105"/>
      <c r="N69" s="105"/>
      <c r="O69" s="105"/>
      <c r="P69" s="105"/>
      <c r="Q69" s="105"/>
      <c r="R69" s="105"/>
      <c r="S69" s="105">
        <f>S11+S12</f>
        <v>-148809275.91000012</v>
      </c>
      <c r="T69" s="183" t="e">
        <f>+#REF!</f>
        <v>#REF!</v>
      </c>
      <c r="U69" s="183" t="e">
        <f>+#REF!</f>
        <v>#REF!</v>
      </c>
      <c r="V69" s="5" t="e">
        <f t="shared" si="0"/>
        <v>#REF!</v>
      </c>
      <c r="W69" s="108" t="str">
        <f t="shared" si="1"/>
        <v>Distribution</v>
      </c>
    </row>
    <row r="70" spans="1:23">
      <c r="A70" s="108" t="s">
        <v>808</v>
      </c>
      <c r="B70" s="107"/>
      <c r="C70" s="105"/>
      <c r="D70" s="105"/>
      <c r="E70" s="105"/>
      <c r="F70" s="105"/>
      <c r="G70" s="105"/>
      <c r="H70" s="105"/>
      <c r="I70" s="105"/>
      <c r="J70" s="105"/>
      <c r="K70" s="105"/>
      <c r="L70" s="105"/>
      <c r="M70" s="105"/>
      <c r="N70" s="105"/>
      <c r="O70" s="105"/>
      <c r="P70" s="105"/>
      <c r="Q70" s="105"/>
      <c r="R70" s="105"/>
      <c r="S70" s="105">
        <f>S13</f>
        <v>-473351.5499999976</v>
      </c>
      <c r="T70" s="183" t="e">
        <f>+#REF!</f>
        <v>#REF!</v>
      </c>
      <c r="U70" s="183" t="e">
        <f>+#REF!</f>
        <v>#REF!</v>
      </c>
      <c r="V70" s="5" t="e">
        <f t="shared" si="0"/>
        <v>#REF!</v>
      </c>
      <c r="W70" s="108" t="str">
        <f t="shared" si="1"/>
        <v>General</v>
      </c>
    </row>
    <row r="71" spans="1:23" ht="13.5" thickBot="1">
      <c r="C71" s="5"/>
      <c r="D71" s="5"/>
      <c r="E71" s="5"/>
      <c r="F71" s="5"/>
      <c r="G71" s="5"/>
      <c r="H71" s="5"/>
      <c r="I71" s="5"/>
      <c r="J71" s="5"/>
      <c r="K71" s="5"/>
      <c r="L71" s="5"/>
      <c r="M71" s="5"/>
      <c r="N71" s="5"/>
      <c r="O71" s="5"/>
      <c r="P71" s="5"/>
      <c r="Q71" s="5"/>
      <c r="R71" s="5"/>
      <c r="S71" s="75">
        <f>SUM(S64:S70)</f>
        <v>-340503462.56000024</v>
      </c>
      <c r="T71" s="75" t="e">
        <f>SUM(T64:T70)</f>
        <v>#REF!</v>
      </c>
      <c r="U71" s="44" t="e">
        <f>SUM(U64:U70)</f>
        <v>#REF!</v>
      </c>
      <c r="V71" s="75" t="e">
        <f>SUM(V64:V70)</f>
        <v>#REF!</v>
      </c>
    </row>
    <row r="72" spans="1:23" ht="21" thickTop="1">
      <c r="A72" s="94" t="s">
        <v>992</v>
      </c>
      <c r="C72" s="5"/>
      <c r="D72" s="5"/>
      <c r="E72" s="5"/>
      <c r="F72" s="5"/>
      <c r="G72" s="5"/>
      <c r="H72" s="5"/>
      <c r="I72" s="5"/>
      <c r="J72" s="5"/>
      <c r="K72" s="5"/>
      <c r="L72" s="5"/>
      <c r="M72" s="5"/>
      <c r="N72" s="5"/>
      <c r="O72" s="5"/>
      <c r="P72" s="5"/>
      <c r="Q72" s="5"/>
      <c r="R72" s="171"/>
      <c r="S72" s="5"/>
      <c r="T72" s="5"/>
      <c r="V72" s="173"/>
    </row>
    <row r="73" spans="1:23" s="10" customFormat="1">
      <c r="A73" s="58" t="s">
        <v>112</v>
      </c>
      <c r="B73" s="10">
        <v>101</v>
      </c>
      <c r="C73" s="27"/>
      <c r="D73" s="27"/>
      <c r="E73" s="27"/>
      <c r="F73" s="27"/>
      <c r="G73" s="27"/>
      <c r="H73" s="27"/>
      <c r="I73" s="27"/>
      <c r="J73" s="27"/>
      <c r="K73" s="27"/>
      <c r="L73" s="27"/>
      <c r="M73" s="27"/>
      <c r="N73" s="27"/>
      <c r="O73" s="163" t="s">
        <v>1098</v>
      </c>
      <c r="Q73" s="163" t="s">
        <v>1084</v>
      </c>
      <c r="R73" s="172"/>
      <c r="S73" s="10" t="str">
        <f>+'Summary - Reserve - PG 2 (Tot)'!A72</f>
        <v>RETIREMENT WORK IN PROGRESS</v>
      </c>
      <c r="U73" s="89" t="e">
        <f>+T71+U71</f>
        <v>#REF!</v>
      </c>
      <c r="V73" s="172"/>
    </row>
    <row r="74" spans="1:23" s="10" customFormat="1">
      <c r="A74" s="58"/>
      <c r="B74" s="10" t="s">
        <v>113</v>
      </c>
      <c r="C74" s="27">
        <f>'Summary - Cost - PG 1 (Tot)'!D15</f>
        <v>693033081.33999991</v>
      </c>
      <c r="D74" s="27"/>
      <c r="E74" s="27">
        <f>'Summary - Cost - PG 1 (Tot)'!F15</f>
        <v>20208017.219999999</v>
      </c>
      <c r="F74" s="27"/>
      <c r="G74" s="27">
        <f>'Summary - Cost - PG 1 (Tot)'!H15</f>
        <v>-1212153.9299999997</v>
      </c>
      <c r="H74" s="27"/>
      <c r="I74" s="27">
        <f>'Summary - Cost - PG 1 (Tot)'!J15</f>
        <v>21903.139999999981</v>
      </c>
      <c r="J74" s="27"/>
      <c r="K74" s="27">
        <f t="shared" ref="K74:K80" si="2">E74+G74+I74</f>
        <v>19017766.43</v>
      </c>
      <c r="L74" s="27"/>
      <c r="M74" s="27">
        <f t="shared" ref="M74:M80" si="3">C74+K74</f>
        <v>712050847.76999986</v>
      </c>
      <c r="N74" s="27"/>
      <c r="R74" s="172"/>
      <c r="T74" s="10" t="str">
        <f>+'Summary - Reserve - PG 2 (Tot)'!B74</f>
        <v>Electric</v>
      </c>
      <c r="U74" s="72">
        <f>+'Summary - Reserve - PG 2 (Tot)'!U74</f>
        <v>12712596.930000003</v>
      </c>
      <c r="V74" s="172"/>
    </row>
    <row r="75" spans="1:23" s="10" customFormat="1" ht="13.5" thickBot="1">
      <c r="A75" s="58"/>
      <c r="B75" s="10" t="s">
        <v>114</v>
      </c>
      <c r="C75" s="27">
        <f>'Summary - Cost - PG 1 (Tot)'!D16</f>
        <v>5117838.8000000007</v>
      </c>
      <c r="D75" s="27"/>
      <c r="E75" s="27">
        <f>'Summary - Cost - PG 1 (Tot)'!F16</f>
        <v>179252.16</v>
      </c>
      <c r="F75" s="27"/>
      <c r="G75" s="27">
        <f>'Summary - Cost - PG 1 (Tot)'!H16</f>
        <v>0</v>
      </c>
      <c r="H75" s="27"/>
      <c r="I75" s="27">
        <f>'Summary - Cost - PG 1 (Tot)'!J16</f>
        <v>0</v>
      </c>
      <c r="J75" s="27"/>
      <c r="K75" s="27">
        <f t="shared" si="2"/>
        <v>179252.16</v>
      </c>
      <c r="L75" s="27"/>
      <c r="M75" s="27">
        <f t="shared" si="3"/>
        <v>5297090.9600000009</v>
      </c>
      <c r="N75" s="27"/>
      <c r="O75" s="12"/>
      <c r="R75" s="172"/>
      <c r="T75" s="163" t="s">
        <v>36</v>
      </c>
      <c r="U75" s="170" t="e">
        <f>+U73-U74</f>
        <v>#REF!</v>
      </c>
      <c r="V75" s="172"/>
    </row>
    <row r="76" spans="1:23" s="10" customFormat="1" ht="13.5" thickTop="1">
      <c r="A76" s="58"/>
      <c r="B76" s="10" t="s">
        <v>115</v>
      </c>
      <c r="C76" s="27">
        <f>'Summary - Cost - PG 1 (Tot)'!D17</f>
        <v>33014601.650000002</v>
      </c>
      <c r="D76" s="27"/>
      <c r="E76" s="27">
        <f>'Summary - Cost - PG 1 (Tot)'!F17</f>
        <v>16456.36</v>
      </c>
      <c r="F76" s="27"/>
      <c r="G76" s="27">
        <f>'Summary - Cost - PG 1 (Tot)'!H17</f>
        <v>18.109999999999957</v>
      </c>
      <c r="H76" s="27"/>
      <c r="I76" s="27">
        <f>'Summary - Cost - PG 1 (Tot)'!J17</f>
        <v>0</v>
      </c>
      <c r="J76" s="27"/>
      <c r="K76" s="27">
        <f t="shared" si="2"/>
        <v>16474.47</v>
      </c>
      <c r="L76" s="27"/>
      <c r="M76" s="27">
        <f t="shared" si="3"/>
        <v>33031076.120000001</v>
      </c>
      <c r="N76" s="27"/>
      <c r="O76" s="12"/>
      <c r="R76" s="172"/>
      <c r="V76" s="172"/>
    </row>
    <row r="77" spans="1:23" s="10" customFormat="1">
      <c r="A77" s="58"/>
      <c r="B77" s="10" t="s">
        <v>116</v>
      </c>
      <c r="C77" s="27">
        <f>'Summary - Cost - PG 1 (Tot)'!D18</f>
        <v>2240.29</v>
      </c>
      <c r="D77" s="27"/>
      <c r="E77" s="27">
        <f>'Summary - Cost - PG 1 (Tot)'!F18</f>
        <v>0</v>
      </c>
      <c r="F77" s="27"/>
      <c r="G77" s="27">
        <f>'Summary - Cost - PG 1 (Tot)'!H18</f>
        <v>0</v>
      </c>
      <c r="H77" s="27"/>
      <c r="I77" s="27">
        <f>'Summary - Cost - PG 1 (Tot)'!J18</f>
        <v>0</v>
      </c>
      <c r="J77" s="27"/>
      <c r="K77" s="27">
        <f t="shared" si="2"/>
        <v>0</v>
      </c>
      <c r="L77" s="27"/>
      <c r="M77" s="27">
        <f t="shared" si="3"/>
        <v>2240.29</v>
      </c>
      <c r="N77" s="27"/>
      <c r="O77" s="12"/>
      <c r="R77" s="172"/>
      <c r="V77" s="172"/>
    </row>
    <row r="78" spans="1:23" s="10" customFormat="1">
      <c r="A78" s="58"/>
      <c r="B78" s="10" t="s">
        <v>117</v>
      </c>
      <c r="C78" s="27">
        <f>'Summary - Cost - PG 1 (Tot)'!D19</f>
        <v>175602533.09</v>
      </c>
      <c r="D78" s="27"/>
      <c r="E78" s="27">
        <f>'Summary - Cost - PG 1 (Tot)'!F19</f>
        <v>3514154.86</v>
      </c>
      <c r="F78" s="27"/>
      <c r="G78" s="27">
        <f>'Summary - Cost - PG 1 (Tot)'!H19</f>
        <v>-482249.92000000004</v>
      </c>
      <c r="H78" s="27"/>
      <c r="I78" s="27">
        <f>'Summary - Cost - PG 1 (Tot)'!J19</f>
        <v>0</v>
      </c>
      <c r="J78" s="27"/>
      <c r="K78" s="27">
        <f t="shared" si="2"/>
        <v>3031904.94</v>
      </c>
      <c r="L78" s="27"/>
      <c r="M78" s="27">
        <f t="shared" si="3"/>
        <v>178634438.03</v>
      </c>
      <c r="N78" s="27"/>
      <c r="O78" s="12"/>
      <c r="R78" s="172"/>
      <c r="S78" s="174"/>
      <c r="T78" s="175"/>
      <c r="U78" s="175"/>
      <c r="V78" s="176"/>
    </row>
    <row r="79" spans="1:23" s="10" customFormat="1">
      <c r="A79" s="58"/>
      <c r="B79" s="10" t="s">
        <v>118</v>
      </c>
      <c r="C79" s="27">
        <f>'Summary - Cost - PG 1 (Tot)'!D20</f>
        <v>1106190445.7899995</v>
      </c>
      <c r="D79" s="27"/>
      <c r="E79" s="27">
        <f>'Summary - Cost - PG 1 (Tot)'!F20</f>
        <v>16857073.789999999</v>
      </c>
      <c r="F79" s="27"/>
      <c r="G79" s="27">
        <f>'Summary - Cost - PG 1 (Tot)'!H20</f>
        <v>-1121933.4899999998</v>
      </c>
      <c r="H79" s="27"/>
      <c r="I79" s="27">
        <f>'Summary - Cost - PG 1 (Tot)'!J20</f>
        <v>0</v>
      </c>
      <c r="J79" s="27"/>
      <c r="K79" s="27">
        <f t="shared" si="2"/>
        <v>15735140.299999999</v>
      </c>
      <c r="L79" s="27"/>
      <c r="M79" s="27">
        <f t="shared" si="3"/>
        <v>1121925586.0899994</v>
      </c>
      <c r="N79" s="27"/>
      <c r="O79" s="12"/>
    </row>
    <row r="80" spans="1:23" s="10" customFormat="1">
      <c r="A80" s="58"/>
      <c r="B80" s="10" t="s">
        <v>119</v>
      </c>
      <c r="C80" s="28">
        <f>'Summary - Cost - PG 1 (Tot)'!D21</f>
        <v>137217982.44</v>
      </c>
      <c r="D80" s="27"/>
      <c r="E80" s="28">
        <f>'Summary - Cost - PG 1 (Tot)'!F21</f>
        <v>5667284.0299999993</v>
      </c>
      <c r="F80" s="27"/>
      <c r="G80" s="28">
        <f>'Summary - Cost - PG 1 (Tot)'!H21</f>
        <v>-456718.33000000007</v>
      </c>
      <c r="H80" s="27"/>
      <c r="I80" s="28">
        <f>'Summary - Cost - PG 1 (Tot)'!J21</f>
        <v>0</v>
      </c>
      <c r="J80" s="27"/>
      <c r="K80" s="28">
        <f t="shared" si="2"/>
        <v>5210565.6999999993</v>
      </c>
      <c r="L80" s="27"/>
      <c r="M80" s="28">
        <f t="shared" si="3"/>
        <v>142428548.13999999</v>
      </c>
      <c r="N80" s="27"/>
      <c r="O80" s="12"/>
    </row>
    <row r="81" spans="1:20" s="10" customFormat="1">
      <c r="A81" s="58"/>
      <c r="B81" s="11"/>
      <c r="C81" s="27">
        <f>SUM(C74:C80)</f>
        <v>2150178723.3999991</v>
      </c>
      <c r="D81" s="27"/>
      <c r="E81" s="27">
        <f>SUM(E74:E80)</f>
        <v>46442238.420000002</v>
      </c>
      <c r="F81" s="27"/>
      <c r="G81" s="27">
        <f>SUM(G74:G80)</f>
        <v>-3273037.5599999996</v>
      </c>
      <c r="H81" s="27"/>
      <c r="I81" s="27">
        <f>SUM(I74:I80)</f>
        <v>21903.139999999981</v>
      </c>
      <c r="J81" s="27"/>
      <c r="K81" s="27">
        <f>SUM(K74:K80)</f>
        <v>43191104</v>
      </c>
      <c r="L81" s="27"/>
      <c r="M81" s="27">
        <f>SUM(M74:M80)</f>
        <v>2193369827.3999991</v>
      </c>
      <c r="N81" s="27"/>
      <c r="O81" s="12" t="s">
        <v>1099</v>
      </c>
    </row>
    <row r="82" spans="1:20">
      <c r="B82" s="5"/>
      <c r="C82" s="5"/>
      <c r="D82" s="5"/>
      <c r="E82" s="5"/>
      <c r="F82" s="5"/>
      <c r="G82" s="5"/>
      <c r="H82" s="5"/>
      <c r="I82" s="5"/>
      <c r="J82" s="5"/>
      <c r="K82" s="5"/>
      <c r="L82" s="5"/>
      <c r="M82" s="5"/>
      <c r="N82" s="5"/>
      <c r="O82" s="177"/>
      <c r="P82" s="5"/>
      <c r="Q82" s="5"/>
      <c r="R82" s="5"/>
      <c r="S82" s="5"/>
    </row>
    <row r="83" spans="1:20">
      <c r="A83" s="58" t="s">
        <v>112</v>
      </c>
      <c r="B83" s="10">
        <v>102</v>
      </c>
      <c r="C83" s="5"/>
      <c r="D83" s="5"/>
      <c r="E83" s="5"/>
      <c r="F83" s="5"/>
      <c r="G83" s="5"/>
      <c r="H83" s="5"/>
      <c r="I83" s="5"/>
      <c r="J83" s="5"/>
      <c r="K83" s="5"/>
      <c r="L83" s="5"/>
      <c r="M83" s="5"/>
      <c r="N83" s="5"/>
      <c r="O83" s="177"/>
      <c r="P83" s="5"/>
      <c r="Q83" s="5"/>
      <c r="R83" s="5"/>
      <c r="S83" s="5"/>
    </row>
    <row r="84" spans="1:20">
      <c r="B84" s="12" t="s">
        <v>501</v>
      </c>
      <c r="C84" s="5"/>
      <c r="D84" s="5"/>
      <c r="E84" s="5"/>
      <c r="F84" s="5"/>
      <c r="G84" s="5"/>
      <c r="H84" s="5"/>
      <c r="I84" s="5"/>
      <c r="J84" s="5"/>
      <c r="K84" s="5"/>
      <c r="L84" s="5"/>
      <c r="M84" s="5"/>
      <c r="N84" s="5"/>
      <c r="O84" s="177"/>
      <c r="P84" s="5"/>
      <c r="Q84" s="5"/>
      <c r="R84" s="5"/>
      <c r="S84" s="5"/>
    </row>
    <row r="85" spans="1:20">
      <c r="B85" s="10" t="s">
        <v>118</v>
      </c>
      <c r="C85" s="28">
        <f>+'Summary - Cost - PG 1 (Tot)'!D45</f>
        <v>0</v>
      </c>
      <c r="D85" s="27"/>
      <c r="E85" s="28">
        <f>+'Summary - Cost - PG 1 (Tot)'!F45</f>
        <v>0</v>
      </c>
      <c r="F85" s="27"/>
      <c r="G85" s="28">
        <f>+'Summary - Cost - PG 1 (Tot)'!H45</f>
        <v>0</v>
      </c>
      <c r="H85" s="27"/>
      <c r="I85" s="28">
        <f>+'Summary - Cost - PG 1 (Tot)'!J45</f>
        <v>0</v>
      </c>
      <c r="J85" s="27"/>
      <c r="K85" s="28">
        <f>E85+G85+I85</f>
        <v>0</v>
      </c>
      <c r="L85" s="27"/>
      <c r="M85" s="28">
        <f>C85+K85</f>
        <v>0</v>
      </c>
      <c r="N85" s="5"/>
      <c r="O85" s="12"/>
      <c r="P85" s="5"/>
      <c r="Q85" s="5"/>
      <c r="R85" s="5"/>
      <c r="S85" s="5"/>
    </row>
    <row r="86" spans="1:20">
      <c r="B86" s="10"/>
      <c r="C86" s="27">
        <f>SUM(C85:C85)</f>
        <v>0</v>
      </c>
      <c r="D86" s="27"/>
      <c r="E86" s="27">
        <f>SUM(E85)</f>
        <v>0</v>
      </c>
      <c r="F86" s="27"/>
      <c r="G86" s="27">
        <f>SUM(G85)</f>
        <v>0</v>
      </c>
      <c r="H86" s="27"/>
      <c r="I86" s="27">
        <f>SUM(I85)</f>
        <v>0</v>
      </c>
      <c r="J86" s="27"/>
      <c r="K86" s="27">
        <f>SUM(K85)</f>
        <v>0</v>
      </c>
      <c r="L86" s="27"/>
      <c r="M86" s="27">
        <f>SUM(M85:M85)</f>
        <v>0</v>
      </c>
      <c r="N86" s="5"/>
      <c r="O86" s="12" t="s">
        <v>1100</v>
      </c>
      <c r="P86" s="5"/>
      <c r="Q86" s="5"/>
      <c r="R86" s="5"/>
      <c r="S86" s="5"/>
    </row>
    <row r="87" spans="1:20">
      <c r="B87" s="10"/>
      <c r="C87" s="5"/>
      <c r="D87" s="5"/>
      <c r="E87" s="5"/>
      <c r="F87" s="5"/>
      <c r="G87" s="5"/>
      <c r="H87" s="5"/>
      <c r="I87" s="5"/>
      <c r="J87" s="5"/>
      <c r="K87" s="5"/>
      <c r="L87" s="5"/>
      <c r="M87" s="5"/>
      <c r="N87" s="5"/>
      <c r="O87" s="177"/>
      <c r="P87" s="5"/>
      <c r="Q87" s="5"/>
      <c r="R87" s="5"/>
      <c r="S87" s="5"/>
    </row>
    <row r="88" spans="1:20">
      <c r="C88" s="27"/>
      <c r="D88" s="27"/>
      <c r="E88" s="27"/>
      <c r="F88" s="27"/>
      <c r="G88" s="27"/>
      <c r="H88" s="27"/>
      <c r="I88" s="27"/>
      <c r="J88" s="27"/>
      <c r="K88" s="27"/>
      <c r="L88" s="27"/>
      <c r="M88" s="27">
        <f>+M81+M86</f>
        <v>2193369827.3999991</v>
      </c>
      <c r="N88" s="5"/>
      <c r="O88" s="177" t="s">
        <v>1101</v>
      </c>
      <c r="P88" s="5"/>
      <c r="Q88" s="5"/>
      <c r="R88" s="5"/>
      <c r="S88" s="5"/>
    </row>
    <row r="89" spans="1:20">
      <c r="A89" s="58" t="s">
        <v>112</v>
      </c>
      <c r="B89" s="10">
        <v>106</v>
      </c>
      <c r="C89" s="27"/>
      <c r="D89" s="27"/>
      <c r="E89" s="27"/>
      <c r="F89" s="27"/>
      <c r="G89" s="27"/>
      <c r="H89" s="27"/>
      <c r="I89" s="27"/>
      <c r="J89" s="27"/>
      <c r="K89" s="27"/>
      <c r="L89" s="27"/>
      <c r="M89" s="27"/>
      <c r="N89" s="5"/>
      <c r="O89" s="177"/>
      <c r="P89" s="5"/>
      <c r="Q89" s="5"/>
      <c r="R89" s="5"/>
      <c r="S89" s="5"/>
    </row>
    <row r="90" spans="1:20">
      <c r="A90" s="58"/>
      <c r="B90" s="10" t="s">
        <v>113</v>
      </c>
      <c r="C90" s="27">
        <f>'Summary - Cost - PG 1 (Tot)'!D67</f>
        <v>23194098.369999997</v>
      </c>
      <c r="D90" s="27"/>
      <c r="E90" s="27">
        <f>'Summary - Cost - PG 1 (Tot)'!F67</f>
        <v>11855536.970000003</v>
      </c>
      <c r="F90" s="27"/>
      <c r="G90" s="27">
        <f>'Summary - Cost - PG 1 (Tot)'!H67</f>
        <v>0</v>
      </c>
      <c r="H90" s="27"/>
      <c r="I90" s="27">
        <f>'Summary - Cost - PG 1 (Tot)'!J67</f>
        <v>0</v>
      </c>
      <c r="J90" s="27"/>
      <c r="K90" s="27">
        <f t="shared" ref="K90:K96" si="4">E90+G90+I90</f>
        <v>11855536.970000003</v>
      </c>
      <c r="L90" s="27"/>
      <c r="M90" s="27">
        <f t="shared" ref="M90:M96" si="5">C90+K90</f>
        <v>35049635.340000004</v>
      </c>
      <c r="N90" s="5"/>
      <c r="O90" s="3"/>
      <c r="P90" s="5"/>
      <c r="Q90" s="5"/>
      <c r="R90" s="5"/>
      <c r="S90" s="5"/>
      <c r="T90" s="5"/>
    </row>
    <row r="91" spans="1:20">
      <c r="A91" s="58"/>
      <c r="B91" s="10" t="s">
        <v>114</v>
      </c>
      <c r="C91" s="27">
        <f>'Summary - Cost - PG 1 (Tot)'!D68</f>
        <v>6763.2199999999793</v>
      </c>
      <c r="D91" s="27"/>
      <c r="E91" s="27">
        <f>'Summary - Cost - PG 1 (Tot)'!F68</f>
        <v>63825.04</v>
      </c>
      <c r="F91" s="27"/>
      <c r="G91" s="27">
        <f>'Summary - Cost - PG 1 (Tot)'!H68</f>
        <v>0</v>
      </c>
      <c r="H91" s="27"/>
      <c r="I91" s="27">
        <f>'Summary - Cost - PG 1 (Tot)'!J68</f>
        <v>0</v>
      </c>
      <c r="J91" s="27"/>
      <c r="K91" s="27">
        <f t="shared" si="4"/>
        <v>63825.04</v>
      </c>
      <c r="L91" s="27"/>
      <c r="M91" s="27">
        <f t="shared" si="5"/>
        <v>70588.25999999998</v>
      </c>
      <c r="N91" s="5"/>
      <c r="O91" s="177"/>
      <c r="P91" s="5"/>
      <c r="Q91" s="5"/>
      <c r="R91" s="5"/>
      <c r="S91" s="5"/>
      <c r="T91" s="5"/>
    </row>
    <row r="92" spans="1:20">
      <c r="A92" s="58"/>
      <c r="B92" s="10" t="s">
        <v>115</v>
      </c>
      <c r="C92" s="27">
        <f>'Summary - Cost - PG 1 (Tot)'!D69</f>
        <v>16456.360000000033</v>
      </c>
      <c r="D92" s="27"/>
      <c r="E92" s="27">
        <f>'Summary - Cost - PG 1 (Tot)'!F69</f>
        <v>-16456.36</v>
      </c>
      <c r="F92" s="27"/>
      <c r="G92" s="27">
        <f>'Summary - Cost - PG 1 (Tot)'!H69</f>
        <v>0</v>
      </c>
      <c r="H92" s="27"/>
      <c r="I92" s="27">
        <f>'Summary - Cost - PG 1 (Tot)'!J69</f>
        <v>0</v>
      </c>
      <c r="J92" s="27"/>
      <c r="K92" s="27">
        <f t="shared" si="4"/>
        <v>-16456.36</v>
      </c>
      <c r="L92" s="27"/>
      <c r="M92" s="27">
        <f t="shared" si="5"/>
        <v>3.2741809263825417E-11</v>
      </c>
      <c r="N92" s="5"/>
      <c r="O92" s="177"/>
      <c r="P92" s="5"/>
      <c r="Q92" s="5"/>
      <c r="R92" s="5"/>
      <c r="S92" s="5"/>
      <c r="T92" s="5"/>
    </row>
    <row r="93" spans="1:20">
      <c r="A93" s="58"/>
      <c r="B93" s="10" t="s">
        <v>116</v>
      </c>
      <c r="C93" s="27">
        <f>'Summary - Cost - PG 1 (Tot)'!D70</f>
        <v>0</v>
      </c>
      <c r="D93" s="27"/>
      <c r="E93" s="27">
        <f>'Summary - Cost - PG 1 (Tot)'!F70</f>
        <v>0</v>
      </c>
      <c r="F93" s="27"/>
      <c r="G93" s="27">
        <f>'Summary - Cost - PG 1 (Tot)'!H70</f>
        <v>0</v>
      </c>
      <c r="H93" s="27"/>
      <c r="I93" s="27">
        <f>'Summary - Cost - PG 1 (Tot)'!J70</f>
        <v>0</v>
      </c>
      <c r="J93" s="27"/>
      <c r="K93" s="27">
        <f t="shared" si="4"/>
        <v>0</v>
      </c>
      <c r="L93" s="27"/>
      <c r="M93" s="27">
        <f t="shared" si="5"/>
        <v>0</v>
      </c>
      <c r="N93" s="5"/>
      <c r="O93" s="177"/>
      <c r="P93" s="5"/>
      <c r="Q93" s="5"/>
      <c r="R93" s="5"/>
      <c r="S93" s="5"/>
      <c r="T93" s="5"/>
    </row>
    <row r="94" spans="1:20">
      <c r="A94" s="58"/>
      <c r="B94" s="10" t="s">
        <v>117</v>
      </c>
      <c r="C94" s="27">
        <f>'Summary - Cost - PG 1 (Tot)'!D71</f>
        <v>3535959.74</v>
      </c>
      <c r="D94" s="27"/>
      <c r="E94" s="27">
        <f>'Summary - Cost - PG 1 (Tot)'!F71</f>
        <v>-2930744.84</v>
      </c>
      <c r="F94" s="27"/>
      <c r="G94" s="27">
        <f>'Summary - Cost - PG 1 (Tot)'!H71</f>
        <v>0</v>
      </c>
      <c r="H94" s="27"/>
      <c r="I94" s="27">
        <f>'Summary - Cost - PG 1 (Tot)'!J71</f>
        <v>0</v>
      </c>
      <c r="J94" s="27"/>
      <c r="K94" s="27">
        <f t="shared" si="4"/>
        <v>-2930744.84</v>
      </c>
      <c r="L94" s="27"/>
      <c r="M94" s="27">
        <f t="shared" si="5"/>
        <v>605214.90000000037</v>
      </c>
      <c r="N94" s="5"/>
      <c r="O94" s="177"/>
      <c r="P94" s="5"/>
      <c r="Q94" s="5"/>
      <c r="R94" s="5"/>
      <c r="S94" s="5"/>
      <c r="T94" s="5"/>
    </row>
    <row r="95" spans="1:20">
      <c r="A95" s="58"/>
      <c r="B95" s="10" t="s">
        <v>118</v>
      </c>
      <c r="C95" s="27">
        <f>'Summary - Cost - PG 1 (Tot)'!D72</f>
        <v>41206823.190000027</v>
      </c>
      <c r="D95" s="27"/>
      <c r="E95" s="27">
        <f>'Summary - Cost - PG 1 (Tot)'!F72</f>
        <v>-11271234.790000001</v>
      </c>
      <c r="F95" s="27"/>
      <c r="G95" s="27">
        <f>'Summary - Cost - PG 1 (Tot)'!H72</f>
        <v>0</v>
      </c>
      <c r="H95" s="27"/>
      <c r="I95" s="27">
        <f>'Summary - Cost - PG 1 (Tot)'!J72</f>
        <v>0</v>
      </c>
      <c r="J95" s="27"/>
      <c r="K95" s="27">
        <f t="shared" si="4"/>
        <v>-11271234.790000001</v>
      </c>
      <c r="L95" s="27"/>
      <c r="M95" s="27">
        <f t="shared" si="5"/>
        <v>29935588.400000028</v>
      </c>
      <c r="N95" s="5"/>
      <c r="O95" s="177"/>
      <c r="P95" s="5"/>
      <c r="Q95" s="5"/>
      <c r="R95" s="5"/>
      <c r="S95" s="5"/>
      <c r="T95" s="5"/>
    </row>
    <row r="96" spans="1:20">
      <c r="A96" s="58"/>
      <c r="B96" s="10" t="s">
        <v>119</v>
      </c>
      <c r="C96" s="28">
        <f>'Summary - Cost - PG 1 (Tot)'!D73</f>
        <v>37523227.350000001</v>
      </c>
      <c r="D96" s="27"/>
      <c r="E96" s="28">
        <f>'Summary - Cost - PG 1 (Tot)'!F73</f>
        <v>1552225.9299999997</v>
      </c>
      <c r="F96" s="27"/>
      <c r="G96" s="28">
        <f>'Summary - Cost - PG 1 (Tot)'!H73</f>
        <v>0</v>
      </c>
      <c r="H96" s="27"/>
      <c r="I96" s="28">
        <f>'Summary - Cost - PG 1 (Tot)'!J73</f>
        <v>0</v>
      </c>
      <c r="J96" s="27"/>
      <c r="K96" s="28">
        <f t="shared" si="4"/>
        <v>1552225.9299999997</v>
      </c>
      <c r="L96" s="27"/>
      <c r="M96" s="28">
        <f t="shared" si="5"/>
        <v>39075453.280000001</v>
      </c>
      <c r="N96" s="5"/>
      <c r="O96" s="177"/>
      <c r="P96" s="5"/>
      <c r="Q96" s="5"/>
      <c r="R96" s="5"/>
      <c r="S96" s="5"/>
      <c r="T96" s="5"/>
    </row>
    <row r="97" spans="1:20">
      <c r="A97" s="58"/>
      <c r="B97" s="11"/>
      <c r="C97" s="27">
        <f>SUM(C90:C96)</f>
        <v>105483328.23000002</v>
      </c>
      <c r="D97" s="27"/>
      <c r="E97" s="27">
        <f>SUM(E90:E96)</f>
        <v>-746848.04999999888</v>
      </c>
      <c r="F97" s="27"/>
      <c r="G97" s="27">
        <f>SUM(G90:G96)</f>
        <v>0</v>
      </c>
      <c r="H97" s="27"/>
      <c r="I97" s="27">
        <f>SUM(I90:I96)</f>
        <v>0</v>
      </c>
      <c r="J97" s="27"/>
      <c r="K97" s="27">
        <f>SUM(K90:K96)</f>
        <v>-746848.04999999888</v>
      </c>
      <c r="L97" s="27"/>
      <c r="M97" s="27">
        <f>SUM(M90:M96)</f>
        <v>104736480.18000004</v>
      </c>
      <c r="N97" s="5"/>
      <c r="O97" s="177" t="s">
        <v>990</v>
      </c>
      <c r="P97" s="5"/>
      <c r="Q97" s="10"/>
      <c r="R97" s="5"/>
      <c r="S97" s="5"/>
      <c r="T97" s="5"/>
    </row>
    <row r="98" spans="1:20">
      <c r="C98" s="5"/>
      <c r="D98" s="5"/>
      <c r="E98" s="5"/>
      <c r="F98" s="5"/>
      <c r="G98" s="5"/>
      <c r="H98" s="5"/>
      <c r="I98" s="5"/>
      <c r="J98" s="5"/>
      <c r="K98" s="5"/>
      <c r="L98" s="5"/>
      <c r="M98" s="5"/>
      <c r="N98" s="5"/>
      <c r="P98" s="5"/>
      <c r="Q98" s="5"/>
      <c r="R98" s="5"/>
      <c r="S98" s="5"/>
      <c r="T98" s="5"/>
    </row>
    <row r="99" spans="1:20">
      <c r="A99" s="110" t="s">
        <v>112</v>
      </c>
      <c r="B99" s="107" t="s">
        <v>147</v>
      </c>
      <c r="C99" s="111"/>
      <c r="D99" s="111"/>
      <c r="E99" s="111"/>
      <c r="F99" s="111"/>
      <c r="G99" s="111"/>
      <c r="H99" s="111"/>
      <c r="I99" s="111"/>
      <c r="J99" s="111"/>
      <c r="K99" s="111"/>
      <c r="L99" s="111"/>
      <c r="M99" s="111"/>
      <c r="N99" s="5"/>
      <c r="O99" s="177"/>
      <c r="P99" s="5"/>
      <c r="Q99" s="5"/>
      <c r="R99" s="5"/>
      <c r="S99" s="5"/>
      <c r="T99" s="5"/>
    </row>
    <row r="100" spans="1:20">
      <c r="A100" s="110"/>
      <c r="B100" s="107" t="s">
        <v>113</v>
      </c>
      <c r="C100" s="111">
        <f t="shared" ref="C100:C106" si="6">C74+C90</f>
        <v>716227179.70999992</v>
      </c>
      <c r="D100" s="111"/>
      <c r="E100" s="111">
        <f>E74+E90</f>
        <v>32063554.190000001</v>
      </c>
      <c r="F100" s="111"/>
      <c r="G100" s="111">
        <f t="shared" ref="G100:G106" si="7">G74+G90</f>
        <v>-1212153.9299999997</v>
      </c>
      <c r="H100" s="111"/>
      <c r="I100" s="111">
        <f t="shared" ref="I100:I106" si="8">I74+I90</f>
        <v>21903.139999999981</v>
      </c>
      <c r="J100" s="111"/>
      <c r="K100" s="111">
        <f t="shared" ref="K100:K106" si="9">E100+G100+I100</f>
        <v>30873303.400000002</v>
      </c>
      <c r="L100" s="111"/>
      <c r="M100" s="111">
        <f t="shared" ref="M100:M106" si="10">C100+K100</f>
        <v>747100483.1099999</v>
      </c>
      <c r="N100" s="5"/>
      <c r="O100" s="177"/>
      <c r="P100" s="5"/>
      <c r="Q100" s="5"/>
      <c r="R100" s="5"/>
      <c r="S100" s="5"/>
      <c r="T100" s="5"/>
    </row>
    <row r="101" spans="1:20">
      <c r="A101" s="110"/>
      <c r="B101" s="107" t="s">
        <v>114</v>
      </c>
      <c r="C101" s="111">
        <f t="shared" si="6"/>
        <v>5124602.0200000005</v>
      </c>
      <c r="D101" s="111"/>
      <c r="E101" s="111">
        <f>E75+E91</f>
        <v>243077.2</v>
      </c>
      <c r="F101" s="111"/>
      <c r="G101" s="111">
        <f t="shared" si="7"/>
        <v>0</v>
      </c>
      <c r="H101" s="111"/>
      <c r="I101" s="111">
        <f t="shared" si="8"/>
        <v>0</v>
      </c>
      <c r="J101" s="111"/>
      <c r="K101" s="111">
        <f t="shared" si="9"/>
        <v>243077.2</v>
      </c>
      <c r="L101" s="111"/>
      <c r="M101" s="111">
        <f t="shared" si="10"/>
        <v>5367679.2200000007</v>
      </c>
      <c r="N101" s="5"/>
      <c r="O101" s="177"/>
      <c r="P101" s="5"/>
      <c r="Q101" s="5"/>
      <c r="R101" s="5"/>
      <c r="S101" s="5"/>
      <c r="T101" s="5"/>
    </row>
    <row r="102" spans="1:20">
      <c r="A102" s="110"/>
      <c r="B102" s="107" t="s">
        <v>115</v>
      </c>
      <c r="C102" s="111">
        <f t="shared" si="6"/>
        <v>33031058.010000002</v>
      </c>
      <c r="D102" s="111"/>
      <c r="E102" s="111">
        <f>E76+E92</f>
        <v>0</v>
      </c>
      <c r="F102" s="111"/>
      <c r="G102" s="111">
        <f t="shared" si="7"/>
        <v>18.109999999999957</v>
      </c>
      <c r="H102" s="111"/>
      <c r="I102" s="111">
        <f t="shared" si="8"/>
        <v>0</v>
      </c>
      <c r="J102" s="111"/>
      <c r="K102" s="111">
        <f t="shared" si="9"/>
        <v>18.109999999999957</v>
      </c>
      <c r="L102" s="111"/>
      <c r="M102" s="111">
        <f t="shared" si="10"/>
        <v>33031076.120000001</v>
      </c>
      <c r="N102" s="5"/>
      <c r="O102" s="177"/>
      <c r="P102" s="5"/>
      <c r="Q102" s="5"/>
      <c r="R102" s="5"/>
      <c r="S102" s="5"/>
      <c r="T102" s="5"/>
    </row>
    <row r="103" spans="1:20">
      <c r="A103" s="110"/>
      <c r="B103" s="107" t="s">
        <v>116</v>
      </c>
      <c r="C103" s="111">
        <f t="shared" si="6"/>
        <v>2240.29</v>
      </c>
      <c r="D103" s="111"/>
      <c r="E103" s="111">
        <f>E77+E93</f>
        <v>0</v>
      </c>
      <c r="F103" s="111"/>
      <c r="G103" s="111">
        <f t="shared" si="7"/>
        <v>0</v>
      </c>
      <c r="H103" s="111"/>
      <c r="I103" s="111">
        <f t="shared" si="8"/>
        <v>0</v>
      </c>
      <c r="J103" s="111"/>
      <c r="K103" s="111">
        <f t="shared" si="9"/>
        <v>0</v>
      </c>
      <c r="L103" s="111"/>
      <c r="M103" s="111">
        <f t="shared" si="10"/>
        <v>2240.29</v>
      </c>
      <c r="N103" s="5"/>
      <c r="O103" s="177"/>
      <c r="P103" s="5"/>
      <c r="Q103" s="5"/>
      <c r="R103" s="5"/>
      <c r="S103" s="5"/>
      <c r="T103" s="5"/>
    </row>
    <row r="104" spans="1:20">
      <c r="A104" s="110"/>
      <c r="B104" s="107" t="s">
        <v>117</v>
      </c>
      <c r="C104" s="111">
        <f t="shared" si="6"/>
        <v>179138492.83000001</v>
      </c>
      <c r="D104" s="111"/>
      <c r="E104" s="111">
        <f>E78+E94</f>
        <v>583410.02</v>
      </c>
      <c r="F104" s="111"/>
      <c r="G104" s="111">
        <f t="shared" si="7"/>
        <v>-482249.92000000004</v>
      </c>
      <c r="H104" s="111"/>
      <c r="I104" s="111">
        <f t="shared" si="8"/>
        <v>0</v>
      </c>
      <c r="J104" s="111"/>
      <c r="K104" s="111">
        <f t="shared" si="9"/>
        <v>101160.09999999998</v>
      </c>
      <c r="L104" s="111"/>
      <c r="M104" s="111">
        <f t="shared" si="10"/>
        <v>179239652.93000001</v>
      </c>
      <c r="N104" s="5"/>
      <c r="O104" s="177"/>
      <c r="P104" s="5"/>
      <c r="Q104" s="5"/>
      <c r="R104" s="5"/>
      <c r="S104" s="5"/>
      <c r="T104" s="5"/>
    </row>
    <row r="105" spans="1:20">
      <c r="A105" s="110"/>
      <c r="B105" s="107" t="s">
        <v>118</v>
      </c>
      <c r="C105" s="111">
        <f t="shared" si="6"/>
        <v>1147397268.9799995</v>
      </c>
      <c r="D105" s="111"/>
      <c r="E105" s="111">
        <f>E79+E85+E95</f>
        <v>5585838.9999999981</v>
      </c>
      <c r="F105" s="111"/>
      <c r="G105" s="111">
        <f t="shared" si="7"/>
        <v>-1121933.4899999998</v>
      </c>
      <c r="H105" s="111"/>
      <c r="I105" s="111">
        <f t="shared" si="8"/>
        <v>0</v>
      </c>
      <c r="J105" s="111"/>
      <c r="K105" s="111">
        <f t="shared" si="9"/>
        <v>4463905.5099999979</v>
      </c>
      <c r="L105" s="111"/>
      <c r="M105" s="111">
        <f t="shared" si="10"/>
        <v>1151861174.4899995</v>
      </c>
      <c r="N105" s="5"/>
      <c r="O105" s="177"/>
      <c r="P105" s="5"/>
      <c r="Q105" s="5"/>
      <c r="R105" s="5"/>
      <c r="S105" s="5"/>
      <c r="T105" s="5"/>
    </row>
    <row r="106" spans="1:20">
      <c r="A106" s="110"/>
      <c r="B106" s="107" t="s">
        <v>119</v>
      </c>
      <c r="C106" s="112">
        <f t="shared" si="6"/>
        <v>174741209.78999999</v>
      </c>
      <c r="D106" s="111"/>
      <c r="E106" s="112">
        <f>E80+E96</f>
        <v>7219509.959999999</v>
      </c>
      <c r="F106" s="111"/>
      <c r="G106" s="112">
        <f t="shared" si="7"/>
        <v>-456718.33000000007</v>
      </c>
      <c r="H106" s="111"/>
      <c r="I106" s="112">
        <f t="shared" si="8"/>
        <v>0</v>
      </c>
      <c r="J106" s="111"/>
      <c r="K106" s="112">
        <f t="shared" si="9"/>
        <v>6762791.629999999</v>
      </c>
      <c r="L106" s="111"/>
      <c r="M106" s="112">
        <f t="shared" si="10"/>
        <v>181504001.41999999</v>
      </c>
      <c r="N106" s="5"/>
      <c r="O106" s="177"/>
      <c r="P106" s="5"/>
      <c r="Q106" s="5"/>
      <c r="R106" s="5"/>
      <c r="S106" s="5"/>
      <c r="T106" s="5"/>
    </row>
    <row r="107" spans="1:20">
      <c r="A107" s="110"/>
      <c r="B107" s="113"/>
      <c r="C107" s="111">
        <f>SUM(C100:C106)</f>
        <v>2255662051.6299996</v>
      </c>
      <c r="D107" s="111"/>
      <c r="E107" s="111">
        <f>SUM(E100:E106)</f>
        <v>45695390.369999997</v>
      </c>
      <c r="F107" s="111"/>
      <c r="G107" s="111">
        <f>SUM(G100:G106)</f>
        <v>-3273037.5599999996</v>
      </c>
      <c r="H107" s="111"/>
      <c r="I107" s="111">
        <f>SUM(I100:I106)</f>
        <v>21903.139999999981</v>
      </c>
      <c r="J107" s="111"/>
      <c r="K107" s="111">
        <f>SUM(K100:K106)</f>
        <v>42444255.950000003</v>
      </c>
      <c r="L107" s="111"/>
      <c r="M107" s="111">
        <f>SUM(M100:M106)</f>
        <v>2298106307.5799994</v>
      </c>
      <c r="N107" s="5"/>
      <c r="O107" s="177" t="s">
        <v>991</v>
      </c>
      <c r="P107" s="5"/>
      <c r="Q107" s="163" t="s">
        <v>1082</v>
      </c>
      <c r="R107" s="5"/>
      <c r="S107" s="5"/>
      <c r="T107" s="5"/>
    </row>
    <row r="108" spans="1:20">
      <c r="A108" s="110"/>
      <c r="B108" s="113"/>
      <c r="C108" s="111">
        <f>+C81+C86+C97-C107</f>
        <v>0</v>
      </c>
      <c r="D108" s="111"/>
      <c r="E108" s="111">
        <f t="shared" ref="E108:N108" si="11">+E81+E86+E97-E107</f>
        <v>0</v>
      </c>
      <c r="F108" s="111"/>
      <c r="G108" s="111">
        <f t="shared" si="11"/>
        <v>0</v>
      </c>
      <c r="H108" s="111"/>
      <c r="I108" s="111">
        <f t="shared" si="11"/>
        <v>0</v>
      </c>
      <c r="J108" s="111"/>
      <c r="K108" s="111">
        <f t="shared" si="11"/>
        <v>0</v>
      </c>
      <c r="L108" s="111"/>
      <c r="M108" s="111">
        <f t="shared" si="11"/>
        <v>0</v>
      </c>
      <c r="N108" s="111">
        <f t="shared" si="11"/>
        <v>0</v>
      </c>
      <c r="P108" s="5"/>
      <c r="Q108" s="10"/>
      <c r="R108" s="5"/>
      <c r="S108" s="5"/>
      <c r="T108" s="5"/>
    </row>
    <row r="109" spans="1:20" s="10" customFormat="1">
      <c r="A109" s="58"/>
      <c r="B109" s="11"/>
      <c r="C109" s="27"/>
      <c r="D109" s="27"/>
      <c r="E109" s="27"/>
      <c r="F109" s="27"/>
      <c r="G109" s="27"/>
      <c r="H109" s="27"/>
      <c r="I109" s="27"/>
      <c r="J109" s="27"/>
      <c r="K109" s="27"/>
      <c r="L109" s="27"/>
      <c r="M109" s="27"/>
      <c r="N109" s="21"/>
      <c r="O109" s="177"/>
      <c r="P109" s="21"/>
      <c r="R109" s="21"/>
      <c r="S109" s="21"/>
      <c r="T109" s="21"/>
    </row>
    <row r="110" spans="1:20">
      <c r="C110" s="5"/>
      <c r="D110" s="5"/>
      <c r="E110" s="5"/>
      <c r="F110" s="5"/>
      <c r="G110" s="5"/>
      <c r="H110" s="5"/>
      <c r="I110" s="5"/>
      <c r="J110" s="5"/>
      <c r="K110" s="5"/>
      <c r="L110" s="5"/>
      <c r="M110" s="5"/>
      <c r="N110" s="5"/>
      <c r="O110" s="178"/>
      <c r="P110" s="5"/>
      <c r="Q110" s="5"/>
      <c r="R110" s="5"/>
      <c r="S110" s="5"/>
      <c r="T110" s="5"/>
    </row>
    <row r="111" spans="1:20">
      <c r="A111" s="101" t="s">
        <v>418</v>
      </c>
      <c r="C111" s="5"/>
      <c r="D111" s="5"/>
      <c r="E111" s="5"/>
      <c r="F111" s="5"/>
      <c r="G111" s="5"/>
      <c r="H111" s="5"/>
      <c r="I111" s="5"/>
      <c r="J111" s="5"/>
      <c r="K111" s="5"/>
      <c r="L111" s="5"/>
      <c r="M111" s="5"/>
      <c r="N111" s="5"/>
      <c r="O111" s="177"/>
      <c r="P111" s="5"/>
      <c r="Q111" s="5"/>
      <c r="R111" s="5"/>
      <c r="S111" s="5"/>
      <c r="T111" s="5"/>
    </row>
    <row r="112" spans="1:20">
      <c r="C112" s="5"/>
      <c r="D112" s="5"/>
      <c r="E112" s="97" t="s">
        <v>678</v>
      </c>
      <c r="F112" s="5"/>
      <c r="G112" s="5"/>
      <c r="H112" s="5"/>
      <c r="I112" s="165"/>
      <c r="J112" s="5"/>
      <c r="K112" s="162"/>
      <c r="L112" s="5"/>
      <c r="M112" s="162"/>
      <c r="N112" s="5"/>
      <c r="O112" s="177"/>
      <c r="P112" s="5"/>
      <c r="Q112" s="5"/>
      <c r="R112" s="5"/>
      <c r="S112" s="5"/>
      <c r="T112" s="5"/>
    </row>
    <row r="113" spans="2:20">
      <c r="B113" s="12" t="s">
        <v>655</v>
      </c>
      <c r="C113" s="10"/>
      <c r="D113" s="5"/>
      <c r="E113" s="98" t="s">
        <v>679</v>
      </c>
      <c r="F113" s="5"/>
      <c r="G113" s="5"/>
      <c r="H113" s="5"/>
      <c r="I113" s="166" t="s">
        <v>1037</v>
      </c>
      <c r="J113" s="5"/>
      <c r="K113" s="5"/>
      <c r="L113" s="5"/>
      <c r="M113" s="5"/>
      <c r="N113" s="5"/>
      <c r="O113" s="177"/>
      <c r="P113" s="5"/>
      <c r="Q113" s="5"/>
      <c r="R113" s="5"/>
      <c r="S113" s="5"/>
      <c r="T113" s="5"/>
    </row>
    <row r="114" spans="2:20">
      <c r="B114" s="10" t="s">
        <v>652</v>
      </c>
      <c r="C114" s="89">
        <f>'Summary - Reserve - PG 2 (Tot)'!U67</f>
        <v>-17265191.949999988</v>
      </c>
      <c r="D114" s="5"/>
      <c r="E114" s="5">
        <f>-'Summary - Reserve - PG 2 (Tot)'!U31</f>
        <v>0</v>
      </c>
      <c r="F114" s="5"/>
      <c r="G114" s="5">
        <f>C114+E114</f>
        <v>-17265191.949999988</v>
      </c>
      <c r="H114" s="5"/>
      <c r="I114" s="5"/>
      <c r="J114" s="5"/>
      <c r="K114" s="5">
        <f>G114+I114</f>
        <v>-17265191.949999988</v>
      </c>
      <c r="L114" s="5"/>
      <c r="M114" s="5"/>
      <c r="N114" s="5"/>
      <c r="O114" s="177"/>
      <c r="P114" s="5"/>
      <c r="Q114" s="5"/>
      <c r="R114" s="5"/>
      <c r="S114" s="5"/>
      <c r="T114" s="5"/>
    </row>
    <row r="115" spans="2:20">
      <c r="B115" s="10" t="s">
        <v>112</v>
      </c>
      <c r="C115" s="89">
        <f>'Summary - Reserve - PG 2 (Tot)'!U68</f>
        <v>-340503462.56000018</v>
      </c>
      <c r="D115" s="5"/>
      <c r="E115" s="5"/>
      <c r="F115" s="5"/>
      <c r="G115" s="5">
        <f>C115+E115</f>
        <v>-340503462.56000018</v>
      </c>
      <c r="H115" s="5"/>
      <c r="I115" s="8">
        <f>-'Recon Depr Exp to IS P4 (Tot)'!O22</f>
        <v>0</v>
      </c>
      <c r="J115" s="5"/>
      <c r="K115" s="5">
        <f>G115+-I115</f>
        <v>-340503462.56000018</v>
      </c>
      <c r="L115" s="5"/>
      <c r="M115" s="5"/>
      <c r="N115" s="5"/>
      <c r="O115" s="177"/>
      <c r="P115" s="5"/>
      <c r="Q115" s="5"/>
      <c r="R115" s="5"/>
      <c r="S115" s="5"/>
      <c r="T115" s="5"/>
    </row>
    <row r="116" spans="2:20">
      <c r="B116" s="10" t="s">
        <v>120</v>
      </c>
      <c r="C116" s="89">
        <f>'Summary - Reserve - PG 2 (Tot)'!U69</f>
        <v>-73812981.50999999</v>
      </c>
      <c r="D116" s="5"/>
      <c r="E116" s="5"/>
      <c r="F116" s="5"/>
      <c r="G116" s="5">
        <f>C116+E116</f>
        <v>-73812981.50999999</v>
      </c>
      <c r="H116" s="5"/>
      <c r="I116" s="99"/>
      <c r="J116" s="5"/>
      <c r="K116" s="5">
        <f>G116+I116</f>
        <v>-73812981.50999999</v>
      </c>
      <c r="L116" s="5"/>
      <c r="M116" s="5"/>
      <c r="N116" s="5"/>
      <c r="O116" s="177"/>
      <c r="P116" s="5"/>
      <c r="Q116" s="5"/>
      <c r="R116" s="5"/>
      <c r="S116" s="5"/>
      <c r="T116" s="5"/>
    </row>
    <row r="117" spans="2:20" ht="13.5" thickBot="1">
      <c r="B117" s="10"/>
      <c r="C117" s="96">
        <f>SUM(C114:C116)</f>
        <v>-431581636.02000016</v>
      </c>
      <c r="D117" s="5"/>
      <c r="E117" s="96">
        <f>SUM(E114:E116)</f>
        <v>0</v>
      </c>
      <c r="F117" s="5"/>
      <c r="G117" s="96">
        <f>SUM(G114:G116)</f>
        <v>-431581636.02000016</v>
      </c>
      <c r="H117" s="5"/>
      <c r="I117" s="99"/>
      <c r="J117" s="5"/>
      <c r="K117" s="96">
        <f>SUM(K114:K116)</f>
        <v>-431581636.02000016</v>
      </c>
      <c r="L117" s="5"/>
      <c r="M117" s="5"/>
      <c r="N117" s="5"/>
      <c r="O117" s="177"/>
      <c r="P117" s="5"/>
      <c r="Q117" s="5"/>
      <c r="R117" s="5"/>
      <c r="S117" s="5"/>
      <c r="T117" s="5"/>
    </row>
    <row r="118" spans="2:20" ht="13.5" thickTop="1">
      <c r="B118" s="10"/>
      <c r="C118" s="10"/>
      <c r="D118" s="5"/>
      <c r="E118" s="5"/>
      <c r="F118" s="5"/>
      <c r="G118" s="5"/>
      <c r="H118" s="5"/>
      <c r="I118" s="99"/>
      <c r="J118" s="5"/>
      <c r="K118" s="5"/>
      <c r="L118" s="5"/>
      <c r="M118" s="5"/>
      <c r="N118" s="5"/>
      <c r="O118" s="177"/>
      <c r="P118" s="5"/>
      <c r="Q118" s="5"/>
      <c r="R118" s="5"/>
      <c r="S118" s="5"/>
      <c r="T118" s="5"/>
    </row>
    <row r="119" spans="2:20">
      <c r="B119" s="12" t="s">
        <v>656</v>
      </c>
      <c r="C119" s="10"/>
      <c r="D119" s="5"/>
      <c r="E119" s="5"/>
      <c r="F119" s="5"/>
      <c r="G119" s="5"/>
      <c r="H119" s="5"/>
      <c r="I119" s="99"/>
      <c r="J119" s="5"/>
      <c r="K119" s="5"/>
      <c r="L119" s="5"/>
      <c r="M119" s="5"/>
      <c r="N119" s="5"/>
      <c r="O119" s="177"/>
      <c r="P119" s="5"/>
      <c r="Q119" s="5"/>
      <c r="R119" s="5"/>
      <c r="S119" s="5"/>
      <c r="T119" s="5"/>
    </row>
    <row r="120" spans="2:20">
      <c r="B120" s="10" t="s">
        <v>652</v>
      </c>
      <c r="C120" s="89">
        <f>'Summary - Reserve - PG 2 (Tot)'!U73</f>
        <v>108546.37000000001</v>
      </c>
      <c r="D120" s="5"/>
      <c r="E120" s="5"/>
      <c r="F120" s="5"/>
      <c r="G120" s="5">
        <f>C120+E120</f>
        <v>108546.37000000001</v>
      </c>
      <c r="H120" s="5"/>
      <c r="I120" s="99"/>
      <c r="J120" s="5"/>
      <c r="K120" s="5">
        <f>G120+I120</f>
        <v>108546.37000000001</v>
      </c>
      <c r="L120" s="5"/>
      <c r="M120" s="5"/>
      <c r="N120" s="5"/>
      <c r="O120" s="177"/>
      <c r="P120" s="5"/>
      <c r="Q120" s="5"/>
      <c r="R120" s="5"/>
      <c r="S120" s="5"/>
      <c r="T120" s="5"/>
    </row>
    <row r="121" spans="2:20">
      <c r="B121" s="10" t="s">
        <v>112</v>
      </c>
      <c r="C121" s="89">
        <f>'Summary - Reserve - PG 2 (Tot)'!U74</f>
        <v>12712596.930000003</v>
      </c>
      <c r="D121" s="5"/>
      <c r="E121" s="5"/>
      <c r="F121" s="5"/>
      <c r="G121" s="5">
        <f>C121+E121</f>
        <v>12712596.930000003</v>
      </c>
      <c r="H121" s="5"/>
      <c r="I121" s="99"/>
      <c r="J121" s="5"/>
      <c r="K121" s="5">
        <f>G121+-I121</f>
        <v>12712596.930000003</v>
      </c>
      <c r="L121" s="5"/>
      <c r="M121" s="5"/>
      <c r="N121" s="5"/>
      <c r="O121" s="177"/>
      <c r="P121" s="5"/>
      <c r="Q121" s="5"/>
      <c r="R121" s="5"/>
      <c r="S121" s="5"/>
      <c r="T121" s="5"/>
    </row>
    <row r="122" spans="2:20">
      <c r="B122" s="10" t="s">
        <v>120</v>
      </c>
      <c r="C122" s="89">
        <f>'Summary - Reserve - PG 2 (Tot)'!U75</f>
        <v>1807488.6299999992</v>
      </c>
      <c r="D122" s="5"/>
      <c r="E122" s="5"/>
      <c r="F122" s="5"/>
      <c r="G122" s="5">
        <f>C122+E122</f>
        <v>1807488.6299999992</v>
      </c>
      <c r="H122" s="5"/>
      <c r="I122" s="99"/>
      <c r="J122" s="5"/>
      <c r="K122" s="5">
        <f>G122+I122</f>
        <v>1807488.6299999992</v>
      </c>
      <c r="L122" s="5"/>
      <c r="M122" s="5"/>
      <c r="N122" s="5"/>
      <c r="O122" s="177"/>
      <c r="P122" s="5"/>
      <c r="Q122" s="5"/>
      <c r="R122" s="5"/>
      <c r="S122" s="5"/>
      <c r="T122" s="5"/>
    </row>
    <row r="123" spans="2:20" ht="13.5" thickBot="1">
      <c r="B123" s="10"/>
      <c r="C123" s="96">
        <f>SUM(C120:C122)</f>
        <v>14628631.930000002</v>
      </c>
      <c r="D123" s="5"/>
      <c r="E123" s="96">
        <f>SUM(E120:E122)</f>
        <v>0</v>
      </c>
      <c r="F123" s="5"/>
      <c r="G123" s="96">
        <f>SUM(G120:G122)</f>
        <v>14628631.930000002</v>
      </c>
      <c r="H123" s="5"/>
      <c r="I123" s="115"/>
      <c r="J123" s="5"/>
      <c r="K123" s="96">
        <f>SUM(K120:K122)</f>
        <v>14628631.930000002</v>
      </c>
      <c r="L123" s="5"/>
      <c r="M123" s="5"/>
      <c r="N123" s="5"/>
      <c r="O123" s="177"/>
      <c r="P123" s="5"/>
      <c r="Q123" s="5"/>
      <c r="R123" s="5"/>
      <c r="S123" s="5"/>
      <c r="T123" s="5"/>
    </row>
    <row r="124" spans="2:20" ht="13.5" thickTop="1">
      <c r="B124" s="3" t="s">
        <v>677</v>
      </c>
      <c r="C124" s="5"/>
      <c r="D124" s="5"/>
      <c r="E124" s="5"/>
      <c r="F124" s="5"/>
      <c r="G124" s="5"/>
      <c r="H124" s="5"/>
      <c r="I124" s="99"/>
      <c r="J124" s="5"/>
      <c r="K124" s="5"/>
      <c r="L124" s="5"/>
      <c r="M124" s="5"/>
      <c r="N124" s="5"/>
      <c r="O124" s="177"/>
      <c r="P124" s="5"/>
      <c r="Q124" s="5"/>
      <c r="R124" s="5"/>
      <c r="S124" s="5"/>
      <c r="T124" s="5"/>
    </row>
    <row r="125" spans="2:20">
      <c r="B125" s="10" t="s">
        <v>652</v>
      </c>
      <c r="C125" s="5">
        <f>C114+C120</f>
        <v>-17156645.579999987</v>
      </c>
      <c r="D125" s="5"/>
      <c r="E125" s="5">
        <f>E114+E120</f>
        <v>0</v>
      </c>
      <c r="F125" s="5"/>
      <c r="G125" s="5">
        <f>C125+E125</f>
        <v>-17156645.579999987</v>
      </c>
      <c r="H125" s="5"/>
      <c r="I125" s="99"/>
      <c r="J125" s="5"/>
      <c r="K125" s="5">
        <f>K114+K120</f>
        <v>-17156645.579999987</v>
      </c>
      <c r="L125" s="5"/>
      <c r="M125" s="5"/>
      <c r="N125" s="5"/>
      <c r="O125" s="177"/>
      <c r="P125" s="5"/>
      <c r="Q125" s="5"/>
      <c r="R125" s="5"/>
      <c r="S125" s="5"/>
      <c r="T125" s="5"/>
    </row>
    <row r="126" spans="2:20">
      <c r="B126" s="10" t="s">
        <v>112</v>
      </c>
      <c r="C126" s="5">
        <f>C115+C121</f>
        <v>-327790865.63000017</v>
      </c>
      <c r="D126" s="5"/>
      <c r="E126" s="5">
        <f t="shared" ref="C126:E127" si="12">E115+E121</f>
        <v>0</v>
      </c>
      <c r="F126" s="5"/>
      <c r="G126" s="5">
        <f>C126+E126</f>
        <v>-327790865.63000017</v>
      </c>
      <c r="H126" s="5"/>
      <c r="I126" s="99"/>
      <c r="J126" s="5"/>
      <c r="K126" s="5">
        <f>K115+K121</f>
        <v>-327790865.63000017</v>
      </c>
      <c r="L126" s="5"/>
      <c r="M126" s="5"/>
      <c r="N126" s="5"/>
      <c r="O126" s="177"/>
      <c r="P126" s="5"/>
      <c r="Q126" s="5"/>
      <c r="R126" s="5"/>
      <c r="S126" s="5"/>
      <c r="T126" s="5"/>
    </row>
    <row r="127" spans="2:20">
      <c r="B127" s="10" t="s">
        <v>120</v>
      </c>
      <c r="C127" s="5">
        <f t="shared" si="12"/>
        <v>-72005492.879999995</v>
      </c>
      <c r="D127" s="5"/>
      <c r="E127" s="5">
        <f t="shared" si="12"/>
        <v>0</v>
      </c>
      <c r="F127" s="5"/>
      <c r="G127" s="5">
        <f>C127+E127</f>
        <v>-72005492.879999995</v>
      </c>
      <c r="H127" s="5"/>
      <c r="I127" s="99"/>
      <c r="J127" s="5"/>
      <c r="K127" s="5">
        <f>K116+K122</f>
        <v>-72005492.879999995</v>
      </c>
      <c r="L127" s="5"/>
      <c r="M127" s="5"/>
      <c r="N127" s="5"/>
      <c r="O127" s="177"/>
      <c r="P127" s="5"/>
      <c r="Q127" s="5"/>
      <c r="R127" s="5"/>
      <c r="S127" s="5"/>
      <c r="T127" s="5"/>
    </row>
    <row r="128" spans="2:20" ht="13.5" thickBot="1">
      <c r="C128" s="96">
        <f>SUM(C125:C127)</f>
        <v>-416953004.09000015</v>
      </c>
      <c r="D128" s="5"/>
      <c r="E128" s="96">
        <f>SUM(E125:E127)</f>
        <v>0</v>
      </c>
      <c r="F128" s="5"/>
      <c r="G128" s="96">
        <f>SUM(G125:G127)</f>
        <v>-416953004.09000015</v>
      </c>
      <c r="H128" s="5"/>
      <c r="I128" s="115"/>
      <c r="J128" s="5"/>
      <c r="K128" s="96">
        <f>SUM(K125:K127)</f>
        <v>-416953004.09000015</v>
      </c>
      <c r="L128" s="5"/>
      <c r="M128" s="5"/>
      <c r="N128" s="5"/>
      <c r="O128" s="177"/>
      <c r="P128" s="5"/>
      <c r="Q128" s="5"/>
      <c r="R128" s="5"/>
      <c r="S128" s="5"/>
      <c r="T128" s="5"/>
    </row>
    <row r="129" spans="1:20" ht="13.5" thickTop="1">
      <c r="C129" s="5"/>
      <c r="D129" s="5"/>
      <c r="E129" s="5"/>
      <c r="F129" s="5"/>
      <c r="G129" s="5"/>
      <c r="H129" s="5"/>
      <c r="I129" s="99"/>
      <c r="J129" s="5"/>
      <c r="K129" s="5"/>
      <c r="L129" s="5"/>
      <c r="M129" s="5"/>
      <c r="N129" s="5"/>
      <c r="O129" s="177"/>
      <c r="P129" s="5"/>
      <c r="Q129" s="5"/>
      <c r="R129" s="5"/>
      <c r="S129" s="5"/>
      <c r="T129" s="5"/>
    </row>
    <row r="130" spans="1:20">
      <c r="B130" s="12" t="s">
        <v>658</v>
      </c>
      <c r="C130" s="5"/>
      <c r="D130" s="5"/>
      <c r="E130" s="5"/>
      <c r="F130" s="5"/>
      <c r="G130" s="5"/>
      <c r="H130" s="5"/>
      <c r="I130" s="99"/>
      <c r="J130" s="5"/>
      <c r="K130" s="5"/>
      <c r="L130" s="5"/>
      <c r="M130" s="5"/>
      <c r="N130" s="5"/>
      <c r="O130" s="177"/>
      <c r="P130" s="5"/>
      <c r="Q130" s="5"/>
      <c r="R130" s="5"/>
      <c r="S130" s="5"/>
      <c r="T130" s="5"/>
    </row>
    <row r="131" spans="1:20">
      <c r="A131" s="10"/>
      <c r="B131" s="10" t="s">
        <v>652</v>
      </c>
      <c r="C131" s="5">
        <f>'Summary - Reserve - PG 2 (Tot)'!U81</f>
        <v>-10579608.670000004</v>
      </c>
      <c r="D131" s="5"/>
      <c r="E131" s="5"/>
      <c r="F131" s="5"/>
      <c r="G131" s="5">
        <f>C131+E131</f>
        <v>-10579608.670000004</v>
      </c>
      <c r="H131" s="5"/>
      <c r="I131" s="5"/>
      <c r="J131" s="5"/>
      <c r="K131" s="5">
        <f>G131+I131</f>
        <v>-10579608.670000004</v>
      </c>
      <c r="L131" s="5"/>
      <c r="M131" s="5"/>
      <c r="N131" s="5"/>
      <c r="O131" s="177"/>
      <c r="P131" s="5"/>
      <c r="Q131" s="5"/>
      <c r="R131" s="5"/>
      <c r="S131" s="5"/>
      <c r="T131" s="5"/>
    </row>
    <row r="132" spans="1:20">
      <c r="A132" s="10"/>
      <c r="B132" s="10" t="s">
        <v>112</v>
      </c>
      <c r="C132" s="5">
        <f>'Summary - Reserve - PG 2 (Tot)'!U82</f>
        <v>0</v>
      </c>
      <c r="D132" s="5"/>
      <c r="E132" s="5"/>
      <c r="F132" s="5"/>
      <c r="G132" s="5">
        <f>C132+E132</f>
        <v>0</v>
      </c>
      <c r="H132" s="5"/>
      <c r="I132" s="5"/>
      <c r="J132" s="5"/>
      <c r="K132" s="5">
        <f>G132+I132</f>
        <v>0</v>
      </c>
      <c r="L132" s="5"/>
      <c r="M132" s="5"/>
      <c r="N132" s="5"/>
      <c r="O132" s="177"/>
      <c r="P132" s="5"/>
      <c r="Q132" s="5"/>
      <c r="R132" s="5"/>
      <c r="S132" s="5"/>
      <c r="T132" s="5"/>
    </row>
    <row r="133" spans="1:20">
      <c r="A133" s="10"/>
      <c r="B133" s="10" t="s">
        <v>120</v>
      </c>
      <c r="C133" s="5">
        <f>'Summary - Reserve - PG 2 (Tot)'!U83</f>
        <v>119.15999999999997</v>
      </c>
      <c r="D133" s="5"/>
      <c r="E133" s="5"/>
      <c r="F133" s="5"/>
      <c r="G133" s="5">
        <f>C133+E133</f>
        <v>119.15999999999997</v>
      </c>
      <c r="H133" s="5"/>
      <c r="I133" s="5"/>
      <c r="J133" s="5"/>
      <c r="K133" s="5">
        <f>G133+I133</f>
        <v>119.15999999999997</v>
      </c>
      <c r="L133" s="5"/>
      <c r="M133" s="5"/>
      <c r="N133" s="5"/>
      <c r="O133" s="177"/>
      <c r="P133" s="5"/>
      <c r="Q133" s="5"/>
      <c r="R133" s="5"/>
      <c r="S133" s="5"/>
      <c r="T133" s="5"/>
    </row>
    <row r="134" spans="1:20" ht="13.5" thickBot="1">
      <c r="C134" s="96">
        <f>SUM(C131:C133)</f>
        <v>-10579489.510000004</v>
      </c>
      <c r="D134" s="5"/>
      <c r="E134" s="96">
        <f>SUM(E131:E133)</f>
        <v>0</v>
      </c>
      <c r="F134" s="5"/>
      <c r="G134" s="96">
        <f>SUM(G131:G133)</f>
        <v>-10579489.510000004</v>
      </c>
      <c r="H134" s="5"/>
      <c r="I134" s="5"/>
      <c r="J134" s="5"/>
      <c r="K134" s="96">
        <f>SUM(K131:K133)</f>
        <v>-10579489.510000004</v>
      </c>
      <c r="L134" s="5"/>
      <c r="M134" s="5"/>
      <c r="N134" s="5"/>
      <c r="O134" s="177"/>
      <c r="P134" s="5"/>
      <c r="Q134" s="5"/>
      <c r="R134" s="5"/>
      <c r="S134" s="5"/>
      <c r="T134" s="5"/>
    </row>
    <row r="135" spans="1:20" ht="13.5" thickTop="1">
      <c r="B135" s="95" t="s">
        <v>680</v>
      </c>
      <c r="C135" s="5"/>
      <c r="D135" s="5"/>
      <c r="E135" s="5"/>
      <c r="F135" s="5"/>
      <c r="G135" s="5"/>
      <c r="H135" s="5"/>
      <c r="I135" s="5"/>
      <c r="J135" s="5"/>
      <c r="K135" s="5"/>
      <c r="L135" s="5"/>
      <c r="M135" s="5"/>
      <c r="N135" s="5"/>
      <c r="O135" s="177"/>
      <c r="P135" s="5"/>
      <c r="Q135" s="5"/>
      <c r="R135" s="5"/>
      <c r="S135" s="5"/>
      <c r="T135" s="5"/>
    </row>
    <row r="136" spans="1:20">
      <c r="B136" s="10" t="s">
        <v>652</v>
      </c>
      <c r="C136" s="5">
        <f>C125+C131</f>
        <v>-27736254.249999993</v>
      </c>
      <c r="D136" s="5"/>
      <c r="E136" s="5">
        <f>E125+E131</f>
        <v>0</v>
      </c>
      <c r="F136" s="5"/>
      <c r="G136" s="5">
        <f>C136+E136</f>
        <v>-27736254.249999993</v>
      </c>
      <c r="H136" s="5"/>
      <c r="I136" s="5"/>
      <c r="J136" s="5"/>
      <c r="K136" s="5">
        <f>K125+K131</f>
        <v>-27736254.249999993</v>
      </c>
      <c r="L136" s="5"/>
      <c r="M136" s="5"/>
      <c r="N136" s="5"/>
      <c r="O136" s="177"/>
      <c r="P136" s="5"/>
      <c r="Q136" s="5"/>
      <c r="R136" s="5"/>
      <c r="S136" s="5"/>
      <c r="T136" s="5"/>
    </row>
    <row r="137" spans="1:20">
      <c r="B137" s="10" t="s">
        <v>112</v>
      </c>
      <c r="C137" s="5">
        <f>C126+C132</f>
        <v>-327790865.63000017</v>
      </c>
      <c r="D137" s="5"/>
      <c r="E137" s="5">
        <f>E126+E132</f>
        <v>0</v>
      </c>
      <c r="F137" s="5"/>
      <c r="G137" s="5">
        <f>C137+E137</f>
        <v>-327790865.63000017</v>
      </c>
      <c r="H137" s="5"/>
      <c r="I137" s="5"/>
      <c r="J137" s="5"/>
      <c r="K137" s="5">
        <f>K126+K132</f>
        <v>-327790865.63000017</v>
      </c>
      <c r="L137" s="5"/>
      <c r="M137" s="5"/>
      <c r="N137" s="5"/>
      <c r="O137" s="177"/>
      <c r="P137" s="5"/>
      <c r="Q137" s="5"/>
      <c r="R137" s="5"/>
      <c r="S137" s="5"/>
      <c r="T137" s="5"/>
    </row>
    <row r="138" spans="1:20">
      <c r="B138" s="10" t="s">
        <v>120</v>
      </c>
      <c r="C138" s="5">
        <f>C127+C133</f>
        <v>-72005373.719999999</v>
      </c>
      <c r="D138" s="5"/>
      <c r="E138" s="5">
        <f>E127+E133</f>
        <v>0</v>
      </c>
      <c r="F138" s="5"/>
      <c r="G138" s="5">
        <f>C138+E138</f>
        <v>-72005373.719999999</v>
      </c>
      <c r="H138" s="5"/>
      <c r="I138" s="5"/>
      <c r="J138" s="5"/>
      <c r="K138" s="5">
        <f>K127+K133</f>
        <v>-72005373.719999999</v>
      </c>
      <c r="L138" s="5"/>
      <c r="M138" s="162"/>
      <c r="N138" s="5"/>
      <c r="O138" s="177"/>
      <c r="P138" s="5"/>
      <c r="Q138" s="5"/>
      <c r="R138" s="5"/>
      <c r="S138" s="5"/>
      <c r="T138" s="5"/>
    </row>
    <row r="139" spans="1:20" ht="13.5" thickBot="1">
      <c r="C139" s="96">
        <f>SUM(C136:C138)</f>
        <v>-427532493.60000014</v>
      </c>
      <c r="D139" s="5"/>
      <c r="E139" s="96">
        <f>SUM(E136:E138)</f>
        <v>0</v>
      </c>
      <c r="F139" s="5"/>
      <c r="G139" s="96">
        <f>SUM(G136:G138)</f>
        <v>-427532493.60000014</v>
      </c>
      <c r="H139" s="5"/>
      <c r="I139" s="5"/>
      <c r="J139" s="5"/>
      <c r="K139" s="96">
        <f>SUM(K136:K138)</f>
        <v>-427532493.60000014</v>
      </c>
      <c r="L139" s="5"/>
      <c r="M139" s="5">
        <f>G139-K139</f>
        <v>0</v>
      </c>
      <c r="N139" s="5"/>
      <c r="O139" s="177"/>
      <c r="P139" s="5"/>
      <c r="Q139" s="5"/>
      <c r="R139" s="5"/>
      <c r="S139" s="5"/>
      <c r="T139" s="5"/>
    </row>
    <row r="140" spans="1:20" ht="13.5" thickTop="1">
      <c r="C140" s="5"/>
      <c r="D140" s="5"/>
      <c r="E140" s="5"/>
      <c r="F140" s="5"/>
      <c r="G140" s="5"/>
      <c r="H140" s="5"/>
      <c r="I140" s="5"/>
      <c r="J140" s="5"/>
      <c r="K140" s="5"/>
      <c r="L140" s="5"/>
      <c r="M140" s="5"/>
      <c r="N140" s="5"/>
      <c r="O140" s="177"/>
      <c r="P140" s="5"/>
      <c r="Q140" s="5"/>
      <c r="R140" s="5"/>
      <c r="S140" s="5"/>
      <c r="T140" s="5"/>
    </row>
    <row r="141" spans="1:20">
      <c r="C141" s="5"/>
      <c r="D141" s="5"/>
      <c r="E141" s="5"/>
      <c r="F141" s="5"/>
      <c r="G141" s="5"/>
      <c r="H141" s="5"/>
      <c r="I141" s="5"/>
      <c r="J141" s="5"/>
      <c r="K141" s="5"/>
      <c r="L141" s="5"/>
      <c r="M141" s="5"/>
      <c r="N141" s="5"/>
      <c r="O141" s="5"/>
      <c r="P141" s="5"/>
      <c r="Q141" s="5"/>
      <c r="R141" s="5"/>
      <c r="S141" s="5"/>
      <c r="T141" s="5"/>
    </row>
    <row r="142" spans="1:20">
      <c r="B142" s="102" t="s">
        <v>1032</v>
      </c>
      <c r="C142" s="103"/>
      <c r="D142" s="103"/>
      <c r="E142" s="104" t="e">
        <f>+#REF!</f>
        <v>#REF!</v>
      </c>
      <c r="F142" s="104"/>
      <c r="G142" s="104" t="e">
        <f>+#REF!</f>
        <v>#REF!</v>
      </c>
      <c r="H142" s="5"/>
      <c r="I142" s="5" t="s">
        <v>1083</v>
      </c>
      <c r="J142" s="5"/>
      <c r="K142" s="5"/>
      <c r="L142" s="5"/>
      <c r="M142" s="5"/>
      <c r="N142" s="5"/>
      <c r="O142" s="5"/>
      <c r="P142" s="5"/>
      <c r="Q142" s="5"/>
      <c r="R142" s="5"/>
      <c r="S142" s="5"/>
      <c r="T142" s="5"/>
    </row>
    <row r="143" spans="1:20">
      <c r="C143" s="5"/>
      <c r="D143" s="5"/>
      <c r="E143" s="100" t="s">
        <v>2</v>
      </c>
      <c r="F143" s="5"/>
      <c r="G143" s="100" t="s">
        <v>3</v>
      </c>
      <c r="H143" s="5"/>
      <c r="I143" s="5"/>
      <c r="J143" s="5"/>
      <c r="K143" s="5"/>
      <c r="L143" s="5"/>
      <c r="M143" s="5"/>
      <c r="N143" s="5"/>
      <c r="O143" s="157" t="s">
        <v>1081</v>
      </c>
      <c r="P143" s="5"/>
      <c r="Q143" s="5"/>
      <c r="R143" s="5"/>
      <c r="S143" s="5"/>
      <c r="T143" s="5"/>
    </row>
    <row r="144" spans="1:20">
      <c r="C144" s="5"/>
      <c r="D144" s="5"/>
      <c r="E144" s="98" t="s">
        <v>1</v>
      </c>
      <c r="F144" s="5"/>
      <c r="G144" s="98" t="s">
        <v>1</v>
      </c>
      <c r="H144" s="5"/>
      <c r="I144" s="5"/>
      <c r="J144" s="5"/>
      <c r="K144" s="5"/>
      <c r="L144" s="5"/>
      <c r="M144" s="5"/>
      <c r="N144" s="5"/>
      <c r="O144" s="157" t="s">
        <v>1067</v>
      </c>
      <c r="P144" s="5"/>
      <c r="Q144" s="5"/>
      <c r="R144" s="5"/>
      <c r="S144" s="5"/>
      <c r="T144" s="5"/>
    </row>
    <row r="145" spans="1:20">
      <c r="A145" s="95" t="s">
        <v>0</v>
      </c>
      <c r="C145" s="5"/>
      <c r="D145" s="5"/>
      <c r="E145" s="5"/>
      <c r="F145" s="5"/>
      <c r="G145" s="5"/>
      <c r="H145" s="5"/>
      <c r="I145" s="5"/>
      <c r="J145" s="5"/>
      <c r="K145" s="5"/>
      <c r="L145" s="5"/>
      <c r="M145" s="5"/>
      <c r="N145" s="5"/>
      <c r="O145" s="5"/>
      <c r="P145" s="5"/>
      <c r="Q145" s="5"/>
      <c r="R145" s="5"/>
      <c r="S145" s="5"/>
      <c r="T145" s="5"/>
    </row>
    <row r="146" spans="1:20">
      <c r="B146" t="s">
        <v>455</v>
      </c>
      <c r="C146" s="5">
        <f>'Recon Depr Exp to IS P4 (Tot)'!S11</f>
        <v>-3094721.35</v>
      </c>
      <c r="D146" s="5"/>
      <c r="E146" s="99" t="e">
        <f>E142*-C146</f>
        <v>#REF!</v>
      </c>
      <c r="F146" s="5"/>
      <c r="G146" s="99" t="e">
        <f>G142*-C146</f>
        <v>#REF!</v>
      </c>
      <c r="H146" s="5"/>
      <c r="I146" s="105" t="e">
        <f t="shared" ref="I146:I151" si="13">SUM(C146:H146)</f>
        <v>#REF!</v>
      </c>
      <c r="J146" s="5"/>
      <c r="K146" s="5"/>
      <c r="L146" s="5"/>
      <c r="M146" s="5"/>
      <c r="N146" s="5"/>
      <c r="O146" s="5"/>
      <c r="P146" s="5"/>
      <c r="Q146" s="5"/>
      <c r="R146" s="5"/>
      <c r="S146" s="5"/>
      <c r="T146" s="5"/>
    </row>
    <row r="147" spans="1:20">
      <c r="B147" s="101" t="s">
        <v>1033</v>
      </c>
      <c r="C147" s="5"/>
      <c r="D147" s="5"/>
      <c r="E147" s="99" t="e">
        <f>E142*C146</f>
        <v>#REF!</v>
      </c>
      <c r="F147" s="5"/>
      <c r="G147" s="99"/>
      <c r="H147" s="5"/>
      <c r="I147" s="156" t="e">
        <f t="shared" si="13"/>
        <v>#REF!</v>
      </c>
      <c r="J147" s="5"/>
      <c r="K147" s="5"/>
      <c r="L147" s="5"/>
      <c r="M147" s="5"/>
      <c r="N147" s="5"/>
      <c r="O147" s="157" t="s">
        <v>1079</v>
      </c>
      <c r="P147" s="5"/>
      <c r="Q147" s="5"/>
      <c r="R147" s="5"/>
      <c r="S147" s="5"/>
      <c r="T147" s="5"/>
    </row>
    <row r="148" spans="1:20">
      <c r="B148" s="101" t="s">
        <v>1034</v>
      </c>
      <c r="C148" s="5"/>
      <c r="D148" s="5"/>
      <c r="E148" s="99"/>
      <c r="F148" s="5"/>
      <c r="G148" s="99" t="e">
        <f>G142*C146</f>
        <v>#REF!</v>
      </c>
      <c r="H148" s="5"/>
      <c r="I148" s="156" t="e">
        <f t="shared" si="13"/>
        <v>#REF!</v>
      </c>
      <c r="J148" s="5"/>
      <c r="K148" s="5"/>
      <c r="L148" s="5"/>
      <c r="M148" s="5"/>
      <c r="N148" s="5"/>
      <c r="O148" s="158"/>
      <c r="P148" s="5"/>
      <c r="Q148" s="5"/>
      <c r="R148" s="5"/>
      <c r="S148" s="5"/>
      <c r="T148" s="5"/>
    </row>
    <row r="149" spans="1:20">
      <c r="B149" t="s">
        <v>851</v>
      </c>
      <c r="C149" s="5">
        <f>'Recon Depr Exp to IS P4 (Tot)'!S12</f>
        <v>-515.09999999999991</v>
      </c>
      <c r="D149" s="5"/>
      <c r="E149" s="99" t="e">
        <f>E142*-C149</f>
        <v>#REF!</v>
      </c>
      <c r="F149" s="5"/>
      <c r="G149" s="99" t="e">
        <f>G142*-C149</f>
        <v>#REF!</v>
      </c>
      <c r="H149" s="5"/>
      <c r="I149" s="156" t="e">
        <f t="shared" si="13"/>
        <v>#REF!</v>
      </c>
      <c r="J149" s="5"/>
      <c r="K149" s="5" t="e">
        <f>+I149+I146</f>
        <v>#REF!</v>
      </c>
      <c r="L149" s="5"/>
      <c r="M149" s="5"/>
      <c r="N149" s="5"/>
      <c r="O149" s="158"/>
      <c r="P149" s="5"/>
      <c r="Q149" s="5"/>
      <c r="R149" s="5"/>
      <c r="S149" s="5"/>
      <c r="T149" s="5"/>
    </row>
    <row r="150" spans="1:20">
      <c r="B150" s="101" t="s">
        <v>1035</v>
      </c>
      <c r="C150" s="5"/>
      <c r="D150" s="5"/>
      <c r="E150" s="99" t="e">
        <f>E142*C149</f>
        <v>#REF!</v>
      </c>
      <c r="F150" s="5"/>
      <c r="G150" s="99"/>
      <c r="H150" s="5"/>
      <c r="I150" s="156" t="e">
        <f t="shared" si="13"/>
        <v>#REF!</v>
      </c>
      <c r="J150" s="5"/>
      <c r="K150" s="33" t="e">
        <f>+I150+I147</f>
        <v>#REF!</v>
      </c>
      <c r="L150" s="5"/>
      <c r="M150" s="5"/>
      <c r="N150" s="5"/>
      <c r="O150" s="158" t="s">
        <v>1080</v>
      </c>
      <c r="P150" s="5"/>
      <c r="Q150" s="5"/>
      <c r="R150" s="5"/>
      <c r="S150" s="5"/>
      <c r="T150" s="5"/>
    </row>
    <row r="151" spans="1:20">
      <c r="B151" s="101" t="s">
        <v>1036</v>
      </c>
      <c r="C151" s="5"/>
      <c r="D151" s="5"/>
      <c r="E151" s="99"/>
      <c r="F151" s="5"/>
      <c r="G151" s="99" t="e">
        <f>G142*C149</f>
        <v>#REF!</v>
      </c>
      <c r="H151" s="5"/>
      <c r="I151" s="105" t="e">
        <f t="shared" si="13"/>
        <v>#REF!</v>
      </c>
      <c r="J151" s="5"/>
      <c r="K151" s="33" t="e">
        <f>+I151+I148</f>
        <v>#REF!</v>
      </c>
      <c r="L151" s="5"/>
      <c r="M151" s="5"/>
      <c r="N151" s="5"/>
      <c r="O151" s="158"/>
      <c r="P151" s="5"/>
      <c r="Q151" s="5"/>
      <c r="R151" s="5"/>
      <c r="S151" s="5"/>
      <c r="T151" s="5"/>
    </row>
    <row r="152" spans="1:20" ht="13.5" thickBot="1">
      <c r="B152" t="s">
        <v>48</v>
      </c>
      <c r="C152" s="75">
        <f>SUM(C146:C149)</f>
        <v>-3095236.45</v>
      </c>
      <c r="D152" s="5"/>
      <c r="E152" s="99"/>
      <c r="F152" s="5"/>
      <c r="G152" s="5"/>
      <c r="H152" s="5"/>
      <c r="I152" s="106" t="e">
        <f>SUM(I146:I151)</f>
        <v>#REF!</v>
      </c>
      <c r="J152" s="5"/>
      <c r="K152" s="106" t="e">
        <f>SUM(K146:K151)</f>
        <v>#REF!</v>
      </c>
      <c r="L152" s="5"/>
      <c r="M152" s="5"/>
      <c r="N152" s="5"/>
      <c r="O152" s="158"/>
      <c r="P152" s="5"/>
      <c r="Q152" s="5"/>
      <c r="R152" s="5"/>
      <c r="S152" s="5"/>
      <c r="T152" s="5"/>
    </row>
    <row r="153" spans="1:20" ht="13.5" thickTop="1">
      <c r="C153" s="5"/>
      <c r="D153" s="5"/>
      <c r="E153" s="99"/>
      <c r="F153" s="5"/>
      <c r="G153" s="5"/>
      <c r="H153" s="5"/>
      <c r="I153" s="105"/>
      <c r="J153" s="5"/>
      <c r="K153" s="5"/>
      <c r="L153" s="5"/>
      <c r="M153" s="5"/>
      <c r="N153" s="5"/>
      <c r="O153" s="158"/>
      <c r="P153" s="5"/>
      <c r="Q153" s="5"/>
      <c r="R153" s="5"/>
      <c r="S153" s="5"/>
      <c r="T153" s="5"/>
    </row>
    <row r="154" spans="1:20">
      <c r="B154" t="s">
        <v>113</v>
      </c>
      <c r="C154" s="5">
        <f>'Recon Depr Exp to IS P4 (Tot)'!S15</f>
        <v>-5982410.3700000001</v>
      </c>
      <c r="D154" s="5"/>
      <c r="E154" s="99"/>
      <c r="F154" s="5"/>
      <c r="G154" s="5"/>
      <c r="H154" s="5"/>
      <c r="I154" s="105">
        <f t="shared" ref="I154:I164" si="14">SUM(C154:H154)</f>
        <v>-5982410.3700000001</v>
      </c>
      <c r="J154" s="5"/>
      <c r="K154" s="5"/>
      <c r="L154" s="5"/>
      <c r="M154" s="5"/>
      <c r="N154" s="5"/>
      <c r="O154" s="158" t="s">
        <v>1068</v>
      </c>
      <c r="P154" s="5"/>
      <c r="Q154" s="5"/>
      <c r="R154" s="5"/>
      <c r="S154" s="5"/>
      <c r="T154" s="5"/>
    </row>
    <row r="155" spans="1:20">
      <c r="B155" t="s">
        <v>852</v>
      </c>
      <c r="C155" s="33">
        <f>'Recon Depr Exp to IS P4 (Tot)'!S16</f>
        <v>-2849.7799999999997</v>
      </c>
      <c r="D155" s="33"/>
      <c r="E155" s="37"/>
      <c r="F155" s="33"/>
      <c r="G155" s="33"/>
      <c r="H155" s="33"/>
      <c r="I155" s="156">
        <f t="shared" si="14"/>
        <v>-2849.7799999999997</v>
      </c>
      <c r="J155" s="5"/>
      <c r="K155" s="6">
        <f>SUM(I154:I155)</f>
        <v>-5985260.1500000004</v>
      </c>
      <c r="L155" s="5"/>
      <c r="M155" s="5" t="s">
        <v>1063</v>
      </c>
      <c r="N155" s="5"/>
      <c r="O155" s="158" t="s">
        <v>1069</v>
      </c>
      <c r="P155" s="5"/>
      <c r="Q155" s="5"/>
      <c r="R155" s="5"/>
      <c r="S155" s="5"/>
      <c r="T155" s="5"/>
    </row>
    <row r="156" spans="1:20">
      <c r="B156" t="s">
        <v>114</v>
      </c>
      <c r="C156" s="33">
        <f>'Recon Depr Exp to IS P4 (Tot)'!S17</f>
        <v>-57832.209999999992</v>
      </c>
      <c r="D156" s="33"/>
      <c r="E156" s="37"/>
      <c r="F156" s="33"/>
      <c r="G156" s="33"/>
      <c r="H156" s="33"/>
      <c r="I156" s="156">
        <f t="shared" si="14"/>
        <v>-57832.209999999992</v>
      </c>
      <c r="J156" s="5"/>
      <c r="K156" s="37">
        <f>SUM(I156:I156)</f>
        <v>-57832.209999999992</v>
      </c>
      <c r="L156" s="5"/>
      <c r="M156" s="5" t="s">
        <v>1059</v>
      </c>
      <c r="N156" s="5"/>
      <c r="O156" s="158" t="s">
        <v>1070</v>
      </c>
      <c r="P156" s="5"/>
      <c r="Q156" s="5"/>
      <c r="R156" s="5"/>
      <c r="S156" s="5"/>
      <c r="T156" s="5"/>
    </row>
    <row r="157" spans="1:20">
      <c r="B157" t="s">
        <v>115</v>
      </c>
      <c r="C157" s="33">
        <f>'Recon Depr Exp to IS P4 (Tot)'!S18</f>
        <v>-152207.15</v>
      </c>
      <c r="D157" s="33"/>
      <c r="E157" s="37"/>
      <c r="F157" s="33"/>
      <c r="G157" s="33"/>
      <c r="H157" s="33"/>
      <c r="I157" s="156">
        <f t="shared" si="14"/>
        <v>-152207.15</v>
      </c>
      <c r="J157" s="5"/>
      <c r="K157" s="37"/>
      <c r="L157" s="5"/>
      <c r="M157" s="5"/>
      <c r="N157" s="5"/>
      <c r="O157" s="158" t="s">
        <v>1071</v>
      </c>
      <c r="P157" s="5"/>
      <c r="Q157" s="5"/>
      <c r="R157" s="5"/>
      <c r="S157" s="5"/>
      <c r="T157" s="5"/>
    </row>
    <row r="158" spans="1:20">
      <c r="B158" t="s">
        <v>853</v>
      </c>
      <c r="C158" s="33">
        <f>'Recon Depr Exp to IS P4 (Tot)'!S19</f>
        <v>-437.13</v>
      </c>
      <c r="D158" s="33"/>
      <c r="E158" s="37"/>
      <c r="F158" s="33"/>
      <c r="G158" s="33"/>
      <c r="H158" s="33"/>
      <c r="I158" s="156">
        <f t="shared" si="14"/>
        <v>-437.13</v>
      </c>
      <c r="J158" s="5"/>
      <c r="K158" s="37">
        <f>SUM(I157:I158)</f>
        <v>-152644.28</v>
      </c>
      <c r="L158" s="5"/>
      <c r="M158" s="5" t="s">
        <v>809</v>
      </c>
      <c r="N158" s="5"/>
      <c r="O158" s="158" t="s">
        <v>1072</v>
      </c>
      <c r="P158" s="5"/>
      <c r="Q158" s="5"/>
      <c r="R158" s="5"/>
      <c r="S158" s="5"/>
      <c r="T158" s="5"/>
    </row>
    <row r="159" spans="1:20">
      <c r="B159" t="s">
        <v>117</v>
      </c>
      <c r="C159" s="33">
        <f>'Recon Depr Exp to IS P4 (Tot)'!S20</f>
        <v>-2169226.9899999998</v>
      </c>
      <c r="D159" s="33"/>
      <c r="E159" s="37"/>
      <c r="F159" s="33"/>
      <c r="G159" s="33"/>
      <c r="H159" s="33"/>
      <c r="I159" s="156">
        <f t="shared" si="14"/>
        <v>-2169226.9899999998</v>
      </c>
      <c r="J159" s="5"/>
      <c r="K159" s="37"/>
      <c r="L159" s="5"/>
      <c r="M159" s="5"/>
      <c r="N159" s="5"/>
      <c r="O159" s="158" t="s">
        <v>1073</v>
      </c>
      <c r="P159" s="5"/>
      <c r="Q159" s="5"/>
      <c r="R159" s="5"/>
      <c r="S159" s="5"/>
      <c r="T159" s="5"/>
    </row>
    <row r="160" spans="1:20">
      <c r="B160" t="s">
        <v>953</v>
      </c>
      <c r="C160" s="33">
        <f>'Recon Depr Exp to IS P4 (Tot)'!S21</f>
        <v>-289.68</v>
      </c>
      <c r="D160" s="33"/>
      <c r="E160" s="37"/>
      <c r="F160" s="33"/>
      <c r="G160" s="33"/>
      <c r="H160" s="33"/>
      <c r="I160" s="156">
        <f t="shared" si="14"/>
        <v>-289.68</v>
      </c>
      <c r="J160" s="5"/>
      <c r="K160" s="37">
        <f>SUM(I159:I160)</f>
        <v>-2169516.67</v>
      </c>
      <c r="L160" s="5"/>
      <c r="M160" s="5" t="s">
        <v>1060</v>
      </c>
      <c r="N160" s="5"/>
      <c r="O160" s="158" t="s">
        <v>1074</v>
      </c>
      <c r="P160" s="5"/>
      <c r="Q160" s="5"/>
      <c r="R160" s="5"/>
      <c r="S160" s="5"/>
      <c r="T160" s="5"/>
    </row>
    <row r="161" spans="1:20">
      <c r="B161" t="s">
        <v>118</v>
      </c>
      <c r="C161" s="33">
        <f>'Recon Depr Exp to IS P4 (Tot)'!S22</f>
        <v>-18127698.200000003</v>
      </c>
      <c r="D161" s="33"/>
      <c r="E161" s="37"/>
      <c r="F161" s="33"/>
      <c r="G161" s="33"/>
      <c r="H161" s="33"/>
      <c r="I161" s="156">
        <f t="shared" si="14"/>
        <v>-18127698.200000003</v>
      </c>
      <c r="J161" s="5"/>
      <c r="K161" s="37"/>
      <c r="L161" s="5"/>
      <c r="M161" s="5"/>
      <c r="N161" s="5"/>
      <c r="O161" s="158" t="s">
        <v>1075</v>
      </c>
      <c r="P161" s="5"/>
      <c r="Q161" s="5"/>
      <c r="R161" s="5"/>
      <c r="S161" s="5"/>
      <c r="T161" s="5"/>
    </row>
    <row r="162" spans="1:20">
      <c r="B162" t="s">
        <v>949</v>
      </c>
      <c r="C162" s="33">
        <f>'Recon Depr Exp to IS P4 (Tot)'!S23</f>
        <v>-448236.04999999993</v>
      </c>
      <c r="D162" s="33"/>
      <c r="E162" s="37"/>
      <c r="F162" s="33"/>
      <c r="G162" s="33"/>
      <c r="H162" s="33"/>
      <c r="I162" s="156">
        <f t="shared" si="14"/>
        <v>-448236.04999999993</v>
      </c>
      <c r="J162" s="5"/>
      <c r="K162" s="37">
        <f>SUM(I161:I162)</f>
        <v>-18575934.250000004</v>
      </c>
      <c r="L162" s="5"/>
      <c r="M162" s="5" t="s">
        <v>1061</v>
      </c>
      <c r="N162" s="5"/>
      <c r="O162" s="158" t="s">
        <v>1076</v>
      </c>
      <c r="P162" s="5"/>
      <c r="Q162" s="5"/>
      <c r="R162" s="5"/>
      <c r="S162" s="5"/>
      <c r="T162" s="5"/>
    </row>
    <row r="163" spans="1:20">
      <c r="B163" t="s">
        <v>119</v>
      </c>
      <c r="C163" s="33">
        <f>'Recon Depr Exp to IS P4 (Tot)'!S24</f>
        <v>-1427801.2899999998</v>
      </c>
      <c r="D163" s="33"/>
      <c r="E163" s="37"/>
      <c r="F163" s="33"/>
      <c r="G163" s="33"/>
      <c r="H163" s="33"/>
      <c r="I163" s="156">
        <f t="shared" si="14"/>
        <v>-1427801.2899999998</v>
      </c>
      <c r="J163" s="5"/>
      <c r="K163" s="37"/>
      <c r="L163" s="5"/>
      <c r="M163" s="5"/>
      <c r="N163" s="5"/>
      <c r="O163" s="158" t="s">
        <v>1077</v>
      </c>
      <c r="P163" s="5"/>
      <c r="Q163" s="5"/>
      <c r="R163" s="5"/>
      <c r="S163" s="5"/>
      <c r="T163" s="5"/>
    </row>
    <row r="164" spans="1:20">
      <c r="B164" t="s">
        <v>950</v>
      </c>
      <c r="C164" s="33">
        <f>'Recon Depr Exp to IS P4 (Tot)'!S25</f>
        <v>-2038.83</v>
      </c>
      <c r="D164" s="33"/>
      <c r="E164" s="37"/>
      <c r="F164" s="33"/>
      <c r="G164" s="33"/>
      <c r="H164" s="33"/>
      <c r="I164" s="156">
        <f t="shared" si="14"/>
        <v>-2038.83</v>
      </c>
      <c r="J164" s="5"/>
      <c r="K164" s="37">
        <f>SUM(I163:I164)</f>
        <v>-1429840.1199999999</v>
      </c>
      <c r="L164" s="5"/>
      <c r="M164" s="5" t="s">
        <v>1064</v>
      </c>
      <c r="N164" s="5"/>
      <c r="O164" s="158" t="s">
        <v>1078</v>
      </c>
      <c r="P164" s="5"/>
      <c r="Q164" s="5"/>
      <c r="R164" s="5"/>
      <c r="S164" s="5"/>
      <c r="T164" s="5"/>
    </row>
    <row r="165" spans="1:20" ht="13.5" thickBot="1">
      <c r="B165" t="s">
        <v>49</v>
      </c>
      <c r="C165" s="75">
        <f>SUM(C154:C164)</f>
        <v>-28371027.680000003</v>
      </c>
      <c r="D165" s="5"/>
      <c r="E165" s="99"/>
      <c r="F165" s="5"/>
      <c r="G165" s="5"/>
      <c r="H165" s="5"/>
      <c r="I165" s="106">
        <f>SUM(I154:I164)</f>
        <v>-28371027.680000003</v>
      </c>
      <c r="J165" s="5"/>
      <c r="K165" s="106">
        <f>SUM(K154:K164)</f>
        <v>-28371027.680000003</v>
      </c>
      <c r="L165" s="5"/>
      <c r="M165" s="5"/>
      <c r="N165" s="5"/>
      <c r="O165" s="158"/>
      <c r="P165" s="5"/>
      <c r="Q165" s="5"/>
      <c r="R165" s="5"/>
      <c r="S165" s="5"/>
      <c r="T165" s="5"/>
    </row>
    <row r="166" spans="1:20" ht="13.5" thickTop="1">
      <c r="C166" s="5"/>
      <c r="D166" s="5"/>
      <c r="E166" s="99"/>
      <c r="F166" s="5"/>
      <c r="G166" s="5"/>
      <c r="H166" s="5"/>
      <c r="I166" s="105"/>
      <c r="J166" s="5"/>
      <c r="K166" s="5"/>
      <c r="L166" s="5"/>
      <c r="M166" s="5"/>
      <c r="N166" s="5"/>
      <c r="O166" s="158"/>
      <c r="P166" s="5"/>
      <c r="Q166" s="5"/>
      <c r="R166" s="5"/>
      <c r="S166" s="5"/>
      <c r="T166" s="5"/>
    </row>
    <row r="167" spans="1:20">
      <c r="B167" t="s">
        <v>121</v>
      </c>
      <c r="C167" s="5">
        <f>'Recon Depr Exp to IS P4 (Tot)'!S28</f>
        <v>-3852937.95</v>
      </c>
      <c r="D167" s="5"/>
      <c r="E167" s="99"/>
      <c r="F167" s="5"/>
      <c r="G167" s="5"/>
      <c r="H167" s="5"/>
      <c r="I167" s="105">
        <f t="shared" ref="I167:I173" si="15">SUM(C167:H167)</f>
        <v>-3852937.95</v>
      </c>
      <c r="J167" s="5"/>
      <c r="K167" s="5"/>
      <c r="L167" s="5"/>
      <c r="M167" s="5"/>
      <c r="N167" s="5"/>
      <c r="O167" s="158"/>
      <c r="P167" s="5"/>
      <c r="Q167" s="5"/>
      <c r="R167" s="5"/>
      <c r="S167" s="5"/>
      <c r="T167" s="5"/>
    </row>
    <row r="168" spans="1:20">
      <c r="B168" t="s">
        <v>951</v>
      </c>
      <c r="C168" s="33">
        <f>'Recon Depr Exp to IS P4 (Tot)'!S29</f>
        <v>-74185.929999999993</v>
      </c>
      <c r="D168" s="33"/>
      <c r="E168" s="37"/>
      <c r="F168" s="33"/>
      <c r="G168" s="33"/>
      <c r="H168" s="33"/>
      <c r="I168" s="156">
        <f t="shared" si="15"/>
        <v>-74185.929999999993</v>
      </c>
      <c r="J168" s="5"/>
      <c r="K168" s="6">
        <f>SUM(I167:I168)</f>
        <v>-3927123.8800000004</v>
      </c>
      <c r="L168" s="5"/>
      <c r="M168" s="5" t="s">
        <v>1062</v>
      </c>
      <c r="N168" s="5"/>
      <c r="O168" s="158"/>
      <c r="P168" s="5"/>
      <c r="Q168" s="5"/>
      <c r="R168" s="5"/>
      <c r="S168" s="5"/>
      <c r="T168" s="5"/>
    </row>
    <row r="169" spans="1:20">
      <c r="B169" t="s">
        <v>122</v>
      </c>
      <c r="C169" s="33">
        <f>'Recon Depr Exp to IS P4 (Tot)'!S30</f>
        <v>-58813.19</v>
      </c>
      <c r="D169" s="33"/>
      <c r="E169" s="37"/>
      <c r="F169" s="33"/>
      <c r="G169" s="33"/>
      <c r="H169" s="33"/>
      <c r="I169" s="156">
        <f t="shared" si="15"/>
        <v>-58813.19</v>
      </c>
      <c r="J169" s="5"/>
      <c r="K169" s="37">
        <f>SUM(I169:I169)</f>
        <v>-58813.19</v>
      </c>
      <c r="L169" s="5"/>
      <c r="M169" s="5" t="s">
        <v>1059</v>
      </c>
      <c r="N169" s="5"/>
      <c r="O169" s="158"/>
      <c r="P169" s="5"/>
      <c r="Q169" s="5"/>
      <c r="R169" s="5"/>
      <c r="S169" s="5"/>
      <c r="T169" s="5"/>
    </row>
    <row r="170" spans="1:20">
      <c r="B170" t="s">
        <v>124</v>
      </c>
      <c r="C170" s="33">
        <f>'Recon Depr Exp to IS P4 (Tot)'!S31</f>
        <v>-346082.85999999993</v>
      </c>
      <c r="D170" s="33"/>
      <c r="E170" s="37"/>
      <c r="F170" s="33"/>
      <c r="G170" s="33"/>
      <c r="H170" s="33"/>
      <c r="I170" s="156">
        <f t="shared" si="15"/>
        <v>-346082.85999999993</v>
      </c>
      <c r="J170" s="5"/>
      <c r="K170" s="5"/>
      <c r="L170" s="5"/>
      <c r="M170" s="5"/>
      <c r="N170" s="5"/>
      <c r="O170" s="158"/>
      <c r="P170" s="5"/>
      <c r="Q170" s="5"/>
      <c r="R170" s="5"/>
      <c r="S170" s="5"/>
      <c r="T170" s="5"/>
    </row>
    <row r="171" spans="1:20">
      <c r="B171" t="s">
        <v>952</v>
      </c>
      <c r="C171" s="33">
        <f>'Recon Depr Exp to IS P4 (Tot)'!S32</f>
        <v>-55045.34</v>
      </c>
      <c r="D171" s="33"/>
      <c r="E171" s="37"/>
      <c r="F171" s="33"/>
      <c r="G171" s="33"/>
      <c r="H171" s="33"/>
      <c r="I171" s="156">
        <f t="shared" si="15"/>
        <v>-55045.34</v>
      </c>
      <c r="J171" s="5"/>
      <c r="K171" s="37">
        <f>SUM(I170:I171)</f>
        <v>-401128.19999999995</v>
      </c>
      <c r="L171" s="5"/>
      <c r="M171" s="5" t="s">
        <v>124</v>
      </c>
      <c r="N171" s="5"/>
      <c r="O171" s="158"/>
      <c r="P171" s="5"/>
      <c r="Q171" s="5"/>
      <c r="R171" s="5"/>
      <c r="S171" s="5"/>
      <c r="T171" s="5"/>
    </row>
    <row r="172" spans="1:20">
      <c r="B172" t="s">
        <v>129</v>
      </c>
      <c r="C172" s="33">
        <f>'Recon Depr Exp to IS P4 (Tot)'!S33</f>
        <v>0</v>
      </c>
      <c r="D172" s="33"/>
      <c r="E172" s="37"/>
      <c r="F172" s="33"/>
      <c r="G172" s="33"/>
      <c r="H172" s="33"/>
      <c r="I172" s="156">
        <f t="shared" si="15"/>
        <v>0</v>
      </c>
      <c r="J172" s="5"/>
      <c r="K172" s="37">
        <f>SUM(I172:I172)</f>
        <v>0</v>
      </c>
      <c r="L172" s="5"/>
      <c r="M172" s="5" t="s">
        <v>1066</v>
      </c>
      <c r="N172" s="5"/>
      <c r="O172" s="158"/>
      <c r="P172" s="5"/>
      <c r="Q172" s="5"/>
      <c r="R172" s="5"/>
      <c r="S172" s="5"/>
      <c r="T172" s="5"/>
    </row>
    <row r="173" spans="1:20">
      <c r="B173" t="s">
        <v>125</v>
      </c>
      <c r="C173" s="33">
        <f>'Recon Depr Exp to IS P4 (Tot)'!S34</f>
        <v>-17579.800000000003</v>
      </c>
      <c r="D173" s="33"/>
      <c r="E173" s="37"/>
      <c r="F173" s="33"/>
      <c r="G173" s="33"/>
      <c r="H173" s="33"/>
      <c r="I173" s="156">
        <f t="shared" si="15"/>
        <v>-17579.800000000003</v>
      </c>
      <c r="J173" s="5"/>
      <c r="K173" s="37">
        <f>SUM(I173:I173)</f>
        <v>-17579.800000000003</v>
      </c>
      <c r="L173" s="5"/>
      <c r="M173" s="5" t="s">
        <v>1065</v>
      </c>
      <c r="N173" s="5"/>
      <c r="O173" s="158"/>
      <c r="P173" s="5"/>
      <c r="Q173" s="5"/>
      <c r="R173" s="5"/>
      <c r="S173" s="5"/>
      <c r="T173" s="5"/>
    </row>
    <row r="174" spans="1:20" ht="13.5" thickBot="1">
      <c r="B174" t="s">
        <v>50</v>
      </c>
      <c r="C174" s="75">
        <f>SUM(C167:D173)</f>
        <v>-4404645.07</v>
      </c>
      <c r="D174" s="5"/>
      <c r="E174" s="99"/>
      <c r="F174" s="5"/>
      <c r="G174" s="5"/>
      <c r="H174" s="5"/>
      <c r="I174" s="106">
        <f>SUM(I167:J173)</f>
        <v>-4404645.07</v>
      </c>
      <c r="J174" s="5"/>
      <c r="K174" s="106">
        <f>SUM(K167:L173)</f>
        <v>-4404645.07</v>
      </c>
      <c r="L174" s="5"/>
      <c r="M174" s="5"/>
      <c r="N174" s="5"/>
      <c r="O174" s="158"/>
      <c r="P174" s="5"/>
      <c r="Q174" s="5"/>
      <c r="R174" s="5"/>
      <c r="S174" s="5"/>
      <c r="T174" s="5"/>
    </row>
    <row r="175" spans="1:20" ht="13.5" thickTop="1">
      <c r="C175" s="5"/>
      <c r="D175" s="5"/>
      <c r="E175" s="99"/>
      <c r="F175" s="5"/>
      <c r="G175" s="5"/>
      <c r="H175" s="5"/>
      <c r="I175" s="105"/>
      <c r="J175" s="5"/>
      <c r="K175" s="5"/>
      <c r="L175" s="5"/>
      <c r="M175" s="5"/>
      <c r="N175" s="5"/>
      <c r="O175" s="158"/>
      <c r="P175" s="5"/>
      <c r="Q175" s="5"/>
      <c r="R175" s="5"/>
      <c r="S175" s="5"/>
      <c r="T175" s="5"/>
    </row>
    <row r="176" spans="1:20">
      <c r="A176" s="3" t="s">
        <v>658</v>
      </c>
      <c r="C176" s="5"/>
      <c r="D176" s="5"/>
      <c r="E176" s="99"/>
      <c r="F176" s="5"/>
      <c r="G176" s="5"/>
      <c r="H176" s="5"/>
      <c r="I176" s="105"/>
      <c r="J176" s="5"/>
      <c r="K176" s="5"/>
      <c r="L176" s="5"/>
      <c r="M176" s="5"/>
      <c r="N176" s="5"/>
      <c r="O176" s="158"/>
      <c r="P176" s="5"/>
      <c r="Q176" s="5"/>
      <c r="R176" s="5"/>
      <c r="S176" s="5"/>
      <c r="T176" s="5"/>
    </row>
    <row r="177" spans="2:20">
      <c r="B177" t="s">
        <v>652</v>
      </c>
      <c r="C177" s="5">
        <f>'Recon Depr Exp to IS P4 (Tot)'!S42</f>
        <v>-2177175.2999999998</v>
      </c>
      <c r="D177" s="5"/>
      <c r="E177" s="99" t="e">
        <f>E142*-C177</f>
        <v>#REF!</v>
      </c>
      <c r="F177" s="5"/>
      <c r="G177" s="99" t="e">
        <f>G142*-C177</f>
        <v>#REF!</v>
      </c>
      <c r="H177" s="5"/>
      <c r="I177" s="105" t="e">
        <f>SUM(C177:H177)</f>
        <v>#REF!</v>
      </c>
      <c r="J177" s="5"/>
      <c r="K177" s="5"/>
      <c r="L177" s="5"/>
      <c r="M177" s="5"/>
      <c r="N177" s="5"/>
      <c r="O177" s="158"/>
      <c r="P177" s="5"/>
      <c r="Q177" s="5"/>
      <c r="R177" s="5"/>
      <c r="S177" s="5"/>
      <c r="T177" s="5"/>
    </row>
    <row r="178" spans="2:20">
      <c r="B178" t="s">
        <v>112</v>
      </c>
      <c r="C178" s="33">
        <f>'Recon Depr Exp to IS P4 (Tot)'!S43</f>
        <v>0</v>
      </c>
      <c r="D178" s="33"/>
      <c r="E178" s="33" t="e">
        <f>E142*C177</f>
        <v>#REF!</v>
      </c>
      <c r="F178" s="33"/>
      <c r="G178" s="33"/>
      <c r="H178" s="33"/>
      <c r="I178" s="156" t="e">
        <f>SUM(C178:H178)</f>
        <v>#REF!</v>
      </c>
      <c r="J178" s="5"/>
      <c r="K178" s="5"/>
      <c r="L178" s="5"/>
      <c r="M178" s="5"/>
      <c r="N178" s="5"/>
      <c r="O178" s="164" t="s">
        <v>1086</v>
      </c>
      <c r="P178" s="5"/>
      <c r="Q178" s="5"/>
      <c r="R178" s="5"/>
      <c r="S178" s="5"/>
      <c r="T178" s="5"/>
    </row>
    <row r="179" spans="2:20">
      <c r="B179" t="s">
        <v>120</v>
      </c>
      <c r="C179" s="33">
        <f>'Recon Depr Exp to IS P4 (Tot)'!S44</f>
        <v>0</v>
      </c>
      <c r="D179" s="33"/>
      <c r="E179" s="33"/>
      <c r="F179" s="33"/>
      <c r="G179" s="33" t="e">
        <f>G142*C177</f>
        <v>#REF!</v>
      </c>
      <c r="H179" s="33"/>
      <c r="I179" s="156" t="e">
        <f>SUM(C179:H179)</f>
        <v>#REF!</v>
      </c>
      <c r="J179" s="5"/>
      <c r="K179" s="5"/>
      <c r="L179" s="5"/>
      <c r="M179" s="5"/>
      <c r="N179" s="5"/>
      <c r="O179" s="158"/>
      <c r="P179" s="5"/>
      <c r="Q179" s="5"/>
      <c r="R179" s="5"/>
      <c r="S179" s="5"/>
      <c r="T179" s="5"/>
    </row>
    <row r="180" spans="2:20" ht="13.5" thickBot="1">
      <c r="C180" s="75">
        <f>SUM(C177:C179)</f>
        <v>-2177175.2999999998</v>
      </c>
      <c r="D180" s="5"/>
      <c r="E180" s="5"/>
      <c r="F180" s="5"/>
      <c r="G180" s="5"/>
      <c r="H180" s="5"/>
      <c r="I180" s="106" t="e">
        <f>SUM(I177:I179)</f>
        <v>#REF!</v>
      </c>
      <c r="J180" s="5"/>
      <c r="K180" s="5"/>
      <c r="L180" s="5"/>
      <c r="M180" s="5"/>
      <c r="N180" s="5"/>
      <c r="O180" s="158"/>
      <c r="P180" s="5"/>
      <c r="Q180" s="5"/>
      <c r="R180" s="5"/>
      <c r="S180" s="5"/>
      <c r="T180" s="5"/>
    </row>
    <row r="181" spans="2:20" ht="13.5" thickTop="1">
      <c r="C181" s="5"/>
      <c r="D181" s="5"/>
      <c r="E181" s="5"/>
      <c r="F181" s="5"/>
      <c r="G181" s="5"/>
      <c r="H181" s="5"/>
      <c r="I181" s="105"/>
      <c r="J181" s="5"/>
      <c r="K181" s="5"/>
      <c r="L181" s="5"/>
      <c r="M181" s="5"/>
      <c r="N181" s="5"/>
      <c r="O181" s="5"/>
      <c r="P181" s="5"/>
      <c r="Q181" s="5"/>
      <c r="R181" s="5"/>
      <c r="S181" s="5"/>
      <c r="T181" s="5"/>
    </row>
    <row r="182" spans="2:20">
      <c r="C182" s="5">
        <f>C152+C165+C174+C180</f>
        <v>-38048084.5</v>
      </c>
      <c r="D182" s="5"/>
      <c r="E182" s="5"/>
      <c r="F182" s="5"/>
      <c r="G182" s="5"/>
      <c r="H182" s="5"/>
      <c r="I182" s="5" t="e">
        <f>I152+I165+I174+I180</f>
        <v>#REF!</v>
      </c>
      <c r="J182" s="5"/>
      <c r="K182" s="5" t="e">
        <f>C182-I182</f>
        <v>#REF!</v>
      </c>
      <c r="L182" s="5"/>
      <c r="M182" s="5"/>
      <c r="N182" s="5"/>
      <c r="O182" s="5"/>
      <c r="P182" s="5"/>
      <c r="Q182" s="5"/>
      <c r="R182" s="5"/>
      <c r="S182" s="5"/>
      <c r="T182" s="5"/>
    </row>
    <row r="183" spans="2:20">
      <c r="C183" s="5"/>
      <c r="D183" s="5"/>
      <c r="E183" s="5"/>
      <c r="F183" s="5"/>
      <c r="G183" s="5"/>
      <c r="H183" s="5"/>
      <c r="I183" s="5"/>
      <c r="J183" s="5"/>
      <c r="K183" s="5"/>
      <c r="L183" s="5"/>
      <c r="M183" s="5"/>
      <c r="N183" s="5"/>
      <c r="O183" s="5"/>
      <c r="P183" s="5"/>
      <c r="Q183" s="5"/>
      <c r="R183" s="5"/>
      <c r="S183" s="5"/>
      <c r="T183" s="5"/>
    </row>
    <row r="184" spans="2:20">
      <c r="C184" s="5"/>
      <c r="D184" s="5"/>
      <c r="E184" s="5"/>
      <c r="F184" s="5"/>
      <c r="G184" s="5"/>
      <c r="H184" s="5"/>
      <c r="I184" s="5"/>
      <c r="J184" s="5"/>
      <c r="K184" s="5"/>
      <c r="L184" s="5"/>
      <c r="M184" s="5"/>
      <c r="N184" s="5"/>
      <c r="O184" s="5"/>
      <c r="P184" s="5"/>
      <c r="Q184" s="5"/>
      <c r="R184" s="5"/>
      <c r="S184" s="5"/>
      <c r="T184" s="5"/>
    </row>
    <row r="185" spans="2:20">
      <c r="C185" s="5"/>
      <c r="D185" s="5"/>
      <c r="E185" s="5"/>
      <c r="F185" s="5"/>
      <c r="G185" s="5"/>
      <c r="H185" s="5"/>
      <c r="I185" s="5"/>
      <c r="J185" s="5"/>
      <c r="K185" s="5"/>
      <c r="L185" s="5"/>
      <c r="M185" s="5"/>
      <c r="N185" s="5"/>
      <c r="O185" s="5"/>
      <c r="P185" s="5"/>
      <c r="Q185" s="5"/>
      <c r="R185" s="5"/>
      <c r="S185" s="5"/>
      <c r="T185" s="5"/>
    </row>
    <row r="186" spans="2:20">
      <c r="C186" s="5"/>
      <c r="D186" s="5"/>
      <c r="E186" s="5"/>
      <c r="F186" s="5"/>
      <c r="G186" s="5"/>
      <c r="H186" s="5"/>
      <c r="I186" s="5"/>
      <c r="J186" s="5"/>
      <c r="K186" s="5"/>
      <c r="L186" s="5"/>
      <c r="M186" s="5"/>
      <c r="N186" s="5"/>
      <c r="O186" s="5"/>
      <c r="P186" s="5"/>
      <c r="Q186" s="5"/>
      <c r="R186" s="5"/>
      <c r="S186" s="5"/>
      <c r="T186" s="5"/>
    </row>
    <row r="187" spans="2:20">
      <c r="C187" s="5"/>
      <c r="D187" s="5"/>
      <c r="E187" s="5"/>
      <c r="F187" s="5"/>
      <c r="G187" s="5"/>
      <c r="H187" s="5"/>
      <c r="I187" s="5"/>
      <c r="J187" s="5"/>
      <c r="K187" s="5"/>
      <c r="L187" s="5"/>
      <c r="M187" s="5"/>
      <c r="N187" s="5"/>
      <c r="O187" s="5"/>
      <c r="P187" s="5"/>
      <c r="Q187" s="5"/>
      <c r="R187" s="5"/>
      <c r="S187" s="5"/>
      <c r="T187" s="5"/>
    </row>
    <row r="188" spans="2:20">
      <c r="C188" s="5"/>
      <c r="D188" s="5"/>
      <c r="E188" s="5"/>
      <c r="F188" s="5"/>
      <c r="G188" s="5"/>
      <c r="H188" s="5"/>
      <c r="I188" s="5"/>
      <c r="J188" s="5"/>
      <c r="K188" s="5"/>
      <c r="L188" s="5"/>
      <c r="M188" s="5"/>
      <c r="N188" s="5"/>
      <c r="O188" s="5"/>
      <c r="P188" s="5"/>
      <c r="Q188" s="5"/>
      <c r="R188" s="5"/>
      <c r="S188" s="5"/>
      <c r="T188" s="5"/>
    </row>
    <row r="189" spans="2:20">
      <c r="C189" s="5"/>
      <c r="D189" s="5"/>
      <c r="E189" s="5"/>
      <c r="F189" s="5"/>
      <c r="G189" s="5"/>
      <c r="H189" s="5"/>
      <c r="I189" s="5"/>
      <c r="J189" s="5"/>
      <c r="K189" s="5"/>
      <c r="L189" s="5"/>
      <c r="M189" s="5"/>
      <c r="N189" s="5"/>
      <c r="O189" s="5"/>
      <c r="P189" s="5"/>
      <c r="Q189" s="5"/>
      <c r="R189" s="5"/>
      <c r="S189" s="5"/>
      <c r="T189" s="5"/>
    </row>
    <row r="190" spans="2:20">
      <c r="C190" s="5"/>
      <c r="D190" s="5"/>
      <c r="E190" s="5"/>
      <c r="F190" s="5"/>
      <c r="G190" s="5"/>
      <c r="H190" s="5"/>
      <c r="I190" s="5"/>
      <c r="J190" s="5"/>
      <c r="K190" s="5"/>
      <c r="L190" s="5"/>
      <c r="M190" s="5"/>
      <c r="N190" s="5"/>
      <c r="O190" s="5"/>
      <c r="P190" s="5"/>
      <c r="Q190" s="5"/>
      <c r="R190" s="5"/>
      <c r="S190" s="5"/>
      <c r="T190" s="5"/>
    </row>
    <row r="191" spans="2:20">
      <c r="C191" s="5"/>
      <c r="D191" s="5"/>
      <c r="E191" s="5"/>
      <c r="F191" s="5"/>
      <c r="G191" s="5"/>
      <c r="H191" s="5"/>
      <c r="I191" s="5"/>
      <c r="J191" s="5"/>
      <c r="K191" s="5"/>
      <c r="L191" s="5"/>
      <c r="M191" s="5"/>
      <c r="N191" s="5"/>
      <c r="O191" s="5"/>
      <c r="P191" s="5"/>
      <c r="Q191" s="5"/>
      <c r="R191" s="5"/>
      <c r="S191" s="5"/>
      <c r="T191" s="5"/>
    </row>
    <row r="192" spans="2:20">
      <c r="C192" s="5"/>
      <c r="D192" s="5"/>
      <c r="E192" s="5"/>
      <c r="F192" s="5"/>
      <c r="G192" s="5"/>
      <c r="H192" s="5"/>
      <c r="I192" s="5"/>
      <c r="J192" s="5"/>
      <c r="K192" s="5"/>
      <c r="L192" s="5"/>
      <c r="M192" s="5"/>
      <c r="N192" s="5"/>
      <c r="O192" s="5"/>
      <c r="P192" s="5"/>
      <c r="Q192" s="5"/>
      <c r="R192" s="5"/>
      <c r="S192" s="5"/>
      <c r="T192" s="5"/>
    </row>
    <row r="193" spans="3:20">
      <c r="C193" s="5"/>
      <c r="D193" s="5"/>
      <c r="E193" s="5"/>
      <c r="F193" s="5"/>
      <c r="G193" s="5"/>
      <c r="H193" s="5"/>
      <c r="I193" s="5"/>
      <c r="J193" s="5"/>
      <c r="K193" s="5"/>
      <c r="L193" s="5"/>
      <c r="M193" s="5"/>
      <c r="N193" s="5"/>
      <c r="O193" s="5"/>
      <c r="P193" s="5"/>
      <c r="Q193" s="5"/>
      <c r="R193" s="5"/>
      <c r="S193" s="5"/>
      <c r="T193" s="5"/>
    </row>
    <row r="194" spans="3:20">
      <c r="C194" s="5"/>
      <c r="D194" s="5"/>
      <c r="E194" s="5"/>
      <c r="F194" s="5"/>
      <c r="G194" s="5"/>
      <c r="H194" s="5"/>
      <c r="I194" s="5"/>
      <c r="J194" s="5"/>
      <c r="K194" s="5"/>
      <c r="L194" s="5"/>
      <c r="M194" s="5"/>
      <c r="N194" s="5"/>
      <c r="O194" s="5"/>
      <c r="P194" s="5"/>
      <c r="Q194" s="5"/>
      <c r="R194" s="5"/>
      <c r="S194" s="5"/>
      <c r="T194" s="5"/>
    </row>
    <row r="195" spans="3:20">
      <c r="C195" s="5"/>
      <c r="D195" s="5"/>
      <c r="E195" s="5"/>
      <c r="F195" s="5"/>
      <c r="G195" s="5"/>
      <c r="H195" s="5"/>
      <c r="I195" s="5"/>
      <c r="J195" s="5"/>
      <c r="K195" s="5"/>
      <c r="L195" s="5"/>
      <c r="M195" s="5"/>
      <c r="N195" s="5"/>
      <c r="O195" s="5"/>
      <c r="P195" s="5"/>
      <c r="Q195" s="5"/>
      <c r="R195" s="5"/>
      <c r="S195" s="5"/>
      <c r="T195" s="5"/>
    </row>
    <row r="196" spans="3:20">
      <c r="C196" s="5"/>
      <c r="D196" s="5"/>
      <c r="E196" s="5"/>
      <c r="F196" s="5"/>
      <c r="G196" s="5"/>
      <c r="H196" s="5"/>
      <c r="I196" s="5"/>
      <c r="J196" s="5"/>
      <c r="K196" s="5"/>
      <c r="L196" s="5"/>
      <c r="M196" s="5"/>
      <c r="N196" s="5"/>
      <c r="O196" s="5"/>
      <c r="P196" s="5"/>
      <c r="Q196" s="5"/>
      <c r="R196" s="5"/>
      <c r="S196" s="5"/>
      <c r="T196" s="5"/>
    </row>
    <row r="197" spans="3:20">
      <c r="C197" s="5"/>
      <c r="D197" s="5"/>
      <c r="E197" s="5"/>
      <c r="F197" s="5"/>
      <c r="G197" s="5"/>
      <c r="H197" s="5"/>
      <c r="I197" s="5"/>
      <c r="J197" s="5"/>
      <c r="K197" s="5"/>
      <c r="L197" s="5"/>
      <c r="M197" s="5"/>
      <c r="N197" s="5"/>
      <c r="O197" s="5"/>
      <c r="P197" s="5"/>
      <c r="Q197" s="5"/>
      <c r="R197" s="5"/>
      <c r="S197" s="5"/>
      <c r="T197" s="5"/>
    </row>
    <row r="198" spans="3:20">
      <c r="C198" s="5"/>
      <c r="D198" s="5"/>
      <c r="E198" s="5"/>
      <c r="F198" s="5"/>
      <c r="G198" s="5"/>
      <c r="H198" s="5"/>
      <c r="I198" s="5"/>
      <c r="J198" s="5"/>
      <c r="K198" s="5"/>
      <c r="L198" s="5"/>
      <c r="M198" s="5"/>
      <c r="N198" s="5"/>
      <c r="O198" s="5"/>
      <c r="P198" s="5"/>
      <c r="Q198" s="5"/>
      <c r="R198" s="5"/>
      <c r="S198" s="5"/>
      <c r="T198" s="5"/>
    </row>
    <row r="199" spans="3:20">
      <c r="C199" s="5"/>
      <c r="D199" s="5"/>
      <c r="E199" s="5"/>
      <c r="F199" s="5"/>
      <c r="G199" s="5"/>
      <c r="H199" s="5"/>
      <c r="I199" s="5"/>
      <c r="J199" s="5"/>
      <c r="K199" s="5"/>
      <c r="L199" s="5"/>
      <c r="M199" s="5"/>
      <c r="N199" s="5"/>
      <c r="O199" s="5"/>
      <c r="P199" s="5"/>
      <c r="Q199" s="5"/>
      <c r="R199" s="5"/>
      <c r="S199" s="5"/>
      <c r="T199" s="5"/>
    </row>
    <row r="200" spans="3:20">
      <c r="C200" s="5"/>
      <c r="D200" s="5"/>
      <c r="E200" s="5"/>
      <c r="F200" s="5"/>
      <c r="G200" s="5"/>
      <c r="H200" s="5"/>
      <c r="I200" s="5"/>
      <c r="J200" s="5"/>
      <c r="K200" s="5"/>
      <c r="L200" s="5"/>
      <c r="M200" s="5"/>
      <c r="N200" s="5"/>
      <c r="O200" s="5"/>
      <c r="P200" s="5"/>
      <c r="Q200" s="5"/>
      <c r="R200" s="5"/>
      <c r="S200" s="5"/>
      <c r="T200" s="5"/>
    </row>
    <row r="201" spans="3:20">
      <c r="C201" s="5"/>
      <c r="D201" s="5"/>
      <c r="E201" s="5"/>
      <c r="F201" s="5"/>
      <c r="G201" s="5"/>
      <c r="H201" s="5"/>
      <c r="I201" s="5"/>
      <c r="J201" s="5"/>
      <c r="K201" s="5"/>
      <c r="L201" s="5"/>
      <c r="M201" s="5"/>
      <c r="N201" s="5"/>
      <c r="O201" s="5"/>
      <c r="P201" s="5"/>
      <c r="Q201" s="5"/>
      <c r="R201" s="5"/>
      <c r="S201" s="5"/>
      <c r="T201" s="5"/>
    </row>
    <row r="202" spans="3:20">
      <c r="C202" s="5"/>
      <c r="D202" s="5"/>
      <c r="E202" s="5"/>
      <c r="F202" s="5"/>
      <c r="G202" s="5"/>
      <c r="H202" s="5"/>
      <c r="I202" s="5"/>
      <c r="J202" s="5"/>
      <c r="K202" s="5"/>
      <c r="L202" s="5"/>
      <c r="M202" s="5"/>
      <c r="N202" s="5"/>
      <c r="O202" s="5"/>
      <c r="P202" s="5"/>
      <c r="Q202" s="5"/>
      <c r="R202" s="5"/>
      <c r="S202" s="5"/>
      <c r="T202" s="5"/>
    </row>
    <row r="203" spans="3:20">
      <c r="C203" s="5"/>
      <c r="D203" s="5"/>
      <c r="E203" s="5"/>
      <c r="F203" s="5"/>
      <c r="G203" s="5"/>
      <c r="H203" s="5"/>
      <c r="I203" s="5"/>
      <c r="J203" s="5"/>
      <c r="K203" s="5"/>
      <c r="L203" s="5"/>
      <c r="M203" s="5"/>
      <c r="N203" s="5"/>
      <c r="O203" s="5"/>
      <c r="P203" s="5"/>
      <c r="Q203" s="5"/>
      <c r="R203" s="5"/>
      <c r="S203" s="5"/>
      <c r="T203" s="5"/>
    </row>
    <row r="204" spans="3:20">
      <c r="C204" s="5"/>
      <c r="D204" s="5"/>
      <c r="E204" s="5"/>
      <c r="F204" s="5"/>
      <c r="G204" s="5"/>
      <c r="H204" s="5"/>
      <c r="I204" s="5"/>
      <c r="J204" s="5"/>
      <c r="K204" s="5"/>
      <c r="L204" s="5"/>
      <c r="M204" s="5"/>
      <c r="N204" s="5"/>
      <c r="O204" s="5"/>
      <c r="P204" s="5"/>
      <c r="Q204" s="5"/>
      <c r="R204" s="5"/>
      <c r="S204" s="5"/>
      <c r="T204" s="5"/>
    </row>
    <row r="205" spans="3:20">
      <c r="C205" s="5"/>
      <c r="D205" s="5"/>
      <c r="E205" s="5"/>
      <c r="F205" s="5"/>
      <c r="G205" s="5"/>
      <c r="H205" s="5"/>
      <c r="I205" s="5"/>
      <c r="J205" s="5"/>
      <c r="K205" s="5"/>
      <c r="L205" s="5"/>
      <c r="M205" s="5"/>
      <c r="N205" s="5"/>
      <c r="O205" s="5"/>
      <c r="P205" s="5"/>
      <c r="Q205" s="5"/>
      <c r="R205" s="5"/>
      <c r="S205" s="5"/>
      <c r="T205" s="5"/>
    </row>
    <row r="206" spans="3:20">
      <c r="C206" s="5"/>
      <c r="D206" s="5"/>
      <c r="E206" s="5"/>
      <c r="F206" s="5"/>
      <c r="G206" s="5"/>
      <c r="H206" s="5"/>
      <c r="I206" s="5"/>
      <c r="J206" s="5"/>
      <c r="K206" s="5"/>
      <c r="L206" s="5"/>
      <c r="M206" s="5"/>
      <c r="N206" s="5"/>
      <c r="O206" s="5"/>
      <c r="P206" s="5"/>
      <c r="Q206" s="5"/>
      <c r="R206" s="5"/>
      <c r="S206" s="5"/>
      <c r="T206" s="5"/>
    </row>
    <row r="207" spans="3:20">
      <c r="C207" s="5"/>
      <c r="D207" s="5"/>
      <c r="E207" s="5"/>
      <c r="F207" s="5"/>
      <c r="G207" s="5"/>
      <c r="H207" s="5"/>
      <c r="I207" s="5"/>
      <c r="J207" s="5"/>
      <c r="K207" s="5"/>
      <c r="L207" s="5"/>
      <c r="M207" s="5"/>
      <c r="N207" s="5"/>
      <c r="O207" s="5"/>
      <c r="P207" s="5"/>
      <c r="Q207" s="5"/>
      <c r="R207" s="5"/>
      <c r="S207" s="5"/>
      <c r="T207" s="5"/>
    </row>
    <row r="208" spans="3:20">
      <c r="C208" s="5"/>
      <c r="D208" s="5"/>
      <c r="E208" s="5"/>
      <c r="F208" s="5"/>
      <c r="G208" s="5"/>
      <c r="H208" s="5"/>
      <c r="I208" s="5"/>
      <c r="J208" s="5"/>
      <c r="K208" s="5"/>
      <c r="L208" s="5"/>
      <c r="M208" s="5"/>
      <c r="N208" s="5"/>
      <c r="O208" s="5"/>
      <c r="P208" s="5"/>
      <c r="Q208" s="5"/>
      <c r="R208" s="5"/>
      <c r="S208" s="5"/>
      <c r="T208" s="5"/>
    </row>
    <row r="209" spans="3:20">
      <c r="C209" s="5"/>
      <c r="D209" s="5"/>
      <c r="E209" s="5"/>
      <c r="F209" s="5"/>
      <c r="G209" s="5"/>
      <c r="H209" s="5"/>
      <c r="I209" s="5"/>
      <c r="J209" s="5"/>
      <c r="K209" s="5"/>
      <c r="L209" s="5"/>
      <c r="M209" s="5"/>
      <c r="N209" s="5"/>
      <c r="O209" s="5"/>
      <c r="P209" s="5"/>
      <c r="Q209" s="5"/>
      <c r="R209" s="5"/>
      <c r="S209" s="5"/>
      <c r="T209" s="5"/>
    </row>
    <row r="210" spans="3:20">
      <c r="C210" s="5"/>
      <c r="D210" s="5"/>
      <c r="E210" s="5"/>
      <c r="F210" s="5"/>
      <c r="G210" s="5"/>
      <c r="H210" s="5"/>
      <c r="I210" s="5"/>
      <c r="J210" s="5"/>
      <c r="K210" s="5"/>
      <c r="L210" s="5"/>
      <c r="M210" s="5"/>
      <c r="N210" s="5"/>
      <c r="O210" s="5"/>
      <c r="P210" s="5"/>
      <c r="Q210" s="5"/>
      <c r="R210" s="5"/>
      <c r="S210" s="5"/>
      <c r="T210" s="5"/>
    </row>
    <row r="211" spans="3:20">
      <c r="C211" s="5"/>
      <c r="D211" s="5"/>
      <c r="E211" s="5"/>
      <c r="F211" s="5"/>
      <c r="G211" s="5"/>
      <c r="H211" s="5"/>
      <c r="I211" s="5"/>
      <c r="J211" s="5"/>
      <c r="K211" s="5"/>
      <c r="L211" s="5"/>
      <c r="M211" s="5"/>
      <c r="N211" s="5"/>
      <c r="O211" s="5"/>
      <c r="P211" s="5"/>
      <c r="Q211" s="5"/>
      <c r="R211" s="5"/>
      <c r="S211" s="5"/>
      <c r="T211" s="5"/>
    </row>
    <row r="212" spans="3:20">
      <c r="C212" s="5"/>
      <c r="D212" s="5"/>
      <c r="E212" s="5"/>
      <c r="F212" s="5"/>
      <c r="G212" s="5"/>
      <c r="H212" s="5"/>
      <c r="I212" s="5"/>
      <c r="J212" s="5"/>
      <c r="K212" s="5"/>
      <c r="L212" s="5"/>
      <c r="M212" s="5"/>
      <c r="N212" s="5"/>
      <c r="O212" s="5"/>
      <c r="P212" s="5"/>
      <c r="Q212" s="5"/>
      <c r="R212" s="5"/>
      <c r="S212" s="5"/>
      <c r="T212" s="5"/>
    </row>
    <row r="213" spans="3:20">
      <c r="C213" s="5"/>
      <c r="D213" s="5"/>
      <c r="E213" s="5"/>
      <c r="F213" s="5"/>
      <c r="G213" s="5"/>
      <c r="H213" s="5"/>
      <c r="I213" s="5"/>
      <c r="J213" s="5"/>
      <c r="K213" s="5"/>
      <c r="L213" s="5"/>
      <c r="M213" s="5"/>
      <c r="N213" s="5"/>
      <c r="O213" s="5"/>
      <c r="P213" s="5"/>
      <c r="Q213" s="5"/>
      <c r="R213" s="5"/>
      <c r="S213" s="5"/>
      <c r="T213" s="5"/>
    </row>
    <row r="214" spans="3:20">
      <c r="C214" s="5"/>
      <c r="D214" s="5"/>
      <c r="E214" s="5"/>
      <c r="F214" s="5"/>
      <c r="G214" s="5"/>
      <c r="H214" s="5"/>
      <c r="I214" s="5"/>
      <c r="J214" s="5"/>
      <c r="K214" s="5"/>
      <c r="L214" s="5"/>
      <c r="M214" s="5"/>
      <c r="N214" s="5"/>
      <c r="O214" s="5"/>
      <c r="P214" s="5"/>
      <c r="Q214" s="5"/>
      <c r="R214" s="5"/>
      <c r="S214" s="5"/>
      <c r="T214" s="5"/>
    </row>
    <row r="215" spans="3:20">
      <c r="C215" s="5"/>
      <c r="D215" s="5"/>
      <c r="E215" s="5"/>
      <c r="F215" s="5"/>
      <c r="G215" s="5"/>
      <c r="H215" s="5"/>
      <c r="I215" s="5"/>
      <c r="J215" s="5"/>
      <c r="K215" s="5"/>
      <c r="L215" s="5"/>
      <c r="M215" s="5"/>
      <c r="N215" s="5"/>
      <c r="O215" s="5"/>
      <c r="P215" s="5"/>
      <c r="Q215" s="5"/>
      <c r="R215" s="5"/>
      <c r="S215" s="5"/>
      <c r="T215" s="5"/>
    </row>
    <row r="216" spans="3:20">
      <c r="C216" s="5"/>
      <c r="D216" s="5"/>
      <c r="E216" s="5"/>
      <c r="F216" s="5"/>
      <c r="G216" s="5"/>
      <c r="H216" s="5"/>
      <c r="I216" s="5"/>
      <c r="J216" s="5"/>
      <c r="K216" s="5"/>
      <c r="L216" s="5"/>
      <c r="M216" s="5"/>
      <c r="N216" s="5"/>
      <c r="O216" s="5"/>
      <c r="P216" s="5"/>
      <c r="Q216" s="5"/>
      <c r="R216" s="5"/>
      <c r="S216" s="5"/>
      <c r="T216" s="5"/>
    </row>
    <row r="217" spans="3:20">
      <c r="C217" s="5"/>
      <c r="D217" s="5"/>
      <c r="E217" s="5"/>
      <c r="F217" s="5"/>
      <c r="G217" s="5"/>
      <c r="H217" s="5"/>
      <c r="I217" s="5"/>
      <c r="J217" s="5"/>
      <c r="K217" s="5"/>
      <c r="L217" s="5"/>
      <c r="M217" s="5"/>
      <c r="N217" s="5"/>
      <c r="O217" s="5"/>
      <c r="P217" s="5"/>
      <c r="Q217" s="5"/>
      <c r="R217" s="5"/>
      <c r="S217" s="5"/>
      <c r="T217" s="5"/>
    </row>
    <row r="218" spans="3:20">
      <c r="C218" s="5"/>
      <c r="D218" s="5"/>
      <c r="E218" s="5"/>
      <c r="F218" s="5"/>
      <c r="G218" s="5"/>
      <c r="H218" s="5"/>
      <c r="I218" s="5"/>
      <c r="J218" s="5"/>
      <c r="K218" s="5"/>
      <c r="L218" s="5"/>
      <c r="M218" s="5"/>
      <c r="N218" s="5"/>
      <c r="O218" s="5"/>
      <c r="P218" s="5"/>
      <c r="Q218" s="5"/>
      <c r="R218" s="5"/>
      <c r="S218" s="5"/>
      <c r="T218" s="5"/>
    </row>
    <row r="219" spans="3:20">
      <c r="C219" s="5"/>
      <c r="D219" s="5"/>
      <c r="E219" s="5"/>
      <c r="F219" s="5"/>
      <c r="G219" s="5"/>
      <c r="H219" s="5"/>
      <c r="I219" s="5"/>
      <c r="J219" s="5"/>
      <c r="K219" s="5"/>
      <c r="L219" s="5"/>
      <c r="M219" s="5"/>
      <c r="N219" s="5"/>
      <c r="O219" s="5"/>
      <c r="P219" s="5"/>
      <c r="Q219" s="5"/>
      <c r="R219" s="5"/>
      <c r="S219" s="5"/>
      <c r="T219" s="5"/>
    </row>
    <row r="220" spans="3:20">
      <c r="C220" s="5"/>
      <c r="D220" s="5"/>
      <c r="E220" s="5"/>
      <c r="F220" s="5"/>
      <c r="G220" s="5"/>
      <c r="H220" s="5"/>
      <c r="I220" s="5"/>
      <c r="J220" s="5"/>
      <c r="K220" s="5"/>
      <c r="L220" s="5"/>
      <c r="M220" s="5"/>
      <c r="N220" s="5"/>
      <c r="O220" s="5"/>
      <c r="P220" s="5"/>
      <c r="Q220" s="5"/>
      <c r="R220" s="5"/>
      <c r="S220" s="5"/>
      <c r="T220" s="5"/>
    </row>
    <row r="221" spans="3:20">
      <c r="C221" s="5"/>
      <c r="D221" s="5"/>
      <c r="E221" s="5"/>
      <c r="F221" s="5"/>
      <c r="G221" s="5"/>
      <c r="H221" s="5"/>
      <c r="I221" s="5"/>
      <c r="J221" s="5"/>
      <c r="K221" s="5"/>
      <c r="L221" s="5"/>
      <c r="M221" s="5"/>
      <c r="N221" s="5"/>
      <c r="O221" s="5"/>
      <c r="P221" s="5"/>
      <c r="Q221" s="5"/>
      <c r="R221" s="5"/>
      <c r="S221" s="5"/>
      <c r="T221" s="5"/>
    </row>
    <row r="222" spans="3:20">
      <c r="C222" s="5"/>
      <c r="D222" s="5"/>
      <c r="E222" s="5"/>
      <c r="F222" s="5"/>
      <c r="G222" s="5"/>
      <c r="H222" s="5"/>
      <c r="I222" s="5"/>
      <c r="J222" s="5"/>
      <c r="K222" s="5"/>
      <c r="L222" s="5"/>
      <c r="M222" s="5"/>
      <c r="N222" s="5"/>
      <c r="O222" s="5"/>
      <c r="P222" s="5"/>
      <c r="Q222" s="5"/>
      <c r="R222" s="5"/>
      <c r="S222" s="5"/>
      <c r="T222" s="5"/>
    </row>
    <row r="223" spans="3:20">
      <c r="C223" s="5"/>
      <c r="D223" s="5"/>
      <c r="E223" s="5"/>
      <c r="F223" s="5"/>
      <c r="G223" s="5"/>
      <c r="H223" s="5"/>
      <c r="I223" s="5"/>
      <c r="J223" s="5"/>
      <c r="K223" s="5"/>
      <c r="L223" s="5"/>
      <c r="M223" s="5"/>
      <c r="N223" s="5"/>
      <c r="O223" s="5"/>
      <c r="P223" s="5"/>
      <c r="Q223" s="5"/>
      <c r="R223" s="5"/>
      <c r="S223" s="5"/>
      <c r="T223" s="5"/>
    </row>
    <row r="224" spans="3:20">
      <c r="C224" s="5"/>
      <c r="D224" s="5"/>
      <c r="E224" s="5"/>
      <c r="F224" s="5"/>
      <c r="G224" s="5"/>
      <c r="H224" s="5"/>
      <c r="I224" s="5"/>
      <c r="J224" s="5"/>
      <c r="K224" s="5"/>
      <c r="L224" s="5"/>
      <c r="M224" s="5"/>
      <c r="N224" s="5"/>
      <c r="O224" s="5"/>
      <c r="P224" s="5"/>
      <c r="Q224" s="5"/>
      <c r="R224" s="5"/>
      <c r="S224" s="5"/>
      <c r="T224" s="5"/>
    </row>
    <row r="225" spans="3:20">
      <c r="C225" s="5"/>
      <c r="D225" s="5"/>
      <c r="E225" s="5"/>
      <c r="F225" s="5"/>
      <c r="G225" s="5"/>
      <c r="H225" s="5"/>
      <c r="I225" s="5"/>
      <c r="J225" s="5"/>
      <c r="K225" s="5"/>
      <c r="L225" s="5"/>
      <c r="M225" s="5"/>
      <c r="N225" s="5"/>
      <c r="O225" s="5"/>
      <c r="P225" s="5"/>
      <c r="Q225" s="5"/>
      <c r="R225" s="5"/>
      <c r="S225" s="5"/>
      <c r="T225" s="5"/>
    </row>
    <row r="226" spans="3:20">
      <c r="C226" s="5"/>
      <c r="D226" s="5"/>
      <c r="E226" s="5"/>
      <c r="F226" s="5"/>
      <c r="G226" s="5"/>
      <c r="H226" s="5"/>
      <c r="I226" s="5"/>
      <c r="J226" s="5"/>
      <c r="K226" s="5"/>
      <c r="L226" s="5"/>
      <c r="M226" s="5"/>
      <c r="N226" s="5"/>
      <c r="O226" s="5"/>
      <c r="P226" s="5"/>
      <c r="Q226" s="5"/>
      <c r="R226" s="5"/>
      <c r="S226" s="5"/>
      <c r="T226" s="5"/>
    </row>
    <row r="227" spans="3:20">
      <c r="C227" s="5"/>
      <c r="D227" s="5"/>
      <c r="E227" s="5"/>
      <c r="F227" s="5"/>
      <c r="G227" s="5"/>
      <c r="H227" s="5"/>
      <c r="I227" s="5"/>
      <c r="J227" s="5"/>
      <c r="K227" s="5"/>
      <c r="L227" s="5"/>
      <c r="M227" s="5"/>
      <c r="N227" s="5"/>
      <c r="O227" s="5"/>
      <c r="P227" s="5"/>
      <c r="Q227" s="5"/>
      <c r="R227" s="5"/>
      <c r="S227" s="5"/>
      <c r="T227" s="5"/>
    </row>
    <row r="228" spans="3:20">
      <c r="C228" s="5"/>
      <c r="D228" s="5"/>
      <c r="E228" s="5"/>
      <c r="F228" s="5"/>
      <c r="G228" s="5"/>
      <c r="H228" s="5"/>
      <c r="I228" s="5"/>
      <c r="J228" s="5"/>
      <c r="K228" s="5"/>
      <c r="L228" s="5"/>
      <c r="M228" s="5"/>
      <c r="N228" s="5"/>
      <c r="O228" s="5"/>
      <c r="P228" s="5"/>
      <c r="Q228" s="5"/>
      <c r="R228" s="5"/>
      <c r="S228" s="5"/>
      <c r="T228" s="5"/>
    </row>
    <row r="229" spans="3:20">
      <c r="C229" s="5"/>
      <c r="D229" s="5"/>
      <c r="E229" s="5"/>
      <c r="F229" s="5"/>
      <c r="G229" s="5"/>
      <c r="H229" s="5"/>
      <c r="I229" s="5"/>
      <c r="J229" s="5"/>
      <c r="K229" s="5"/>
      <c r="L229" s="5"/>
      <c r="M229" s="5"/>
      <c r="N229" s="5"/>
      <c r="O229" s="5"/>
      <c r="P229" s="5"/>
      <c r="Q229" s="5"/>
      <c r="R229" s="5"/>
      <c r="S229" s="5"/>
      <c r="T229" s="5"/>
    </row>
    <row r="230" spans="3:20">
      <c r="C230" s="5"/>
      <c r="D230" s="5"/>
      <c r="E230" s="5"/>
      <c r="F230" s="5"/>
      <c r="G230" s="5"/>
      <c r="H230" s="5"/>
      <c r="I230" s="5"/>
      <c r="J230" s="5"/>
      <c r="K230" s="5"/>
      <c r="L230" s="5"/>
      <c r="M230" s="5"/>
      <c r="N230" s="5"/>
      <c r="O230" s="5"/>
      <c r="P230" s="5"/>
      <c r="Q230" s="5"/>
      <c r="R230" s="5"/>
      <c r="S230" s="5"/>
      <c r="T230" s="5"/>
    </row>
    <row r="231" spans="3:20">
      <c r="C231" s="5"/>
      <c r="D231" s="5"/>
      <c r="E231" s="5"/>
      <c r="F231" s="5"/>
      <c r="G231" s="5"/>
      <c r="H231" s="5"/>
      <c r="I231" s="5"/>
      <c r="J231" s="5"/>
      <c r="K231" s="5"/>
      <c r="L231" s="5"/>
      <c r="M231" s="5"/>
      <c r="N231" s="5"/>
      <c r="O231" s="5"/>
      <c r="P231" s="5"/>
      <c r="Q231" s="5"/>
      <c r="R231" s="5"/>
      <c r="S231" s="5"/>
      <c r="T231" s="5"/>
    </row>
    <row r="232" spans="3:20">
      <c r="C232" s="5"/>
      <c r="D232" s="5"/>
      <c r="E232" s="5"/>
      <c r="F232" s="5"/>
      <c r="G232" s="5"/>
      <c r="H232" s="5"/>
      <c r="I232" s="5"/>
      <c r="J232" s="5"/>
      <c r="K232" s="5"/>
      <c r="L232" s="5"/>
      <c r="M232" s="5"/>
      <c r="N232" s="5"/>
      <c r="O232" s="5"/>
      <c r="P232" s="5"/>
      <c r="Q232" s="5"/>
      <c r="R232" s="5"/>
      <c r="S232" s="5"/>
      <c r="T232" s="5"/>
    </row>
    <row r="233" spans="3:20">
      <c r="C233" s="5"/>
      <c r="D233" s="5"/>
      <c r="E233" s="5"/>
      <c r="F233" s="5"/>
      <c r="G233" s="5"/>
      <c r="H233" s="5"/>
      <c r="I233" s="5"/>
      <c r="J233" s="5"/>
      <c r="K233" s="5"/>
      <c r="L233" s="5"/>
      <c r="M233" s="5"/>
      <c r="N233" s="5"/>
      <c r="O233" s="5"/>
      <c r="P233" s="5"/>
      <c r="Q233" s="5"/>
      <c r="R233" s="5"/>
      <c r="S233" s="5"/>
      <c r="T233" s="5"/>
    </row>
    <row r="234" spans="3:20">
      <c r="C234" s="5"/>
      <c r="D234" s="5"/>
      <c r="E234" s="5"/>
      <c r="F234" s="5"/>
      <c r="G234" s="5"/>
      <c r="H234" s="5"/>
      <c r="I234" s="5"/>
      <c r="J234" s="5"/>
      <c r="K234" s="5"/>
      <c r="L234" s="5"/>
      <c r="M234" s="5"/>
      <c r="N234" s="5"/>
      <c r="O234" s="5"/>
      <c r="P234" s="5"/>
      <c r="Q234" s="5"/>
      <c r="R234" s="5"/>
      <c r="S234" s="5"/>
      <c r="T234" s="5"/>
    </row>
    <row r="235" spans="3:20">
      <c r="C235" s="5"/>
      <c r="D235" s="5"/>
      <c r="E235" s="5"/>
      <c r="F235" s="5"/>
      <c r="G235" s="5"/>
      <c r="H235" s="5"/>
      <c r="I235" s="5"/>
      <c r="J235" s="5"/>
      <c r="K235" s="5"/>
      <c r="L235" s="5"/>
      <c r="M235" s="5"/>
      <c r="N235" s="5"/>
      <c r="O235" s="5"/>
      <c r="P235" s="5"/>
      <c r="Q235" s="5"/>
      <c r="R235" s="5"/>
      <c r="S235" s="5"/>
      <c r="T235" s="5"/>
    </row>
    <row r="236" spans="3:20">
      <c r="C236" s="5"/>
      <c r="D236" s="5"/>
      <c r="E236" s="5"/>
      <c r="F236" s="5"/>
      <c r="G236" s="5"/>
      <c r="H236" s="5"/>
      <c r="I236" s="5"/>
      <c r="J236" s="5"/>
      <c r="K236" s="5"/>
      <c r="L236" s="5"/>
      <c r="M236" s="5"/>
      <c r="N236" s="5"/>
      <c r="O236" s="5"/>
      <c r="P236" s="5"/>
      <c r="Q236" s="5"/>
      <c r="R236" s="5"/>
      <c r="S236" s="5"/>
      <c r="T236" s="5"/>
    </row>
    <row r="237" spans="3:20">
      <c r="C237" s="5"/>
      <c r="D237" s="5"/>
      <c r="E237" s="5"/>
      <c r="F237" s="5"/>
      <c r="G237" s="5"/>
      <c r="H237" s="5"/>
      <c r="I237" s="5"/>
      <c r="J237" s="5"/>
      <c r="K237" s="5"/>
      <c r="L237" s="5"/>
      <c r="M237" s="5"/>
      <c r="N237" s="5"/>
      <c r="O237" s="5"/>
      <c r="P237" s="5"/>
      <c r="Q237" s="5"/>
      <c r="R237" s="5"/>
      <c r="S237" s="5"/>
      <c r="T237" s="5"/>
    </row>
    <row r="238" spans="3:20">
      <c r="C238" s="5"/>
      <c r="D238" s="5"/>
      <c r="E238" s="5"/>
      <c r="F238" s="5"/>
      <c r="G238" s="5"/>
      <c r="H238" s="5"/>
      <c r="I238" s="5"/>
      <c r="J238" s="5"/>
      <c r="K238" s="5"/>
      <c r="L238" s="5"/>
      <c r="M238" s="5"/>
      <c r="N238" s="5"/>
      <c r="O238" s="5"/>
      <c r="P238" s="5"/>
      <c r="Q238" s="5"/>
      <c r="R238" s="5"/>
      <c r="S238" s="5"/>
      <c r="T238" s="5"/>
    </row>
    <row r="239" spans="3:20">
      <c r="C239" s="5"/>
      <c r="D239" s="5"/>
      <c r="E239" s="5"/>
      <c r="F239" s="5"/>
      <c r="G239" s="5"/>
      <c r="H239" s="5"/>
      <c r="I239" s="5"/>
      <c r="J239" s="5"/>
      <c r="K239" s="5"/>
      <c r="L239" s="5"/>
      <c r="M239" s="5"/>
      <c r="N239" s="5"/>
      <c r="O239" s="5"/>
      <c r="P239" s="5"/>
      <c r="Q239" s="5"/>
      <c r="R239" s="5"/>
      <c r="S239" s="5"/>
      <c r="T239" s="5"/>
    </row>
    <row r="240" spans="3:20">
      <c r="C240" s="5"/>
      <c r="D240" s="5"/>
      <c r="E240" s="5"/>
      <c r="F240" s="5"/>
      <c r="G240" s="5"/>
      <c r="H240" s="5"/>
      <c r="I240" s="5"/>
      <c r="J240" s="5"/>
      <c r="K240" s="5"/>
      <c r="L240" s="5"/>
      <c r="M240" s="5"/>
      <c r="N240" s="5"/>
      <c r="O240" s="5"/>
      <c r="P240" s="5"/>
      <c r="Q240" s="5"/>
      <c r="R240" s="5"/>
      <c r="S240" s="5"/>
      <c r="T240" s="5"/>
    </row>
    <row r="241" spans="3:20">
      <c r="C241" s="5"/>
      <c r="D241" s="5"/>
      <c r="E241" s="5"/>
      <c r="F241" s="5"/>
      <c r="G241" s="5"/>
      <c r="H241" s="5"/>
      <c r="I241" s="5"/>
      <c r="J241" s="5"/>
      <c r="K241" s="5"/>
      <c r="L241" s="5"/>
      <c r="M241" s="5"/>
      <c r="N241" s="5"/>
      <c r="O241" s="5"/>
      <c r="P241" s="5"/>
      <c r="Q241" s="5"/>
      <c r="R241" s="5"/>
      <c r="S241" s="5"/>
      <c r="T241" s="5"/>
    </row>
    <row r="242" spans="3:20">
      <c r="C242" s="5"/>
      <c r="D242" s="5"/>
      <c r="E242" s="5"/>
      <c r="F242" s="5"/>
      <c r="G242" s="5"/>
      <c r="H242" s="5"/>
      <c r="I242" s="5"/>
      <c r="J242" s="5"/>
      <c r="K242" s="5"/>
      <c r="L242" s="5"/>
      <c r="M242" s="5"/>
      <c r="N242" s="5"/>
      <c r="O242" s="5"/>
      <c r="P242" s="5"/>
      <c r="Q242" s="5"/>
      <c r="R242" s="5"/>
      <c r="S242" s="5"/>
      <c r="T242" s="5"/>
    </row>
    <row r="243" spans="3:20">
      <c r="C243" s="5"/>
      <c r="D243" s="5"/>
      <c r="E243" s="5"/>
      <c r="F243" s="5"/>
      <c r="G243" s="5"/>
      <c r="H243" s="5"/>
      <c r="I243" s="5"/>
      <c r="J243" s="5"/>
      <c r="K243" s="5"/>
      <c r="L243" s="5"/>
      <c r="M243" s="5"/>
      <c r="N243" s="5"/>
      <c r="O243" s="5"/>
      <c r="P243" s="5"/>
      <c r="Q243" s="5"/>
      <c r="R243" s="5"/>
      <c r="S243" s="5"/>
      <c r="T243" s="5"/>
    </row>
    <row r="244" spans="3:20">
      <c r="C244" s="5"/>
      <c r="D244" s="5"/>
      <c r="E244" s="5"/>
      <c r="F244" s="5"/>
      <c r="G244" s="5"/>
      <c r="H244" s="5"/>
      <c r="I244" s="5"/>
      <c r="J244" s="5"/>
      <c r="K244" s="5"/>
      <c r="L244" s="5"/>
      <c r="M244" s="5"/>
      <c r="N244" s="5"/>
      <c r="O244" s="5"/>
      <c r="P244" s="5"/>
      <c r="Q244" s="5"/>
      <c r="R244" s="5"/>
      <c r="S244" s="5"/>
      <c r="T244" s="5"/>
    </row>
    <row r="245" spans="3:20">
      <c r="C245" s="5"/>
      <c r="D245" s="5"/>
      <c r="E245" s="5"/>
      <c r="F245" s="5"/>
      <c r="G245" s="5"/>
      <c r="H245" s="5"/>
      <c r="I245" s="5"/>
      <c r="J245" s="5"/>
      <c r="K245" s="5"/>
      <c r="L245" s="5"/>
      <c r="M245" s="5"/>
      <c r="N245" s="5"/>
      <c r="O245" s="5"/>
      <c r="P245" s="5"/>
      <c r="Q245" s="5"/>
      <c r="R245" s="5"/>
      <c r="S245" s="5"/>
      <c r="T245" s="5"/>
    </row>
    <row r="246" spans="3:20">
      <c r="C246" s="5"/>
      <c r="D246" s="5"/>
      <c r="E246" s="5"/>
      <c r="F246" s="5"/>
      <c r="G246" s="5"/>
      <c r="H246" s="5"/>
      <c r="I246" s="5"/>
      <c r="J246" s="5"/>
      <c r="K246" s="5"/>
      <c r="L246" s="5"/>
      <c r="M246" s="5"/>
      <c r="N246" s="5"/>
      <c r="O246" s="5"/>
      <c r="P246" s="5"/>
      <c r="Q246" s="5"/>
      <c r="R246" s="5"/>
      <c r="S246" s="5"/>
      <c r="T246" s="5"/>
    </row>
    <row r="247" spans="3:20">
      <c r="C247" s="5"/>
      <c r="D247" s="5"/>
      <c r="E247" s="5"/>
      <c r="F247" s="5"/>
      <c r="G247" s="5"/>
      <c r="H247" s="5"/>
      <c r="I247" s="5"/>
      <c r="J247" s="5"/>
      <c r="K247" s="5"/>
      <c r="L247" s="5"/>
      <c r="M247" s="5"/>
      <c r="N247" s="5"/>
      <c r="O247" s="5"/>
      <c r="P247" s="5"/>
      <c r="Q247" s="5"/>
      <c r="R247" s="5"/>
      <c r="S247" s="5"/>
      <c r="T247" s="5"/>
    </row>
    <row r="248" spans="3:20">
      <c r="C248" s="5"/>
      <c r="D248" s="5"/>
      <c r="E248" s="5"/>
      <c r="F248" s="5"/>
      <c r="G248" s="5"/>
      <c r="H248" s="5"/>
      <c r="I248" s="5"/>
      <c r="J248" s="5"/>
      <c r="K248" s="5"/>
      <c r="L248" s="5"/>
      <c r="M248" s="5"/>
      <c r="N248" s="5"/>
      <c r="O248" s="5"/>
      <c r="P248" s="5"/>
      <c r="Q248" s="5"/>
      <c r="R248" s="5"/>
      <c r="S248" s="5"/>
      <c r="T248" s="5"/>
    </row>
    <row r="249" spans="3:20">
      <c r="C249" s="5"/>
      <c r="D249" s="5"/>
      <c r="E249" s="5"/>
      <c r="F249" s="5"/>
      <c r="G249" s="5"/>
      <c r="H249" s="5"/>
      <c r="I249" s="5"/>
      <c r="J249" s="5"/>
      <c r="K249" s="5"/>
      <c r="L249" s="5"/>
      <c r="M249" s="5"/>
      <c r="N249" s="5"/>
      <c r="O249" s="5"/>
      <c r="P249" s="5"/>
      <c r="Q249" s="5"/>
      <c r="R249" s="5"/>
      <c r="S249" s="5"/>
      <c r="T249" s="5"/>
    </row>
    <row r="250" spans="3:20">
      <c r="C250" s="5"/>
      <c r="D250" s="5"/>
      <c r="E250" s="5"/>
      <c r="F250" s="5"/>
      <c r="G250" s="5"/>
      <c r="H250" s="5"/>
      <c r="I250" s="5"/>
      <c r="J250" s="5"/>
      <c r="K250" s="5"/>
      <c r="L250" s="5"/>
      <c r="M250" s="5"/>
      <c r="N250" s="5"/>
      <c r="O250" s="5"/>
      <c r="P250" s="5"/>
      <c r="Q250" s="5"/>
      <c r="R250" s="5"/>
      <c r="S250" s="5"/>
      <c r="T250" s="5"/>
    </row>
    <row r="251" spans="3:20">
      <c r="C251" s="5"/>
      <c r="D251" s="5"/>
      <c r="E251" s="5"/>
      <c r="F251" s="5"/>
      <c r="G251" s="5"/>
      <c r="H251" s="5"/>
      <c r="I251" s="5"/>
      <c r="J251" s="5"/>
      <c r="K251" s="5"/>
      <c r="L251" s="5"/>
      <c r="M251" s="5"/>
      <c r="N251" s="5"/>
      <c r="O251" s="5"/>
      <c r="P251" s="5"/>
      <c r="Q251" s="5"/>
      <c r="R251" s="5"/>
      <c r="S251" s="5"/>
      <c r="T251" s="5"/>
    </row>
    <row r="252" spans="3:20">
      <c r="C252" s="5"/>
      <c r="D252" s="5"/>
      <c r="E252" s="5"/>
      <c r="F252" s="5"/>
      <c r="G252" s="5"/>
      <c r="H252" s="5"/>
      <c r="I252" s="5"/>
      <c r="J252" s="5"/>
      <c r="K252" s="5"/>
      <c r="L252" s="5"/>
      <c r="M252" s="5"/>
      <c r="N252" s="5"/>
      <c r="O252" s="5"/>
      <c r="P252" s="5"/>
      <c r="Q252" s="5"/>
      <c r="R252" s="5"/>
      <c r="S252" s="5"/>
      <c r="T252" s="5"/>
    </row>
    <row r="253" spans="3:20">
      <c r="C253" s="5"/>
      <c r="D253" s="5"/>
      <c r="E253" s="5"/>
      <c r="F253" s="5"/>
      <c r="G253" s="5"/>
      <c r="H253" s="5"/>
      <c r="I253" s="5"/>
      <c r="J253" s="5"/>
      <c r="K253" s="5"/>
      <c r="L253" s="5"/>
      <c r="M253" s="5"/>
      <c r="N253" s="5"/>
      <c r="O253" s="5"/>
      <c r="P253" s="5"/>
      <c r="Q253" s="5"/>
      <c r="R253" s="5"/>
      <c r="S253" s="5"/>
      <c r="T253" s="5"/>
    </row>
    <row r="254" spans="3:20">
      <c r="C254" s="5"/>
      <c r="D254" s="5"/>
      <c r="E254" s="5"/>
      <c r="F254" s="5"/>
      <c r="G254" s="5"/>
      <c r="H254" s="5"/>
      <c r="I254" s="5"/>
      <c r="J254" s="5"/>
      <c r="K254" s="5"/>
      <c r="L254" s="5"/>
      <c r="M254" s="5"/>
      <c r="N254" s="5"/>
      <c r="O254" s="5"/>
      <c r="P254" s="5"/>
      <c r="Q254" s="5"/>
      <c r="R254" s="5"/>
      <c r="S254" s="5"/>
      <c r="T254" s="5"/>
    </row>
    <row r="255" spans="3:20">
      <c r="C255" s="5"/>
      <c r="D255" s="5"/>
      <c r="E255" s="5"/>
      <c r="F255" s="5"/>
      <c r="G255" s="5"/>
      <c r="H255" s="5"/>
      <c r="I255" s="5"/>
      <c r="J255" s="5"/>
      <c r="K255" s="5"/>
      <c r="L255" s="5"/>
      <c r="M255" s="5"/>
      <c r="N255" s="5"/>
      <c r="O255" s="5"/>
      <c r="P255" s="5"/>
      <c r="Q255" s="5"/>
      <c r="R255" s="5"/>
      <c r="S255" s="5"/>
      <c r="T255" s="5"/>
    </row>
    <row r="256" spans="3:20">
      <c r="C256" s="5"/>
      <c r="D256" s="5"/>
      <c r="E256" s="5"/>
      <c r="F256" s="5"/>
      <c r="G256" s="5"/>
      <c r="H256" s="5"/>
      <c r="I256" s="5"/>
      <c r="J256" s="5"/>
      <c r="K256" s="5"/>
      <c r="L256" s="5"/>
      <c r="M256" s="5"/>
      <c r="N256" s="5"/>
      <c r="O256" s="5"/>
      <c r="P256" s="5"/>
      <c r="Q256" s="5"/>
      <c r="R256" s="5"/>
      <c r="S256" s="5"/>
      <c r="T256" s="5"/>
    </row>
    <row r="257" spans="3:20">
      <c r="C257" s="5"/>
      <c r="D257" s="5"/>
      <c r="E257" s="5"/>
      <c r="F257" s="5"/>
      <c r="G257" s="5"/>
      <c r="H257" s="5"/>
      <c r="I257" s="5"/>
      <c r="J257" s="5"/>
      <c r="K257" s="5"/>
      <c r="L257" s="5"/>
      <c r="M257" s="5"/>
      <c r="N257" s="5"/>
      <c r="O257" s="5"/>
      <c r="P257" s="5"/>
      <c r="Q257" s="5"/>
      <c r="R257" s="5"/>
      <c r="S257" s="5"/>
      <c r="T257" s="5"/>
    </row>
    <row r="258" spans="3:20">
      <c r="C258" s="5"/>
      <c r="D258" s="5"/>
      <c r="E258" s="5"/>
      <c r="F258" s="5"/>
      <c r="G258" s="5"/>
      <c r="H258" s="5"/>
      <c r="I258" s="5"/>
      <c r="J258" s="5"/>
      <c r="K258" s="5"/>
      <c r="L258" s="5"/>
      <c r="M258" s="5"/>
      <c r="N258" s="5"/>
      <c r="O258" s="5"/>
      <c r="P258" s="5"/>
      <c r="Q258" s="5"/>
      <c r="R258" s="5"/>
      <c r="S258" s="5"/>
      <c r="T258" s="5"/>
    </row>
    <row r="259" spans="3:20">
      <c r="C259" s="5"/>
      <c r="D259" s="5"/>
      <c r="E259" s="5"/>
      <c r="F259" s="5"/>
      <c r="G259" s="5"/>
      <c r="H259" s="5"/>
      <c r="I259" s="5"/>
      <c r="J259" s="5"/>
      <c r="K259" s="5"/>
      <c r="L259" s="5"/>
      <c r="M259" s="5"/>
      <c r="N259" s="5"/>
      <c r="O259" s="5"/>
      <c r="P259" s="5"/>
      <c r="Q259" s="5"/>
      <c r="R259" s="5"/>
      <c r="S259" s="5"/>
      <c r="T259" s="5"/>
    </row>
    <row r="260" spans="3:20">
      <c r="C260" s="5"/>
      <c r="D260" s="5"/>
      <c r="E260" s="5"/>
      <c r="F260" s="5"/>
      <c r="G260" s="5"/>
      <c r="H260" s="5"/>
      <c r="I260" s="5"/>
      <c r="J260" s="5"/>
      <c r="K260" s="5"/>
      <c r="L260" s="5"/>
      <c r="M260" s="5"/>
      <c r="N260" s="5"/>
      <c r="O260" s="5"/>
      <c r="P260" s="5"/>
      <c r="Q260" s="5"/>
      <c r="R260" s="5"/>
      <c r="S260" s="5"/>
      <c r="T260" s="5"/>
    </row>
    <row r="261" spans="3:20">
      <c r="C261" s="5"/>
      <c r="D261" s="5"/>
      <c r="E261" s="5"/>
      <c r="F261" s="5"/>
      <c r="G261" s="5"/>
      <c r="H261" s="5"/>
      <c r="I261" s="5"/>
      <c r="J261" s="5"/>
      <c r="K261" s="5"/>
      <c r="L261" s="5"/>
      <c r="M261" s="5"/>
      <c r="N261" s="5"/>
      <c r="O261" s="5"/>
      <c r="P261" s="5"/>
      <c r="Q261" s="5"/>
      <c r="R261" s="5"/>
      <c r="S261" s="5"/>
      <c r="T261" s="5"/>
    </row>
    <row r="262" spans="3:20">
      <c r="C262" s="5"/>
      <c r="D262" s="5"/>
      <c r="E262" s="5"/>
      <c r="F262" s="5"/>
      <c r="G262" s="5"/>
      <c r="H262" s="5"/>
      <c r="I262" s="5"/>
      <c r="J262" s="5"/>
      <c r="K262" s="5"/>
      <c r="L262" s="5"/>
      <c r="M262" s="5"/>
      <c r="N262" s="5"/>
      <c r="O262" s="5"/>
      <c r="P262" s="5"/>
      <c r="Q262" s="5"/>
      <c r="R262" s="5"/>
      <c r="S262" s="5"/>
      <c r="T262" s="5"/>
    </row>
    <row r="263" spans="3:20">
      <c r="C263" s="5"/>
      <c r="D263" s="5"/>
      <c r="E263" s="5"/>
      <c r="F263" s="5"/>
      <c r="G263" s="5"/>
      <c r="H263" s="5"/>
      <c r="I263" s="5"/>
      <c r="J263" s="5"/>
      <c r="K263" s="5"/>
      <c r="L263" s="5"/>
      <c r="M263" s="5"/>
      <c r="N263" s="5"/>
      <c r="O263" s="5"/>
      <c r="P263" s="5"/>
      <c r="Q263" s="5"/>
      <c r="R263" s="5"/>
      <c r="S263" s="5"/>
      <c r="T263" s="5"/>
    </row>
    <row r="264" spans="3:20">
      <c r="C264" s="5"/>
      <c r="D264" s="5"/>
      <c r="E264" s="5"/>
      <c r="F264" s="5"/>
      <c r="G264" s="5"/>
      <c r="H264" s="5"/>
      <c r="I264" s="5"/>
      <c r="J264" s="5"/>
      <c r="K264" s="5"/>
      <c r="L264" s="5"/>
      <c r="M264" s="5"/>
      <c r="N264" s="5"/>
      <c r="O264" s="5"/>
      <c r="P264" s="5"/>
      <c r="Q264" s="5"/>
      <c r="R264" s="5"/>
      <c r="S264" s="5"/>
      <c r="T264" s="5"/>
    </row>
    <row r="265" spans="3:20">
      <c r="C265" s="5"/>
      <c r="D265" s="5"/>
      <c r="E265" s="5"/>
      <c r="F265" s="5"/>
      <c r="G265" s="5"/>
      <c r="H265" s="5"/>
      <c r="I265" s="5"/>
      <c r="J265" s="5"/>
      <c r="K265" s="5"/>
      <c r="L265" s="5"/>
      <c r="M265" s="5"/>
      <c r="N265" s="5"/>
      <c r="O265" s="5"/>
      <c r="P265" s="5"/>
      <c r="Q265" s="5"/>
      <c r="R265" s="5"/>
      <c r="S265" s="5"/>
      <c r="T265" s="5"/>
    </row>
    <row r="266" spans="3:20">
      <c r="C266" s="5"/>
      <c r="D266" s="5"/>
      <c r="E266" s="5"/>
      <c r="F266" s="5"/>
      <c r="G266" s="5"/>
      <c r="H266" s="5"/>
      <c r="I266" s="5"/>
      <c r="J266" s="5"/>
      <c r="K266" s="5"/>
      <c r="L266" s="5"/>
      <c r="M266" s="5"/>
      <c r="N266" s="5"/>
      <c r="O266" s="5"/>
      <c r="P266" s="5"/>
      <c r="Q266" s="5"/>
      <c r="R266" s="5"/>
      <c r="S266" s="5"/>
      <c r="T266" s="5"/>
    </row>
    <row r="267" spans="3:20">
      <c r="C267" s="5"/>
      <c r="D267" s="5"/>
      <c r="E267" s="5"/>
      <c r="F267" s="5"/>
      <c r="G267" s="5"/>
      <c r="H267" s="5"/>
      <c r="I267" s="5"/>
      <c r="J267" s="5"/>
      <c r="K267" s="5"/>
      <c r="L267" s="5"/>
      <c r="M267" s="5"/>
      <c r="N267" s="5"/>
      <c r="O267" s="5"/>
      <c r="P267" s="5"/>
      <c r="Q267" s="5"/>
      <c r="R267" s="5"/>
      <c r="S267" s="5"/>
      <c r="T267" s="5"/>
    </row>
    <row r="268" spans="3:20">
      <c r="C268" s="5"/>
      <c r="D268" s="5"/>
      <c r="E268" s="5"/>
      <c r="F268" s="5"/>
      <c r="G268" s="5"/>
      <c r="H268" s="5"/>
      <c r="I268" s="5"/>
      <c r="J268" s="5"/>
      <c r="K268" s="5"/>
      <c r="L268" s="5"/>
      <c r="M268" s="5"/>
      <c r="N268" s="5"/>
      <c r="O268" s="5"/>
      <c r="P268" s="5"/>
      <c r="Q268" s="5"/>
      <c r="R268" s="5"/>
      <c r="S268" s="5"/>
      <c r="T268" s="5"/>
    </row>
    <row r="269" spans="3:20">
      <c r="C269" s="5"/>
      <c r="D269" s="5"/>
      <c r="E269" s="5"/>
      <c r="F269" s="5"/>
      <c r="G269" s="5"/>
      <c r="H269" s="5"/>
      <c r="I269" s="5"/>
      <c r="J269" s="5"/>
      <c r="K269" s="5"/>
      <c r="L269" s="5"/>
      <c r="M269" s="5"/>
      <c r="N269" s="5"/>
      <c r="O269" s="5"/>
      <c r="P269" s="5"/>
      <c r="Q269" s="5"/>
      <c r="R269" s="5"/>
      <c r="S269" s="5"/>
      <c r="T269" s="5"/>
    </row>
    <row r="270" spans="3:20">
      <c r="C270" s="5"/>
      <c r="D270" s="5"/>
      <c r="E270" s="5"/>
      <c r="F270" s="5"/>
      <c r="G270" s="5"/>
      <c r="H270" s="5"/>
      <c r="I270" s="5"/>
      <c r="J270" s="5"/>
      <c r="K270" s="5"/>
      <c r="L270" s="5"/>
      <c r="M270" s="5"/>
      <c r="N270" s="5"/>
      <c r="O270" s="5"/>
      <c r="P270" s="5"/>
      <c r="Q270" s="5"/>
      <c r="R270" s="5"/>
      <c r="S270" s="5"/>
      <c r="T270" s="5"/>
    </row>
    <row r="271" spans="3:20">
      <c r="C271" s="5"/>
      <c r="D271" s="5"/>
      <c r="E271" s="5"/>
      <c r="F271" s="5"/>
      <c r="G271" s="5"/>
      <c r="H271" s="5"/>
      <c r="I271" s="5"/>
      <c r="J271" s="5"/>
      <c r="K271" s="5"/>
      <c r="L271" s="5"/>
      <c r="M271" s="5"/>
      <c r="N271" s="5"/>
      <c r="O271" s="5"/>
      <c r="P271" s="5"/>
      <c r="Q271" s="5"/>
      <c r="R271" s="5"/>
      <c r="S271" s="5"/>
      <c r="T271" s="5"/>
    </row>
    <row r="272" spans="3:20">
      <c r="C272" s="5"/>
      <c r="D272" s="5"/>
      <c r="E272" s="5"/>
      <c r="F272" s="5"/>
      <c r="G272" s="5"/>
      <c r="H272" s="5"/>
      <c r="I272" s="5"/>
      <c r="J272" s="5"/>
      <c r="K272" s="5"/>
      <c r="L272" s="5"/>
      <c r="M272" s="5"/>
      <c r="N272" s="5"/>
      <c r="O272" s="5"/>
      <c r="P272" s="5"/>
      <c r="Q272" s="5"/>
      <c r="R272" s="5"/>
      <c r="S272" s="5"/>
      <c r="T272" s="5"/>
    </row>
    <row r="273" spans="3:20">
      <c r="C273" s="5"/>
      <c r="D273" s="5"/>
      <c r="E273" s="5"/>
      <c r="F273" s="5"/>
      <c r="G273" s="5"/>
      <c r="H273" s="5"/>
      <c r="I273" s="5"/>
      <c r="J273" s="5"/>
      <c r="K273" s="5"/>
      <c r="L273" s="5"/>
      <c r="M273" s="5"/>
      <c r="N273" s="5"/>
      <c r="O273" s="5"/>
      <c r="P273" s="5"/>
      <c r="Q273" s="5"/>
      <c r="R273" s="5"/>
      <c r="S273" s="5"/>
      <c r="T273" s="5"/>
    </row>
    <row r="274" spans="3:20">
      <c r="C274" s="5"/>
      <c r="D274" s="5"/>
      <c r="E274" s="5"/>
      <c r="F274" s="5"/>
      <c r="G274" s="5"/>
      <c r="H274" s="5"/>
      <c r="I274" s="5"/>
      <c r="J274" s="5"/>
      <c r="K274" s="5"/>
      <c r="L274" s="5"/>
      <c r="M274" s="5"/>
      <c r="N274" s="5"/>
      <c r="O274" s="5"/>
      <c r="P274" s="5"/>
      <c r="Q274" s="5"/>
      <c r="R274" s="5"/>
      <c r="S274" s="5"/>
      <c r="T274" s="5"/>
    </row>
    <row r="275" spans="3:20">
      <c r="C275" s="5"/>
      <c r="D275" s="5"/>
      <c r="E275" s="5"/>
      <c r="F275" s="5"/>
      <c r="G275" s="5"/>
      <c r="H275" s="5"/>
      <c r="I275" s="5"/>
      <c r="J275" s="5"/>
      <c r="K275" s="5"/>
      <c r="L275" s="5"/>
      <c r="M275" s="5"/>
      <c r="N275" s="5"/>
      <c r="O275" s="5"/>
      <c r="P275" s="5"/>
      <c r="Q275" s="5"/>
      <c r="R275" s="5"/>
      <c r="S275" s="5"/>
      <c r="T275" s="5"/>
    </row>
    <row r="276" spans="3:20">
      <c r="C276" s="5"/>
      <c r="D276" s="5"/>
      <c r="E276" s="5"/>
      <c r="F276" s="5"/>
      <c r="G276" s="5"/>
      <c r="H276" s="5"/>
      <c r="I276" s="5"/>
      <c r="J276" s="5"/>
      <c r="K276" s="5"/>
      <c r="L276" s="5"/>
      <c r="M276" s="5"/>
      <c r="N276" s="5"/>
      <c r="O276" s="5"/>
      <c r="P276" s="5"/>
      <c r="Q276" s="5"/>
      <c r="R276" s="5"/>
      <c r="S276" s="5"/>
      <c r="T276" s="5"/>
    </row>
    <row r="277" spans="3:20">
      <c r="C277" s="5"/>
      <c r="D277" s="5"/>
      <c r="E277" s="5"/>
      <c r="F277" s="5"/>
      <c r="G277" s="5"/>
      <c r="H277" s="5"/>
      <c r="I277" s="5"/>
      <c r="J277" s="5"/>
      <c r="K277" s="5"/>
      <c r="L277" s="5"/>
      <c r="M277" s="5"/>
      <c r="N277" s="5"/>
      <c r="O277" s="5"/>
      <c r="P277" s="5"/>
      <c r="Q277" s="5"/>
      <c r="R277" s="5"/>
      <c r="S277" s="5"/>
      <c r="T277" s="5"/>
    </row>
    <row r="278" spans="3:20">
      <c r="C278" s="5"/>
      <c r="D278" s="5"/>
      <c r="E278" s="5"/>
      <c r="F278" s="5"/>
      <c r="G278" s="5"/>
      <c r="H278" s="5"/>
      <c r="I278" s="5"/>
      <c r="J278" s="5"/>
      <c r="K278" s="5"/>
      <c r="L278" s="5"/>
      <c r="M278" s="5"/>
      <c r="N278" s="5"/>
      <c r="O278" s="5"/>
      <c r="P278" s="5"/>
      <c r="Q278" s="5"/>
      <c r="R278" s="5"/>
      <c r="S278" s="5"/>
      <c r="T278" s="5"/>
    </row>
    <row r="279" spans="3:20">
      <c r="C279" s="5"/>
      <c r="D279" s="5"/>
      <c r="E279" s="5"/>
      <c r="F279" s="5"/>
      <c r="G279" s="5"/>
      <c r="H279" s="5"/>
      <c r="I279" s="5"/>
      <c r="J279" s="5"/>
      <c r="K279" s="5"/>
      <c r="L279" s="5"/>
      <c r="M279" s="5"/>
      <c r="N279" s="5"/>
      <c r="O279" s="5"/>
      <c r="P279" s="5"/>
      <c r="Q279" s="5"/>
      <c r="R279" s="5"/>
      <c r="S279" s="5"/>
      <c r="T279" s="5"/>
    </row>
    <row r="280" spans="3:20">
      <c r="C280" s="5"/>
      <c r="D280" s="5"/>
      <c r="E280" s="5"/>
      <c r="F280" s="5"/>
      <c r="G280" s="5"/>
      <c r="H280" s="5"/>
      <c r="I280" s="5"/>
      <c r="J280" s="5"/>
      <c r="K280" s="5"/>
      <c r="L280" s="5"/>
      <c r="M280" s="5"/>
      <c r="N280" s="5"/>
      <c r="O280" s="5"/>
      <c r="P280" s="5"/>
      <c r="Q280" s="5"/>
      <c r="R280" s="5"/>
      <c r="S280" s="5"/>
      <c r="T280" s="5"/>
    </row>
    <row r="281" spans="3:20">
      <c r="C281" s="5"/>
      <c r="D281" s="5"/>
      <c r="E281" s="5"/>
      <c r="F281" s="5"/>
      <c r="G281" s="5"/>
      <c r="H281" s="5"/>
      <c r="I281" s="5"/>
      <c r="J281" s="5"/>
      <c r="K281" s="5"/>
      <c r="L281" s="5"/>
      <c r="M281" s="5"/>
      <c r="N281" s="5"/>
      <c r="O281" s="5"/>
      <c r="P281" s="5"/>
      <c r="Q281" s="5"/>
      <c r="R281" s="5"/>
      <c r="S281" s="5"/>
      <c r="T281" s="5"/>
    </row>
    <row r="282" spans="3:20">
      <c r="C282" s="5"/>
      <c r="D282" s="5"/>
      <c r="E282" s="5"/>
      <c r="F282" s="5"/>
      <c r="G282" s="5"/>
      <c r="H282" s="5"/>
      <c r="I282" s="5"/>
      <c r="J282" s="5"/>
      <c r="K282" s="5"/>
      <c r="L282" s="5"/>
      <c r="M282" s="5"/>
      <c r="N282" s="5"/>
      <c r="O282" s="5"/>
      <c r="P282" s="5"/>
      <c r="Q282" s="5"/>
      <c r="R282" s="5"/>
      <c r="S282" s="5"/>
      <c r="T282" s="5"/>
    </row>
    <row r="283" spans="3:20">
      <c r="C283" s="5"/>
      <c r="D283" s="5"/>
      <c r="E283" s="5"/>
      <c r="F283" s="5"/>
      <c r="G283" s="5"/>
      <c r="H283" s="5"/>
      <c r="I283" s="5"/>
      <c r="J283" s="5"/>
      <c r="K283" s="5"/>
      <c r="L283" s="5"/>
      <c r="M283" s="5"/>
      <c r="N283" s="5"/>
      <c r="O283" s="5"/>
      <c r="P283" s="5"/>
      <c r="Q283" s="5"/>
      <c r="R283" s="5"/>
      <c r="S283" s="5"/>
      <c r="T283" s="5"/>
    </row>
    <row r="284" spans="3:20">
      <c r="C284" s="5"/>
      <c r="D284" s="5"/>
      <c r="E284" s="5"/>
      <c r="F284" s="5"/>
      <c r="G284" s="5"/>
      <c r="H284" s="5"/>
      <c r="I284" s="5"/>
      <c r="J284" s="5"/>
      <c r="K284" s="5"/>
      <c r="L284" s="5"/>
      <c r="M284" s="5"/>
      <c r="N284" s="5"/>
      <c r="O284" s="5"/>
      <c r="P284" s="5"/>
      <c r="Q284" s="5"/>
      <c r="R284" s="5"/>
      <c r="S284" s="5"/>
      <c r="T284" s="5"/>
    </row>
    <row r="285" spans="3:20">
      <c r="C285" s="5"/>
      <c r="D285" s="5"/>
      <c r="E285" s="5"/>
      <c r="F285" s="5"/>
      <c r="G285" s="5"/>
      <c r="H285" s="5"/>
      <c r="I285" s="5"/>
      <c r="J285" s="5"/>
      <c r="K285" s="5"/>
      <c r="L285" s="5"/>
      <c r="M285" s="5"/>
      <c r="N285" s="5"/>
      <c r="O285" s="5"/>
      <c r="P285" s="5"/>
      <c r="Q285" s="5"/>
      <c r="R285" s="5"/>
      <c r="S285" s="5"/>
      <c r="T285" s="5"/>
    </row>
    <row r="286" spans="3:20">
      <c r="C286" s="5"/>
      <c r="D286" s="5"/>
      <c r="E286" s="5"/>
      <c r="F286" s="5"/>
      <c r="G286" s="5"/>
      <c r="H286" s="5"/>
      <c r="I286" s="5"/>
      <c r="J286" s="5"/>
      <c r="K286" s="5"/>
      <c r="L286" s="5"/>
      <c r="M286" s="5"/>
      <c r="N286" s="5"/>
      <c r="O286" s="5"/>
      <c r="P286" s="5"/>
      <c r="Q286" s="5"/>
      <c r="R286" s="5"/>
      <c r="S286" s="5"/>
      <c r="T286" s="5"/>
    </row>
  </sheetData>
  <mergeCells count="3">
    <mergeCell ref="A1:S1"/>
    <mergeCell ref="A2:S2"/>
    <mergeCell ref="A3:S3"/>
  </mergeCells>
  <printOptions gridLines="1"/>
  <pageMargins left="0" right="0" top="0.75" bottom="0.5" header="0.5" footer="0.25"/>
  <pageSetup scale="53" fitToHeight="3" orientation="landscape" r:id="rId1"/>
  <headerFooter alignWithMargins="0">
    <oddFooter>&amp;L&amp;Z&amp;F&amp;C&amp;A</oddFooter>
  </headerFooter>
  <legacyDrawing r:id="rId2"/>
</worksheet>
</file>

<file path=xl/worksheets/sheet20.xml><?xml version="1.0" encoding="utf-8"?>
<worksheet xmlns="http://schemas.openxmlformats.org/spreadsheetml/2006/main" xmlns:r="http://schemas.openxmlformats.org/officeDocument/2006/relationships">
  <sheetPr codeName="Sheet20"/>
  <dimension ref="A1:C1"/>
  <sheetViews>
    <sheetView workbookViewId="0"/>
  </sheetViews>
  <sheetFormatPr defaultColWidth="25.7109375" defaultRowHeight="13.5"/>
  <cols>
    <col min="1" max="16384" width="25.7109375" style="14"/>
  </cols>
  <sheetData>
    <row r="1" spans="1:3">
      <c r="A1" s="14">
        <v>0</v>
      </c>
      <c r="B1" s="14">
        <v>18</v>
      </c>
      <c r="C1" s="14" t="s">
        <v>737</v>
      </c>
    </row>
  </sheetData>
  <customSheetViews>
    <customSheetView guid="{6B74E52F-9552-408A-8775-25AFF24E6639}" state="hidden" showRuler="0">
      <pageMargins left="0.75" right="0.75" top="1" bottom="1" header="0.5" footer="0.5"/>
      <headerFooter alignWithMargins="0"/>
    </customSheetView>
  </customSheetViews>
  <phoneticPr fontId="4" type="noConversion"/>
  <pageMargins left="0.75" right="0.75" top="1" bottom="1" header="0.5" footer="0.5"/>
  <headerFooter alignWithMargins="0"/>
</worksheet>
</file>

<file path=xl/worksheets/sheet21.xml><?xml version="1.0" encoding="utf-8"?>
<worksheet xmlns="http://schemas.openxmlformats.org/spreadsheetml/2006/main" xmlns:r="http://schemas.openxmlformats.org/officeDocument/2006/relationships">
  <sheetPr codeName="Sheet21"/>
  <dimension ref="A1:AJ2"/>
  <sheetViews>
    <sheetView workbookViewId="0">
      <selection activeCell="A2" sqref="A2:AZ2"/>
    </sheetView>
  </sheetViews>
  <sheetFormatPr defaultColWidth="25.7109375" defaultRowHeight="13.5"/>
  <cols>
    <col min="1" max="16384" width="25.7109375" style="14"/>
  </cols>
  <sheetData>
    <row r="1" spans="1:36">
      <c r="A1" s="14">
        <v>1</v>
      </c>
      <c r="B1" s="14">
        <v>52</v>
      </c>
      <c r="C1" s="14" t="s">
        <v>781</v>
      </c>
    </row>
    <row r="2" spans="1:36">
      <c r="A2" s="14">
        <v>0</v>
      </c>
      <c r="B2" s="14">
        <v>0</v>
      </c>
      <c r="C2" s="14">
        <v>10</v>
      </c>
      <c r="D2" s="14">
        <v>101</v>
      </c>
      <c r="E2" s="14">
        <v>3301</v>
      </c>
      <c r="F2" s="14">
        <v>10</v>
      </c>
      <c r="G2" s="18">
        <v>39650.427268518521</v>
      </c>
      <c r="H2" s="14">
        <v>1071</v>
      </c>
      <c r="I2" s="14">
        <v>1071</v>
      </c>
      <c r="J2" s="18">
        <v>38568.399768518517</v>
      </c>
      <c r="K2" s="14">
        <v>1071</v>
      </c>
      <c r="L2" s="14" t="s">
        <v>750</v>
      </c>
      <c r="M2" s="17" t="s">
        <v>247</v>
      </c>
      <c r="O2" s="14" t="s">
        <v>774</v>
      </c>
      <c r="P2" s="14">
        <v>65</v>
      </c>
      <c r="Q2" s="14" t="s">
        <v>775</v>
      </c>
      <c r="T2" s="17" t="s">
        <v>744</v>
      </c>
      <c r="U2" s="14" t="s">
        <v>195</v>
      </c>
      <c r="W2" s="14" t="s">
        <v>197</v>
      </c>
      <c r="X2" s="14" t="s">
        <v>197</v>
      </c>
      <c r="Y2" s="14" t="s">
        <v>750</v>
      </c>
      <c r="AA2" s="17" t="s">
        <v>780</v>
      </c>
      <c r="AB2" s="14" t="s">
        <v>750</v>
      </c>
      <c r="AE2" s="17" t="s">
        <v>744</v>
      </c>
      <c r="AF2" s="17" t="s">
        <v>744</v>
      </c>
      <c r="AG2" s="14">
        <v>12</v>
      </c>
      <c r="AH2" s="14">
        <v>2</v>
      </c>
      <c r="AI2" s="17" t="s">
        <v>744</v>
      </c>
      <c r="AJ2" s="14" t="s">
        <v>246</v>
      </c>
    </row>
  </sheetData>
  <customSheetViews>
    <customSheetView guid="{6B74E52F-9552-408A-8775-25AFF24E6639}" state="hidden" showRuler="0">
      <selection activeCell="A2" sqref="A2:AZ2"/>
      <pageMargins left="0.75" right="0.75" top="1" bottom="1" header="0.5" footer="0.5"/>
      <headerFooter alignWithMargins="0"/>
    </customSheetView>
  </customSheetViews>
  <phoneticPr fontId="4" type="noConversion"/>
  <pageMargins left="0.75" right="0.75" top="1" bottom="1" header="0.5" footer="0.5"/>
  <headerFooter alignWithMargins="0"/>
</worksheet>
</file>

<file path=xl/worksheets/sheet22.xml><?xml version="1.0" encoding="utf-8"?>
<worksheet xmlns="http://schemas.openxmlformats.org/spreadsheetml/2006/main" xmlns:r="http://schemas.openxmlformats.org/officeDocument/2006/relationships">
  <sheetPr codeName="Sheet22"/>
  <dimension ref="A1:AN2"/>
  <sheetViews>
    <sheetView workbookViewId="0">
      <selection activeCell="A2" sqref="A2:AN2"/>
    </sheetView>
  </sheetViews>
  <sheetFormatPr defaultColWidth="25.7109375" defaultRowHeight="13.5"/>
  <cols>
    <col min="1" max="16384" width="25.7109375" style="14"/>
  </cols>
  <sheetData>
    <row r="1" spans="1:40">
      <c r="A1" s="14">
        <v>1</v>
      </c>
      <c r="B1" s="14">
        <v>40</v>
      </c>
      <c r="C1" s="14" t="s">
        <v>786</v>
      </c>
    </row>
    <row r="2" spans="1:40">
      <c r="A2" s="14">
        <v>0</v>
      </c>
      <c r="B2" s="14">
        <v>0</v>
      </c>
      <c r="C2" s="14">
        <v>10</v>
      </c>
      <c r="D2" s="14">
        <v>101</v>
      </c>
      <c r="E2" s="14">
        <v>3301</v>
      </c>
      <c r="F2" s="14">
        <v>10</v>
      </c>
      <c r="G2" s="18">
        <v>39650.427268518521</v>
      </c>
      <c r="H2" s="14">
        <v>1071</v>
      </c>
      <c r="I2" s="14">
        <v>1071</v>
      </c>
      <c r="J2" s="18">
        <v>39650.427268518521</v>
      </c>
      <c r="K2" s="14">
        <v>1071</v>
      </c>
      <c r="L2" s="14" t="s">
        <v>750</v>
      </c>
      <c r="M2" s="17" t="s">
        <v>738</v>
      </c>
      <c r="N2" s="14" t="s">
        <v>750</v>
      </c>
      <c r="P2" s="14" t="s">
        <v>897</v>
      </c>
      <c r="Q2" s="17" t="s">
        <v>784</v>
      </c>
      <c r="R2" s="17" t="s">
        <v>784</v>
      </c>
      <c r="S2" s="17" t="s">
        <v>742</v>
      </c>
      <c r="T2" s="17" t="s">
        <v>744</v>
      </c>
      <c r="U2" s="17" t="s">
        <v>744</v>
      </c>
      <c r="V2" s="17" t="s">
        <v>742</v>
      </c>
      <c r="W2" s="17" t="s">
        <v>744</v>
      </c>
      <c r="X2" s="17" t="s">
        <v>744</v>
      </c>
      <c r="Y2" s="17" t="s">
        <v>742</v>
      </c>
      <c r="Z2" s="17" t="s">
        <v>744</v>
      </c>
      <c r="AA2" s="17" t="s">
        <v>744</v>
      </c>
      <c r="AB2" s="17" t="s">
        <v>742</v>
      </c>
      <c r="AC2" s="17" t="s">
        <v>744</v>
      </c>
      <c r="AD2" s="17" t="s">
        <v>744</v>
      </c>
      <c r="AE2" s="17" t="s">
        <v>742</v>
      </c>
      <c r="AF2" s="17" t="s">
        <v>744</v>
      </c>
      <c r="AG2" s="17" t="s">
        <v>744</v>
      </c>
      <c r="AH2" s="17" t="s">
        <v>742</v>
      </c>
      <c r="AI2" s="17" t="s">
        <v>744</v>
      </c>
      <c r="AJ2" s="17" t="s">
        <v>744</v>
      </c>
      <c r="AK2" s="17" t="s">
        <v>742</v>
      </c>
      <c r="AL2" s="17" t="s">
        <v>744</v>
      </c>
      <c r="AM2" s="17" t="s">
        <v>744</v>
      </c>
      <c r="AN2" s="17" t="s">
        <v>742</v>
      </c>
    </row>
  </sheetData>
  <customSheetViews>
    <customSheetView guid="{6B74E52F-9552-408A-8775-25AFF24E6639}" state="hidden" showRuler="0">
      <selection activeCell="A2" sqref="A2:AN2"/>
      <pageMargins left="0.75" right="0.75" top="1" bottom="1" header="0.5" footer="0.5"/>
      <headerFooter alignWithMargins="0"/>
    </customSheetView>
  </customSheetViews>
  <phoneticPr fontId="4" type="noConversion"/>
  <pageMargins left="0.75" right="0.75" top="1" bottom="1" header="0.5" footer="0.5"/>
  <headerFooter alignWithMargins="0"/>
</worksheet>
</file>

<file path=xl/worksheets/sheet23.xml><?xml version="1.0" encoding="utf-8"?>
<worksheet xmlns="http://schemas.openxmlformats.org/spreadsheetml/2006/main" xmlns:r="http://schemas.openxmlformats.org/officeDocument/2006/relationships">
  <sheetPr codeName="Sheet23"/>
  <dimension ref="A1:C1"/>
  <sheetViews>
    <sheetView workbookViewId="0"/>
  </sheetViews>
  <sheetFormatPr defaultColWidth="25.7109375" defaultRowHeight="13.5"/>
  <cols>
    <col min="1" max="16384" width="25.7109375" style="14"/>
  </cols>
  <sheetData>
    <row r="1" spans="1:3">
      <c r="A1" s="14">
        <v>0</v>
      </c>
      <c r="B1" s="14">
        <v>18</v>
      </c>
      <c r="C1" s="14" t="s">
        <v>787</v>
      </c>
    </row>
  </sheetData>
  <customSheetViews>
    <customSheetView guid="{6B74E52F-9552-408A-8775-25AFF24E6639}" state="hidden" showRuler="0">
      <pageMargins left="0.75" right="0.75" top="1" bottom="1" header="0.5" footer="0.5"/>
      <headerFooter alignWithMargins="0"/>
    </customSheetView>
  </customSheetViews>
  <phoneticPr fontId="4" type="noConversion"/>
  <pageMargins left="0.75" right="0.75" top="1" bottom="1" header="0.5" footer="0.5"/>
  <headerFooter alignWithMargins="0"/>
</worksheet>
</file>

<file path=xl/worksheets/sheet24.xml><?xml version="1.0" encoding="utf-8"?>
<worksheet xmlns="http://schemas.openxmlformats.org/spreadsheetml/2006/main" xmlns:r="http://schemas.openxmlformats.org/officeDocument/2006/relationships">
  <sheetPr codeName="Sheet24"/>
  <dimension ref="A1:C1"/>
  <sheetViews>
    <sheetView workbookViewId="0"/>
  </sheetViews>
  <sheetFormatPr defaultColWidth="25.7109375" defaultRowHeight="13.5"/>
  <cols>
    <col min="1" max="16384" width="25.7109375" style="14"/>
  </cols>
  <sheetData>
    <row r="1" spans="1:3">
      <c r="A1" s="14">
        <v>0</v>
      </c>
      <c r="B1" s="14">
        <v>15</v>
      </c>
      <c r="C1" s="14" t="s">
        <v>788</v>
      </c>
    </row>
  </sheetData>
  <customSheetViews>
    <customSheetView guid="{6B74E52F-9552-408A-8775-25AFF24E6639}" state="hidden" showRuler="0">
      <pageMargins left="0.75" right="0.75" top="1" bottom="1" header="0.5" footer="0.5"/>
      <headerFooter alignWithMargins="0"/>
    </customSheetView>
  </customSheetViews>
  <phoneticPr fontId="4" type="noConversion"/>
  <pageMargins left="0.75" right="0.75" top="1" bottom="1" header="0.5" footer="0.5"/>
  <headerFooter alignWithMargins="0"/>
</worksheet>
</file>

<file path=xl/worksheets/sheet25.xml><?xml version="1.0" encoding="utf-8"?>
<worksheet xmlns="http://schemas.openxmlformats.org/spreadsheetml/2006/main" xmlns:r="http://schemas.openxmlformats.org/officeDocument/2006/relationships">
  <sheetPr codeName="Sheet25"/>
  <dimension ref="A1:C1"/>
  <sheetViews>
    <sheetView workbookViewId="0"/>
  </sheetViews>
  <sheetFormatPr defaultColWidth="25.7109375" defaultRowHeight="13.5"/>
  <cols>
    <col min="1" max="16384" width="25.7109375" style="14"/>
  </cols>
  <sheetData>
    <row r="1" spans="1:3">
      <c r="A1" s="14">
        <v>0</v>
      </c>
      <c r="B1" s="14">
        <v>15</v>
      </c>
      <c r="C1" s="14" t="s">
        <v>789</v>
      </c>
    </row>
  </sheetData>
  <customSheetViews>
    <customSheetView guid="{6B74E52F-9552-408A-8775-25AFF24E6639}" state="hidden" showRuler="0">
      <pageMargins left="0.75" right="0.75" top="1" bottom="1" header="0.5" footer="0.5"/>
      <headerFooter alignWithMargins="0"/>
    </customSheetView>
  </customSheetViews>
  <phoneticPr fontId="4" type="noConversion"/>
  <pageMargins left="0.75" right="0.75" top="1" bottom="1" header="0.5" footer="0.5"/>
  <headerFooter alignWithMargins="0"/>
</worksheet>
</file>

<file path=xl/worksheets/sheet26.xml><?xml version="1.0" encoding="utf-8"?>
<worksheet xmlns="http://schemas.openxmlformats.org/spreadsheetml/2006/main" xmlns:r="http://schemas.openxmlformats.org/officeDocument/2006/relationships">
  <sheetPr codeName="Sheet26"/>
  <dimension ref="A1:C1"/>
  <sheetViews>
    <sheetView workbookViewId="0"/>
  </sheetViews>
  <sheetFormatPr defaultColWidth="25.7109375" defaultRowHeight="13.5"/>
  <cols>
    <col min="1" max="16384" width="25.7109375" style="14"/>
  </cols>
  <sheetData>
    <row r="1" spans="1:3">
      <c r="A1" s="14">
        <v>0</v>
      </c>
      <c r="B1" s="14">
        <v>18</v>
      </c>
      <c r="C1" s="14" t="s">
        <v>790</v>
      </c>
    </row>
  </sheetData>
  <customSheetViews>
    <customSheetView guid="{6B74E52F-9552-408A-8775-25AFF24E6639}" state="hidden" showRuler="0">
      <pageMargins left="0.75" right="0.75" top="1" bottom="1" header="0.5" footer="0.5"/>
      <headerFooter alignWithMargins="0"/>
    </customSheetView>
  </customSheetViews>
  <phoneticPr fontId="4" type="noConversion"/>
  <pageMargins left="0.75" right="0.75" top="1" bottom="1" header="0.5" footer="0.5"/>
  <headerFooter alignWithMargins="0"/>
</worksheet>
</file>

<file path=xl/worksheets/sheet27.xml><?xml version="1.0" encoding="utf-8"?>
<worksheet xmlns="http://schemas.openxmlformats.org/spreadsheetml/2006/main" xmlns:r="http://schemas.openxmlformats.org/officeDocument/2006/relationships">
  <sheetPr codeName="Sheet27"/>
  <dimension ref="A1:C1"/>
  <sheetViews>
    <sheetView workbookViewId="0"/>
  </sheetViews>
  <sheetFormatPr defaultColWidth="25.7109375" defaultRowHeight="13.5"/>
  <cols>
    <col min="1" max="16384" width="25.7109375" style="14"/>
  </cols>
  <sheetData>
    <row r="1" spans="1:3">
      <c r="A1" s="14">
        <v>0</v>
      </c>
      <c r="B1" s="14">
        <v>37</v>
      </c>
      <c r="C1" s="14" t="s">
        <v>791</v>
      </c>
    </row>
  </sheetData>
  <customSheetViews>
    <customSheetView guid="{6B74E52F-9552-408A-8775-25AFF24E6639}" state="hidden" showRuler="0">
      <pageMargins left="0.75" right="0.75" top="1" bottom="1" header="0.5" footer="0.5"/>
      <headerFooter alignWithMargins="0"/>
    </customSheetView>
  </customSheetViews>
  <phoneticPr fontId="4" type="noConversion"/>
  <pageMargins left="0.75" right="0.75" top="1" bottom="1" header="0.5" footer="0.5"/>
  <headerFooter alignWithMargins="0"/>
</worksheet>
</file>

<file path=xl/worksheets/sheet28.xml><?xml version="1.0" encoding="utf-8"?>
<worksheet xmlns="http://schemas.openxmlformats.org/spreadsheetml/2006/main" xmlns:r="http://schemas.openxmlformats.org/officeDocument/2006/relationships">
  <sheetPr codeName="Sheet28"/>
  <dimension ref="A1"/>
  <sheetViews>
    <sheetView workbookViewId="0"/>
  </sheetViews>
  <sheetFormatPr defaultColWidth="25.7109375" defaultRowHeight="13.5"/>
  <cols>
    <col min="1" max="16384" width="25.7109375" style="14"/>
  </cols>
  <sheetData/>
  <customSheetViews>
    <customSheetView guid="{6B74E52F-9552-408A-8775-25AFF24E6639}" state="hidden" showRuler="0">
      <pageMargins left="0.75" right="0.75" top="1" bottom="1" header="0.5" footer="0.5"/>
      <headerFooter alignWithMargins="0"/>
    </customSheetView>
  </customSheetViews>
  <phoneticPr fontId="4" type="noConversion"/>
  <pageMargins left="0.75" right="0.75" top="1" bottom="1" header="0.5" footer="0.5"/>
  <headerFooter alignWithMargins="0"/>
</worksheet>
</file>

<file path=xl/worksheets/sheet29.xml><?xml version="1.0" encoding="utf-8"?>
<worksheet xmlns="http://schemas.openxmlformats.org/spreadsheetml/2006/main" xmlns:r="http://schemas.openxmlformats.org/officeDocument/2006/relationships">
  <sheetPr codeName="Sheet29"/>
  <dimension ref="A1"/>
  <sheetViews>
    <sheetView workbookViewId="0"/>
  </sheetViews>
  <sheetFormatPr defaultColWidth="25.7109375" defaultRowHeight="13.5"/>
  <cols>
    <col min="1" max="16384" width="25.7109375" style="14"/>
  </cols>
  <sheetData/>
  <customSheetViews>
    <customSheetView guid="{6B74E52F-9552-408A-8775-25AFF24E6639}" state="hidden" showRuler="0">
      <pageMargins left="0.75" right="0.75" top="1" bottom="1" header="0.5" footer="0.5"/>
      <headerFooter alignWithMargins="0"/>
    </customSheetView>
  </customSheetViews>
  <phoneticPr fontId="4" type="noConversion"/>
  <pageMargins left="0.75" right="0.75" top="1" bottom="1" header="0.5" footer="0.5"/>
  <headerFooter alignWithMargins="0"/>
</worksheet>
</file>

<file path=xl/worksheets/sheet3.xml><?xml version="1.0" encoding="utf-8"?>
<worksheet xmlns="http://schemas.openxmlformats.org/spreadsheetml/2006/main" xmlns:r="http://schemas.openxmlformats.org/officeDocument/2006/relationships">
  <sheetPr codeName="Sheet3"/>
  <dimension ref="A1:AN16"/>
  <sheetViews>
    <sheetView workbookViewId="0">
      <selection activeCell="C2" sqref="C2:C16"/>
    </sheetView>
  </sheetViews>
  <sheetFormatPr defaultColWidth="25.7109375" defaultRowHeight="13.5"/>
  <cols>
    <col min="1" max="16384" width="25.7109375" style="14"/>
  </cols>
  <sheetData>
    <row r="1" spans="1:40">
      <c r="A1" s="14">
        <v>15</v>
      </c>
      <c r="B1" s="14">
        <v>57</v>
      </c>
      <c r="C1" s="14" t="s">
        <v>748</v>
      </c>
    </row>
    <row r="2" spans="1:40">
      <c r="A2" s="14">
        <v>0</v>
      </c>
      <c r="B2" s="14">
        <v>0</v>
      </c>
      <c r="C2" s="14">
        <v>40</v>
      </c>
      <c r="D2" s="14" t="s">
        <v>556</v>
      </c>
      <c r="E2" s="14">
        <v>101</v>
      </c>
      <c r="F2" s="14">
        <v>3300</v>
      </c>
      <c r="G2" s="14">
        <v>40</v>
      </c>
      <c r="H2" s="16">
        <v>39147</v>
      </c>
      <c r="I2" s="14">
        <v>1071</v>
      </c>
      <c r="J2" s="14">
        <v>9852998</v>
      </c>
      <c r="K2" s="16">
        <v>38568</v>
      </c>
      <c r="L2" s="14">
        <v>1071</v>
      </c>
      <c r="M2" s="14" t="s">
        <v>750</v>
      </c>
      <c r="N2" s="14" t="s">
        <v>557</v>
      </c>
      <c r="T2" s="14" t="s">
        <v>558</v>
      </c>
      <c r="U2" s="14" t="s">
        <v>195</v>
      </c>
      <c r="X2" s="14">
        <v>0</v>
      </c>
      <c r="Y2" s="14" t="s">
        <v>750</v>
      </c>
      <c r="Z2" s="14" t="s">
        <v>750</v>
      </c>
      <c r="AA2" s="14">
        <v>1</v>
      </c>
      <c r="AB2" s="14">
        <v>0</v>
      </c>
      <c r="AD2" s="14" t="s">
        <v>750</v>
      </c>
      <c r="AE2" s="14" t="s">
        <v>750</v>
      </c>
      <c r="AF2" s="14" t="s">
        <v>750</v>
      </c>
      <c r="AI2" s="14" t="s">
        <v>750</v>
      </c>
      <c r="AM2" s="14">
        <v>0</v>
      </c>
      <c r="AN2" s="14">
        <v>0</v>
      </c>
    </row>
    <row r="3" spans="1:40">
      <c r="A3" s="14">
        <v>0</v>
      </c>
      <c r="B3" s="14">
        <v>0</v>
      </c>
      <c r="C3" s="14">
        <v>50</v>
      </c>
      <c r="D3" s="14" t="s">
        <v>829</v>
      </c>
      <c r="E3" s="14">
        <v>101</v>
      </c>
      <c r="F3" s="14">
        <v>3300</v>
      </c>
      <c r="G3" s="14">
        <v>50</v>
      </c>
      <c r="H3" s="16">
        <v>39147</v>
      </c>
      <c r="I3" s="14">
        <v>1071</v>
      </c>
      <c r="J3" s="14">
        <v>9852998</v>
      </c>
      <c r="K3" s="16">
        <v>38568</v>
      </c>
      <c r="L3" s="14">
        <v>1071</v>
      </c>
      <c r="M3" s="14" t="s">
        <v>750</v>
      </c>
      <c r="N3" s="14" t="s">
        <v>830</v>
      </c>
      <c r="T3" s="14" t="s">
        <v>831</v>
      </c>
      <c r="U3" s="14" t="s">
        <v>195</v>
      </c>
      <c r="X3" s="14">
        <v>0</v>
      </c>
      <c r="Y3" s="14" t="s">
        <v>750</v>
      </c>
      <c r="Z3" s="14" t="s">
        <v>750</v>
      </c>
      <c r="AA3" s="14">
        <v>0</v>
      </c>
      <c r="AB3" s="14">
        <v>0</v>
      </c>
      <c r="AD3" s="14" t="s">
        <v>750</v>
      </c>
      <c r="AE3" s="14" t="s">
        <v>750</v>
      </c>
      <c r="AF3" s="14" t="s">
        <v>750</v>
      </c>
      <c r="AI3" s="14" t="s">
        <v>750</v>
      </c>
      <c r="AM3" s="14">
        <v>0</v>
      </c>
      <c r="AN3" s="14">
        <v>0</v>
      </c>
    </row>
    <row r="4" spans="1:40">
      <c r="A4" s="14">
        <v>0</v>
      </c>
      <c r="B4" s="14">
        <v>0</v>
      </c>
      <c r="C4" s="14">
        <v>60</v>
      </c>
      <c r="D4" s="14" t="s">
        <v>211</v>
      </c>
      <c r="E4" s="14">
        <v>101</v>
      </c>
      <c r="F4" s="14">
        <v>3300</v>
      </c>
      <c r="G4" s="14">
        <v>60</v>
      </c>
      <c r="H4" s="16">
        <v>39147</v>
      </c>
      <c r="I4" s="14">
        <v>1071</v>
      </c>
      <c r="J4" s="14">
        <v>9852998</v>
      </c>
      <c r="K4" s="16">
        <v>38568</v>
      </c>
      <c r="L4" s="14">
        <v>1071</v>
      </c>
      <c r="M4" s="14" t="s">
        <v>750</v>
      </c>
      <c r="N4" s="14" t="s">
        <v>212</v>
      </c>
      <c r="T4" s="14" t="s">
        <v>213</v>
      </c>
      <c r="U4" s="14" t="s">
        <v>195</v>
      </c>
      <c r="X4" s="14">
        <v>0</v>
      </c>
      <c r="Y4" s="14" t="s">
        <v>750</v>
      </c>
      <c r="Z4" s="14" t="s">
        <v>750</v>
      </c>
      <c r="AA4" s="14">
        <v>0</v>
      </c>
      <c r="AB4" s="14">
        <v>0</v>
      </c>
      <c r="AD4" s="14" t="s">
        <v>750</v>
      </c>
      <c r="AE4" s="14" t="s">
        <v>750</v>
      </c>
      <c r="AF4" s="14" t="s">
        <v>750</v>
      </c>
      <c r="AI4" s="14" t="s">
        <v>750</v>
      </c>
      <c r="AM4" s="14">
        <v>0</v>
      </c>
      <c r="AN4" s="14">
        <v>0</v>
      </c>
    </row>
    <row r="5" spans="1:40">
      <c r="A5" s="14">
        <v>0</v>
      </c>
      <c r="B5" s="14">
        <v>0</v>
      </c>
      <c r="C5" s="14">
        <v>81</v>
      </c>
      <c r="D5" s="14" t="s">
        <v>214</v>
      </c>
      <c r="E5" s="14">
        <v>101</v>
      </c>
      <c r="F5" s="14">
        <v>3300</v>
      </c>
      <c r="G5" s="14">
        <v>81</v>
      </c>
      <c r="H5" s="16">
        <v>39147</v>
      </c>
      <c r="I5" s="14">
        <v>1071</v>
      </c>
      <c r="J5" s="14">
        <v>9852998</v>
      </c>
      <c r="K5" s="16">
        <v>38568</v>
      </c>
      <c r="L5" s="14">
        <v>1071</v>
      </c>
      <c r="M5" s="14" t="s">
        <v>750</v>
      </c>
      <c r="N5" s="14" t="s">
        <v>215</v>
      </c>
      <c r="T5" s="14" t="s">
        <v>216</v>
      </c>
      <c r="U5" s="14" t="s">
        <v>195</v>
      </c>
      <c r="X5" s="14">
        <v>0</v>
      </c>
      <c r="Y5" s="14" t="s">
        <v>750</v>
      </c>
      <c r="Z5" s="14" t="s">
        <v>750</v>
      </c>
      <c r="AA5" s="14">
        <v>2</v>
      </c>
      <c r="AB5" s="14">
        <v>0</v>
      </c>
      <c r="AD5" s="14" t="s">
        <v>750</v>
      </c>
      <c r="AE5" s="14" t="s">
        <v>750</v>
      </c>
      <c r="AF5" s="14" t="s">
        <v>750</v>
      </c>
      <c r="AI5" s="14" t="s">
        <v>750</v>
      </c>
      <c r="AN5" s="14">
        <v>2</v>
      </c>
    </row>
    <row r="6" spans="1:40">
      <c r="A6" s="14">
        <v>0</v>
      </c>
      <c r="B6" s="14">
        <v>0</v>
      </c>
      <c r="C6" s="14">
        <v>90</v>
      </c>
      <c r="D6" s="14" t="s">
        <v>217</v>
      </c>
      <c r="E6" s="14">
        <v>101</v>
      </c>
      <c r="F6" s="14">
        <v>3300</v>
      </c>
      <c r="G6" s="14">
        <v>90</v>
      </c>
      <c r="H6" s="16">
        <v>39147</v>
      </c>
      <c r="I6" s="14">
        <v>1071</v>
      </c>
      <c r="J6" s="14">
        <v>9852998</v>
      </c>
      <c r="K6" s="16">
        <v>39147</v>
      </c>
      <c r="L6" s="14">
        <v>1071</v>
      </c>
      <c r="M6" s="14" t="s">
        <v>750</v>
      </c>
      <c r="T6" s="14" t="s">
        <v>218</v>
      </c>
      <c r="U6" s="14" t="s">
        <v>195</v>
      </c>
      <c r="X6" s="14">
        <v>0</v>
      </c>
      <c r="Y6" s="14" t="s">
        <v>750</v>
      </c>
      <c r="Z6" s="14" t="s">
        <v>750</v>
      </c>
      <c r="AA6" s="14">
        <v>0</v>
      </c>
      <c r="AB6" s="14">
        <v>0</v>
      </c>
      <c r="AD6" s="14" t="s">
        <v>750</v>
      </c>
      <c r="AE6" s="14" t="s">
        <v>750</v>
      </c>
      <c r="AF6" s="14" t="s">
        <v>750</v>
      </c>
      <c r="AI6" s="14" t="s">
        <v>750</v>
      </c>
      <c r="AN6" s="14">
        <v>2</v>
      </c>
    </row>
    <row r="7" spans="1:40">
      <c r="A7" s="14">
        <v>0</v>
      </c>
      <c r="B7" s="14">
        <v>0</v>
      </c>
      <c r="C7" s="14">
        <v>100</v>
      </c>
      <c r="D7" s="14" t="s">
        <v>219</v>
      </c>
      <c r="E7" s="14">
        <v>101</v>
      </c>
      <c r="F7" s="14">
        <v>3300</v>
      </c>
      <c r="G7" s="14">
        <v>100</v>
      </c>
      <c r="H7" s="16">
        <v>39147</v>
      </c>
      <c r="I7" s="14">
        <v>1071</v>
      </c>
      <c r="J7" s="14">
        <v>9852998</v>
      </c>
      <c r="K7" s="16">
        <v>39147</v>
      </c>
      <c r="L7" s="14">
        <v>1071</v>
      </c>
      <c r="M7" s="14" t="s">
        <v>750</v>
      </c>
      <c r="T7" s="14" t="s">
        <v>220</v>
      </c>
      <c r="U7" s="14" t="s">
        <v>195</v>
      </c>
      <c r="X7" s="14">
        <v>0</v>
      </c>
      <c r="Y7" s="14" t="s">
        <v>750</v>
      </c>
      <c r="Z7" s="14" t="s">
        <v>750</v>
      </c>
      <c r="AA7" s="14">
        <v>0</v>
      </c>
      <c r="AB7" s="14">
        <v>0</v>
      </c>
      <c r="AD7" s="14" t="s">
        <v>750</v>
      </c>
      <c r="AE7" s="14" t="s">
        <v>750</v>
      </c>
      <c r="AF7" s="14" t="s">
        <v>750</v>
      </c>
      <c r="AI7" s="14" t="s">
        <v>750</v>
      </c>
      <c r="AN7" s="14">
        <v>2</v>
      </c>
    </row>
    <row r="8" spans="1:40">
      <c r="A8" s="14">
        <v>0</v>
      </c>
      <c r="B8" s="14">
        <v>0</v>
      </c>
      <c r="C8" s="14">
        <v>110</v>
      </c>
      <c r="D8" s="14" t="s">
        <v>221</v>
      </c>
      <c r="E8" s="14">
        <v>101</v>
      </c>
      <c r="F8" s="14">
        <v>3300</v>
      </c>
      <c r="G8" s="14">
        <v>110</v>
      </c>
      <c r="H8" s="16">
        <v>39147</v>
      </c>
      <c r="I8" s="14">
        <v>1071</v>
      </c>
      <c r="J8" s="14">
        <v>9852998</v>
      </c>
      <c r="K8" s="16">
        <v>39147</v>
      </c>
      <c r="L8" s="14">
        <v>1071</v>
      </c>
      <c r="M8" s="14" t="s">
        <v>750</v>
      </c>
      <c r="T8" s="14" t="s">
        <v>222</v>
      </c>
      <c r="U8" s="14" t="s">
        <v>195</v>
      </c>
      <c r="X8" s="14">
        <v>0</v>
      </c>
      <c r="Y8" s="14" t="s">
        <v>750</v>
      </c>
      <c r="Z8" s="14" t="s">
        <v>750</v>
      </c>
      <c r="AA8" s="14">
        <v>2</v>
      </c>
      <c r="AB8" s="14">
        <v>0</v>
      </c>
      <c r="AD8" s="14" t="s">
        <v>750</v>
      </c>
      <c r="AE8" s="14" t="s">
        <v>750</v>
      </c>
      <c r="AF8" s="14" t="s">
        <v>750</v>
      </c>
      <c r="AI8" s="14" t="s">
        <v>750</v>
      </c>
      <c r="AN8" s="14">
        <v>2</v>
      </c>
    </row>
    <row r="9" spans="1:40">
      <c r="A9" s="14">
        <v>0</v>
      </c>
      <c r="B9" s="14">
        <v>0</v>
      </c>
      <c r="C9" s="14">
        <v>120</v>
      </c>
      <c r="D9" s="14" t="s">
        <v>223</v>
      </c>
      <c r="E9" s="14">
        <v>101</v>
      </c>
      <c r="F9" s="14">
        <v>3300</v>
      </c>
      <c r="G9" s="14">
        <v>120</v>
      </c>
      <c r="H9" s="16">
        <v>39147</v>
      </c>
      <c r="I9" s="14">
        <v>1071</v>
      </c>
      <c r="J9" s="14">
        <v>9852998</v>
      </c>
      <c r="K9" s="16">
        <v>39147</v>
      </c>
      <c r="L9" s="14">
        <v>1071</v>
      </c>
      <c r="M9" s="14" t="s">
        <v>750</v>
      </c>
      <c r="T9" s="14" t="s">
        <v>224</v>
      </c>
      <c r="U9" s="14" t="s">
        <v>195</v>
      </c>
      <c r="X9" s="14">
        <v>0</v>
      </c>
      <c r="Y9" s="14" t="s">
        <v>750</v>
      </c>
      <c r="Z9" s="14" t="s">
        <v>750</v>
      </c>
      <c r="AA9" s="14">
        <v>0</v>
      </c>
      <c r="AB9" s="14">
        <v>0</v>
      </c>
      <c r="AD9" s="14" t="s">
        <v>750</v>
      </c>
      <c r="AE9" s="14" t="s">
        <v>750</v>
      </c>
      <c r="AF9" s="14" t="s">
        <v>750</v>
      </c>
      <c r="AI9" s="14" t="s">
        <v>750</v>
      </c>
      <c r="AN9" s="14">
        <v>2</v>
      </c>
    </row>
    <row r="10" spans="1:40">
      <c r="A10" s="14">
        <v>0</v>
      </c>
      <c r="B10" s="14">
        <v>0</v>
      </c>
      <c r="C10" s="14">
        <v>130</v>
      </c>
      <c r="D10" s="14" t="s">
        <v>225</v>
      </c>
      <c r="E10" s="14">
        <v>101</v>
      </c>
      <c r="F10" s="14">
        <v>3300</v>
      </c>
      <c r="G10" s="14">
        <v>130</v>
      </c>
      <c r="H10" s="16">
        <v>39147</v>
      </c>
      <c r="I10" s="14">
        <v>1071</v>
      </c>
      <c r="J10" s="14">
        <v>9852998</v>
      </c>
      <c r="K10" s="16">
        <v>39147</v>
      </c>
      <c r="L10" s="14">
        <v>1071</v>
      </c>
      <c r="M10" s="14" t="s">
        <v>750</v>
      </c>
      <c r="T10" s="14" t="s">
        <v>226</v>
      </c>
      <c r="U10" s="14" t="s">
        <v>195</v>
      </c>
      <c r="X10" s="14">
        <v>0</v>
      </c>
      <c r="Y10" s="14" t="s">
        <v>750</v>
      </c>
      <c r="Z10" s="14" t="s">
        <v>750</v>
      </c>
      <c r="AA10" s="14">
        <v>0</v>
      </c>
      <c r="AB10" s="14">
        <v>0</v>
      </c>
      <c r="AD10" s="14" t="s">
        <v>750</v>
      </c>
      <c r="AE10" s="14" t="s">
        <v>750</v>
      </c>
      <c r="AF10" s="14" t="s">
        <v>750</v>
      </c>
      <c r="AI10" s="14" t="s">
        <v>750</v>
      </c>
      <c r="AN10" s="14">
        <v>2</v>
      </c>
    </row>
    <row r="11" spans="1:40">
      <c r="A11" s="14">
        <v>0</v>
      </c>
      <c r="B11" s="14">
        <v>0</v>
      </c>
      <c r="C11" s="14">
        <v>140</v>
      </c>
      <c r="D11" s="14" t="s">
        <v>227</v>
      </c>
      <c r="E11" s="14">
        <v>101</v>
      </c>
      <c r="F11" s="14">
        <v>3300</v>
      </c>
      <c r="G11" s="14">
        <v>140</v>
      </c>
      <c r="H11" s="16">
        <v>39147</v>
      </c>
      <c r="I11" s="14">
        <v>1071</v>
      </c>
      <c r="J11" s="14">
        <v>9852998</v>
      </c>
      <c r="K11" s="16">
        <v>39147</v>
      </c>
      <c r="L11" s="14">
        <v>1071</v>
      </c>
      <c r="M11" s="14" t="s">
        <v>750</v>
      </c>
      <c r="T11" s="14" t="s">
        <v>228</v>
      </c>
      <c r="U11" s="14" t="s">
        <v>195</v>
      </c>
      <c r="X11" s="14">
        <v>0</v>
      </c>
      <c r="Y11" s="14" t="s">
        <v>750</v>
      </c>
      <c r="Z11" s="14" t="s">
        <v>750</v>
      </c>
      <c r="AA11" s="14">
        <v>2</v>
      </c>
      <c r="AB11" s="14">
        <v>0</v>
      </c>
      <c r="AD11" s="14" t="s">
        <v>750</v>
      </c>
      <c r="AE11" s="14" t="s">
        <v>750</v>
      </c>
      <c r="AF11" s="14" t="s">
        <v>750</v>
      </c>
      <c r="AI11" s="14" t="s">
        <v>750</v>
      </c>
      <c r="AN11" s="14">
        <v>2</v>
      </c>
    </row>
    <row r="12" spans="1:40">
      <c r="A12" s="14">
        <v>0</v>
      </c>
      <c r="B12" s="14">
        <v>0</v>
      </c>
      <c r="C12" s="14">
        <v>150</v>
      </c>
      <c r="D12" s="14" t="s">
        <v>229</v>
      </c>
      <c r="E12" s="14">
        <v>101</v>
      </c>
      <c r="F12" s="14">
        <v>3300</v>
      </c>
      <c r="G12" s="14">
        <v>150</v>
      </c>
      <c r="H12" s="16">
        <v>39147</v>
      </c>
      <c r="I12" s="14">
        <v>1071</v>
      </c>
      <c r="J12" s="14">
        <v>9852998</v>
      </c>
      <c r="K12" s="16">
        <v>39147</v>
      </c>
      <c r="L12" s="14">
        <v>1071</v>
      </c>
      <c r="M12" s="14" t="s">
        <v>750</v>
      </c>
      <c r="T12" s="14" t="s">
        <v>230</v>
      </c>
      <c r="U12" s="14" t="s">
        <v>195</v>
      </c>
      <c r="X12" s="14">
        <v>0</v>
      </c>
      <c r="Y12" s="14" t="s">
        <v>750</v>
      </c>
      <c r="Z12" s="14" t="s">
        <v>750</v>
      </c>
      <c r="AA12" s="14">
        <v>0</v>
      </c>
      <c r="AB12" s="14">
        <v>0</v>
      </c>
      <c r="AD12" s="14" t="s">
        <v>750</v>
      </c>
      <c r="AE12" s="14" t="s">
        <v>750</v>
      </c>
      <c r="AF12" s="14" t="s">
        <v>750</v>
      </c>
      <c r="AI12" s="14" t="s">
        <v>750</v>
      </c>
      <c r="AN12" s="14">
        <v>2</v>
      </c>
    </row>
    <row r="13" spans="1:40">
      <c r="A13" s="14">
        <v>0</v>
      </c>
      <c r="B13" s="14">
        <v>0</v>
      </c>
      <c r="C13" s="14">
        <v>160</v>
      </c>
      <c r="D13" s="14" t="s">
        <v>231</v>
      </c>
      <c r="E13" s="14">
        <v>101</v>
      </c>
      <c r="F13" s="14">
        <v>3300</v>
      </c>
      <c r="G13" s="14">
        <v>160</v>
      </c>
      <c r="H13" s="16">
        <v>39147</v>
      </c>
      <c r="I13" s="14">
        <v>1071</v>
      </c>
      <c r="J13" s="14">
        <v>9852998</v>
      </c>
      <c r="K13" s="16">
        <v>39147</v>
      </c>
      <c r="L13" s="14">
        <v>1071</v>
      </c>
      <c r="M13" s="14" t="s">
        <v>750</v>
      </c>
      <c r="T13" s="14" t="s">
        <v>232</v>
      </c>
      <c r="U13" s="14" t="s">
        <v>195</v>
      </c>
      <c r="X13" s="14">
        <v>0</v>
      </c>
      <c r="Y13" s="14" t="s">
        <v>750</v>
      </c>
      <c r="Z13" s="14" t="s">
        <v>750</v>
      </c>
      <c r="AA13" s="14">
        <v>0</v>
      </c>
      <c r="AB13" s="14">
        <v>0</v>
      </c>
      <c r="AD13" s="14" t="s">
        <v>750</v>
      </c>
      <c r="AE13" s="14" t="s">
        <v>750</v>
      </c>
      <c r="AF13" s="14" t="s">
        <v>750</v>
      </c>
      <c r="AI13" s="14" t="s">
        <v>750</v>
      </c>
      <c r="AN13" s="14">
        <v>2</v>
      </c>
    </row>
    <row r="14" spans="1:40">
      <c r="A14" s="14">
        <v>0</v>
      </c>
      <c r="B14" s="14">
        <v>0</v>
      </c>
      <c r="C14" s="14">
        <v>170</v>
      </c>
      <c r="D14" s="14" t="s">
        <v>233</v>
      </c>
      <c r="E14" s="14">
        <v>101</v>
      </c>
      <c r="F14" s="14">
        <v>3300</v>
      </c>
      <c r="G14" s="14">
        <v>170</v>
      </c>
      <c r="H14" s="16">
        <v>39147</v>
      </c>
      <c r="I14" s="14">
        <v>1071</v>
      </c>
      <c r="J14" s="14">
        <v>9852998</v>
      </c>
      <c r="K14" s="16">
        <v>39147</v>
      </c>
      <c r="L14" s="14">
        <v>1071</v>
      </c>
      <c r="M14" s="14" t="s">
        <v>750</v>
      </c>
      <c r="T14" s="14" t="s">
        <v>234</v>
      </c>
      <c r="U14" s="14" t="s">
        <v>195</v>
      </c>
      <c r="X14" s="14">
        <v>0</v>
      </c>
      <c r="Y14" s="14" t="s">
        <v>750</v>
      </c>
      <c r="Z14" s="14" t="s">
        <v>750</v>
      </c>
      <c r="AA14" s="14">
        <v>2</v>
      </c>
      <c r="AB14" s="14">
        <v>0</v>
      </c>
      <c r="AD14" s="14" t="s">
        <v>750</v>
      </c>
      <c r="AE14" s="14" t="s">
        <v>750</v>
      </c>
      <c r="AF14" s="14" t="s">
        <v>750</v>
      </c>
      <c r="AI14" s="14" t="s">
        <v>750</v>
      </c>
      <c r="AN14" s="14">
        <v>2</v>
      </c>
    </row>
    <row r="15" spans="1:40">
      <c r="A15" s="14">
        <v>0</v>
      </c>
      <c r="B15" s="14">
        <v>0</v>
      </c>
      <c r="C15" s="14">
        <v>180</v>
      </c>
      <c r="D15" s="14" t="s">
        <v>235</v>
      </c>
      <c r="E15" s="14">
        <v>101</v>
      </c>
      <c r="F15" s="14">
        <v>3300</v>
      </c>
      <c r="G15" s="14">
        <v>180</v>
      </c>
      <c r="H15" s="16">
        <v>39147</v>
      </c>
      <c r="I15" s="14">
        <v>1071</v>
      </c>
      <c r="J15" s="14">
        <v>9852998</v>
      </c>
      <c r="K15" s="16">
        <v>39147</v>
      </c>
      <c r="L15" s="14">
        <v>1071</v>
      </c>
      <c r="M15" s="14" t="s">
        <v>750</v>
      </c>
      <c r="T15" s="14" t="s">
        <v>236</v>
      </c>
      <c r="U15" s="14" t="s">
        <v>195</v>
      </c>
      <c r="X15" s="14">
        <v>0</v>
      </c>
      <c r="Y15" s="14" t="s">
        <v>750</v>
      </c>
      <c r="Z15" s="14" t="s">
        <v>750</v>
      </c>
      <c r="AA15" s="14">
        <v>0</v>
      </c>
      <c r="AB15" s="14">
        <v>0</v>
      </c>
      <c r="AD15" s="14" t="s">
        <v>750</v>
      </c>
      <c r="AE15" s="14" t="s">
        <v>750</v>
      </c>
      <c r="AF15" s="14" t="s">
        <v>750</v>
      </c>
      <c r="AI15" s="14" t="s">
        <v>750</v>
      </c>
      <c r="AN15" s="14">
        <v>2</v>
      </c>
    </row>
    <row r="16" spans="1:40">
      <c r="A16" s="14">
        <v>0</v>
      </c>
      <c r="B16" s="14">
        <v>0</v>
      </c>
      <c r="C16" s="14">
        <v>190</v>
      </c>
      <c r="D16" s="14" t="s">
        <v>237</v>
      </c>
      <c r="E16" s="14">
        <v>101</v>
      </c>
      <c r="F16" s="14">
        <v>3300</v>
      </c>
      <c r="G16" s="14">
        <v>190</v>
      </c>
      <c r="H16" s="16">
        <v>39147</v>
      </c>
      <c r="I16" s="14">
        <v>1071</v>
      </c>
      <c r="J16" s="14">
        <v>9852998</v>
      </c>
      <c r="K16" s="16">
        <v>39147</v>
      </c>
      <c r="L16" s="14">
        <v>1071</v>
      </c>
      <c r="M16" s="14" t="s">
        <v>750</v>
      </c>
      <c r="T16" s="14" t="s">
        <v>238</v>
      </c>
      <c r="U16" s="14" t="s">
        <v>195</v>
      </c>
      <c r="X16" s="14">
        <v>0</v>
      </c>
      <c r="Y16" s="14" t="s">
        <v>750</v>
      </c>
      <c r="Z16" s="14" t="s">
        <v>750</v>
      </c>
      <c r="AA16" s="14">
        <v>0</v>
      </c>
      <c r="AB16" s="14">
        <v>0</v>
      </c>
      <c r="AD16" s="14" t="s">
        <v>750</v>
      </c>
      <c r="AE16" s="14" t="s">
        <v>750</v>
      </c>
      <c r="AF16" s="14" t="s">
        <v>750</v>
      </c>
      <c r="AI16" s="14" t="s">
        <v>750</v>
      </c>
      <c r="AN16" s="14">
        <v>2</v>
      </c>
    </row>
  </sheetData>
  <customSheetViews>
    <customSheetView guid="{6B74E52F-9552-408A-8775-25AFF24E6639}" state="hidden" showRuler="0">
      <selection activeCell="C2" sqref="C2:C16"/>
      <pageMargins left="0.75" right="0.75" top="1" bottom="1" header="0.5" footer="0.5"/>
      <pageSetup orientation="portrait" r:id="rId1"/>
      <headerFooter alignWithMargins="0"/>
    </customSheetView>
  </customSheetViews>
  <phoneticPr fontId="4" type="noConversion"/>
  <pageMargins left="0.75" right="0.75" top="1" bottom="1" header="0.5" footer="0.5"/>
  <pageSetup orientation="portrait" r:id="rId2"/>
  <headerFooter alignWithMargins="0"/>
</worksheet>
</file>

<file path=xl/worksheets/sheet30.xml><?xml version="1.0" encoding="utf-8"?>
<worksheet xmlns="http://schemas.openxmlformats.org/spreadsheetml/2006/main" xmlns:r="http://schemas.openxmlformats.org/officeDocument/2006/relationships">
  <sheetPr codeName="Sheet30"/>
  <dimension ref="A1:C1"/>
  <sheetViews>
    <sheetView workbookViewId="0"/>
  </sheetViews>
  <sheetFormatPr defaultColWidth="25.7109375" defaultRowHeight="13.5"/>
  <cols>
    <col min="1" max="16384" width="25.7109375" style="14"/>
  </cols>
  <sheetData>
    <row r="1" spans="1:3">
      <c r="A1" s="14">
        <v>0</v>
      </c>
      <c r="B1" s="14">
        <v>18</v>
      </c>
      <c r="C1" s="14" t="s">
        <v>792</v>
      </c>
    </row>
  </sheetData>
  <customSheetViews>
    <customSheetView guid="{6B74E52F-9552-408A-8775-25AFF24E6639}" state="hidden" showRuler="0">
      <pageMargins left="0.75" right="0.75" top="1" bottom="1" header="0.5" footer="0.5"/>
      <headerFooter alignWithMargins="0"/>
    </customSheetView>
  </customSheetViews>
  <phoneticPr fontId="4" type="noConversion"/>
  <pageMargins left="0.75" right="0.75" top="1" bottom="1" header="0.5" footer="0.5"/>
  <headerFooter alignWithMargins="0"/>
</worksheet>
</file>

<file path=xl/worksheets/sheet31.xml><?xml version="1.0" encoding="utf-8"?>
<worksheet xmlns="http://schemas.openxmlformats.org/spreadsheetml/2006/main" xmlns:r="http://schemas.openxmlformats.org/officeDocument/2006/relationships">
  <sheetPr codeName="Sheet31"/>
  <dimension ref="A1:AA25"/>
  <sheetViews>
    <sheetView workbookViewId="0">
      <selection activeCell="A5" sqref="A5:R5"/>
    </sheetView>
  </sheetViews>
  <sheetFormatPr defaultColWidth="25.7109375" defaultRowHeight="13.5"/>
  <cols>
    <col min="1" max="16384" width="25.7109375" style="14"/>
  </cols>
  <sheetData>
    <row r="1" spans="1:27">
      <c r="A1" s="14">
        <v>1</v>
      </c>
      <c r="B1" s="14">
        <v>27</v>
      </c>
      <c r="C1" s="14" t="s">
        <v>759</v>
      </c>
    </row>
    <row r="2" spans="1:27">
      <c r="A2" s="14">
        <v>0</v>
      </c>
      <c r="B2" s="14">
        <v>0</v>
      </c>
      <c r="D2" s="14">
        <v>101</v>
      </c>
      <c r="E2" s="14">
        <v>3841</v>
      </c>
      <c r="F2" s="18">
        <v>39650.427268518521</v>
      </c>
      <c r="G2" s="14">
        <v>1071</v>
      </c>
      <c r="H2" s="14">
        <v>1071</v>
      </c>
      <c r="I2" s="18">
        <v>38568.400509259256</v>
      </c>
      <c r="J2" s="14">
        <v>1071</v>
      </c>
      <c r="K2" s="17" t="s">
        <v>240</v>
      </c>
      <c r="L2" s="14">
        <v>3301</v>
      </c>
      <c r="M2" s="14">
        <v>3300</v>
      </c>
      <c r="N2" s="14" t="s">
        <v>756</v>
      </c>
      <c r="P2" s="14">
        <v>1581</v>
      </c>
      <c r="R2" s="14">
        <v>3942</v>
      </c>
      <c r="T2" s="14" t="s">
        <v>736</v>
      </c>
      <c r="U2" s="14">
        <v>101</v>
      </c>
      <c r="V2" s="17" t="s">
        <v>744</v>
      </c>
      <c r="W2" s="17" t="s">
        <v>744</v>
      </c>
      <c r="Y2" s="17" t="s">
        <v>241</v>
      </c>
      <c r="Z2" s="14" t="s">
        <v>734</v>
      </c>
      <c r="AA2" s="14" t="s">
        <v>242</v>
      </c>
    </row>
    <row r="4" spans="1:27">
      <c r="A4" s="14">
        <v>1</v>
      </c>
      <c r="B4" s="14">
        <v>18</v>
      </c>
    </row>
    <row r="5" spans="1:27">
      <c r="A5" s="14">
        <v>0</v>
      </c>
      <c r="B5" s="14">
        <v>0</v>
      </c>
      <c r="D5" s="14" t="s">
        <v>902</v>
      </c>
      <c r="E5" s="14">
        <v>101</v>
      </c>
      <c r="F5" s="14">
        <v>3300</v>
      </c>
      <c r="G5" s="16">
        <v>39650</v>
      </c>
      <c r="H5" s="14">
        <v>1071</v>
      </c>
      <c r="I5" s="14">
        <v>1071</v>
      </c>
      <c r="J5" s="16">
        <v>38568</v>
      </c>
      <c r="K5" s="14">
        <v>1071</v>
      </c>
      <c r="L5" s="14" t="s">
        <v>903</v>
      </c>
      <c r="M5" s="14" t="s">
        <v>734</v>
      </c>
      <c r="N5" s="14" t="s">
        <v>904</v>
      </c>
      <c r="O5" s="14" t="s">
        <v>239</v>
      </c>
      <c r="P5" s="14" t="s">
        <v>736</v>
      </c>
      <c r="Q5" s="14">
        <v>101</v>
      </c>
    </row>
    <row r="9" spans="1:27">
      <c r="A9">
        <v>1</v>
      </c>
      <c r="B9">
        <v>18</v>
      </c>
      <c r="C9" t="s">
        <v>765</v>
      </c>
      <c r="D9"/>
      <c r="E9"/>
      <c r="F9"/>
      <c r="G9"/>
      <c r="H9"/>
      <c r="I9"/>
      <c r="J9"/>
      <c r="K9"/>
      <c r="L9"/>
      <c r="M9"/>
      <c r="N9"/>
      <c r="O9"/>
      <c r="P9"/>
      <c r="Q9"/>
      <c r="R9"/>
    </row>
    <row r="10" spans="1:27">
      <c r="A10">
        <v>0</v>
      </c>
      <c r="B10">
        <v>0</v>
      </c>
      <c r="C10"/>
      <c r="D10">
        <v>101</v>
      </c>
      <c r="E10">
        <v>3301</v>
      </c>
      <c r="F10" s="15">
        <v>39650.427268518521</v>
      </c>
      <c r="G10">
        <v>1071</v>
      </c>
      <c r="H10">
        <v>1071</v>
      </c>
      <c r="I10" s="15">
        <v>38568.399768518517</v>
      </c>
      <c r="J10">
        <v>1071</v>
      </c>
      <c r="K10" s="19" t="s">
        <v>243</v>
      </c>
      <c r="L10" t="s">
        <v>756</v>
      </c>
      <c r="M10" s="19" t="s">
        <v>244</v>
      </c>
      <c r="N10">
        <v>0</v>
      </c>
      <c r="O10" s="19" t="s">
        <v>744</v>
      </c>
      <c r="P10" t="s">
        <v>736</v>
      </c>
      <c r="Q10">
        <v>101</v>
      </c>
      <c r="R10" t="s">
        <v>245</v>
      </c>
    </row>
    <row r="14" spans="1:27">
      <c r="A14">
        <v>1</v>
      </c>
      <c r="B14">
        <v>16</v>
      </c>
      <c r="C14" t="s">
        <v>770</v>
      </c>
      <c r="D14"/>
      <c r="E14"/>
      <c r="F14"/>
      <c r="G14"/>
      <c r="H14"/>
      <c r="I14"/>
      <c r="J14"/>
      <c r="K14"/>
      <c r="L14"/>
      <c r="M14"/>
      <c r="N14"/>
      <c r="O14"/>
      <c r="P14"/>
    </row>
    <row r="15" spans="1:27">
      <c r="A15">
        <v>0</v>
      </c>
      <c r="B15">
        <v>0</v>
      </c>
      <c r="C15"/>
      <c r="D15">
        <v>101</v>
      </c>
      <c r="E15">
        <v>1581</v>
      </c>
      <c r="F15" s="15">
        <v>39410.531921296293</v>
      </c>
      <c r="G15">
        <v>1068</v>
      </c>
      <c r="H15">
        <v>13279845</v>
      </c>
      <c r="I15" s="15">
        <v>39410.531921296293</v>
      </c>
      <c r="J15">
        <v>1068</v>
      </c>
      <c r="K15" s="19" t="s">
        <v>766</v>
      </c>
      <c r="L15" t="s">
        <v>767</v>
      </c>
      <c r="M15" t="s">
        <v>736</v>
      </c>
      <c r="N15">
        <v>101</v>
      </c>
      <c r="O15" s="19" t="s">
        <v>768</v>
      </c>
      <c r="P15" t="s">
        <v>769</v>
      </c>
    </row>
    <row r="19" spans="1:18">
      <c r="A19">
        <v>1</v>
      </c>
      <c r="B19">
        <v>18</v>
      </c>
      <c r="C19" t="s">
        <v>772</v>
      </c>
      <c r="D19"/>
      <c r="E19"/>
      <c r="F19"/>
      <c r="G19"/>
      <c r="H19"/>
      <c r="I19"/>
      <c r="J19"/>
      <c r="K19"/>
      <c r="L19"/>
      <c r="M19"/>
      <c r="N19"/>
      <c r="O19"/>
      <c r="P19"/>
      <c r="Q19"/>
      <c r="R19"/>
    </row>
    <row r="20" spans="1:18">
      <c r="A20">
        <v>0</v>
      </c>
      <c r="B20">
        <v>0</v>
      </c>
      <c r="C20"/>
      <c r="D20"/>
      <c r="E20"/>
      <c r="F20" s="20">
        <v>0</v>
      </c>
      <c r="G20"/>
      <c r="H20"/>
      <c r="I20" s="20">
        <v>0</v>
      </c>
      <c r="J20"/>
      <c r="K20" s="19" t="s">
        <v>744</v>
      </c>
      <c r="L20" t="s">
        <v>771</v>
      </c>
      <c r="M20"/>
      <c r="N20"/>
      <c r="O20" s="19" t="s">
        <v>744</v>
      </c>
      <c r="P20"/>
      <c r="Q20" s="19" t="s">
        <v>744</v>
      </c>
      <c r="R20"/>
    </row>
    <row r="24" spans="1:18">
      <c r="A24">
        <v>1</v>
      </c>
      <c r="B24">
        <v>14</v>
      </c>
      <c r="C24" t="s">
        <v>773</v>
      </c>
      <c r="D24"/>
      <c r="E24"/>
      <c r="F24"/>
      <c r="G24"/>
      <c r="H24"/>
      <c r="I24"/>
      <c r="J24"/>
      <c r="K24"/>
      <c r="L24"/>
      <c r="M24"/>
      <c r="N24"/>
    </row>
    <row r="25" spans="1:18">
      <c r="A25">
        <v>0</v>
      </c>
      <c r="B25">
        <v>0</v>
      </c>
      <c r="C25"/>
      <c r="D25"/>
      <c r="E25" s="19" t="s">
        <v>744</v>
      </c>
      <c r="F25" s="20">
        <v>0</v>
      </c>
      <c r="G25"/>
      <c r="H25" s="20">
        <v>0</v>
      </c>
      <c r="I25"/>
      <c r="J25"/>
      <c r="K25"/>
      <c r="L25"/>
      <c r="M25" s="19" t="s">
        <v>744</v>
      </c>
      <c r="N25"/>
    </row>
  </sheetData>
  <customSheetViews>
    <customSheetView guid="{6B74E52F-9552-408A-8775-25AFF24E6639}" state="hidden" showRuler="0">
      <selection activeCell="A5" sqref="A5:R5"/>
      <pageMargins left="0.75" right="0.75" top="1" bottom="1" header="0.5" footer="0.5"/>
      <headerFooter alignWithMargins="0"/>
    </customSheetView>
  </customSheetViews>
  <phoneticPr fontId="4" type="noConversion"/>
  <pageMargins left="0.75" right="0.75" top="1" bottom="1" header="0.5" footer="0.5"/>
  <headerFooter alignWithMargins="0"/>
</worksheet>
</file>

<file path=xl/worksheets/sheet32.xml><?xml version="1.0" encoding="utf-8"?>
<worksheet xmlns="http://schemas.openxmlformats.org/spreadsheetml/2006/main" xmlns:r="http://schemas.openxmlformats.org/officeDocument/2006/relationships">
  <sheetPr codeName="Sheet32"/>
  <dimension ref="A1:L24"/>
  <sheetViews>
    <sheetView workbookViewId="0"/>
  </sheetViews>
  <sheetFormatPr defaultRowHeight="12.75"/>
  <cols>
    <col min="1" max="1" width="28.28515625" bestFit="1" customWidth="1"/>
    <col min="2" max="2" width="18.42578125" bestFit="1" customWidth="1"/>
    <col min="3" max="3" width="14.7109375" bestFit="1" customWidth="1"/>
    <col min="4" max="5" width="19.85546875" bestFit="1" customWidth="1"/>
    <col min="6" max="6" width="11.140625" bestFit="1" customWidth="1"/>
  </cols>
  <sheetData>
    <row r="1" spans="1:12">
      <c r="A1" t="s">
        <v>155</v>
      </c>
      <c r="B1">
        <v>1</v>
      </c>
      <c r="C1" t="s">
        <v>156</v>
      </c>
      <c r="D1" t="s">
        <v>157</v>
      </c>
      <c r="E1" t="s">
        <v>158</v>
      </c>
      <c r="F1" t="s">
        <v>159</v>
      </c>
      <c r="G1" t="s">
        <v>160</v>
      </c>
      <c r="H1" t="s">
        <v>157</v>
      </c>
      <c r="I1" t="s">
        <v>161</v>
      </c>
      <c r="J1">
        <v>4</v>
      </c>
      <c r="K1" t="s">
        <v>162</v>
      </c>
      <c r="L1">
        <v>4</v>
      </c>
    </row>
    <row r="2" spans="1:12">
      <c r="A2" t="s">
        <v>163</v>
      </c>
      <c r="B2" t="s">
        <v>815</v>
      </c>
      <c r="C2" t="s">
        <v>164</v>
      </c>
      <c r="D2" t="s">
        <v>165</v>
      </c>
      <c r="E2" t="s">
        <v>166</v>
      </c>
      <c r="F2" t="s">
        <v>167</v>
      </c>
      <c r="G2" t="s">
        <v>168</v>
      </c>
      <c r="H2" t="s">
        <v>165</v>
      </c>
      <c r="I2" t="s">
        <v>169</v>
      </c>
      <c r="J2">
        <v>3</v>
      </c>
      <c r="K2" t="s">
        <v>170</v>
      </c>
      <c r="L2">
        <v>3</v>
      </c>
    </row>
    <row r="3" spans="1:12">
      <c r="A3" t="s">
        <v>171</v>
      </c>
      <c r="B3">
        <v>101</v>
      </c>
      <c r="C3" t="s">
        <v>172</v>
      </c>
      <c r="D3" t="s">
        <v>173</v>
      </c>
      <c r="E3" t="s">
        <v>174</v>
      </c>
      <c r="F3" t="s">
        <v>175</v>
      </c>
      <c r="G3" t="s">
        <v>176</v>
      </c>
      <c r="H3" t="s">
        <v>173</v>
      </c>
      <c r="I3" t="s">
        <v>177</v>
      </c>
      <c r="J3">
        <v>6</v>
      </c>
      <c r="K3" t="s">
        <v>178</v>
      </c>
      <c r="L3">
        <v>6</v>
      </c>
    </row>
    <row r="4" spans="1:12">
      <c r="A4" t="s">
        <v>179</v>
      </c>
      <c r="B4" t="s">
        <v>180</v>
      </c>
      <c r="C4" t="s">
        <v>181</v>
      </c>
      <c r="D4" t="s">
        <v>182</v>
      </c>
      <c r="E4" t="s">
        <v>183</v>
      </c>
      <c r="F4" t="s">
        <v>184</v>
      </c>
      <c r="G4" t="s">
        <v>185</v>
      </c>
      <c r="H4" t="s">
        <v>182</v>
      </c>
      <c r="I4" t="s">
        <v>186</v>
      </c>
      <c r="J4">
        <v>6</v>
      </c>
      <c r="K4" t="s">
        <v>456</v>
      </c>
      <c r="L4">
        <v>6</v>
      </c>
    </row>
    <row r="5" spans="1:12">
      <c r="A5" t="s">
        <v>457</v>
      </c>
      <c r="B5" t="s">
        <v>458</v>
      </c>
      <c r="C5" t="s">
        <v>459</v>
      </c>
      <c r="D5" t="s">
        <v>104</v>
      </c>
      <c r="E5" t="s">
        <v>460</v>
      </c>
      <c r="F5" t="s">
        <v>461</v>
      </c>
      <c r="G5" t="s">
        <v>462</v>
      </c>
      <c r="H5" t="s">
        <v>104</v>
      </c>
      <c r="I5" t="s">
        <v>463</v>
      </c>
      <c r="J5">
        <v>6</v>
      </c>
      <c r="K5" t="s">
        <v>464</v>
      </c>
      <c r="L5">
        <v>6</v>
      </c>
    </row>
    <row r="6" spans="1:12">
      <c r="A6" t="s">
        <v>465</v>
      </c>
      <c r="B6" t="s">
        <v>466</v>
      </c>
      <c r="C6" t="s">
        <v>467</v>
      </c>
      <c r="D6" t="s">
        <v>81</v>
      </c>
      <c r="E6" t="s">
        <v>468</v>
      </c>
      <c r="F6" t="s">
        <v>469</v>
      </c>
      <c r="G6" t="s">
        <v>470</v>
      </c>
      <c r="H6" t="s">
        <v>81</v>
      </c>
      <c r="I6" t="s">
        <v>471</v>
      </c>
      <c r="J6">
        <v>4</v>
      </c>
      <c r="K6" t="s">
        <v>472</v>
      </c>
      <c r="L6">
        <v>4</v>
      </c>
    </row>
    <row r="7" spans="1:12">
      <c r="A7" t="s">
        <v>473</v>
      </c>
      <c r="B7">
        <v>101</v>
      </c>
      <c r="C7" t="s">
        <v>474</v>
      </c>
      <c r="D7" t="s">
        <v>475</v>
      </c>
      <c r="E7" t="s">
        <v>476</v>
      </c>
      <c r="F7" t="s">
        <v>477</v>
      </c>
      <c r="G7" t="s">
        <v>478</v>
      </c>
      <c r="H7" t="s">
        <v>475</v>
      </c>
      <c r="I7" t="s">
        <v>479</v>
      </c>
      <c r="J7">
        <v>4</v>
      </c>
      <c r="K7" t="s">
        <v>480</v>
      </c>
      <c r="L7">
        <v>4</v>
      </c>
    </row>
    <row r="8" spans="1:12">
      <c r="A8" t="s">
        <v>481</v>
      </c>
      <c r="B8">
        <v>50417</v>
      </c>
      <c r="C8" t="s">
        <v>482</v>
      </c>
      <c r="D8" t="s">
        <v>483</v>
      </c>
      <c r="E8" t="s">
        <v>484</v>
      </c>
      <c r="F8" t="s">
        <v>485</v>
      </c>
      <c r="G8" t="s">
        <v>486</v>
      </c>
      <c r="H8" t="s">
        <v>483</v>
      </c>
      <c r="I8" t="s">
        <v>487</v>
      </c>
      <c r="J8">
        <v>4</v>
      </c>
      <c r="K8" t="s">
        <v>488</v>
      </c>
      <c r="L8">
        <v>4</v>
      </c>
    </row>
    <row r="9" spans="1:12">
      <c r="A9" t="s">
        <v>489</v>
      </c>
      <c r="B9" t="s">
        <v>490</v>
      </c>
    </row>
    <row r="10" spans="1:12">
      <c r="A10" t="s">
        <v>491</v>
      </c>
      <c r="B10" t="s">
        <v>492</v>
      </c>
    </row>
    <row r="11" spans="1:12">
      <c r="A11" t="s">
        <v>493</v>
      </c>
      <c r="B11" t="s">
        <v>492</v>
      </c>
    </row>
    <row r="12" spans="1:12">
      <c r="A12" t="s">
        <v>494</v>
      </c>
      <c r="B12" t="s">
        <v>495</v>
      </c>
    </row>
    <row r="13" spans="1:12">
      <c r="A13" t="s">
        <v>496</v>
      </c>
      <c r="B13" t="s">
        <v>497</v>
      </c>
    </row>
    <row r="14" spans="1:12">
      <c r="A14" t="s">
        <v>187</v>
      </c>
      <c r="B14" t="s">
        <v>188</v>
      </c>
    </row>
    <row r="15" spans="1:12">
      <c r="A15" t="s">
        <v>189</v>
      </c>
      <c r="B15">
        <v>1071</v>
      </c>
    </row>
    <row r="17" spans="1:2">
      <c r="A17" t="s">
        <v>190</v>
      </c>
      <c r="B17" t="s">
        <v>191</v>
      </c>
    </row>
    <row r="18" spans="1:2">
      <c r="A18" t="s">
        <v>192</v>
      </c>
      <c r="B18">
        <v>8</v>
      </c>
    </row>
    <row r="19" spans="1:2">
      <c r="A19" t="s">
        <v>193</v>
      </c>
      <c r="B19">
        <v>-1</v>
      </c>
    </row>
    <row r="20" spans="1:2">
      <c r="A20" t="s">
        <v>194</v>
      </c>
      <c r="B20" t="s">
        <v>195</v>
      </c>
    </row>
    <row r="21" spans="1:2">
      <c r="A21" t="s">
        <v>196</v>
      </c>
      <c r="B21" t="s">
        <v>197</v>
      </c>
    </row>
    <row r="22" spans="1:2">
      <c r="A22" t="s">
        <v>198</v>
      </c>
      <c r="B22" t="s">
        <v>199</v>
      </c>
    </row>
    <row r="23" spans="1:2">
      <c r="A23" t="s">
        <v>200</v>
      </c>
      <c r="B23" t="s">
        <v>201</v>
      </c>
    </row>
    <row r="24" spans="1:2">
      <c r="A24" t="s">
        <v>731</v>
      </c>
      <c r="B24" t="s">
        <v>191</v>
      </c>
    </row>
  </sheetData>
  <customSheetViews>
    <customSheetView guid="{6B74E52F-9552-408A-8775-25AFF24E6639}" state="hidden" showRuler="0">
      <pageMargins left="0.75" right="0.75" top="1" bottom="1" header="0.5" footer="0.5"/>
      <headerFooter alignWithMargins="0"/>
    </customSheetView>
  </customSheetViews>
  <phoneticPr fontId="4" type="noConversion"/>
  <pageMargins left="0.75" right="0.75" top="1" bottom="1" header="0.5" footer="0.5"/>
  <headerFooter alignWithMargins="0"/>
</worksheet>
</file>

<file path=xl/worksheets/sheet33.xml><?xml version="1.0" encoding="utf-8"?>
<worksheet xmlns="http://schemas.openxmlformats.org/spreadsheetml/2006/main" xmlns:r="http://schemas.openxmlformats.org/officeDocument/2006/relationships">
  <sheetPr codeName="Sheet34"/>
  <dimension ref="A1:AN3"/>
  <sheetViews>
    <sheetView workbookViewId="0">
      <selection activeCell="C2" sqref="C2:C3"/>
    </sheetView>
  </sheetViews>
  <sheetFormatPr defaultColWidth="25.7109375" defaultRowHeight="13.5"/>
  <cols>
    <col min="1" max="16384" width="25.7109375" style="14"/>
  </cols>
  <sheetData>
    <row r="1" spans="1:40">
      <c r="A1" s="14">
        <v>2</v>
      </c>
      <c r="B1" s="14">
        <v>57</v>
      </c>
      <c r="C1" s="14" t="s">
        <v>748</v>
      </c>
    </row>
    <row r="2" spans="1:40">
      <c r="A2" s="14">
        <v>0</v>
      </c>
      <c r="B2" s="14">
        <v>0</v>
      </c>
      <c r="C2" s="14">
        <v>10</v>
      </c>
      <c r="D2" s="14" t="s">
        <v>749</v>
      </c>
      <c r="E2" s="14">
        <v>101</v>
      </c>
      <c r="F2" s="14">
        <v>5461</v>
      </c>
      <c r="G2" s="14">
        <v>10</v>
      </c>
      <c r="H2" s="16">
        <v>39252</v>
      </c>
      <c r="I2" s="14">
        <v>1071</v>
      </c>
      <c r="J2" s="14">
        <v>11228347</v>
      </c>
      <c r="K2" s="16">
        <v>39252</v>
      </c>
      <c r="L2" s="14">
        <v>1071</v>
      </c>
      <c r="M2" s="14" t="s">
        <v>750</v>
      </c>
      <c r="T2" s="14" t="s">
        <v>751</v>
      </c>
      <c r="U2" s="14" t="s">
        <v>195</v>
      </c>
      <c r="X2" s="14">
        <v>0</v>
      </c>
      <c r="Y2" s="14" t="s">
        <v>750</v>
      </c>
      <c r="Z2" s="14" t="s">
        <v>750</v>
      </c>
      <c r="AA2" s="14">
        <v>1</v>
      </c>
      <c r="AB2" s="14">
        <v>0</v>
      </c>
      <c r="AD2" s="14" t="s">
        <v>752</v>
      </c>
      <c r="AE2" s="14" t="s">
        <v>750</v>
      </c>
      <c r="AF2" s="14" t="s">
        <v>750</v>
      </c>
      <c r="AI2" s="14" t="s">
        <v>750</v>
      </c>
      <c r="AN2" s="14">
        <v>2</v>
      </c>
    </row>
    <row r="3" spans="1:40">
      <c r="A3" s="14">
        <v>0</v>
      </c>
      <c r="B3" s="14">
        <v>0</v>
      </c>
      <c r="C3" s="14">
        <v>20</v>
      </c>
      <c r="D3" s="14" t="s">
        <v>753</v>
      </c>
      <c r="E3" s="14">
        <v>101</v>
      </c>
      <c r="F3" s="14">
        <v>5461</v>
      </c>
      <c r="G3" s="14">
        <v>20</v>
      </c>
      <c r="H3" s="16">
        <v>39252</v>
      </c>
      <c r="I3" s="14">
        <v>1071</v>
      </c>
      <c r="J3" s="14">
        <v>11228347</v>
      </c>
      <c r="K3" s="16">
        <v>39252</v>
      </c>
      <c r="L3" s="14">
        <v>1071</v>
      </c>
      <c r="M3" s="14" t="s">
        <v>750</v>
      </c>
      <c r="T3" s="14" t="s">
        <v>754</v>
      </c>
      <c r="U3" s="14" t="s">
        <v>195</v>
      </c>
      <c r="X3" s="14">
        <v>0</v>
      </c>
      <c r="Y3" s="14" t="s">
        <v>750</v>
      </c>
      <c r="Z3" s="14" t="s">
        <v>750</v>
      </c>
      <c r="AA3" s="14">
        <v>1</v>
      </c>
      <c r="AB3" s="14">
        <v>0</v>
      </c>
      <c r="AD3" s="14" t="s">
        <v>750</v>
      </c>
      <c r="AE3" s="14" t="s">
        <v>750</v>
      </c>
      <c r="AF3" s="14" t="s">
        <v>750</v>
      </c>
      <c r="AI3" s="14" t="s">
        <v>750</v>
      </c>
      <c r="AN3" s="14">
        <v>2</v>
      </c>
    </row>
  </sheetData>
  <customSheetViews>
    <customSheetView guid="{6B74E52F-9552-408A-8775-25AFF24E6639}" state="hidden" showRuler="0">
      <selection activeCell="C2" sqref="C2:C3"/>
      <pageMargins left="0.75" right="0.75" top="1" bottom="1" header="0.5" footer="0.5"/>
      <pageSetup orientation="portrait" r:id="rId1"/>
      <headerFooter alignWithMargins="0"/>
    </customSheetView>
  </customSheetViews>
  <phoneticPr fontId="4" type="noConversion"/>
  <pageMargins left="0.75" right="0.75" top="1" bottom="1" header="0.5" footer="0.5"/>
  <pageSetup orientation="portrait" r:id="rId2"/>
  <headerFooter alignWithMargins="0"/>
</worksheet>
</file>

<file path=xl/worksheets/sheet34.xml><?xml version="1.0" encoding="utf-8"?>
<worksheet xmlns="http://schemas.openxmlformats.org/spreadsheetml/2006/main" xmlns:r="http://schemas.openxmlformats.org/officeDocument/2006/relationships">
  <sheetPr codeName="Sheet35"/>
  <dimension ref="A1:AN2"/>
  <sheetViews>
    <sheetView workbookViewId="0">
      <selection activeCell="A2" sqref="A2:AN2"/>
    </sheetView>
  </sheetViews>
  <sheetFormatPr defaultColWidth="25.7109375" defaultRowHeight="13.5"/>
  <cols>
    <col min="1" max="16384" width="25.7109375" style="14"/>
  </cols>
  <sheetData>
    <row r="1" spans="1:40">
      <c r="A1" s="14">
        <v>1</v>
      </c>
      <c r="B1" s="14">
        <v>40</v>
      </c>
      <c r="C1" s="14" t="s">
        <v>740</v>
      </c>
    </row>
    <row r="2" spans="1:40">
      <c r="A2" s="14">
        <v>0</v>
      </c>
      <c r="B2" s="14">
        <v>0</v>
      </c>
      <c r="C2" s="14">
        <v>10</v>
      </c>
      <c r="D2" s="14">
        <v>101</v>
      </c>
      <c r="E2" s="14">
        <v>5461</v>
      </c>
      <c r="F2" s="14">
        <v>10</v>
      </c>
      <c r="G2" s="16">
        <v>39252</v>
      </c>
      <c r="H2" s="14">
        <v>1071</v>
      </c>
      <c r="I2" s="14">
        <v>11228347</v>
      </c>
      <c r="J2" s="16">
        <v>39252</v>
      </c>
      <c r="K2" s="14">
        <v>1071</v>
      </c>
      <c r="L2" s="14" t="s">
        <v>197</v>
      </c>
      <c r="M2" s="14" t="s">
        <v>738</v>
      </c>
      <c r="N2" s="14" t="s">
        <v>199</v>
      </c>
      <c r="P2" s="14" t="s">
        <v>741</v>
      </c>
      <c r="Q2" s="17" t="s">
        <v>744</v>
      </c>
      <c r="R2" s="17" t="s">
        <v>744</v>
      </c>
      <c r="S2" s="14" t="s">
        <v>742</v>
      </c>
      <c r="T2" s="17" t="s">
        <v>745</v>
      </c>
      <c r="U2" s="17" t="s">
        <v>746</v>
      </c>
      <c r="V2" s="14" t="s">
        <v>743</v>
      </c>
      <c r="W2" s="17" t="s">
        <v>744</v>
      </c>
      <c r="X2" s="17" t="s">
        <v>744</v>
      </c>
      <c r="Y2" s="14" t="s">
        <v>742</v>
      </c>
      <c r="Z2" s="17" t="s">
        <v>744</v>
      </c>
      <c r="AA2" s="17" t="s">
        <v>744</v>
      </c>
      <c r="AB2" s="14" t="s">
        <v>742</v>
      </c>
      <c r="AC2" s="17" t="s">
        <v>747</v>
      </c>
      <c r="AD2" s="17" t="s">
        <v>747</v>
      </c>
      <c r="AE2" s="14" t="s">
        <v>742</v>
      </c>
      <c r="AF2" s="17" t="s">
        <v>744</v>
      </c>
      <c r="AG2" s="17" t="s">
        <v>744</v>
      </c>
      <c r="AH2" s="14" t="s">
        <v>742</v>
      </c>
      <c r="AI2" s="17" t="s">
        <v>744</v>
      </c>
      <c r="AJ2" s="17" t="s">
        <v>744</v>
      </c>
      <c r="AK2" s="14" t="s">
        <v>742</v>
      </c>
      <c r="AL2" s="17" t="s">
        <v>744</v>
      </c>
      <c r="AM2" s="17" t="s">
        <v>744</v>
      </c>
      <c r="AN2" s="14" t="s">
        <v>742</v>
      </c>
    </row>
  </sheetData>
  <customSheetViews>
    <customSheetView guid="{6B74E52F-9552-408A-8775-25AFF24E6639}" state="hidden" showRuler="0">
      <selection activeCell="A2" sqref="A2:AN2"/>
      <pageMargins left="0.75" right="0.75" top="1" bottom="1" header="0.5" footer="0.5"/>
      <headerFooter alignWithMargins="0"/>
    </customSheetView>
  </customSheetViews>
  <phoneticPr fontId="4" type="noConversion"/>
  <pageMargins left="0.75" right="0.75" top="1" bottom="1" header="0.5" footer="0.5"/>
  <headerFooter alignWithMargins="0"/>
</worksheet>
</file>

<file path=xl/worksheets/sheet35.xml><?xml version="1.0" encoding="utf-8"?>
<worksheet xmlns="http://schemas.openxmlformats.org/spreadsheetml/2006/main" xmlns:r="http://schemas.openxmlformats.org/officeDocument/2006/relationships">
  <sheetPr codeName="Sheet36"/>
  <dimension ref="A1:R2"/>
  <sheetViews>
    <sheetView workbookViewId="0">
      <selection activeCell="A2" sqref="A2:R2"/>
    </sheetView>
  </sheetViews>
  <sheetFormatPr defaultColWidth="25.7109375" defaultRowHeight="13.5"/>
  <cols>
    <col min="1" max="16384" width="25.7109375" style="14"/>
  </cols>
  <sheetData>
    <row r="1" spans="1:18">
      <c r="A1" s="14">
        <v>1</v>
      </c>
      <c r="B1" s="14">
        <v>18</v>
      </c>
      <c r="C1" s="14" t="s">
        <v>737</v>
      </c>
    </row>
    <row r="2" spans="1:18">
      <c r="A2" s="14">
        <v>0</v>
      </c>
      <c r="B2" s="14">
        <v>0</v>
      </c>
      <c r="C2" s="14">
        <v>20</v>
      </c>
      <c r="D2" s="14">
        <v>101</v>
      </c>
      <c r="E2" s="14">
        <v>5461</v>
      </c>
      <c r="F2" s="14">
        <v>20</v>
      </c>
      <c r="G2" s="14">
        <v>10</v>
      </c>
      <c r="H2" s="16">
        <v>39252</v>
      </c>
      <c r="I2" s="14">
        <v>1071</v>
      </c>
      <c r="J2" s="14">
        <v>0</v>
      </c>
      <c r="K2" s="16">
        <v>39252</v>
      </c>
      <c r="L2" s="14">
        <v>1071</v>
      </c>
      <c r="M2" s="14" t="s">
        <v>738</v>
      </c>
      <c r="N2" s="14">
        <v>10</v>
      </c>
      <c r="O2" s="14">
        <v>10</v>
      </c>
      <c r="R2" s="14" t="s">
        <v>739</v>
      </c>
    </row>
  </sheetData>
  <customSheetViews>
    <customSheetView guid="{6B74E52F-9552-408A-8775-25AFF24E6639}" state="hidden" showRuler="0">
      <selection activeCell="A2" sqref="A2:R2"/>
      <pageMargins left="0.75" right="0.75" top="1" bottom="1" header="0.5" footer="0.5"/>
      <headerFooter alignWithMargins="0"/>
    </customSheetView>
  </customSheetViews>
  <phoneticPr fontId="4" type="noConversion"/>
  <pageMargins left="0.75" right="0.75" top="1" bottom="1" header="0.5" footer="0.5"/>
  <headerFooter alignWithMargins="0"/>
</worksheet>
</file>

<file path=xl/worksheets/sheet36.xml><?xml version="1.0" encoding="utf-8"?>
<worksheet xmlns="http://schemas.openxmlformats.org/spreadsheetml/2006/main" xmlns:r="http://schemas.openxmlformats.org/officeDocument/2006/relationships">
  <sheetPr codeName="Sheet37"/>
  <dimension ref="A1:AJ3"/>
  <sheetViews>
    <sheetView workbookViewId="0">
      <selection activeCell="A2" sqref="A2:AZ3"/>
    </sheetView>
  </sheetViews>
  <sheetFormatPr defaultColWidth="25.7109375" defaultRowHeight="13.5"/>
  <cols>
    <col min="1" max="16384" width="25.7109375" style="14"/>
  </cols>
  <sheetData>
    <row r="1" spans="1:36">
      <c r="A1" s="14">
        <v>2</v>
      </c>
      <c r="B1" s="14">
        <v>52</v>
      </c>
      <c r="C1" s="14" t="s">
        <v>781</v>
      </c>
    </row>
    <row r="2" spans="1:36">
      <c r="A2" s="14">
        <v>0</v>
      </c>
      <c r="B2" s="14">
        <v>0</v>
      </c>
      <c r="C2" s="14">
        <v>10</v>
      </c>
      <c r="D2" s="14">
        <v>101</v>
      </c>
      <c r="E2" s="14">
        <v>5462</v>
      </c>
      <c r="F2" s="14">
        <v>10</v>
      </c>
      <c r="G2" s="18">
        <v>39252.675798611112</v>
      </c>
      <c r="H2" s="14">
        <v>1071</v>
      </c>
      <c r="I2" s="14">
        <v>0</v>
      </c>
      <c r="J2" s="18">
        <v>39252.675798611112</v>
      </c>
      <c r="K2" s="14">
        <v>1071</v>
      </c>
      <c r="L2" s="14" t="s">
        <v>750</v>
      </c>
      <c r="M2" s="17" t="s">
        <v>778</v>
      </c>
      <c r="O2" s="14" t="s">
        <v>774</v>
      </c>
      <c r="P2" s="14">
        <v>40</v>
      </c>
      <c r="Q2" s="14" t="s">
        <v>775</v>
      </c>
      <c r="T2" s="17" t="s">
        <v>744</v>
      </c>
      <c r="U2" s="14" t="s">
        <v>195</v>
      </c>
      <c r="W2" s="14" t="s">
        <v>195</v>
      </c>
      <c r="X2" s="14" t="s">
        <v>197</v>
      </c>
      <c r="Y2" s="14" t="s">
        <v>750</v>
      </c>
      <c r="AA2" s="17" t="s">
        <v>780</v>
      </c>
      <c r="AB2" s="14" t="s">
        <v>750</v>
      </c>
      <c r="AE2" s="17" t="s">
        <v>744</v>
      </c>
      <c r="AF2" s="17" t="s">
        <v>744</v>
      </c>
      <c r="AG2" s="14">
        <v>12</v>
      </c>
      <c r="AH2" s="14">
        <v>2</v>
      </c>
      <c r="AI2" s="17" t="s">
        <v>744</v>
      </c>
      <c r="AJ2" s="14" t="s">
        <v>776</v>
      </c>
    </row>
    <row r="3" spans="1:36">
      <c r="A3" s="14">
        <v>0</v>
      </c>
      <c r="B3" s="14">
        <v>0</v>
      </c>
      <c r="C3" s="14">
        <v>20</v>
      </c>
      <c r="D3" s="14">
        <v>101</v>
      </c>
      <c r="E3" s="14">
        <v>5462</v>
      </c>
      <c r="F3" s="14">
        <v>20</v>
      </c>
      <c r="G3" s="18">
        <v>39252.675798611112</v>
      </c>
      <c r="H3" s="14">
        <v>1071</v>
      </c>
      <c r="I3" s="14">
        <v>0</v>
      </c>
      <c r="J3" s="18">
        <v>39252.675798611112</v>
      </c>
      <c r="K3" s="14">
        <v>1071</v>
      </c>
      <c r="L3" s="14" t="s">
        <v>750</v>
      </c>
      <c r="M3" s="17" t="s">
        <v>779</v>
      </c>
      <c r="O3" s="14" t="s">
        <v>774</v>
      </c>
      <c r="P3" s="14">
        <v>55</v>
      </c>
      <c r="Q3" s="14" t="s">
        <v>775</v>
      </c>
      <c r="T3" s="17" t="s">
        <v>744</v>
      </c>
      <c r="U3" s="14" t="s">
        <v>195</v>
      </c>
      <c r="W3" s="14" t="s">
        <v>197</v>
      </c>
      <c r="X3" s="14" t="s">
        <v>197</v>
      </c>
      <c r="Y3" s="14" t="s">
        <v>750</v>
      </c>
      <c r="AA3" s="17" t="s">
        <v>780</v>
      </c>
      <c r="AB3" s="14" t="s">
        <v>750</v>
      </c>
      <c r="AE3" s="17" t="s">
        <v>744</v>
      </c>
      <c r="AF3" s="17" t="s">
        <v>744</v>
      </c>
      <c r="AG3" s="14">
        <v>12</v>
      </c>
      <c r="AH3" s="14">
        <v>2</v>
      </c>
      <c r="AI3" s="17" t="s">
        <v>744</v>
      </c>
      <c r="AJ3" s="14" t="s">
        <v>777</v>
      </c>
    </row>
  </sheetData>
  <customSheetViews>
    <customSheetView guid="{6B74E52F-9552-408A-8775-25AFF24E6639}" state="hidden" showRuler="0">
      <selection activeCell="A2" sqref="A2:AZ3"/>
      <pageMargins left="0.75" right="0.75" top="1" bottom="1" header="0.5" footer="0.5"/>
      <headerFooter alignWithMargins="0"/>
    </customSheetView>
  </customSheetViews>
  <phoneticPr fontId="4" type="noConversion"/>
  <pageMargins left="0.75" right="0.75" top="1" bottom="1" header="0.5" footer="0.5"/>
  <headerFooter alignWithMargins="0"/>
</worksheet>
</file>

<file path=xl/worksheets/sheet37.xml><?xml version="1.0" encoding="utf-8"?>
<worksheet xmlns="http://schemas.openxmlformats.org/spreadsheetml/2006/main" xmlns:r="http://schemas.openxmlformats.org/officeDocument/2006/relationships">
  <sheetPr codeName="Sheet38"/>
  <dimension ref="A1:AN3"/>
  <sheetViews>
    <sheetView workbookViewId="0">
      <selection activeCell="A2" sqref="A2:AN3"/>
    </sheetView>
  </sheetViews>
  <sheetFormatPr defaultColWidth="25.7109375" defaultRowHeight="13.5"/>
  <cols>
    <col min="1" max="16384" width="25.7109375" style="14"/>
  </cols>
  <sheetData>
    <row r="1" spans="1:40">
      <c r="A1" s="14">
        <v>2</v>
      </c>
      <c r="B1" s="14">
        <v>40</v>
      </c>
      <c r="C1" s="14" t="s">
        <v>786</v>
      </c>
    </row>
    <row r="2" spans="1:40">
      <c r="A2" s="14">
        <v>0</v>
      </c>
      <c r="B2" s="14">
        <v>0</v>
      </c>
      <c r="C2" s="14">
        <v>10</v>
      </c>
      <c r="D2" s="14">
        <v>101</v>
      </c>
      <c r="E2" s="14">
        <v>5462</v>
      </c>
      <c r="F2" s="14">
        <v>10</v>
      </c>
      <c r="G2" s="18">
        <v>39252.675798611112</v>
      </c>
      <c r="H2" s="14">
        <v>1071</v>
      </c>
      <c r="I2" s="14">
        <v>0</v>
      </c>
      <c r="J2" s="18">
        <v>39252.675798611112</v>
      </c>
      <c r="K2" s="14">
        <v>1071</v>
      </c>
      <c r="L2" s="14" t="s">
        <v>750</v>
      </c>
      <c r="M2" s="17" t="s">
        <v>738</v>
      </c>
      <c r="N2" s="14" t="s">
        <v>750</v>
      </c>
      <c r="P2" s="14" t="s">
        <v>782</v>
      </c>
      <c r="Q2" s="17" t="s">
        <v>784</v>
      </c>
      <c r="R2" s="17" t="s">
        <v>784</v>
      </c>
      <c r="S2" s="17" t="s">
        <v>742</v>
      </c>
      <c r="T2" s="17" t="s">
        <v>744</v>
      </c>
      <c r="U2" s="17" t="s">
        <v>744</v>
      </c>
      <c r="V2" s="17" t="s">
        <v>742</v>
      </c>
      <c r="W2" s="17" t="s">
        <v>744</v>
      </c>
      <c r="X2" s="17" t="s">
        <v>744</v>
      </c>
      <c r="Y2" s="17" t="s">
        <v>742</v>
      </c>
      <c r="Z2" s="17" t="s">
        <v>744</v>
      </c>
      <c r="AA2" s="17" t="s">
        <v>744</v>
      </c>
      <c r="AB2" s="17" t="s">
        <v>742</v>
      </c>
      <c r="AC2" s="17" t="s">
        <v>744</v>
      </c>
      <c r="AD2" s="17" t="s">
        <v>744</v>
      </c>
      <c r="AE2" s="17" t="s">
        <v>742</v>
      </c>
      <c r="AF2" s="17" t="s">
        <v>744</v>
      </c>
      <c r="AG2" s="17" t="s">
        <v>744</v>
      </c>
      <c r="AH2" s="17" t="s">
        <v>742</v>
      </c>
      <c r="AI2" s="17" t="s">
        <v>744</v>
      </c>
      <c r="AJ2" s="17" t="s">
        <v>744</v>
      </c>
      <c r="AK2" s="17" t="s">
        <v>742</v>
      </c>
      <c r="AL2" s="17" t="s">
        <v>744</v>
      </c>
      <c r="AM2" s="17" t="s">
        <v>744</v>
      </c>
      <c r="AN2" s="17" t="s">
        <v>742</v>
      </c>
    </row>
    <row r="3" spans="1:40">
      <c r="A3" s="14">
        <v>0</v>
      </c>
      <c r="B3" s="14">
        <v>0</v>
      </c>
      <c r="C3" s="14">
        <v>20</v>
      </c>
      <c r="D3" s="14">
        <v>101</v>
      </c>
      <c r="E3" s="14">
        <v>5462</v>
      </c>
      <c r="F3" s="14">
        <v>20</v>
      </c>
      <c r="G3" s="18">
        <v>39252.675798611112</v>
      </c>
      <c r="H3" s="14">
        <v>1071</v>
      </c>
      <c r="I3" s="14">
        <v>0</v>
      </c>
      <c r="J3" s="18">
        <v>39252.675798611112</v>
      </c>
      <c r="K3" s="14">
        <v>1071</v>
      </c>
      <c r="L3" s="14" t="s">
        <v>750</v>
      </c>
      <c r="M3" s="17" t="s">
        <v>738</v>
      </c>
      <c r="N3" s="14" t="s">
        <v>750</v>
      </c>
      <c r="P3" s="14" t="s">
        <v>783</v>
      </c>
      <c r="Q3" s="17" t="s">
        <v>785</v>
      </c>
      <c r="R3" s="17" t="s">
        <v>785</v>
      </c>
      <c r="S3" s="17" t="s">
        <v>742</v>
      </c>
      <c r="T3" s="17" t="s">
        <v>744</v>
      </c>
      <c r="U3" s="17" t="s">
        <v>744</v>
      </c>
      <c r="V3" s="17" t="s">
        <v>742</v>
      </c>
      <c r="W3" s="17" t="s">
        <v>744</v>
      </c>
      <c r="X3" s="17" t="s">
        <v>744</v>
      </c>
      <c r="Y3" s="17" t="s">
        <v>742</v>
      </c>
      <c r="Z3" s="17" t="s">
        <v>744</v>
      </c>
      <c r="AA3" s="17" t="s">
        <v>744</v>
      </c>
      <c r="AB3" s="17" t="s">
        <v>742</v>
      </c>
      <c r="AC3" s="17" t="s">
        <v>744</v>
      </c>
      <c r="AD3" s="17" t="s">
        <v>744</v>
      </c>
      <c r="AE3" s="17" t="s">
        <v>742</v>
      </c>
      <c r="AF3" s="17" t="s">
        <v>744</v>
      </c>
      <c r="AG3" s="17" t="s">
        <v>744</v>
      </c>
      <c r="AH3" s="17" t="s">
        <v>742</v>
      </c>
      <c r="AI3" s="17" t="s">
        <v>744</v>
      </c>
      <c r="AJ3" s="17" t="s">
        <v>744</v>
      </c>
      <c r="AK3" s="17" t="s">
        <v>742</v>
      </c>
      <c r="AL3" s="17" t="s">
        <v>744</v>
      </c>
      <c r="AM3" s="17" t="s">
        <v>744</v>
      </c>
      <c r="AN3" s="17" t="s">
        <v>742</v>
      </c>
    </row>
  </sheetData>
  <customSheetViews>
    <customSheetView guid="{6B74E52F-9552-408A-8775-25AFF24E6639}" state="hidden" showRuler="0">
      <selection activeCell="A2" sqref="A2:AN3"/>
      <pageMargins left="0.75" right="0.75" top="1" bottom="1" header="0.5" footer="0.5"/>
      <headerFooter alignWithMargins="0"/>
    </customSheetView>
  </customSheetViews>
  <phoneticPr fontId="4" type="noConversion"/>
  <pageMargins left="0.75" right="0.75" top="1" bottom="1" header="0.5" footer="0.5"/>
  <headerFooter alignWithMargins="0"/>
</worksheet>
</file>

<file path=xl/worksheets/sheet38.xml><?xml version="1.0" encoding="utf-8"?>
<worksheet xmlns="http://schemas.openxmlformats.org/spreadsheetml/2006/main" xmlns:r="http://schemas.openxmlformats.org/officeDocument/2006/relationships">
  <sheetPr codeName="Sheet39"/>
  <dimension ref="A1:C1"/>
  <sheetViews>
    <sheetView workbookViewId="0"/>
  </sheetViews>
  <sheetFormatPr defaultColWidth="25.7109375" defaultRowHeight="13.5"/>
  <cols>
    <col min="1" max="16384" width="25.7109375" style="14"/>
  </cols>
  <sheetData>
    <row r="1" spans="1:3">
      <c r="A1" s="14">
        <v>0</v>
      </c>
      <c r="B1" s="14">
        <v>18</v>
      </c>
      <c r="C1" s="14" t="s">
        <v>787</v>
      </c>
    </row>
  </sheetData>
  <customSheetViews>
    <customSheetView guid="{6B74E52F-9552-408A-8775-25AFF24E6639}" state="hidden" showRuler="0">
      <pageMargins left="0.75" right="0.75" top="1" bottom="1" header="0.5" footer="0.5"/>
      <headerFooter alignWithMargins="0"/>
    </customSheetView>
  </customSheetViews>
  <phoneticPr fontId="4" type="noConversion"/>
  <pageMargins left="0.75" right="0.75" top="1" bottom="1" header="0.5" footer="0.5"/>
  <headerFooter alignWithMargins="0"/>
</worksheet>
</file>

<file path=xl/worksheets/sheet39.xml><?xml version="1.0" encoding="utf-8"?>
<worksheet xmlns="http://schemas.openxmlformats.org/spreadsheetml/2006/main" xmlns:r="http://schemas.openxmlformats.org/officeDocument/2006/relationships">
  <sheetPr codeName="Sheet40"/>
  <dimension ref="A1:C1"/>
  <sheetViews>
    <sheetView workbookViewId="0"/>
  </sheetViews>
  <sheetFormatPr defaultColWidth="25.7109375" defaultRowHeight="13.5"/>
  <cols>
    <col min="1" max="16384" width="25.7109375" style="14"/>
  </cols>
  <sheetData>
    <row r="1" spans="1:3">
      <c r="A1" s="14">
        <v>0</v>
      </c>
      <c r="B1" s="14">
        <v>15</v>
      </c>
      <c r="C1" s="14" t="s">
        <v>788</v>
      </c>
    </row>
  </sheetData>
  <customSheetViews>
    <customSheetView guid="{6B74E52F-9552-408A-8775-25AFF24E6639}" state="hidden" showRuler="0">
      <pageMargins left="0.75" right="0.75" top="1" bottom="1" header="0.5" footer="0.5"/>
      <headerFooter alignWithMargins="0"/>
    </customSheetView>
  </customSheetViews>
  <phoneticPr fontId="4" type="noConversion"/>
  <pageMargins left="0.75" right="0.75" top="1" bottom="1" header="0.5" footer="0.5"/>
  <headerFooter alignWithMargins="0"/>
</worksheet>
</file>

<file path=xl/worksheets/sheet4.xml><?xml version="1.0" encoding="utf-8"?>
<worksheet xmlns="http://schemas.openxmlformats.org/spreadsheetml/2006/main" xmlns:r="http://schemas.openxmlformats.org/officeDocument/2006/relationships">
  <sheetPr codeName="Sheet4"/>
  <dimension ref="A1:AN61"/>
  <sheetViews>
    <sheetView workbookViewId="0">
      <selection activeCell="A2" sqref="A2:AN61"/>
    </sheetView>
  </sheetViews>
  <sheetFormatPr defaultColWidth="25.7109375" defaultRowHeight="13.5"/>
  <cols>
    <col min="1" max="16384" width="25.7109375" style="14"/>
  </cols>
  <sheetData>
    <row r="1" spans="1:40">
      <c r="A1" s="14">
        <v>60</v>
      </c>
      <c r="B1" s="14">
        <v>40</v>
      </c>
      <c r="C1" s="14" t="s">
        <v>740</v>
      </c>
    </row>
    <row r="2" spans="1:40">
      <c r="A2" s="14">
        <v>0</v>
      </c>
      <c r="B2" s="14">
        <v>0</v>
      </c>
      <c r="C2" s="14">
        <v>40</v>
      </c>
      <c r="D2" s="14">
        <v>101</v>
      </c>
      <c r="E2" s="14">
        <v>3300</v>
      </c>
      <c r="F2" s="14">
        <v>40</v>
      </c>
      <c r="G2" s="16">
        <v>39147</v>
      </c>
      <c r="H2" s="14">
        <v>1071</v>
      </c>
      <c r="I2" s="14">
        <v>9852998</v>
      </c>
      <c r="J2" s="16">
        <v>38761</v>
      </c>
      <c r="K2" s="14">
        <v>1071</v>
      </c>
      <c r="L2" s="14" t="s">
        <v>197</v>
      </c>
      <c r="M2" s="14" t="s">
        <v>738</v>
      </c>
      <c r="N2" s="14" t="s">
        <v>199</v>
      </c>
      <c r="P2" s="14" t="s">
        <v>905</v>
      </c>
      <c r="Q2" s="17" t="s">
        <v>744</v>
      </c>
      <c r="R2" s="17" t="s">
        <v>744</v>
      </c>
      <c r="S2" s="14" t="s">
        <v>742</v>
      </c>
      <c r="T2" s="17" t="s">
        <v>515</v>
      </c>
      <c r="U2" s="17" t="s">
        <v>515</v>
      </c>
      <c r="V2" s="14" t="s">
        <v>742</v>
      </c>
      <c r="W2" s="17" t="s">
        <v>744</v>
      </c>
      <c r="X2" s="17" t="s">
        <v>744</v>
      </c>
      <c r="Y2" s="14" t="s">
        <v>742</v>
      </c>
      <c r="Z2" s="17" t="s">
        <v>744</v>
      </c>
      <c r="AA2" s="17" t="s">
        <v>744</v>
      </c>
      <c r="AB2" s="14" t="s">
        <v>742</v>
      </c>
      <c r="AC2" s="17" t="s">
        <v>530</v>
      </c>
      <c r="AD2" s="17" t="s">
        <v>550</v>
      </c>
      <c r="AE2" s="14" t="s">
        <v>742</v>
      </c>
      <c r="AF2" s="17" t="s">
        <v>744</v>
      </c>
      <c r="AG2" s="17" t="s">
        <v>744</v>
      </c>
      <c r="AH2" s="14" t="s">
        <v>742</v>
      </c>
      <c r="AI2" s="17" t="s">
        <v>744</v>
      </c>
      <c r="AJ2" s="17" t="s">
        <v>744</v>
      </c>
      <c r="AK2" s="14" t="s">
        <v>742</v>
      </c>
      <c r="AL2" s="17" t="s">
        <v>744</v>
      </c>
      <c r="AM2" s="17" t="s">
        <v>744</v>
      </c>
      <c r="AN2" s="14" t="s">
        <v>742</v>
      </c>
    </row>
    <row r="3" spans="1:40">
      <c r="A3" s="14">
        <v>0</v>
      </c>
      <c r="B3" s="14">
        <v>0</v>
      </c>
      <c r="C3" s="14">
        <v>40</v>
      </c>
      <c r="D3" s="14">
        <v>101</v>
      </c>
      <c r="E3" s="14">
        <v>3300</v>
      </c>
      <c r="F3" s="14">
        <v>40</v>
      </c>
      <c r="G3" s="16">
        <v>39147</v>
      </c>
      <c r="H3" s="14">
        <v>1071</v>
      </c>
      <c r="I3" s="14">
        <v>9852998</v>
      </c>
      <c r="J3" s="16">
        <v>39147</v>
      </c>
      <c r="K3" s="14">
        <v>1071</v>
      </c>
      <c r="L3" s="14" t="s">
        <v>197</v>
      </c>
      <c r="M3" s="14" t="s">
        <v>906</v>
      </c>
      <c r="N3" s="14" t="s">
        <v>199</v>
      </c>
      <c r="P3" s="14" t="s">
        <v>907</v>
      </c>
      <c r="Q3" s="17" t="s">
        <v>744</v>
      </c>
      <c r="R3" s="17" t="s">
        <v>744</v>
      </c>
      <c r="S3" s="14" t="s">
        <v>742</v>
      </c>
      <c r="T3" s="17" t="s">
        <v>515</v>
      </c>
      <c r="U3" s="17" t="s">
        <v>515</v>
      </c>
      <c r="V3" s="14" t="s">
        <v>742</v>
      </c>
      <c r="W3" s="17" t="s">
        <v>744</v>
      </c>
      <c r="X3" s="17" t="s">
        <v>744</v>
      </c>
      <c r="Y3" s="14" t="s">
        <v>742</v>
      </c>
      <c r="Z3" s="17" t="s">
        <v>744</v>
      </c>
      <c r="AA3" s="17" t="s">
        <v>744</v>
      </c>
      <c r="AB3" s="14" t="s">
        <v>742</v>
      </c>
      <c r="AC3" s="17" t="s">
        <v>531</v>
      </c>
      <c r="AD3" s="17" t="s">
        <v>531</v>
      </c>
      <c r="AE3" s="14" t="s">
        <v>742</v>
      </c>
      <c r="AF3" s="17" t="s">
        <v>744</v>
      </c>
      <c r="AG3" s="17" t="s">
        <v>744</v>
      </c>
      <c r="AH3" s="14" t="s">
        <v>742</v>
      </c>
      <c r="AI3" s="17" t="s">
        <v>744</v>
      </c>
      <c r="AJ3" s="17" t="s">
        <v>744</v>
      </c>
      <c r="AK3" s="14" t="s">
        <v>742</v>
      </c>
      <c r="AL3" s="17" t="s">
        <v>744</v>
      </c>
      <c r="AM3" s="17" t="s">
        <v>744</v>
      </c>
      <c r="AN3" s="14" t="s">
        <v>742</v>
      </c>
    </row>
    <row r="4" spans="1:40">
      <c r="A4" s="14">
        <v>0</v>
      </c>
      <c r="B4" s="14">
        <v>0</v>
      </c>
      <c r="C4" s="14">
        <v>40</v>
      </c>
      <c r="D4" s="14">
        <v>101</v>
      </c>
      <c r="E4" s="14">
        <v>3300</v>
      </c>
      <c r="F4" s="14">
        <v>40</v>
      </c>
      <c r="G4" s="16">
        <v>39147</v>
      </c>
      <c r="H4" s="14">
        <v>1071</v>
      </c>
      <c r="I4" s="14">
        <v>9852998</v>
      </c>
      <c r="J4" s="16">
        <v>38761</v>
      </c>
      <c r="K4" s="14">
        <v>1071</v>
      </c>
      <c r="L4" s="14" t="s">
        <v>197</v>
      </c>
      <c r="M4" s="14" t="s">
        <v>738</v>
      </c>
      <c r="N4" s="14" t="s">
        <v>199</v>
      </c>
      <c r="P4" s="14" t="s">
        <v>908</v>
      </c>
      <c r="Q4" s="17" t="s">
        <v>744</v>
      </c>
      <c r="R4" s="17" t="s">
        <v>744</v>
      </c>
      <c r="S4" s="14" t="s">
        <v>742</v>
      </c>
      <c r="T4" s="17" t="s">
        <v>516</v>
      </c>
      <c r="U4" s="17" t="s">
        <v>516</v>
      </c>
      <c r="V4" s="14" t="s">
        <v>742</v>
      </c>
      <c r="W4" s="17" t="s">
        <v>744</v>
      </c>
      <c r="X4" s="17" t="s">
        <v>744</v>
      </c>
      <c r="Y4" s="14" t="s">
        <v>742</v>
      </c>
      <c r="Z4" s="17" t="s">
        <v>744</v>
      </c>
      <c r="AA4" s="17" t="s">
        <v>744</v>
      </c>
      <c r="AB4" s="14" t="s">
        <v>742</v>
      </c>
      <c r="AC4" s="17" t="s">
        <v>530</v>
      </c>
      <c r="AD4" s="17" t="s">
        <v>550</v>
      </c>
      <c r="AE4" s="14" t="s">
        <v>742</v>
      </c>
      <c r="AF4" s="17" t="s">
        <v>744</v>
      </c>
      <c r="AG4" s="17" t="s">
        <v>744</v>
      </c>
      <c r="AH4" s="14" t="s">
        <v>742</v>
      </c>
      <c r="AI4" s="17" t="s">
        <v>744</v>
      </c>
      <c r="AJ4" s="17" t="s">
        <v>744</v>
      </c>
      <c r="AK4" s="14" t="s">
        <v>742</v>
      </c>
      <c r="AL4" s="17" t="s">
        <v>744</v>
      </c>
      <c r="AM4" s="17" t="s">
        <v>744</v>
      </c>
      <c r="AN4" s="14" t="s">
        <v>742</v>
      </c>
    </row>
    <row r="5" spans="1:40">
      <c r="A5" s="14">
        <v>0</v>
      </c>
      <c r="B5" s="14">
        <v>0</v>
      </c>
      <c r="C5" s="14">
        <v>40</v>
      </c>
      <c r="D5" s="14">
        <v>101</v>
      </c>
      <c r="E5" s="14">
        <v>3300</v>
      </c>
      <c r="F5" s="14">
        <v>40</v>
      </c>
      <c r="G5" s="16">
        <v>39147</v>
      </c>
      <c r="H5" s="14">
        <v>1071</v>
      </c>
      <c r="I5" s="14">
        <v>9852998</v>
      </c>
      <c r="J5" s="16">
        <v>39147</v>
      </c>
      <c r="K5" s="14">
        <v>1071</v>
      </c>
      <c r="L5" s="14" t="s">
        <v>197</v>
      </c>
      <c r="M5" s="14" t="s">
        <v>906</v>
      </c>
      <c r="N5" s="14" t="s">
        <v>199</v>
      </c>
      <c r="P5" s="14" t="s">
        <v>909</v>
      </c>
      <c r="Q5" s="17" t="s">
        <v>744</v>
      </c>
      <c r="R5" s="17" t="s">
        <v>744</v>
      </c>
      <c r="S5" s="14" t="s">
        <v>742</v>
      </c>
      <c r="T5" s="17" t="s">
        <v>516</v>
      </c>
      <c r="U5" s="17" t="s">
        <v>516</v>
      </c>
      <c r="V5" s="14" t="s">
        <v>742</v>
      </c>
      <c r="W5" s="17" t="s">
        <v>744</v>
      </c>
      <c r="X5" s="17" t="s">
        <v>744</v>
      </c>
      <c r="Y5" s="14" t="s">
        <v>742</v>
      </c>
      <c r="Z5" s="17" t="s">
        <v>744</v>
      </c>
      <c r="AA5" s="17" t="s">
        <v>744</v>
      </c>
      <c r="AB5" s="14" t="s">
        <v>742</v>
      </c>
      <c r="AC5" s="17" t="s">
        <v>531</v>
      </c>
      <c r="AD5" s="17" t="s">
        <v>531</v>
      </c>
      <c r="AE5" s="14" t="s">
        <v>742</v>
      </c>
      <c r="AF5" s="17" t="s">
        <v>744</v>
      </c>
      <c r="AG5" s="17" t="s">
        <v>744</v>
      </c>
      <c r="AH5" s="14" t="s">
        <v>742</v>
      </c>
      <c r="AI5" s="17" t="s">
        <v>744</v>
      </c>
      <c r="AJ5" s="17" t="s">
        <v>744</v>
      </c>
      <c r="AK5" s="14" t="s">
        <v>742</v>
      </c>
      <c r="AL5" s="17" t="s">
        <v>744</v>
      </c>
      <c r="AM5" s="17" t="s">
        <v>744</v>
      </c>
      <c r="AN5" s="14" t="s">
        <v>742</v>
      </c>
    </row>
    <row r="6" spans="1:40">
      <c r="A6" s="14">
        <v>0</v>
      </c>
      <c r="B6" s="14">
        <v>0</v>
      </c>
      <c r="C6" s="14">
        <v>50</v>
      </c>
      <c r="D6" s="14">
        <v>101</v>
      </c>
      <c r="E6" s="14">
        <v>3300</v>
      </c>
      <c r="F6" s="14">
        <v>50</v>
      </c>
      <c r="G6" s="16">
        <v>39147</v>
      </c>
      <c r="H6" s="14">
        <v>1071</v>
      </c>
      <c r="I6" s="14">
        <v>9852998</v>
      </c>
      <c r="J6" s="16">
        <v>38568</v>
      </c>
      <c r="K6" s="14">
        <v>1071</v>
      </c>
      <c r="L6" s="14" t="s">
        <v>197</v>
      </c>
      <c r="M6" s="14" t="s">
        <v>738</v>
      </c>
      <c r="N6" s="14" t="s">
        <v>199</v>
      </c>
      <c r="P6" s="14" t="s">
        <v>910</v>
      </c>
      <c r="Q6" s="17" t="s">
        <v>744</v>
      </c>
      <c r="R6" s="17" t="s">
        <v>744</v>
      </c>
      <c r="S6" s="14" t="s">
        <v>742</v>
      </c>
      <c r="T6" s="17" t="s">
        <v>517</v>
      </c>
      <c r="U6" s="17" t="s">
        <v>527</v>
      </c>
      <c r="V6" s="14" t="s">
        <v>742</v>
      </c>
      <c r="W6" s="17" t="s">
        <v>744</v>
      </c>
      <c r="X6" s="17" t="s">
        <v>744</v>
      </c>
      <c r="Y6" s="14" t="s">
        <v>742</v>
      </c>
      <c r="Z6" s="17" t="s">
        <v>744</v>
      </c>
      <c r="AA6" s="17" t="s">
        <v>744</v>
      </c>
      <c r="AB6" s="14" t="s">
        <v>742</v>
      </c>
      <c r="AC6" s="17" t="s">
        <v>532</v>
      </c>
      <c r="AD6" s="17" t="s">
        <v>551</v>
      </c>
      <c r="AE6" s="14" t="s">
        <v>742</v>
      </c>
      <c r="AF6" s="17" t="s">
        <v>744</v>
      </c>
      <c r="AG6" s="17" t="s">
        <v>744</v>
      </c>
      <c r="AH6" s="14" t="s">
        <v>742</v>
      </c>
      <c r="AI6" s="17" t="s">
        <v>744</v>
      </c>
      <c r="AJ6" s="17" t="s">
        <v>744</v>
      </c>
      <c r="AK6" s="14" t="s">
        <v>742</v>
      </c>
      <c r="AL6" s="17" t="s">
        <v>744</v>
      </c>
      <c r="AM6" s="17" t="s">
        <v>744</v>
      </c>
      <c r="AN6" s="14" t="s">
        <v>742</v>
      </c>
    </row>
    <row r="7" spans="1:40">
      <c r="A7" s="14">
        <v>0</v>
      </c>
      <c r="B7" s="14">
        <v>0</v>
      </c>
      <c r="C7" s="14">
        <v>50</v>
      </c>
      <c r="D7" s="14">
        <v>101</v>
      </c>
      <c r="E7" s="14">
        <v>3300</v>
      </c>
      <c r="F7" s="14">
        <v>50</v>
      </c>
      <c r="G7" s="16">
        <v>39147</v>
      </c>
      <c r="H7" s="14">
        <v>1071</v>
      </c>
      <c r="I7" s="14">
        <v>9852998</v>
      </c>
      <c r="J7" s="16">
        <v>39147</v>
      </c>
      <c r="K7" s="14">
        <v>1071</v>
      </c>
      <c r="L7" s="14" t="s">
        <v>197</v>
      </c>
      <c r="M7" s="14" t="s">
        <v>738</v>
      </c>
      <c r="N7" s="14" t="s">
        <v>199</v>
      </c>
      <c r="P7" s="14" t="s">
        <v>911</v>
      </c>
      <c r="Q7" s="17" t="s">
        <v>744</v>
      </c>
      <c r="R7" s="17" t="s">
        <v>744</v>
      </c>
      <c r="S7" s="14" t="s">
        <v>742</v>
      </c>
      <c r="T7" s="17" t="s">
        <v>517</v>
      </c>
      <c r="U7" s="17" t="s">
        <v>527</v>
      </c>
      <c r="V7" s="14" t="s">
        <v>742</v>
      </c>
      <c r="W7" s="17" t="s">
        <v>744</v>
      </c>
      <c r="X7" s="17" t="s">
        <v>744</v>
      </c>
      <c r="Y7" s="14" t="s">
        <v>742</v>
      </c>
      <c r="Z7" s="17" t="s">
        <v>744</v>
      </c>
      <c r="AA7" s="17" t="s">
        <v>744</v>
      </c>
      <c r="AB7" s="14" t="s">
        <v>742</v>
      </c>
      <c r="AC7" s="17" t="s">
        <v>533</v>
      </c>
      <c r="AD7" s="17" t="s">
        <v>552</v>
      </c>
      <c r="AE7" s="14" t="s">
        <v>742</v>
      </c>
      <c r="AF7" s="17" t="s">
        <v>744</v>
      </c>
      <c r="AG7" s="17" t="s">
        <v>744</v>
      </c>
      <c r="AH7" s="14" t="s">
        <v>742</v>
      </c>
      <c r="AI7" s="17" t="s">
        <v>744</v>
      </c>
      <c r="AJ7" s="17" t="s">
        <v>744</v>
      </c>
      <c r="AK7" s="14" t="s">
        <v>742</v>
      </c>
      <c r="AL7" s="17" t="s">
        <v>744</v>
      </c>
      <c r="AM7" s="17" t="s">
        <v>744</v>
      </c>
      <c r="AN7" s="14" t="s">
        <v>742</v>
      </c>
    </row>
    <row r="8" spans="1:40">
      <c r="A8" s="14">
        <v>0</v>
      </c>
      <c r="B8" s="14">
        <v>0</v>
      </c>
      <c r="C8" s="14">
        <v>50</v>
      </c>
      <c r="D8" s="14">
        <v>101</v>
      </c>
      <c r="E8" s="14">
        <v>3300</v>
      </c>
      <c r="F8" s="14">
        <v>50</v>
      </c>
      <c r="G8" s="16">
        <v>39147</v>
      </c>
      <c r="H8" s="14">
        <v>1071</v>
      </c>
      <c r="I8" s="14">
        <v>9852998</v>
      </c>
      <c r="J8" s="16">
        <v>39147</v>
      </c>
      <c r="K8" s="14">
        <v>1071</v>
      </c>
      <c r="L8" s="14" t="s">
        <v>197</v>
      </c>
      <c r="M8" s="14" t="s">
        <v>738</v>
      </c>
      <c r="N8" s="14" t="s">
        <v>199</v>
      </c>
      <c r="P8" s="14" t="s">
        <v>912</v>
      </c>
      <c r="Q8" s="17" t="s">
        <v>744</v>
      </c>
      <c r="R8" s="17" t="s">
        <v>744</v>
      </c>
      <c r="S8" s="14" t="s">
        <v>742</v>
      </c>
      <c r="T8" s="17" t="s">
        <v>518</v>
      </c>
      <c r="U8" s="17" t="s">
        <v>518</v>
      </c>
      <c r="V8" s="14" t="s">
        <v>742</v>
      </c>
      <c r="W8" s="17" t="s">
        <v>744</v>
      </c>
      <c r="X8" s="17" t="s">
        <v>744</v>
      </c>
      <c r="Y8" s="14" t="s">
        <v>742</v>
      </c>
      <c r="Z8" s="17" t="s">
        <v>744</v>
      </c>
      <c r="AA8" s="17" t="s">
        <v>744</v>
      </c>
      <c r="AB8" s="14" t="s">
        <v>742</v>
      </c>
      <c r="AC8" s="17" t="s">
        <v>532</v>
      </c>
      <c r="AD8" s="17" t="s">
        <v>552</v>
      </c>
      <c r="AE8" s="14" t="s">
        <v>742</v>
      </c>
      <c r="AF8" s="17" t="s">
        <v>744</v>
      </c>
      <c r="AG8" s="17" t="s">
        <v>744</v>
      </c>
      <c r="AH8" s="14" t="s">
        <v>742</v>
      </c>
      <c r="AI8" s="17" t="s">
        <v>744</v>
      </c>
      <c r="AJ8" s="17" t="s">
        <v>744</v>
      </c>
      <c r="AK8" s="14" t="s">
        <v>742</v>
      </c>
      <c r="AL8" s="17" t="s">
        <v>744</v>
      </c>
      <c r="AM8" s="17" t="s">
        <v>744</v>
      </c>
      <c r="AN8" s="14" t="s">
        <v>742</v>
      </c>
    </row>
    <row r="9" spans="1:40">
      <c r="A9" s="14">
        <v>0</v>
      </c>
      <c r="B9" s="14">
        <v>0</v>
      </c>
      <c r="C9" s="14">
        <v>50</v>
      </c>
      <c r="D9" s="14">
        <v>101</v>
      </c>
      <c r="E9" s="14">
        <v>3300</v>
      </c>
      <c r="F9" s="14">
        <v>50</v>
      </c>
      <c r="G9" s="16">
        <v>39147</v>
      </c>
      <c r="H9" s="14">
        <v>1071</v>
      </c>
      <c r="I9" s="14">
        <v>9852998</v>
      </c>
      <c r="J9" s="16">
        <v>38758</v>
      </c>
      <c r="K9" s="14">
        <v>1071</v>
      </c>
      <c r="L9" s="14" t="s">
        <v>197</v>
      </c>
      <c r="M9" s="14" t="s">
        <v>738</v>
      </c>
      <c r="N9" s="14" t="s">
        <v>199</v>
      </c>
      <c r="P9" s="14" t="s">
        <v>913</v>
      </c>
      <c r="Q9" s="17" t="s">
        <v>744</v>
      </c>
      <c r="R9" s="17" t="s">
        <v>744</v>
      </c>
      <c r="S9" s="14" t="s">
        <v>742</v>
      </c>
      <c r="T9" s="17" t="s">
        <v>519</v>
      </c>
      <c r="U9" s="17" t="s">
        <v>528</v>
      </c>
      <c r="V9" s="14" t="s">
        <v>742</v>
      </c>
      <c r="W9" s="17" t="s">
        <v>744</v>
      </c>
      <c r="X9" s="17" t="s">
        <v>744</v>
      </c>
      <c r="Y9" s="14" t="s">
        <v>742</v>
      </c>
      <c r="Z9" s="17" t="s">
        <v>744</v>
      </c>
      <c r="AA9" s="17" t="s">
        <v>744</v>
      </c>
      <c r="AB9" s="14" t="s">
        <v>742</v>
      </c>
      <c r="AC9" s="17" t="s">
        <v>532</v>
      </c>
      <c r="AD9" s="17" t="s">
        <v>551</v>
      </c>
      <c r="AE9" s="14" t="s">
        <v>742</v>
      </c>
      <c r="AF9" s="17" t="s">
        <v>744</v>
      </c>
      <c r="AG9" s="17" t="s">
        <v>744</v>
      </c>
      <c r="AH9" s="14" t="s">
        <v>742</v>
      </c>
      <c r="AI9" s="17" t="s">
        <v>744</v>
      </c>
      <c r="AJ9" s="17" t="s">
        <v>744</v>
      </c>
      <c r="AK9" s="14" t="s">
        <v>742</v>
      </c>
      <c r="AL9" s="17" t="s">
        <v>744</v>
      </c>
      <c r="AM9" s="17" t="s">
        <v>744</v>
      </c>
      <c r="AN9" s="14" t="s">
        <v>742</v>
      </c>
    </row>
    <row r="10" spans="1:40">
      <c r="A10" s="14">
        <v>0</v>
      </c>
      <c r="B10" s="14">
        <v>0</v>
      </c>
      <c r="C10" s="14">
        <v>50</v>
      </c>
      <c r="D10" s="14">
        <v>101</v>
      </c>
      <c r="E10" s="14">
        <v>3300</v>
      </c>
      <c r="F10" s="14">
        <v>50</v>
      </c>
      <c r="G10" s="16">
        <v>39147</v>
      </c>
      <c r="H10" s="14">
        <v>1071</v>
      </c>
      <c r="I10" s="14">
        <v>9852998</v>
      </c>
      <c r="J10" s="16">
        <v>39147</v>
      </c>
      <c r="K10" s="14">
        <v>1071</v>
      </c>
      <c r="L10" s="14" t="s">
        <v>197</v>
      </c>
      <c r="M10" s="14" t="s">
        <v>738</v>
      </c>
      <c r="N10" s="14" t="s">
        <v>199</v>
      </c>
      <c r="P10" s="14" t="s">
        <v>914</v>
      </c>
      <c r="Q10" s="17" t="s">
        <v>744</v>
      </c>
      <c r="R10" s="17" t="s">
        <v>744</v>
      </c>
      <c r="S10" s="14" t="s">
        <v>742</v>
      </c>
      <c r="T10" s="17" t="s">
        <v>519</v>
      </c>
      <c r="U10" s="17" t="s">
        <v>528</v>
      </c>
      <c r="V10" s="14" t="s">
        <v>742</v>
      </c>
      <c r="W10" s="17" t="s">
        <v>744</v>
      </c>
      <c r="X10" s="17" t="s">
        <v>744</v>
      </c>
      <c r="Y10" s="14" t="s">
        <v>742</v>
      </c>
      <c r="Z10" s="17" t="s">
        <v>744</v>
      </c>
      <c r="AA10" s="17" t="s">
        <v>744</v>
      </c>
      <c r="AB10" s="14" t="s">
        <v>742</v>
      </c>
      <c r="AC10" s="17" t="s">
        <v>533</v>
      </c>
      <c r="AD10" s="17" t="s">
        <v>552</v>
      </c>
      <c r="AE10" s="14" t="s">
        <v>742</v>
      </c>
      <c r="AF10" s="17" t="s">
        <v>744</v>
      </c>
      <c r="AG10" s="17" t="s">
        <v>744</v>
      </c>
      <c r="AH10" s="14" t="s">
        <v>742</v>
      </c>
      <c r="AI10" s="17" t="s">
        <v>744</v>
      </c>
      <c r="AJ10" s="17" t="s">
        <v>744</v>
      </c>
      <c r="AK10" s="14" t="s">
        <v>742</v>
      </c>
      <c r="AL10" s="17" t="s">
        <v>744</v>
      </c>
      <c r="AM10" s="17" t="s">
        <v>744</v>
      </c>
      <c r="AN10" s="14" t="s">
        <v>742</v>
      </c>
    </row>
    <row r="11" spans="1:40">
      <c r="A11" s="14">
        <v>0</v>
      </c>
      <c r="B11" s="14">
        <v>0</v>
      </c>
      <c r="C11" s="14">
        <v>60</v>
      </c>
      <c r="D11" s="14">
        <v>101</v>
      </c>
      <c r="E11" s="14">
        <v>3300</v>
      </c>
      <c r="F11" s="14">
        <v>60</v>
      </c>
      <c r="G11" s="16">
        <v>39147</v>
      </c>
      <c r="H11" s="14">
        <v>1071</v>
      </c>
      <c r="I11" s="14">
        <v>9852998</v>
      </c>
      <c r="J11" s="16">
        <v>38568</v>
      </c>
      <c r="K11" s="14">
        <v>1071</v>
      </c>
      <c r="L11" s="14" t="s">
        <v>197</v>
      </c>
      <c r="M11" s="14" t="s">
        <v>738</v>
      </c>
      <c r="N11" s="14" t="s">
        <v>199</v>
      </c>
      <c r="P11" s="14" t="s">
        <v>915</v>
      </c>
      <c r="Q11" s="17" t="s">
        <v>744</v>
      </c>
      <c r="R11" s="17" t="s">
        <v>744</v>
      </c>
      <c r="S11" s="14" t="s">
        <v>742</v>
      </c>
      <c r="T11" s="17" t="s">
        <v>520</v>
      </c>
      <c r="U11" s="17" t="s">
        <v>520</v>
      </c>
      <c r="V11" s="14" t="s">
        <v>742</v>
      </c>
      <c r="W11" s="17" t="s">
        <v>744</v>
      </c>
      <c r="X11" s="17" t="s">
        <v>744</v>
      </c>
      <c r="Y11" s="14" t="s">
        <v>742</v>
      </c>
      <c r="Z11" s="17" t="s">
        <v>744</v>
      </c>
      <c r="AA11" s="17" t="s">
        <v>744</v>
      </c>
      <c r="AB11" s="14" t="s">
        <v>742</v>
      </c>
      <c r="AC11" s="17" t="s">
        <v>534</v>
      </c>
      <c r="AD11" s="17" t="s">
        <v>553</v>
      </c>
      <c r="AE11" s="14" t="s">
        <v>742</v>
      </c>
      <c r="AF11" s="17" t="s">
        <v>744</v>
      </c>
      <c r="AG11" s="17" t="s">
        <v>744</v>
      </c>
      <c r="AH11" s="14" t="s">
        <v>742</v>
      </c>
      <c r="AI11" s="17" t="s">
        <v>744</v>
      </c>
      <c r="AJ11" s="17" t="s">
        <v>744</v>
      </c>
      <c r="AK11" s="14" t="s">
        <v>742</v>
      </c>
      <c r="AL11" s="17" t="s">
        <v>744</v>
      </c>
      <c r="AM11" s="17" t="s">
        <v>744</v>
      </c>
      <c r="AN11" s="14" t="s">
        <v>742</v>
      </c>
    </row>
    <row r="12" spans="1:40">
      <c r="A12" s="14">
        <v>0</v>
      </c>
      <c r="B12" s="14">
        <v>0</v>
      </c>
      <c r="C12" s="14">
        <v>60</v>
      </c>
      <c r="D12" s="14">
        <v>101</v>
      </c>
      <c r="E12" s="14">
        <v>3300</v>
      </c>
      <c r="F12" s="14">
        <v>60</v>
      </c>
      <c r="G12" s="16">
        <v>39147</v>
      </c>
      <c r="H12" s="14">
        <v>1071</v>
      </c>
      <c r="I12" s="14">
        <v>9852998</v>
      </c>
      <c r="J12" s="16">
        <v>39147</v>
      </c>
      <c r="K12" s="14">
        <v>1071</v>
      </c>
      <c r="L12" s="14" t="s">
        <v>197</v>
      </c>
      <c r="M12" s="14" t="s">
        <v>738</v>
      </c>
      <c r="N12" s="14" t="s">
        <v>199</v>
      </c>
      <c r="P12" s="14" t="s">
        <v>916</v>
      </c>
      <c r="Q12" s="17" t="s">
        <v>744</v>
      </c>
      <c r="R12" s="17" t="s">
        <v>744</v>
      </c>
      <c r="S12" s="14" t="s">
        <v>742</v>
      </c>
      <c r="T12" s="17" t="s">
        <v>518</v>
      </c>
      <c r="U12" s="17" t="s">
        <v>518</v>
      </c>
      <c r="V12" s="14" t="s">
        <v>742</v>
      </c>
      <c r="W12" s="17" t="s">
        <v>744</v>
      </c>
      <c r="X12" s="17" t="s">
        <v>744</v>
      </c>
      <c r="Y12" s="14" t="s">
        <v>742</v>
      </c>
      <c r="Z12" s="17" t="s">
        <v>744</v>
      </c>
      <c r="AA12" s="17" t="s">
        <v>744</v>
      </c>
      <c r="AB12" s="14" t="s">
        <v>742</v>
      </c>
      <c r="AC12" s="17" t="s">
        <v>535</v>
      </c>
      <c r="AD12" s="17" t="s">
        <v>535</v>
      </c>
      <c r="AE12" s="14" t="s">
        <v>742</v>
      </c>
      <c r="AF12" s="17" t="s">
        <v>744</v>
      </c>
      <c r="AG12" s="17" t="s">
        <v>744</v>
      </c>
      <c r="AH12" s="14" t="s">
        <v>742</v>
      </c>
      <c r="AI12" s="17" t="s">
        <v>744</v>
      </c>
      <c r="AJ12" s="17" t="s">
        <v>744</v>
      </c>
      <c r="AK12" s="14" t="s">
        <v>742</v>
      </c>
      <c r="AL12" s="17" t="s">
        <v>744</v>
      </c>
      <c r="AM12" s="17" t="s">
        <v>744</v>
      </c>
      <c r="AN12" s="14" t="s">
        <v>742</v>
      </c>
    </row>
    <row r="13" spans="1:40">
      <c r="A13" s="14">
        <v>0</v>
      </c>
      <c r="B13" s="14">
        <v>0</v>
      </c>
      <c r="C13" s="14">
        <v>60</v>
      </c>
      <c r="D13" s="14">
        <v>101</v>
      </c>
      <c r="E13" s="14">
        <v>3300</v>
      </c>
      <c r="F13" s="14">
        <v>60</v>
      </c>
      <c r="G13" s="16">
        <v>39147</v>
      </c>
      <c r="H13" s="14">
        <v>1071</v>
      </c>
      <c r="I13" s="14">
        <v>9852998</v>
      </c>
      <c r="J13" s="16">
        <v>39147</v>
      </c>
      <c r="K13" s="14">
        <v>1071</v>
      </c>
      <c r="L13" s="14" t="s">
        <v>197</v>
      </c>
      <c r="M13" s="14" t="s">
        <v>738</v>
      </c>
      <c r="N13" s="14" t="s">
        <v>199</v>
      </c>
      <c r="P13" s="14" t="s">
        <v>917</v>
      </c>
      <c r="Q13" s="17" t="s">
        <v>744</v>
      </c>
      <c r="R13" s="17" t="s">
        <v>744</v>
      </c>
      <c r="S13" s="14" t="s">
        <v>742</v>
      </c>
      <c r="T13" s="17" t="s">
        <v>518</v>
      </c>
      <c r="U13" s="17" t="s">
        <v>518</v>
      </c>
      <c r="V13" s="14" t="s">
        <v>742</v>
      </c>
      <c r="W13" s="17" t="s">
        <v>744</v>
      </c>
      <c r="X13" s="17" t="s">
        <v>744</v>
      </c>
      <c r="Y13" s="14" t="s">
        <v>742</v>
      </c>
      <c r="Z13" s="17" t="s">
        <v>744</v>
      </c>
      <c r="AA13" s="17" t="s">
        <v>744</v>
      </c>
      <c r="AB13" s="14" t="s">
        <v>742</v>
      </c>
      <c r="AC13" s="17" t="s">
        <v>536</v>
      </c>
      <c r="AD13" s="17" t="s">
        <v>536</v>
      </c>
      <c r="AE13" s="14" t="s">
        <v>742</v>
      </c>
      <c r="AF13" s="17" t="s">
        <v>744</v>
      </c>
      <c r="AG13" s="17" t="s">
        <v>744</v>
      </c>
      <c r="AH13" s="14" t="s">
        <v>742</v>
      </c>
      <c r="AI13" s="17" t="s">
        <v>744</v>
      </c>
      <c r="AJ13" s="17" t="s">
        <v>744</v>
      </c>
      <c r="AK13" s="14" t="s">
        <v>742</v>
      </c>
      <c r="AL13" s="17" t="s">
        <v>744</v>
      </c>
      <c r="AM13" s="17" t="s">
        <v>744</v>
      </c>
      <c r="AN13" s="14" t="s">
        <v>742</v>
      </c>
    </row>
    <row r="14" spans="1:40">
      <c r="A14" s="14">
        <v>0</v>
      </c>
      <c r="B14" s="14">
        <v>0</v>
      </c>
      <c r="C14" s="14">
        <v>60</v>
      </c>
      <c r="D14" s="14">
        <v>101</v>
      </c>
      <c r="E14" s="14">
        <v>3300</v>
      </c>
      <c r="F14" s="14">
        <v>60</v>
      </c>
      <c r="G14" s="16">
        <v>39147</v>
      </c>
      <c r="H14" s="14">
        <v>1071</v>
      </c>
      <c r="I14" s="14">
        <v>9852998</v>
      </c>
      <c r="J14" s="16">
        <v>38758</v>
      </c>
      <c r="K14" s="14">
        <v>1071</v>
      </c>
      <c r="L14" s="14" t="s">
        <v>197</v>
      </c>
      <c r="M14" s="14" t="s">
        <v>738</v>
      </c>
      <c r="N14" s="14" t="s">
        <v>199</v>
      </c>
      <c r="P14" s="14" t="s">
        <v>918</v>
      </c>
      <c r="Q14" s="17" t="s">
        <v>744</v>
      </c>
      <c r="R14" s="17" t="s">
        <v>744</v>
      </c>
      <c r="S14" s="14" t="s">
        <v>742</v>
      </c>
      <c r="T14" s="17" t="s">
        <v>521</v>
      </c>
      <c r="U14" s="17" t="s">
        <v>529</v>
      </c>
      <c r="V14" s="14" t="s">
        <v>742</v>
      </c>
      <c r="W14" s="17" t="s">
        <v>744</v>
      </c>
      <c r="X14" s="17" t="s">
        <v>744</v>
      </c>
      <c r="Y14" s="14" t="s">
        <v>742</v>
      </c>
      <c r="Z14" s="17" t="s">
        <v>744</v>
      </c>
      <c r="AA14" s="17" t="s">
        <v>744</v>
      </c>
      <c r="AB14" s="14" t="s">
        <v>742</v>
      </c>
      <c r="AC14" s="17" t="s">
        <v>534</v>
      </c>
      <c r="AD14" s="17" t="s">
        <v>553</v>
      </c>
      <c r="AE14" s="14" t="s">
        <v>742</v>
      </c>
      <c r="AF14" s="17" t="s">
        <v>744</v>
      </c>
      <c r="AG14" s="17" t="s">
        <v>744</v>
      </c>
      <c r="AH14" s="14" t="s">
        <v>742</v>
      </c>
      <c r="AI14" s="17" t="s">
        <v>744</v>
      </c>
      <c r="AJ14" s="17" t="s">
        <v>744</v>
      </c>
      <c r="AK14" s="14" t="s">
        <v>742</v>
      </c>
      <c r="AL14" s="17" t="s">
        <v>744</v>
      </c>
      <c r="AM14" s="17" t="s">
        <v>744</v>
      </c>
      <c r="AN14" s="14" t="s">
        <v>742</v>
      </c>
    </row>
    <row r="15" spans="1:40">
      <c r="A15" s="14">
        <v>0</v>
      </c>
      <c r="B15" s="14">
        <v>0</v>
      </c>
      <c r="C15" s="14">
        <v>81</v>
      </c>
      <c r="D15" s="14">
        <v>101</v>
      </c>
      <c r="E15" s="14">
        <v>3300</v>
      </c>
      <c r="F15" s="14">
        <v>81</v>
      </c>
      <c r="G15" s="16">
        <v>39147</v>
      </c>
      <c r="H15" s="14">
        <v>1071</v>
      </c>
      <c r="I15" s="14">
        <v>9852998</v>
      </c>
      <c r="J15" s="16">
        <v>38568</v>
      </c>
      <c r="K15" s="14">
        <v>1071</v>
      </c>
      <c r="L15" s="14" t="s">
        <v>197</v>
      </c>
      <c r="M15" s="14" t="s">
        <v>738</v>
      </c>
      <c r="N15" s="14" t="s">
        <v>199</v>
      </c>
      <c r="P15" s="14" t="s">
        <v>919</v>
      </c>
      <c r="Q15" s="17" t="s">
        <v>744</v>
      </c>
      <c r="R15" s="17" t="s">
        <v>744</v>
      </c>
      <c r="S15" s="14" t="s">
        <v>742</v>
      </c>
      <c r="T15" s="17" t="s">
        <v>515</v>
      </c>
      <c r="U15" s="17" t="s">
        <v>515</v>
      </c>
      <c r="V15" s="14" t="s">
        <v>742</v>
      </c>
      <c r="W15" s="17" t="s">
        <v>744</v>
      </c>
      <c r="X15" s="17" t="s">
        <v>744</v>
      </c>
      <c r="Y15" s="14" t="s">
        <v>742</v>
      </c>
      <c r="Z15" s="17" t="s">
        <v>744</v>
      </c>
      <c r="AA15" s="17" t="s">
        <v>744</v>
      </c>
      <c r="AB15" s="14" t="s">
        <v>742</v>
      </c>
      <c r="AC15" s="17" t="s">
        <v>537</v>
      </c>
      <c r="AD15" s="17" t="s">
        <v>554</v>
      </c>
      <c r="AE15" s="14" t="s">
        <v>742</v>
      </c>
      <c r="AF15" s="17" t="s">
        <v>744</v>
      </c>
      <c r="AG15" s="17" t="s">
        <v>744</v>
      </c>
      <c r="AH15" s="14" t="s">
        <v>742</v>
      </c>
      <c r="AI15" s="17" t="s">
        <v>744</v>
      </c>
      <c r="AJ15" s="17" t="s">
        <v>744</v>
      </c>
      <c r="AK15" s="14" t="s">
        <v>742</v>
      </c>
      <c r="AL15" s="17" t="s">
        <v>744</v>
      </c>
      <c r="AM15" s="17" t="s">
        <v>744</v>
      </c>
      <c r="AN15" s="14" t="s">
        <v>742</v>
      </c>
    </row>
    <row r="16" spans="1:40">
      <c r="A16" s="14">
        <v>0</v>
      </c>
      <c r="B16" s="14">
        <v>0</v>
      </c>
      <c r="C16" s="14">
        <v>81</v>
      </c>
      <c r="D16" s="14">
        <v>101</v>
      </c>
      <c r="E16" s="14">
        <v>3300</v>
      </c>
      <c r="F16" s="14">
        <v>81</v>
      </c>
      <c r="G16" s="16">
        <v>39147</v>
      </c>
      <c r="H16" s="14">
        <v>1071</v>
      </c>
      <c r="I16" s="14">
        <v>9852998</v>
      </c>
      <c r="J16" s="16">
        <v>39147</v>
      </c>
      <c r="K16" s="14">
        <v>1071</v>
      </c>
      <c r="L16" s="14" t="s">
        <v>197</v>
      </c>
      <c r="M16" s="14" t="s">
        <v>906</v>
      </c>
      <c r="N16" s="14" t="s">
        <v>199</v>
      </c>
      <c r="P16" s="14" t="s">
        <v>920</v>
      </c>
      <c r="Q16" s="17" t="s">
        <v>744</v>
      </c>
      <c r="R16" s="17" t="s">
        <v>744</v>
      </c>
      <c r="S16" s="14" t="s">
        <v>742</v>
      </c>
      <c r="T16" s="17" t="s">
        <v>515</v>
      </c>
      <c r="U16" s="17" t="s">
        <v>515</v>
      </c>
      <c r="V16" s="14" t="s">
        <v>742</v>
      </c>
      <c r="W16" s="17" t="s">
        <v>744</v>
      </c>
      <c r="X16" s="17" t="s">
        <v>744</v>
      </c>
      <c r="Y16" s="14" t="s">
        <v>742</v>
      </c>
      <c r="Z16" s="17" t="s">
        <v>744</v>
      </c>
      <c r="AA16" s="17" t="s">
        <v>744</v>
      </c>
      <c r="AB16" s="14" t="s">
        <v>742</v>
      </c>
      <c r="AC16" s="17" t="s">
        <v>538</v>
      </c>
      <c r="AD16" s="17" t="s">
        <v>538</v>
      </c>
      <c r="AE16" s="14" t="s">
        <v>742</v>
      </c>
      <c r="AF16" s="17" t="s">
        <v>744</v>
      </c>
      <c r="AG16" s="17" t="s">
        <v>744</v>
      </c>
      <c r="AH16" s="14" t="s">
        <v>742</v>
      </c>
      <c r="AI16" s="17" t="s">
        <v>744</v>
      </c>
      <c r="AJ16" s="17" t="s">
        <v>744</v>
      </c>
      <c r="AK16" s="14" t="s">
        <v>742</v>
      </c>
      <c r="AL16" s="17" t="s">
        <v>744</v>
      </c>
      <c r="AM16" s="17" t="s">
        <v>744</v>
      </c>
      <c r="AN16" s="14" t="s">
        <v>742</v>
      </c>
    </row>
    <row r="17" spans="1:40">
      <c r="A17" s="14">
        <v>0</v>
      </c>
      <c r="B17" s="14">
        <v>0</v>
      </c>
      <c r="C17" s="14">
        <v>81</v>
      </c>
      <c r="D17" s="14">
        <v>101</v>
      </c>
      <c r="E17" s="14">
        <v>3300</v>
      </c>
      <c r="F17" s="14">
        <v>81</v>
      </c>
      <c r="G17" s="16">
        <v>39147</v>
      </c>
      <c r="H17" s="14">
        <v>1071</v>
      </c>
      <c r="I17" s="14">
        <v>9852998</v>
      </c>
      <c r="J17" s="16">
        <v>39147</v>
      </c>
      <c r="K17" s="14">
        <v>1071</v>
      </c>
      <c r="L17" s="14" t="s">
        <v>197</v>
      </c>
      <c r="M17" s="14" t="s">
        <v>738</v>
      </c>
      <c r="N17" s="14" t="s">
        <v>199</v>
      </c>
      <c r="P17" s="14" t="s">
        <v>921</v>
      </c>
      <c r="Q17" s="17" t="s">
        <v>744</v>
      </c>
      <c r="R17" s="17" t="s">
        <v>744</v>
      </c>
      <c r="S17" s="14" t="s">
        <v>742</v>
      </c>
      <c r="T17" s="17" t="s">
        <v>516</v>
      </c>
      <c r="U17" s="17" t="s">
        <v>516</v>
      </c>
      <c r="V17" s="14" t="s">
        <v>742</v>
      </c>
      <c r="W17" s="17" t="s">
        <v>744</v>
      </c>
      <c r="X17" s="17" t="s">
        <v>744</v>
      </c>
      <c r="Y17" s="14" t="s">
        <v>742</v>
      </c>
      <c r="Z17" s="17" t="s">
        <v>744</v>
      </c>
      <c r="AA17" s="17" t="s">
        <v>744</v>
      </c>
      <c r="AB17" s="14" t="s">
        <v>742</v>
      </c>
      <c r="AC17" s="17" t="s">
        <v>537</v>
      </c>
      <c r="AD17" s="17" t="s">
        <v>554</v>
      </c>
      <c r="AE17" s="14" t="s">
        <v>742</v>
      </c>
      <c r="AF17" s="17" t="s">
        <v>744</v>
      </c>
      <c r="AG17" s="17" t="s">
        <v>744</v>
      </c>
      <c r="AH17" s="14" t="s">
        <v>742</v>
      </c>
      <c r="AI17" s="17" t="s">
        <v>744</v>
      </c>
      <c r="AJ17" s="17" t="s">
        <v>744</v>
      </c>
      <c r="AK17" s="14" t="s">
        <v>742</v>
      </c>
      <c r="AL17" s="17" t="s">
        <v>744</v>
      </c>
      <c r="AM17" s="17" t="s">
        <v>744</v>
      </c>
      <c r="AN17" s="14" t="s">
        <v>742</v>
      </c>
    </row>
    <row r="18" spans="1:40">
      <c r="A18" s="14">
        <v>0</v>
      </c>
      <c r="B18" s="14">
        <v>0</v>
      </c>
      <c r="C18" s="14">
        <v>81</v>
      </c>
      <c r="D18" s="14">
        <v>101</v>
      </c>
      <c r="E18" s="14">
        <v>3300</v>
      </c>
      <c r="F18" s="14">
        <v>81</v>
      </c>
      <c r="G18" s="16">
        <v>39147</v>
      </c>
      <c r="H18" s="14">
        <v>1071</v>
      </c>
      <c r="I18" s="14">
        <v>9852998</v>
      </c>
      <c r="J18" s="16">
        <v>39147</v>
      </c>
      <c r="K18" s="14">
        <v>1071</v>
      </c>
      <c r="L18" s="14" t="s">
        <v>197</v>
      </c>
      <c r="M18" s="14" t="s">
        <v>906</v>
      </c>
      <c r="N18" s="14" t="s">
        <v>199</v>
      </c>
      <c r="P18" s="14" t="s">
        <v>922</v>
      </c>
      <c r="Q18" s="17" t="s">
        <v>744</v>
      </c>
      <c r="R18" s="17" t="s">
        <v>744</v>
      </c>
      <c r="S18" s="14" t="s">
        <v>742</v>
      </c>
      <c r="T18" s="17" t="s">
        <v>516</v>
      </c>
      <c r="U18" s="17" t="s">
        <v>516</v>
      </c>
      <c r="V18" s="14" t="s">
        <v>742</v>
      </c>
      <c r="W18" s="17" t="s">
        <v>744</v>
      </c>
      <c r="X18" s="17" t="s">
        <v>744</v>
      </c>
      <c r="Y18" s="14" t="s">
        <v>742</v>
      </c>
      <c r="Z18" s="17" t="s">
        <v>744</v>
      </c>
      <c r="AA18" s="17" t="s">
        <v>744</v>
      </c>
      <c r="AB18" s="14" t="s">
        <v>742</v>
      </c>
      <c r="AC18" s="17" t="s">
        <v>538</v>
      </c>
      <c r="AD18" s="17" t="s">
        <v>538</v>
      </c>
      <c r="AE18" s="14" t="s">
        <v>742</v>
      </c>
      <c r="AF18" s="17" t="s">
        <v>744</v>
      </c>
      <c r="AG18" s="17" t="s">
        <v>744</v>
      </c>
      <c r="AH18" s="14" t="s">
        <v>742</v>
      </c>
      <c r="AI18" s="17" t="s">
        <v>744</v>
      </c>
      <c r="AJ18" s="17" t="s">
        <v>744</v>
      </c>
      <c r="AK18" s="14" t="s">
        <v>742</v>
      </c>
      <c r="AL18" s="17" t="s">
        <v>744</v>
      </c>
      <c r="AM18" s="17" t="s">
        <v>744</v>
      </c>
      <c r="AN18" s="14" t="s">
        <v>742</v>
      </c>
    </row>
    <row r="19" spans="1:40">
      <c r="A19" s="14">
        <v>0</v>
      </c>
      <c r="B19" s="14">
        <v>0</v>
      </c>
      <c r="C19" s="14">
        <v>90</v>
      </c>
      <c r="D19" s="14">
        <v>101</v>
      </c>
      <c r="E19" s="14">
        <v>3300</v>
      </c>
      <c r="F19" s="14">
        <v>90</v>
      </c>
      <c r="G19" s="16">
        <v>39147</v>
      </c>
      <c r="H19" s="14">
        <v>1071</v>
      </c>
      <c r="I19" s="14">
        <v>9852998</v>
      </c>
      <c r="J19" s="16">
        <v>39147</v>
      </c>
      <c r="K19" s="14">
        <v>1071</v>
      </c>
      <c r="L19" s="14" t="s">
        <v>197</v>
      </c>
      <c r="M19" s="14" t="s">
        <v>738</v>
      </c>
      <c r="N19" s="14" t="s">
        <v>199</v>
      </c>
      <c r="P19" s="14" t="s">
        <v>923</v>
      </c>
      <c r="Q19" s="17" t="s">
        <v>744</v>
      </c>
      <c r="R19" s="17" t="s">
        <v>744</v>
      </c>
      <c r="S19" s="14" t="s">
        <v>742</v>
      </c>
      <c r="T19" s="17" t="s">
        <v>522</v>
      </c>
      <c r="U19" s="17" t="s">
        <v>522</v>
      </c>
      <c r="V19" s="14" t="s">
        <v>742</v>
      </c>
      <c r="W19" s="17" t="s">
        <v>744</v>
      </c>
      <c r="X19" s="17" t="s">
        <v>744</v>
      </c>
      <c r="Y19" s="14" t="s">
        <v>742</v>
      </c>
      <c r="Z19" s="17" t="s">
        <v>744</v>
      </c>
      <c r="AA19" s="17" t="s">
        <v>744</v>
      </c>
      <c r="AB19" s="14" t="s">
        <v>742</v>
      </c>
      <c r="AC19" s="17" t="s">
        <v>539</v>
      </c>
      <c r="AD19" s="17" t="s">
        <v>555</v>
      </c>
      <c r="AE19" s="14" t="s">
        <v>742</v>
      </c>
      <c r="AF19" s="17" t="s">
        <v>744</v>
      </c>
      <c r="AG19" s="17" t="s">
        <v>744</v>
      </c>
      <c r="AH19" s="14" t="s">
        <v>742</v>
      </c>
      <c r="AI19" s="17" t="s">
        <v>744</v>
      </c>
      <c r="AJ19" s="17" t="s">
        <v>744</v>
      </c>
      <c r="AK19" s="14" t="s">
        <v>742</v>
      </c>
      <c r="AL19" s="17" t="s">
        <v>744</v>
      </c>
      <c r="AM19" s="17" t="s">
        <v>744</v>
      </c>
      <c r="AN19" s="14" t="s">
        <v>742</v>
      </c>
    </row>
    <row r="20" spans="1:40">
      <c r="A20" s="14">
        <v>0</v>
      </c>
      <c r="B20" s="14">
        <v>0</v>
      </c>
      <c r="C20" s="14">
        <v>90</v>
      </c>
      <c r="D20" s="14">
        <v>101</v>
      </c>
      <c r="E20" s="14">
        <v>3300</v>
      </c>
      <c r="F20" s="14">
        <v>90</v>
      </c>
      <c r="G20" s="16">
        <v>39147</v>
      </c>
      <c r="H20" s="14">
        <v>1071</v>
      </c>
      <c r="I20" s="14">
        <v>9852998</v>
      </c>
      <c r="J20" s="16">
        <v>39147</v>
      </c>
      <c r="K20" s="14">
        <v>1071</v>
      </c>
      <c r="L20" s="14" t="s">
        <v>197</v>
      </c>
      <c r="M20" s="14" t="s">
        <v>738</v>
      </c>
      <c r="N20" s="14" t="s">
        <v>199</v>
      </c>
      <c r="P20" s="14" t="s">
        <v>924</v>
      </c>
      <c r="Q20" s="17" t="s">
        <v>744</v>
      </c>
      <c r="R20" s="17" t="s">
        <v>744</v>
      </c>
      <c r="S20" s="14" t="s">
        <v>742</v>
      </c>
      <c r="T20" s="17" t="s">
        <v>523</v>
      </c>
      <c r="U20" s="17" t="s">
        <v>523</v>
      </c>
      <c r="V20" s="14" t="s">
        <v>742</v>
      </c>
      <c r="W20" s="17" t="s">
        <v>744</v>
      </c>
      <c r="X20" s="17" t="s">
        <v>744</v>
      </c>
      <c r="Y20" s="14" t="s">
        <v>742</v>
      </c>
      <c r="Z20" s="17" t="s">
        <v>744</v>
      </c>
      <c r="AA20" s="17" t="s">
        <v>744</v>
      </c>
      <c r="AB20" s="14" t="s">
        <v>742</v>
      </c>
      <c r="AC20" s="17" t="s">
        <v>539</v>
      </c>
      <c r="AD20" s="17" t="s">
        <v>555</v>
      </c>
      <c r="AE20" s="14" t="s">
        <v>742</v>
      </c>
      <c r="AF20" s="17" t="s">
        <v>744</v>
      </c>
      <c r="AG20" s="17" t="s">
        <v>744</v>
      </c>
      <c r="AH20" s="14" t="s">
        <v>742</v>
      </c>
      <c r="AI20" s="17" t="s">
        <v>744</v>
      </c>
      <c r="AJ20" s="17" t="s">
        <v>744</v>
      </c>
      <c r="AK20" s="14" t="s">
        <v>742</v>
      </c>
      <c r="AL20" s="17" t="s">
        <v>744</v>
      </c>
      <c r="AM20" s="17" t="s">
        <v>744</v>
      </c>
      <c r="AN20" s="14" t="s">
        <v>742</v>
      </c>
    </row>
    <row r="21" spans="1:40">
      <c r="A21" s="14">
        <v>0</v>
      </c>
      <c r="B21" s="14">
        <v>0</v>
      </c>
      <c r="C21" s="14">
        <v>90</v>
      </c>
      <c r="D21" s="14">
        <v>101</v>
      </c>
      <c r="E21" s="14">
        <v>3300</v>
      </c>
      <c r="F21" s="14">
        <v>90</v>
      </c>
      <c r="G21" s="16">
        <v>39147</v>
      </c>
      <c r="H21" s="14">
        <v>1071</v>
      </c>
      <c r="I21" s="14">
        <v>9852998</v>
      </c>
      <c r="J21" s="16">
        <v>39147</v>
      </c>
      <c r="K21" s="14">
        <v>1071</v>
      </c>
      <c r="L21" s="14" t="s">
        <v>197</v>
      </c>
      <c r="M21" s="14" t="s">
        <v>738</v>
      </c>
      <c r="N21" s="14" t="s">
        <v>199</v>
      </c>
      <c r="P21" s="14" t="s">
        <v>925</v>
      </c>
      <c r="Q21" s="17" t="s">
        <v>744</v>
      </c>
      <c r="R21" s="17" t="s">
        <v>744</v>
      </c>
      <c r="S21" s="14" t="s">
        <v>742</v>
      </c>
      <c r="T21" s="17" t="s">
        <v>524</v>
      </c>
      <c r="U21" s="17" t="s">
        <v>524</v>
      </c>
      <c r="V21" s="14" t="s">
        <v>742</v>
      </c>
      <c r="W21" s="17" t="s">
        <v>744</v>
      </c>
      <c r="X21" s="17" t="s">
        <v>744</v>
      </c>
      <c r="Y21" s="14" t="s">
        <v>742</v>
      </c>
      <c r="Z21" s="17" t="s">
        <v>744</v>
      </c>
      <c r="AA21" s="17" t="s">
        <v>744</v>
      </c>
      <c r="AB21" s="14" t="s">
        <v>742</v>
      </c>
      <c r="AC21" s="17" t="s">
        <v>539</v>
      </c>
      <c r="AD21" s="17" t="s">
        <v>555</v>
      </c>
      <c r="AE21" s="14" t="s">
        <v>742</v>
      </c>
      <c r="AF21" s="17" t="s">
        <v>744</v>
      </c>
      <c r="AG21" s="17" t="s">
        <v>744</v>
      </c>
      <c r="AH21" s="14" t="s">
        <v>742</v>
      </c>
      <c r="AI21" s="17" t="s">
        <v>744</v>
      </c>
      <c r="AJ21" s="17" t="s">
        <v>744</v>
      </c>
      <c r="AK21" s="14" t="s">
        <v>742</v>
      </c>
      <c r="AL21" s="17" t="s">
        <v>744</v>
      </c>
      <c r="AM21" s="17" t="s">
        <v>744</v>
      </c>
      <c r="AN21" s="14" t="s">
        <v>742</v>
      </c>
    </row>
    <row r="22" spans="1:40">
      <c r="A22" s="14">
        <v>0</v>
      </c>
      <c r="B22" s="14">
        <v>0</v>
      </c>
      <c r="C22" s="14">
        <v>100</v>
      </c>
      <c r="D22" s="14">
        <v>101</v>
      </c>
      <c r="E22" s="14">
        <v>3300</v>
      </c>
      <c r="F22" s="14">
        <v>100</v>
      </c>
      <c r="G22" s="16">
        <v>39147</v>
      </c>
      <c r="H22" s="14">
        <v>1071</v>
      </c>
      <c r="I22" s="14">
        <v>9852998</v>
      </c>
      <c r="J22" s="16">
        <v>39147</v>
      </c>
      <c r="K22" s="14">
        <v>1071</v>
      </c>
      <c r="L22" s="14" t="s">
        <v>197</v>
      </c>
      <c r="M22" s="14" t="s">
        <v>738</v>
      </c>
      <c r="N22" s="14" t="s">
        <v>199</v>
      </c>
      <c r="P22" s="14" t="s">
        <v>926</v>
      </c>
      <c r="Q22" s="17" t="s">
        <v>744</v>
      </c>
      <c r="R22" s="17" t="s">
        <v>744</v>
      </c>
      <c r="S22" s="14" t="s">
        <v>742</v>
      </c>
      <c r="T22" s="17" t="s">
        <v>520</v>
      </c>
      <c r="U22" s="17" t="s">
        <v>520</v>
      </c>
      <c r="V22" s="14" t="s">
        <v>742</v>
      </c>
      <c r="W22" s="17" t="s">
        <v>744</v>
      </c>
      <c r="X22" s="17" t="s">
        <v>744</v>
      </c>
      <c r="Y22" s="14" t="s">
        <v>742</v>
      </c>
      <c r="Z22" s="17" t="s">
        <v>744</v>
      </c>
      <c r="AA22" s="17" t="s">
        <v>744</v>
      </c>
      <c r="AB22" s="14" t="s">
        <v>742</v>
      </c>
      <c r="AC22" s="17" t="s">
        <v>540</v>
      </c>
      <c r="AD22" s="17" t="s">
        <v>541</v>
      </c>
      <c r="AE22" s="14" t="s">
        <v>742</v>
      </c>
      <c r="AF22" s="17" t="s">
        <v>744</v>
      </c>
      <c r="AG22" s="17" t="s">
        <v>744</v>
      </c>
      <c r="AH22" s="14" t="s">
        <v>742</v>
      </c>
      <c r="AI22" s="17" t="s">
        <v>744</v>
      </c>
      <c r="AJ22" s="17" t="s">
        <v>744</v>
      </c>
      <c r="AK22" s="14" t="s">
        <v>742</v>
      </c>
      <c r="AL22" s="17" t="s">
        <v>744</v>
      </c>
      <c r="AM22" s="17" t="s">
        <v>744</v>
      </c>
      <c r="AN22" s="14" t="s">
        <v>742</v>
      </c>
    </row>
    <row r="23" spans="1:40">
      <c r="A23" s="14">
        <v>0</v>
      </c>
      <c r="B23" s="14">
        <v>0</v>
      </c>
      <c r="C23" s="14">
        <v>100</v>
      </c>
      <c r="D23" s="14">
        <v>101</v>
      </c>
      <c r="E23" s="14">
        <v>3300</v>
      </c>
      <c r="F23" s="14">
        <v>100</v>
      </c>
      <c r="G23" s="16">
        <v>39147</v>
      </c>
      <c r="H23" s="14">
        <v>1071</v>
      </c>
      <c r="I23" s="14">
        <v>9852998</v>
      </c>
      <c r="J23" s="16">
        <v>39147</v>
      </c>
      <c r="K23" s="14">
        <v>1071</v>
      </c>
      <c r="L23" s="14" t="s">
        <v>197</v>
      </c>
      <c r="M23" s="14" t="s">
        <v>738</v>
      </c>
      <c r="N23" s="14" t="s">
        <v>199</v>
      </c>
      <c r="P23" s="14" t="s">
        <v>927</v>
      </c>
      <c r="Q23" s="17" t="s">
        <v>744</v>
      </c>
      <c r="R23" s="17" t="s">
        <v>744</v>
      </c>
      <c r="S23" s="14" t="s">
        <v>742</v>
      </c>
      <c r="T23" s="17" t="s">
        <v>523</v>
      </c>
      <c r="U23" s="17" t="s">
        <v>523</v>
      </c>
      <c r="V23" s="14" t="s">
        <v>742</v>
      </c>
      <c r="W23" s="17" t="s">
        <v>744</v>
      </c>
      <c r="X23" s="17" t="s">
        <v>744</v>
      </c>
      <c r="Y23" s="14" t="s">
        <v>742</v>
      </c>
      <c r="Z23" s="17" t="s">
        <v>744</v>
      </c>
      <c r="AA23" s="17" t="s">
        <v>744</v>
      </c>
      <c r="AB23" s="14" t="s">
        <v>742</v>
      </c>
      <c r="AC23" s="17" t="s">
        <v>540</v>
      </c>
      <c r="AD23" s="17" t="s">
        <v>540</v>
      </c>
      <c r="AE23" s="14" t="s">
        <v>742</v>
      </c>
      <c r="AF23" s="17" t="s">
        <v>744</v>
      </c>
      <c r="AG23" s="17" t="s">
        <v>744</v>
      </c>
      <c r="AH23" s="14" t="s">
        <v>742</v>
      </c>
      <c r="AI23" s="17" t="s">
        <v>744</v>
      </c>
      <c r="AJ23" s="17" t="s">
        <v>744</v>
      </c>
      <c r="AK23" s="14" t="s">
        <v>742</v>
      </c>
      <c r="AL23" s="17" t="s">
        <v>744</v>
      </c>
      <c r="AM23" s="17" t="s">
        <v>744</v>
      </c>
      <c r="AN23" s="14" t="s">
        <v>742</v>
      </c>
    </row>
    <row r="24" spans="1:40">
      <c r="A24" s="14">
        <v>0</v>
      </c>
      <c r="B24" s="14">
        <v>0</v>
      </c>
      <c r="C24" s="14">
        <v>100</v>
      </c>
      <c r="D24" s="14">
        <v>101</v>
      </c>
      <c r="E24" s="14">
        <v>3300</v>
      </c>
      <c r="F24" s="14">
        <v>100</v>
      </c>
      <c r="G24" s="16">
        <v>39147</v>
      </c>
      <c r="H24" s="14">
        <v>1071</v>
      </c>
      <c r="I24" s="14">
        <v>9852998</v>
      </c>
      <c r="J24" s="16">
        <v>39147</v>
      </c>
      <c r="K24" s="14">
        <v>1071</v>
      </c>
      <c r="L24" s="14" t="s">
        <v>197</v>
      </c>
      <c r="M24" s="14" t="s">
        <v>738</v>
      </c>
      <c r="N24" s="14" t="s">
        <v>199</v>
      </c>
      <c r="P24" s="14" t="s">
        <v>928</v>
      </c>
      <c r="Q24" s="17" t="s">
        <v>744</v>
      </c>
      <c r="R24" s="17" t="s">
        <v>744</v>
      </c>
      <c r="S24" s="14" t="s">
        <v>742</v>
      </c>
      <c r="T24" s="17" t="s">
        <v>523</v>
      </c>
      <c r="U24" s="17" t="s">
        <v>523</v>
      </c>
      <c r="V24" s="14" t="s">
        <v>742</v>
      </c>
      <c r="W24" s="17" t="s">
        <v>744</v>
      </c>
      <c r="X24" s="17" t="s">
        <v>744</v>
      </c>
      <c r="Y24" s="14" t="s">
        <v>742</v>
      </c>
      <c r="Z24" s="17" t="s">
        <v>744</v>
      </c>
      <c r="AA24" s="17" t="s">
        <v>744</v>
      </c>
      <c r="AB24" s="14" t="s">
        <v>742</v>
      </c>
      <c r="AC24" s="17" t="s">
        <v>541</v>
      </c>
      <c r="AD24" s="17" t="s">
        <v>541</v>
      </c>
      <c r="AE24" s="14" t="s">
        <v>742</v>
      </c>
      <c r="AF24" s="17" t="s">
        <v>744</v>
      </c>
      <c r="AG24" s="17" t="s">
        <v>744</v>
      </c>
      <c r="AH24" s="14" t="s">
        <v>742</v>
      </c>
      <c r="AI24" s="17" t="s">
        <v>744</v>
      </c>
      <c r="AJ24" s="17" t="s">
        <v>744</v>
      </c>
      <c r="AK24" s="14" t="s">
        <v>742</v>
      </c>
      <c r="AL24" s="17" t="s">
        <v>744</v>
      </c>
      <c r="AM24" s="17" t="s">
        <v>744</v>
      </c>
      <c r="AN24" s="14" t="s">
        <v>742</v>
      </c>
    </row>
    <row r="25" spans="1:40">
      <c r="A25" s="14">
        <v>0</v>
      </c>
      <c r="B25" s="14">
        <v>0</v>
      </c>
      <c r="C25" s="14">
        <v>100</v>
      </c>
      <c r="D25" s="14">
        <v>101</v>
      </c>
      <c r="E25" s="14">
        <v>3300</v>
      </c>
      <c r="F25" s="14">
        <v>100</v>
      </c>
      <c r="G25" s="16">
        <v>39147</v>
      </c>
      <c r="H25" s="14">
        <v>1071</v>
      </c>
      <c r="I25" s="14">
        <v>9852998</v>
      </c>
      <c r="J25" s="16">
        <v>39147</v>
      </c>
      <c r="K25" s="14">
        <v>1071</v>
      </c>
      <c r="L25" s="14" t="s">
        <v>197</v>
      </c>
      <c r="M25" s="14" t="s">
        <v>738</v>
      </c>
      <c r="N25" s="14" t="s">
        <v>199</v>
      </c>
      <c r="P25" s="14" t="s">
        <v>929</v>
      </c>
      <c r="Q25" s="17" t="s">
        <v>744</v>
      </c>
      <c r="R25" s="17" t="s">
        <v>744</v>
      </c>
      <c r="S25" s="14" t="s">
        <v>742</v>
      </c>
      <c r="T25" s="17" t="s">
        <v>521</v>
      </c>
      <c r="U25" s="17" t="s">
        <v>529</v>
      </c>
      <c r="V25" s="14" t="s">
        <v>742</v>
      </c>
      <c r="W25" s="17" t="s">
        <v>744</v>
      </c>
      <c r="X25" s="17" t="s">
        <v>744</v>
      </c>
      <c r="Y25" s="14" t="s">
        <v>742</v>
      </c>
      <c r="Z25" s="17" t="s">
        <v>744</v>
      </c>
      <c r="AA25" s="17" t="s">
        <v>744</v>
      </c>
      <c r="AB25" s="14" t="s">
        <v>742</v>
      </c>
      <c r="AC25" s="17" t="s">
        <v>540</v>
      </c>
      <c r="AD25" s="17" t="s">
        <v>541</v>
      </c>
      <c r="AE25" s="14" t="s">
        <v>742</v>
      </c>
      <c r="AF25" s="17" t="s">
        <v>744</v>
      </c>
      <c r="AG25" s="17" t="s">
        <v>744</v>
      </c>
      <c r="AH25" s="14" t="s">
        <v>742</v>
      </c>
      <c r="AI25" s="17" t="s">
        <v>744</v>
      </c>
      <c r="AJ25" s="17" t="s">
        <v>744</v>
      </c>
      <c r="AK25" s="14" t="s">
        <v>742</v>
      </c>
      <c r="AL25" s="17" t="s">
        <v>744</v>
      </c>
      <c r="AM25" s="17" t="s">
        <v>744</v>
      </c>
      <c r="AN25" s="14" t="s">
        <v>742</v>
      </c>
    </row>
    <row r="26" spans="1:40">
      <c r="A26" s="14">
        <v>0</v>
      </c>
      <c r="B26" s="14">
        <v>0</v>
      </c>
      <c r="C26" s="14">
        <v>110</v>
      </c>
      <c r="D26" s="14">
        <v>101</v>
      </c>
      <c r="E26" s="14">
        <v>3300</v>
      </c>
      <c r="F26" s="14">
        <v>110</v>
      </c>
      <c r="G26" s="16">
        <v>39147</v>
      </c>
      <c r="H26" s="14">
        <v>1071</v>
      </c>
      <c r="I26" s="14">
        <v>9852998</v>
      </c>
      <c r="J26" s="16">
        <v>39147</v>
      </c>
      <c r="K26" s="14">
        <v>1071</v>
      </c>
      <c r="L26" s="14" t="s">
        <v>197</v>
      </c>
      <c r="M26" s="14" t="s">
        <v>738</v>
      </c>
      <c r="N26" s="14" t="s">
        <v>199</v>
      </c>
      <c r="P26" s="14" t="s">
        <v>930</v>
      </c>
      <c r="Q26" s="17" t="s">
        <v>744</v>
      </c>
      <c r="R26" s="17" t="s">
        <v>744</v>
      </c>
      <c r="S26" s="14" t="s">
        <v>742</v>
      </c>
      <c r="T26" s="17" t="s">
        <v>515</v>
      </c>
      <c r="U26" s="17" t="s">
        <v>515</v>
      </c>
      <c r="V26" s="14" t="s">
        <v>742</v>
      </c>
      <c r="W26" s="17" t="s">
        <v>744</v>
      </c>
      <c r="X26" s="17" t="s">
        <v>744</v>
      </c>
      <c r="Y26" s="14" t="s">
        <v>742</v>
      </c>
      <c r="Z26" s="17" t="s">
        <v>744</v>
      </c>
      <c r="AA26" s="17" t="s">
        <v>744</v>
      </c>
      <c r="AB26" s="14" t="s">
        <v>742</v>
      </c>
      <c r="AC26" s="17" t="s">
        <v>531</v>
      </c>
      <c r="AD26" s="17" t="s">
        <v>531</v>
      </c>
      <c r="AE26" s="14" t="s">
        <v>742</v>
      </c>
      <c r="AF26" s="17" t="s">
        <v>744</v>
      </c>
      <c r="AG26" s="17" t="s">
        <v>744</v>
      </c>
      <c r="AH26" s="14" t="s">
        <v>742</v>
      </c>
      <c r="AI26" s="17" t="s">
        <v>744</v>
      </c>
      <c r="AJ26" s="17" t="s">
        <v>744</v>
      </c>
      <c r="AK26" s="14" t="s">
        <v>742</v>
      </c>
      <c r="AL26" s="17" t="s">
        <v>744</v>
      </c>
      <c r="AM26" s="17" t="s">
        <v>744</v>
      </c>
      <c r="AN26" s="14" t="s">
        <v>742</v>
      </c>
    </row>
    <row r="27" spans="1:40">
      <c r="A27" s="14">
        <v>0</v>
      </c>
      <c r="B27" s="14">
        <v>0</v>
      </c>
      <c r="C27" s="14">
        <v>110</v>
      </c>
      <c r="D27" s="14">
        <v>101</v>
      </c>
      <c r="E27" s="14">
        <v>3300</v>
      </c>
      <c r="F27" s="14">
        <v>110</v>
      </c>
      <c r="G27" s="16">
        <v>39147</v>
      </c>
      <c r="H27" s="14">
        <v>1071</v>
      </c>
      <c r="I27" s="14">
        <v>9852998</v>
      </c>
      <c r="J27" s="16">
        <v>39147</v>
      </c>
      <c r="K27" s="14">
        <v>1071</v>
      </c>
      <c r="L27" s="14" t="s">
        <v>197</v>
      </c>
      <c r="M27" s="14" t="s">
        <v>738</v>
      </c>
      <c r="N27" s="14" t="s">
        <v>199</v>
      </c>
      <c r="P27" s="14" t="s">
        <v>931</v>
      </c>
      <c r="Q27" s="17" t="s">
        <v>744</v>
      </c>
      <c r="R27" s="17" t="s">
        <v>744</v>
      </c>
      <c r="S27" s="14" t="s">
        <v>742</v>
      </c>
      <c r="T27" s="17" t="s">
        <v>515</v>
      </c>
      <c r="U27" s="17" t="s">
        <v>515</v>
      </c>
      <c r="V27" s="14" t="s">
        <v>742</v>
      </c>
      <c r="W27" s="17" t="s">
        <v>744</v>
      </c>
      <c r="X27" s="17" t="s">
        <v>744</v>
      </c>
      <c r="Y27" s="14" t="s">
        <v>742</v>
      </c>
      <c r="Z27" s="17" t="s">
        <v>744</v>
      </c>
      <c r="AA27" s="17" t="s">
        <v>744</v>
      </c>
      <c r="AB27" s="14" t="s">
        <v>742</v>
      </c>
      <c r="AC27" s="17" t="s">
        <v>538</v>
      </c>
      <c r="AD27" s="17" t="s">
        <v>538</v>
      </c>
      <c r="AE27" s="14" t="s">
        <v>742</v>
      </c>
      <c r="AF27" s="17" t="s">
        <v>744</v>
      </c>
      <c r="AG27" s="17" t="s">
        <v>744</v>
      </c>
      <c r="AH27" s="14" t="s">
        <v>742</v>
      </c>
      <c r="AI27" s="17" t="s">
        <v>744</v>
      </c>
      <c r="AJ27" s="17" t="s">
        <v>744</v>
      </c>
      <c r="AK27" s="14" t="s">
        <v>742</v>
      </c>
      <c r="AL27" s="17" t="s">
        <v>744</v>
      </c>
      <c r="AM27" s="17" t="s">
        <v>744</v>
      </c>
      <c r="AN27" s="14" t="s">
        <v>742</v>
      </c>
    </row>
    <row r="28" spans="1:40">
      <c r="A28" s="14">
        <v>0</v>
      </c>
      <c r="B28" s="14">
        <v>0</v>
      </c>
      <c r="C28" s="14">
        <v>110</v>
      </c>
      <c r="D28" s="14">
        <v>101</v>
      </c>
      <c r="E28" s="14">
        <v>3300</v>
      </c>
      <c r="F28" s="14">
        <v>110</v>
      </c>
      <c r="G28" s="16">
        <v>39147</v>
      </c>
      <c r="H28" s="14">
        <v>1071</v>
      </c>
      <c r="I28" s="14">
        <v>9852998</v>
      </c>
      <c r="J28" s="16">
        <v>39147</v>
      </c>
      <c r="K28" s="14">
        <v>1071</v>
      </c>
      <c r="L28" s="14" t="s">
        <v>197</v>
      </c>
      <c r="M28" s="14" t="s">
        <v>738</v>
      </c>
      <c r="N28" s="14" t="s">
        <v>199</v>
      </c>
      <c r="P28" s="14" t="s">
        <v>932</v>
      </c>
      <c r="Q28" s="17" t="s">
        <v>744</v>
      </c>
      <c r="R28" s="17" t="s">
        <v>744</v>
      </c>
      <c r="S28" s="14" t="s">
        <v>742</v>
      </c>
      <c r="T28" s="17" t="s">
        <v>515</v>
      </c>
      <c r="U28" s="17" t="s">
        <v>515</v>
      </c>
      <c r="V28" s="14" t="s">
        <v>742</v>
      </c>
      <c r="W28" s="17" t="s">
        <v>744</v>
      </c>
      <c r="X28" s="17" t="s">
        <v>744</v>
      </c>
      <c r="Y28" s="14" t="s">
        <v>742</v>
      </c>
      <c r="Z28" s="17" t="s">
        <v>744</v>
      </c>
      <c r="AA28" s="17" t="s">
        <v>744</v>
      </c>
      <c r="AB28" s="14" t="s">
        <v>742</v>
      </c>
      <c r="AC28" s="17" t="s">
        <v>542</v>
      </c>
      <c r="AD28" s="17" t="s">
        <v>542</v>
      </c>
      <c r="AE28" s="14" t="s">
        <v>742</v>
      </c>
      <c r="AF28" s="17" t="s">
        <v>744</v>
      </c>
      <c r="AG28" s="17" t="s">
        <v>744</v>
      </c>
      <c r="AH28" s="14" t="s">
        <v>742</v>
      </c>
      <c r="AI28" s="17" t="s">
        <v>744</v>
      </c>
      <c r="AJ28" s="17" t="s">
        <v>744</v>
      </c>
      <c r="AK28" s="14" t="s">
        <v>742</v>
      </c>
      <c r="AL28" s="17" t="s">
        <v>744</v>
      </c>
      <c r="AM28" s="17" t="s">
        <v>744</v>
      </c>
      <c r="AN28" s="14" t="s">
        <v>742</v>
      </c>
    </row>
    <row r="29" spans="1:40">
      <c r="A29" s="14">
        <v>0</v>
      </c>
      <c r="B29" s="14">
        <v>0</v>
      </c>
      <c r="C29" s="14">
        <v>110</v>
      </c>
      <c r="D29" s="14">
        <v>101</v>
      </c>
      <c r="E29" s="14">
        <v>3300</v>
      </c>
      <c r="F29" s="14">
        <v>110</v>
      </c>
      <c r="G29" s="16">
        <v>39147</v>
      </c>
      <c r="H29" s="14">
        <v>1071</v>
      </c>
      <c r="I29" s="14">
        <v>9852998</v>
      </c>
      <c r="J29" s="16">
        <v>39147</v>
      </c>
      <c r="K29" s="14">
        <v>1071</v>
      </c>
      <c r="L29" s="14" t="s">
        <v>197</v>
      </c>
      <c r="M29" s="14" t="s">
        <v>738</v>
      </c>
      <c r="N29" s="14" t="s">
        <v>199</v>
      </c>
      <c r="P29" s="14" t="s">
        <v>933</v>
      </c>
      <c r="Q29" s="17" t="s">
        <v>744</v>
      </c>
      <c r="R29" s="17" t="s">
        <v>744</v>
      </c>
      <c r="S29" s="14" t="s">
        <v>742</v>
      </c>
      <c r="T29" s="17" t="s">
        <v>516</v>
      </c>
      <c r="U29" s="17" t="s">
        <v>516</v>
      </c>
      <c r="V29" s="14" t="s">
        <v>742</v>
      </c>
      <c r="W29" s="17" t="s">
        <v>744</v>
      </c>
      <c r="X29" s="17" t="s">
        <v>744</v>
      </c>
      <c r="Y29" s="14" t="s">
        <v>742</v>
      </c>
      <c r="Z29" s="17" t="s">
        <v>744</v>
      </c>
      <c r="AA29" s="17" t="s">
        <v>744</v>
      </c>
      <c r="AB29" s="14" t="s">
        <v>742</v>
      </c>
      <c r="AC29" s="17" t="s">
        <v>531</v>
      </c>
      <c r="AD29" s="17" t="s">
        <v>531</v>
      </c>
      <c r="AE29" s="14" t="s">
        <v>742</v>
      </c>
      <c r="AF29" s="17" t="s">
        <v>744</v>
      </c>
      <c r="AG29" s="17" t="s">
        <v>744</v>
      </c>
      <c r="AH29" s="14" t="s">
        <v>742</v>
      </c>
      <c r="AI29" s="17" t="s">
        <v>744</v>
      </c>
      <c r="AJ29" s="17" t="s">
        <v>744</v>
      </c>
      <c r="AK29" s="14" t="s">
        <v>742</v>
      </c>
      <c r="AL29" s="17" t="s">
        <v>744</v>
      </c>
      <c r="AM29" s="17" t="s">
        <v>744</v>
      </c>
      <c r="AN29" s="14" t="s">
        <v>742</v>
      </c>
    </row>
    <row r="30" spans="1:40">
      <c r="A30" s="14">
        <v>0</v>
      </c>
      <c r="B30" s="14">
        <v>0</v>
      </c>
      <c r="C30" s="14">
        <v>110</v>
      </c>
      <c r="D30" s="14">
        <v>101</v>
      </c>
      <c r="E30" s="14">
        <v>3300</v>
      </c>
      <c r="F30" s="14">
        <v>110</v>
      </c>
      <c r="G30" s="16">
        <v>39147</v>
      </c>
      <c r="H30" s="14">
        <v>1071</v>
      </c>
      <c r="I30" s="14">
        <v>9852998</v>
      </c>
      <c r="J30" s="16">
        <v>39147</v>
      </c>
      <c r="K30" s="14">
        <v>1071</v>
      </c>
      <c r="L30" s="14" t="s">
        <v>197</v>
      </c>
      <c r="M30" s="14" t="s">
        <v>738</v>
      </c>
      <c r="N30" s="14" t="s">
        <v>199</v>
      </c>
      <c r="P30" s="14" t="s">
        <v>934</v>
      </c>
      <c r="Q30" s="17" t="s">
        <v>744</v>
      </c>
      <c r="R30" s="17" t="s">
        <v>744</v>
      </c>
      <c r="S30" s="14" t="s">
        <v>742</v>
      </c>
      <c r="T30" s="17" t="s">
        <v>516</v>
      </c>
      <c r="U30" s="17" t="s">
        <v>516</v>
      </c>
      <c r="V30" s="14" t="s">
        <v>742</v>
      </c>
      <c r="W30" s="17" t="s">
        <v>744</v>
      </c>
      <c r="X30" s="17" t="s">
        <v>744</v>
      </c>
      <c r="Y30" s="14" t="s">
        <v>742</v>
      </c>
      <c r="Z30" s="17" t="s">
        <v>744</v>
      </c>
      <c r="AA30" s="17" t="s">
        <v>744</v>
      </c>
      <c r="AB30" s="14" t="s">
        <v>742</v>
      </c>
      <c r="AC30" s="17" t="s">
        <v>538</v>
      </c>
      <c r="AD30" s="17" t="s">
        <v>538</v>
      </c>
      <c r="AE30" s="14" t="s">
        <v>742</v>
      </c>
      <c r="AF30" s="17" t="s">
        <v>744</v>
      </c>
      <c r="AG30" s="17" t="s">
        <v>744</v>
      </c>
      <c r="AH30" s="14" t="s">
        <v>742</v>
      </c>
      <c r="AI30" s="17" t="s">
        <v>744</v>
      </c>
      <c r="AJ30" s="17" t="s">
        <v>744</v>
      </c>
      <c r="AK30" s="14" t="s">
        <v>742</v>
      </c>
      <c r="AL30" s="17" t="s">
        <v>744</v>
      </c>
      <c r="AM30" s="17" t="s">
        <v>744</v>
      </c>
      <c r="AN30" s="14" t="s">
        <v>742</v>
      </c>
    </row>
    <row r="31" spans="1:40">
      <c r="A31" s="14">
        <v>0</v>
      </c>
      <c r="B31" s="14">
        <v>0</v>
      </c>
      <c r="C31" s="14">
        <v>110</v>
      </c>
      <c r="D31" s="14">
        <v>101</v>
      </c>
      <c r="E31" s="14">
        <v>3300</v>
      </c>
      <c r="F31" s="14">
        <v>110</v>
      </c>
      <c r="G31" s="16">
        <v>39147</v>
      </c>
      <c r="H31" s="14">
        <v>1071</v>
      </c>
      <c r="I31" s="14">
        <v>9852998</v>
      </c>
      <c r="J31" s="16">
        <v>39147</v>
      </c>
      <c r="K31" s="14">
        <v>1071</v>
      </c>
      <c r="L31" s="14" t="s">
        <v>197</v>
      </c>
      <c r="M31" s="14" t="s">
        <v>738</v>
      </c>
      <c r="N31" s="14" t="s">
        <v>199</v>
      </c>
      <c r="P31" s="14" t="s">
        <v>935</v>
      </c>
      <c r="Q31" s="17" t="s">
        <v>744</v>
      </c>
      <c r="R31" s="17" t="s">
        <v>744</v>
      </c>
      <c r="S31" s="14" t="s">
        <v>742</v>
      </c>
      <c r="T31" s="17" t="s">
        <v>516</v>
      </c>
      <c r="U31" s="17" t="s">
        <v>516</v>
      </c>
      <c r="V31" s="14" t="s">
        <v>742</v>
      </c>
      <c r="W31" s="17" t="s">
        <v>744</v>
      </c>
      <c r="X31" s="17" t="s">
        <v>744</v>
      </c>
      <c r="Y31" s="14" t="s">
        <v>742</v>
      </c>
      <c r="Z31" s="17" t="s">
        <v>744</v>
      </c>
      <c r="AA31" s="17" t="s">
        <v>744</v>
      </c>
      <c r="AB31" s="14" t="s">
        <v>742</v>
      </c>
      <c r="AC31" s="17" t="s">
        <v>542</v>
      </c>
      <c r="AD31" s="17" t="s">
        <v>542</v>
      </c>
      <c r="AE31" s="14" t="s">
        <v>742</v>
      </c>
      <c r="AF31" s="17" t="s">
        <v>744</v>
      </c>
      <c r="AG31" s="17" t="s">
        <v>744</v>
      </c>
      <c r="AH31" s="14" t="s">
        <v>742</v>
      </c>
      <c r="AI31" s="17" t="s">
        <v>744</v>
      </c>
      <c r="AJ31" s="17" t="s">
        <v>744</v>
      </c>
      <c r="AK31" s="14" t="s">
        <v>742</v>
      </c>
      <c r="AL31" s="17" t="s">
        <v>744</v>
      </c>
      <c r="AM31" s="17" t="s">
        <v>744</v>
      </c>
      <c r="AN31" s="14" t="s">
        <v>742</v>
      </c>
    </row>
    <row r="32" spans="1:40">
      <c r="A32" s="14">
        <v>0</v>
      </c>
      <c r="B32" s="14">
        <v>0</v>
      </c>
      <c r="C32" s="14">
        <v>120</v>
      </c>
      <c r="D32" s="14">
        <v>101</v>
      </c>
      <c r="E32" s="14">
        <v>3300</v>
      </c>
      <c r="F32" s="14">
        <v>120</v>
      </c>
      <c r="G32" s="16">
        <v>39147</v>
      </c>
      <c r="H32" s="14">
        <v>1071</v>
      </c>
      <c r="I32" s="14">
        <v>9852998</v>
      </c>
      <c r="J32" s="16">
        <v>39147</v>
      </c>
      <c r="K32" s="14">
        <v>1071</v>
      </c>
      <c r="L32" s="14" t="s">
        <v>197</v>
      </c>
      <c r="M32" s="14" t="s">
        <v>738</v>
      </c>
      <c r="N32" s="14" t="s">
        <v>199</v>
      </c>
      <c r="P32" s="14" t="s">
        <v>936</v>
      </c>
      <c r="Q32" s="17" t="s">
        <v>744</v>
      </c>
      <c r="R32" s="17" t="s">
        <v>744</v>
      </c>
      <c r="S32" s="14" t="s">
        <v>742</v>
      </c>
      <c r="T32" s="17" t="s">
        <v>522</v>
      </c>
      <c r="U32" s="17" t="s">
        <v>522</v>
      </c>
      <c r="V32" s="14" t="s">
        <v>742</v>
      </c>
      <c r="W32" s="17" t="s">
        <v>744</v>
      </c>
      <c r="X32" s="17" t="s">
        <v>744</v>
      </c>
      <c r="Y32" s="14" t="s">
        <v>742</v>
      </c>
      <c r="Z32" s="17" t="s">
        <v>744</v>
      </c>
      <c r="AA32" s="17" t="s">
        <v>744</v>
      </c>
      <c r="AB32" s="14" t="s">
        <v>742</v>
      </c>
      <c r="AC32" s="17" t="s">
        <v>543</v>
      </c>
      <c r="AD32" s="17" t="s">
        <v>543</v>
      </c>
      <c r="AE32" s="14" t="s">
        <v>742</v>
      </c>
      <c r="AF32" s="17" t="s">
        <v>744</v>
      </c>
      <c r="AG32" s="17" t="s">
        <v>744</v>
      </c>
      <c r="AH32" s="14" t="s">
        <v>742</v>
      </c>
      <c r="AI32" s="17" t="s">
        <v>744</v>
      </c>
      <c r="AJ32" s="17" t="s">
        <v>744</v>
      </c>
      <c r="AK32" s="14" t="s">
        <v>742</v>
      </c>
      <c r="AL32" s="17" t="s">
        <v>744</v>
      </c>
      <c r="AM32" s="17" t="s">
        <v>744</v>
      </c>
      <c r="AN32" s="14" t="s">
        <v>742</v>
      </c>
    </row>
    <row r="33" spans="1:40">
      <c r="A33" s="14">
        <v>0</v>
      </c>
      <c r="B33" s="14">
        <v>0</v>
      </c>
      <c r="C33" s="14">
        <v>120</v>
      </c>
      <c r="D33" s="14">
        <v>101</v>
      </c>
      <c r="E33" s="14">
        <v>3300</v>
      </c>
      <c r="F33" s="14">
        <v>120</v>
      </c>
      <c r="G33" s="16">
        <v>39147</v>
      </c>
      <c r="H33" s="14">
        <v>1071</v>
      </c>
      <c r="I33" s="14">
        <v>9852998</v>
      </c>
      <c r="J33" s="16">
        <v>39147</v>
      </c>
      <c r="K33" s="14">
        <v>1071</v>
      </c>
      <c r="L33" s="14" t="s">
        <v>197</v>
      </c>
      <c r="M33" s="14" t="s">
        <v>738</v>
      </c>
      <c r="N33" s="14" t="s">
        <v>199</v>
      </c>
      <c r="P33" s="14" t="s">
        <v>937</v>
      </c>
      <c r="Q33" s="17" t="s">
        <v>744</v>
      </c>
      <c r="R33" s="17" t="s">
        <v>744</v>
      </c>
      <c r="S33" s="14" t="s">
        <v>742</v>
      </c>
      <c r="T33" s="17" t="s">
        <v>522</v>
      </c>
      <c r="U33" s="17" t="s">
        <v>522</v>
      </c>
      <c r="V33" s="14" t="s">
        <v>742</v>
      </c>
      <c r="W33" s="17" t="s">
        <v>744</v>
      </c>
      <c r="X33" s="17" t="s">
        <v>744</v>
      </c>
      <c r="Y33" s="14" t="s">
        <v>742</v>
      </c>
      <c r="Z33" s="17" t="s">
        <v>744</v>
      </c>
      <c r="AA33" s="17" t="s">
        <v>744</v>
      </c>
      <c r="AB33" s="14" t="s">
        <v>742</v>
      </c>
      <c r="AC33" s="17" t="s">
        <v>544</v>
      </c>
      <c r="AD33" s="17" t="s">
        <v>544</v>
      </c>
      <c r="AE33" s="14" t="s">
        <v>742</v>
      </c>
      <c r="AF33" s="17" t="s">
        <v>744</v>
      </c>
      <c r="AG33" s="17" t="s">
        <v>744</v>
      </c>
      <c r="AH33" s="14" t="s">
        <v>742</v>
      </c>
      <c r="AI33" s="17" t="s">
        <v>744</v>
      </c>
      <c r="AJ33" s="17" t="s">
        <v>744</v>
      </c>
      <c r="AK33" s="14" t="s">
        <v>742</v>
      </c>
      <c r="AL33" s="17" t="s">
        <v>744</v>
      </c>
      <c r="AM33" s="17" t="s">
        <v>744</v>
      </c>
      <c r="AN33" s="14" t="s">
        <v>742</v>
      </c>
    </row>
    <row r="34" spans="1:40">
      <c r="A34" s="14">
        <v>0</v>
      </c>
      <c r="B34" s="14">
        <v>0</v>
      </c>
      <c r="C34" s="14">
        <v>120</v>
      </c>
      <c r="D34" s="14">
        <v>101</v>
      </c>
      <c r="E34" s="14">
        <v>3300</v>
      </c>
      <c r="F34" s="14">
        <v>120</v>
      </c>
      <c r="G34" s="16">
        <v>39147</v>
      </c>
      <c r="H34" s="14">
        <v>1071</v>
      </c>
      <c r="I34" s="14">
        <v>9852998</v>
      </c>
      <c r="J34" s="16">
        <v>39147</v>
      </c>
      <c r="K34" s="14">
        <v>1071</v>
      </c>
      <c r="L34" s="14" t="s">
        <v>197</v>
      </c>
      <c r="M34" s="14" t="s">
        <v>738</v>
      </c>
      <c r="N34" s="14" t="s">
        <v>199</v>
      </c>
      <c r="P34" s="14" t="s">
        <v>938</v>
      </c>
      <c r="Q34" s="17" t="s">
        <v>744</v>
      </c>
      <c r="R34" s="17" t="s">
        <v>744</v>
      </c>
      <c r="S34" s="14" t="s">
        <v>742</v>
      </c>
      <c r="T34" s="17" t="s">
        <v>524</v>
      </c>
      <c r="U34" s="17" t="s">
        <v>524</v>
      </c>
      <c r="V34" s="14" t="s">
        <v>742</v>
      </c>
      <c r="W34" s="17" t="s">
        <v>744</v>
      </c>
      <c r="X34" s="17" t="s">
        <v>744</v>
      </c>
      <c r="Y34" s="14" t="s">
        <v>742</v>
      </c>
      <c r="Z34" s="17" t="s">
        <v>744</v>
      </c>
      <c r="AA34" s="17" t="s">
        <v>744</v>
      </c>
      <c r="AB34" s="14" t="s">
        <v>742</v>
      </c>
      <c r="AC34" s="17" t="s">
        <v>543</v>
      </c>
      <c r="AD34" s="17" t="s">
        <v>543</v>
      </c>
      <c r="AE34" s="14" t="s">
        <v>742</v>
      </c>
      <c r="AF34" s="17" t="s">
        <v>744</v>
      </c>
      <c r="AG34" s="17" t="s">
        <v>744</v>
      </c>
      <c r="AH34" s="14" t="s">
        <v>742</v>
      </c>
      <c r="AI34" s="17" t="s">
        <v>744</v>
      </c>
      <c r="AJ34" s="17" t="s">
        <v>744</v>
      </c>
      <c r="AK34" s="14" t="s">
        <v>742</v>
      </c>
      <c r="AL34" s="17" t="s">
        <v>744</v>
      </c>
      <c r="AM34" s="17" t="s">
        <v>744</v>
      </c>
      <c r="AN34" s="14" t="s">
        <v>742</v>
      </c>
    </row>
    <row r="35" spans="1:40">
      <c r="A35" s="14">
        <v>0</v>
      </c>
      <c r="B35" s="14">
        <v>0</v>
      </c>
      <c r="C35" s="14">
        <v>120</v>
      </c>
      <c r="D35" s="14">
        <v>101</v>
      </c>
      <c r="E35" s="14">
        <v>3300</v>
      </c>
      <c r="F35" s="14">
        <v>120</v>
      </c>
      <c r="G35" s="16">
        <v>39147</v>
      </c>
      <c r="H35" s="14">
        <v>1071</v>
      </c>
      <c r="I35" s="14">
        <v>9852998</v>
      </c>
      <c r="J35" s="16">
        <v>39147</v>
      </c>
      <c r="K35" s="14">
        <v>1071</v>
      </c>
      <c r="L35" s="14" t="s">
        <v>197</v>
      </c>
      <c r="M35" s="14" t="s">
        <v>738</v>
      </c>
      <c r="N35" s="14" t="s">
        <v>199</v>
      </c>
      <c r="P35" s="14" t="s">
        <v>939</v>
      </c>
      <c r="Q35" s="17" t="s">
        <v>744</v>
      </c>
      <c r="R35" s="17" t="s">
        <v>744</v>
      </c>
      <c r="S35" s="14" t="s">
        <v>742</v>
      </c>
      <c r="T35" s="17" t="s">
        <v>524</v>
      </c>
      <c r="U35" s="17" t="s">
        <v>524</v>
      </c>
      <c r="V35" s="14" t="s">
        <v>742</v>
      </c>
      <c r="W35" s="17" t="s">
        <v>744</v>
      </c>
      <c r="X35" s="17" t="s">
        <v>744</v>
      </c>
      <c r="Y35" s="14" t="s">
        <v>742</v>
      </c>
      <c r="Z35" s="17" t="s">
        <v>744</v>
      </c>
      <c r="AA35" s="17" t="s">
        <v>744</v>
      </c>
      <c r="AB35" s="14" t="s">
        <v>742</v>
      </c>
      <c r="AC35" s="17" t="s">
        <v>544</v>
      </c>
      <c r="AD35" s="17" t="s">
        <v>544</v>
      </c>
      <c r="AE35" s="14" t="s">
        <v>742</v>
      </c>
      <c r="AF35" s="17" t="s">
        <v>744</v>
      </c>
      <c r="AG35" s="17" t="s">
        <v>744</v>
      </c>
      <c r="AH35" s="14" t="s">
        <v>742</v>
      </c>
      <c r="AI35" s="17" t="s">
        <v>744</v>
      </c>
      <c r="AJ35" s="17" t="s">
        <v>744</v>
      </c>
      <c r="AK35" s="14" t="s">
        <v>742</v>
      </c>
      <c r="AL35" s="17" t="s">
        <v>744</v>
      </c>
      <c r="AM35" s="17" t="s">
        <v>744</v>
      </c>
      <c r="AN35" s="14" t="s">
        <v>742</v>
      </c>
    </row>
    <row r="36" spans="1:40">
      <c r="A36" s="14">
        <v>0</v>
      </c>
      <c r="B36" s="14">
        <v>0</v>
      </c>
      <c r="C36" s="14">
        <v>130</v>
      </c>
      <c r="D36" s="14">
        <v>101</v>
      </c>
      <c r="E36" s="14">
        <v>3300</v>
      </c>
      <c r="F36" s="14">
        <v>130</v>
      </c>
      <c r="G36" s="16">
        <v>39147</v>
      </c>
      <c r="H36" s="14">
        <v>1071</v>
      </c>
      <c r="I36" s="14">
        <v>9852998</v>
      </c>
      <c r="J36" s="16">
        <v>39147</v>
      </c>
      <c r="K36" s="14">
        <v>1071</v>
      </c>
      <c r="L36" s="14" t="s">
        <v>197</v>
      </c>
      <c r="M36" s="14" t="s">
        <v>738</v>
      </c>
      <c r="N36" s="14" t="s">
        <v>199</v>
      </c>
      <c r="P36" s="14" t="s">
        <v>940</v>
      </c>
      <c r="Q36" s="17" t="s">
        <v>744</v>
      </c>
      <c r="R36" s="17" t="s">
        <v>744</v>
      </c>
      <c r="S36" s="14" t="s">
        <v>742</v>
      </c>
      <c r="T36" s="17" t="s">
        <v>520</v>
      </c>
      <c r="U36" s="17" t="s">
        <v>520</v>
      </c>
      <c r="V36" s="14" t="s">
        <v>742</v>
      </c>
      <c r="W36" s="17" t="s">
        <v>744</v>
      </c>
      <c r="X36" s="17" t="s">
        <v>744</v>
      </c>
      <c r="Y36" s="14" t="s">
        <v>742</v>
      </c>
      <c r="Z36" s="17" t="s">
        <v>744</v>
      </c>
      <c r="AA36" s="17" t="s">
        <v>744</v>
      </c>
      <c r="AB36" s="14" t="s">
        <v>742</v>
      </c>
      <c r="AC36" s="17" t="s">
        <v>545</v>
      </c>
      <c r="AD36" s="17" t="s">
        <v>545</v>
      </c>
      <c r="AE36" s="14" t="s">
        <v>742</v>
      </c>
      <c r="AF36" s="17" t="s">
        <v>744</v>
      </c>
      <c r="AG36" s="17" t="s">
        <v>744</v>
      </c>
      <c r="AH36" s="14" t="s">
        <v>742</v>
      </c>
      <c r="AI36" s="17" t="s">
        <v>744</v>
      </c>
      <c r="AJ36" s="17" t="s">
        <v>744</v>
      </c>
      <c r="AK36" s="14" t="s">
        <v>742</v>
      </c>
      <c r="AL36" s="17" t="s">
        <v>744</v>
      </c>
      <c r="AM36" s="17" t="s">
        <v>744</v>
      </c>
      <c r="AN36" s="14" t="s">
        <v>742</v>
      </c>
    </row>
    <row r="37" spans="1:40">
      <c r="A37" s="14">
        <v>0</v>
      </c>
      <c r="B37" s="14">
        <v>0</v>
      </c>
      <c r="C37" s="14">
        <v>130</v>
      </c>
      <c r="D37" s="14">
        <v>101</v>
      </c>
      <c r="E37" s="14">
        <v>3300</v>
      </c>
      <c r="F37" s="14">
        <v>130</v>
      </c>
      <c r="G37" s="16">
        <v>39147</v>
      </c>
      <c r="H37" s="14">
        <v>1071</v>
      </c>
      <c r="I37" s="14">
        <v>9852998</v>
      </c>
      <c r="J37" s="16">
        <v>39147</v>
      </c>
      <c r="K37" s="14">
        <v>1071</v>
      </c>
      <c r="L37" s="14" t="s">
        <v>197</v>
      </c>
      <c r="M37" s="14" t="s">
        <v>738</v>
      </c>
      <c r="N37" s="14" t="s">
        <v>199</v>
      </c>
      <c r="P37" s="14" t="s">
        <v>941</v>
      </c>
      <c r="Q37" s="17" t="s">
        <v>744</v>
      </c>
      <c r="R37" s="17" t="s">
        <v>744</v>
      </c>
      <c r="S37" s="14" t="s">
        <v>742</v>
      </c>
      <c r="T37" s="17" t="s">
        <v>525</v>
      </c>
      <c r="U37" s="17" t="s">
        <v>525</v>
      </c>
      <c r="V37" s="14" t="s">
        <v>742</v>
      </c>
      <c r="W37" s="17" t="s">
        <v>744</v>
      </c>
      <c r="X37" s="17" t="s">
        <v>744</v>
      </c>
      <c r="Y37" s="14" t="s">
        <v>742</v>
      </c>
      <c r="Z37" s="17" t="s">
        <v>744</v>
      </c>
      <c r="AA37" s="17" t="s">
        <v>744</v>
      </c>
      <c r="AB37" s="14" t="s">
        <v>742</v>
      </c>
      <c r="AC37" s="17" t="s">
        <v>545</v>
      </c>
      <c r="AD37" s="17" t="s">
        <v>545</v>
      </c>
      <c r="AE37" s="14" t="s">
        <v>742</v>
      </c>
      <c r="AF37" s="17" t="s">
        <v>744</v>
      </c>
      <c r="AG37" s="17" t="s">
        <v>744</v>
      </c>
      <c r="AH37" s="14" t="s">
        <v>742</v>
      </c>
      <c r="AI37" s="17" t="s">
        <v>744</v>
      </c>
      <c r="AJ37" s="17" t="s">
        <v>744</v>
      </c>
      <c r="AK37" s="14" t="s">
        <v>742</v>
      </c>
      <c r="AL37" s="17" t="s">
        <v>744</v>
      </c>
      <c r="AM37" s="17" t="s">
        <v>744</v>
      </c>
      <c r="AN37" s="14" t="s">
        <v>742</v>
      </c>
    </row>
    <row r="38" spans="1:40">
      <c r="A38" s="14">
        <v>0</v>
      </c>
      <c r="B38" s="14">
        <v>0</v>
      </c>
      <c r="C38" s="14">
        <v>140</v>
      </c>
      <c r="D38" s="14">
        <v>101</v>
      </c>
      <c r="E38" s="14">
        <v>3300</v>
      </c>
      <c r="F38" s="14">
        <v>140</v>
      </c>
      <c r="G38" s="16">
        <v>39147</v>
      </c>
      <c r="H38" s="14">
        <v>1071</v>
      </c>
      <c r="I38" s="14">
        <v>9852998</v>
      </c>
      <c r="J38" s="16">
        <v>39147</v>
      </c>
      <c r="K38" s="14">
        <v>1071</v>
      </c>
      <c r="L38" s="14" t="s">
        <v>197</v>
      </c>
      <c r="M38" s="14" t="s">
        <v>738</v>
      </c>
      <c r="N38" s="14" t="s">
        <v>199</v>
      </c>
      <c r="P38" s="14" t="s">
        <v>942</v>
      </c>
      <c r="Q38" s="17" t="s">
        <v>744</v>
      </c>
      <c r="R38" s="17" t="s">
        <v>744</v>
      </c>
      <c r="S38" s="14" t="s">
        <v>742</v>
      </c>
      <c r="T38" s="17" t="s">
        <v>515</v>
      </c>
      <c r="U38" s="17" t="s">
        <v>515</v>
      </c>
      <c r="V38" s="14" t="s">
        <v>742</v>
      </c>
      <c r="W38" s="17" t="s">
        <v>744</v>
      </c>
      <c r="X38" s="17" t="s">
        <v>744</v>
      </c>
      <c r="Y38" s="14" t="s">
        <v>742</v>
      </c>
      <c r="Z38" s="17" t="s">
        <v>744</v>
      </c>
      <c r="AA38" s="17" t="s">
        <v>744</v>
      </c>
      <c r="AB38" s="14" t="s">
        <v>742</v>
      </c>
      <c r="AC38" s="17" t="s">
        <v>546</v>
      </c>
      <c r="AD38" s="17" t="s">
        <v>546</v>
      </c>
      <c r="AE38" s="14" t="s">
        <v>742</v>
      </c>
      <c r="AF38" s="17" t="s">
        <v>744</v>
      </c>
      <c r="AG38" s="17" t="s">
        <v>744</v>
      </c>
      <c r="AH38" s="14" t="s">
        <v>742</v>
      </c>
      <c r="AI38" s="17" t="s">
        <v>744</v>
      </c>
      <c r="AJ38" s="17" t="s">
        <v>744</v>
      </c>
      <c r="AK38" s="14" t="s">
        <v>742</v>
      </c>
      <c r="AL38" s="17" t="s">
        <v>744</v>
      </c>
      <c r="AM38" s="17" t="s">
        <v>744</v>
      </c>
      <c r="AN38" s="14" t="s">
        <v>742</v>
      </c>
    </row>
    <row r="39" spans="1:40">
      <c r="A39" s="14">
        <v>0</v>
      </c>
      <c r="B39" s="14">
        <v>0</v>
      </c>
      <c r="C39" s="14">
        <v>140</v>
      </c>
      <c r="D39" s="14">
        <v>101</v>
      </c>
      <c r="E39" s="14">
        <v>3300</v>
      </c>
      <c r="F39" s="14">
        <v>140</v>
      </c>
      <c r="G39" s="16">
        <v>39147</v>
      </c>
      <c r="H39" s="14">
        <v>1071</v>
      </c>
      <c r="I39" s="14">
        <v>9852998</v>
      </c>
      <c r="J39" s="16">
        <v>39147</v>
      </c>
      <c r="K39" s="14">
        <v>1071</v>
      </c>
      <c r="L39" s="14" t="s">
        <v>197</v>
      </c>
      <c r="M39" s="14" t="s">
        <v>738</v>
      </c>
      <c r="N39" s="14" t="s">
        <v>199</v>
      </c>
      <c r="P39" s="14" t="s">
        <v>943</v>
      </c>
      <c r="Q39" s="17" t="s">
        <v>744</v>
      </c>
      <c r="R39" s="17" t="s">
        <v>744</v>
      </c>
      <c r="S39" s="14" t="s">
        <v>742</v>
      </c>
      <c r="T39" s="17" t="s">
        <v>515</v>
      </c>
      <c r="U39" s="17" t="s">
        <v>515</v>
      </c>
      <c r="V39" s="14" t="s">
        <v>742</v>
      </c>
      <c r="W39" s="17" t="s">
        <v>744</v>
      </c>
      <c r="X39" s="17" t="s">
        <v>744</v>
      </c>
      <c r="Y39" s="14" t="s">
        <v>742</v>
      </c>
      <c r="Z39" s="17" t="s">
        <v>744</v>
      </c>
      <c r="AA39" s="17" t="s">
        <v>744</v>
      </c>
      <c r="AB39" s="14" t="s">
        <v>742</v>
      </c>
      <c r="AC39" s="17" t="s">
        <v>547</v>
      </c>
      <c r="AD39" s="17" t="s">
        <v>547</v>
      </c>
      <c r="AE39" s="14" t="s">
        <v>742</v>
      </c>
      <c r="AF39" s="17" t="s">
        <v>744</v>
      </c>
      <c r="AG39" s="17" t="s">
        <v>744</v>
      </c>
      <c r="AH39" s="14" t="s">
        <v>742</v>
      </c>
      <c r="AI39" s="17" t="s">
        <v>744</v>
      </c>
      <c r="AJ39" s="17" t="s">
        <v>744</v>
      </c>
      <c r="AK39" s="14" t="s">
        <v>742</v>
      </c>
      <c r="AL39" s="17" t="s">
        <v>744</v>
      </c>
      <c r="AM39" s="17" t="s">
        <v>744</v>
      </c>
      <c r="AN39" s="14" t="s">
        <v>742</v>
      </c>
    </row>
    <row r="40" spans="1:40">
      <c r="A40" s="14">
        <v>0</v>
      </c>
      <c r="B40" s="14">
        <v>0</v>
      </c>
      <c r="C40" s="14">
        <v>140</v>
      </c>
      <c r="D40" s="14">
        <v>101</v>
      </c>
      <c r="E40" s="14">
        <v>3300</v>
      </c>
      <c r="F40" s="14">
        <v>140</v>
      </c>
      <c r="G40" s="16">
        <v>39147</v>
      </c>
      <c r="H40" s="14">
        <v>1071</v>
      </c>
      <c r="I40" s="14">
        <v>9852998</v>
      </c>
      <c r="J40" s="16">
        <v>39147</v>
      </c>
      <c r="K40" s="14">
        <v>1071</v>
      </c>
      <c r="L40" s="14" t="s">
        <v>197</v>
      </c>
      <c r="M40" s="14" t="s">
        <v>738</v>
      </c>
      <c r="N40" s="14" t="s">
        <v>199</v>
      </c>
      <c r="P40" s="14" t="s">
        <v>944</v>
      </c>
      <c r="Q40" s="17" t="s">
        <v>744</v>
      </c>
      <c r="R40" s="17" t="s">
        <v>744</v>
      </c>
      <c r="S40" s="14" t="s">
        <v>742</v>
      </c>
      <c r="T40" s="17" t="s">
        <v>516</v>
      </c>
      <c r="U40" s="17" t="s">
        <v>516</v>
      </c>
      <c r="V40" s="14" t="s">
        <v>742</v>
      </c>
      <c r="W40" s="17" t="s">
        <v>744</v>
      </c>
      <c r="X40" s="17" t="s">
        <v>744</v>
      </c>
      <c r="Y40" s="14" t="s">
        <v>742</v>
      </c>
      <c r="Z40" s="17" t="s">
        <v>744</v>
      </c>
      <c r="AA40" s="17" t="s">
        <v>744</v>
      </c>
      <c r="AB40" s="14" t="s">
        <v>742</v>
      </c>
      <c r="AC40" s="17" t="s">
        <v>546</v>
      </c>
      <c r="AD40" s="17" t="s">
        <v>546</v>
      </c>
      <c r="AE40" s="14" t="s">
        <v>742</v>
      </c>
      <c r="AF40" s="17" t="s">
        <v>744</v>
      </c>
      <c r="AG40" s="17" t="s">
        <v>744</v>
      </c>
      <c r="AH40" s="14" t="s">
        <v>742</v>
      </c>
      <c r="AI40" s="17" t="s">
        <v>744</v>
      </c>
      <c r="AJ40" s="17" t="s">
        <v>744</v>
      </c>
      <c r="AK40" s="14" t="s">
        <v>742</v>
      </c>
      <c r="AL40" s="17" t="s">
        <v>744</v>
      </c>
      <c r="AM40" s="17" t="s">
        <v>744</v>
      </c>
      <c r="AN40" s="14" t="s">
        <v>742</v>
      </c>
    </row>
    <row r="41" spans="1:40">
      <c r="A41" s="14">
        <v>0</v>
      </c>
      <c r="B41" s="14">
        <v>0</v>
      </c>
      <c r="C41" s="14">
        <v>140</v>
      </c>
      <c r="D41" s="14">
        <v>101</v>
      </c>
      <c r="E41" s="14">
        <v>3300</v>
      </c>
      <c r="F41" s="14">
        <v>140</v>
      </c>
      <c r="G41" s="16">
        <v>39147</v>
      </c>
      <c r="H41" s="14">
        <v>1071</v>
      </c>
      <c r="I41" s="14">
        <v>9852998</v>
      </c>
      <c r="J41" s="16">
        <v>39147</v>
      </c>
      <c r="K41" s="14">
        <v>1071</v>
      </c>
      <c r="L41" s="14" t="s">
        <v>197</v>
      </c>
      <c r="M41" s="14" t="s">
        <v>738</v>
      </c>
      <c r="N41" s="14" t="s">
        <v>199</v>
      </c>
      <c r="P41" s="14" t="s">
        <v>945</v>
      </c>
      <c r="Q41" s="17" t="s">
        <v>744</v>
      </c>
      <c r="R41" s="17" t="s">
        <v>744</v>
      </c>
      <c r="S41" s="14" t="s">
        <v>742</v>
      </c>
      <c r="T41" s="17" t="s">
        <v>516</v>
      </c>
      <c r="U41" s="17" t="s">
        <v>516</v>
      </c>
      <c r="V41" s="14" t="s">
        <v>742</v>
      </c>
      <c r="W41" s="17" t="s">
        <v>744</v>
      </c>
      <c r="X41" s="17" t="s">
        <v>744</v>
      </c>
      <c r="Y41" s="14" t="s">
        <v>742</v>
      </c>
      <c r="Z41" s="17" t="s">
        <v>744</v>
      </c>
      <c r="AA41" s="17" t="s">
        <v>744</v>
      </c>
      <c r="AB41" s="14" t="s">
        <v>742</v>
      </c>
      <c r="AC41" s="17" t="s">
        <v>547</v>
      </c>
      <c r="AD41" s="17" t="s">
        <v>547</v>
      </c>
      <c r="AE41" s="14" t="s">
        <v>742</v>
      </c>
      <c r="AF41" s="17" t="s">
        <v>744</v>
      </c>
      <c r="AG41" s="17" t="s">
        <v>744</v>
      </c>
      <c r="AH41" s="14" t="s">
        <v>742</v>
      </c>
      <c r="AI41" s="17" t="s">
        <v>744</v>
      </c>
      <c r="AJ41" s="17" t="s">
        <v>744</v>
      </c>
      <c r="AK41" s="14" t="s">
        <v>742</v>
      </c>
      <c r="AL41" s="17" t="s">
        <v>744</v>
      </c>
      <c r="AM41" s="17" t="s">
        <v>744</v>
      </c>
      <c r="AN41" s="14" t="s">
        <v>742</v>
      </c>
    </row>
    <row r="42" spans="1:40">
      <c r="A42" s="14">
        <v>0</v>
      </c>
      <c r="B42" s="14">
        <v>0</v>
      </c>
      <c r="C42" s="14">
        <v>150</v>
      </c>
      <c r="D42" s="14">
        <v>101</v>
      </c>
      <c r="E42" s="14">
        <v>3300</v>
      </c>
      <c r="F42" s="14">
        <v>150</v>
      </c>
      <c r="G42" s="16">
        <v>39147</v>
      </c>
      <c r="H42" s="14">
        <v>1071</v>
      </c>
      <c r="I42" s="14">
        <v>9852998</v>
      </c>
      <c r="J42" s="16">
        <v>39147</v>
      </c>
      <c r="K42" s="14">
        <v>1071</v>
      </c>
      <c r="L42" s="14" t="s">
        <v>197</v>
      </c>
      <c r="M42" s="14" t="s">
        <v>738</v>
      </c>
      <c r="N42" s="14" t="s">
        <v>199</v>
      </c>
      <c r="P42" s="14" t="s">
        <v>946</v>
      </c>
      <c r="Q42" s="17" t="s">
        <v>744</v>
      </c>
      <c r="R42" s="17" t="s">
        <v>744</v>
      </c>
      <c r="S42" s="14" t="s">
        <v>742</v>
      </c>
      <c r="T42" s="17" t="s">
        <v>522</v>
      </c>
      <c r="U42" s="17" t="s">
        <v>522</v>
      </c>
      <c r="V42" s="14" t="s">
        <v>742</v>
      </c>
      <c r="W42" s="17" t="s">
        <v>744</v>
      </c>
      <c r="X42" s="17" t="s">
        <v>744</v>
      </c>
      <c r="Y42" s="14" t="s">
        <v>742</v>
      </c>
      <c r="Z42" s="17" t="s">
        <v>744</v>
      </c>
      <c r="AA42" s="17" t="s">
        <v>744</v>
      </c>
      <c r="AB42" s="14" t="s">
        <v>742</v>
      </c>
      <c r="AC42" s="17" t="s">
        <v>546</v>
      </c>
      <c r="AD42" s="17" t="s">
        <v>546</v>
      </c>
      <c r="AE42" s="14" t="s">
        <v>742</v>
      </c>
      <c r="AF42" s="17" t="s">
        <v>744</v>
      </c>
      <c r="AG42" s="17" t="s">
        <v>744</v>
      </c>
      <c r="AH42" s="14" t="s">
        <v>742</v>
      </c>
      <c r="AI42" s="17" t="s">
        <v>744</v>
      </c>
      <c r="AJ42" s="17" t="s">
        <v>744</v>
      </c>
      <c r="AK42" s="14" t="s">
        <v>742</v>
      </c>
      <c r="AL42" s="17" t="s">
        <v>744</v>
      </c>
      <c r="AM42" s="17" t="s">
        <v>744</v>
      </c>
      <c r="AN42" s="14" t="s">
        <v>742</v>
      </c>
    </row>
    <row r="43" spans="1:40">
      <c r="A43" s="14">
        <v>0</v>
      </c>
      <c r="B43" s="14">
        <v>0</v>
      </c>
      <c r="C43" s="14">
        <v>150</v>
      </c>
      <c r="D43" s="14">
        <v>101</v>
      </c>
      <c r="E43" s="14">
        <v>3300</v>
      </c>
      <c r="F43" s="14">
        <v>150</v>
      </c>
      <c r="G43" s="16">
        <v>39147</v>
      </c>
      <c r="H43" s="14">
        <v>1071</v>
      </c>
      <c r="I43" s="14">
        <v>9852998</v>
      </c>
      <c r="J43" s="16">
        <v>39147</v>
      </c>
      <c r="K43" s="14">
        <v>1071</v>
      </c>
      <c r="L43" s="14" t="s">
        <v>197</v>
      </c>
      <c r="M43" s="14" t="s">
        <v>738</v>
      </c>
      <c r="N43" s="14" t="s">
        <v>199</v>
      </c>
      <c r="P43" s="14" t="s">
        <v>947</v>
      </c>
      <c r="Q43" s="17" t="s">
        <v>744</v>
      </c>
      <c r="R43" s="17" t="s">
        <v>744</v>
      </c>
      <c r="S43" s="14" t="s">
        <v>742</v>
      </c>
      <c r="T43" s="17" t="s">
        <v>522</v>
      </c>
      <c r="U43" s="17" t="s">
        <v>522</v>
      </c>
      <c r="V43" s="14" t="s">
        <v>742</v>
      </c>
      <c r="W43" s="17" t="s">
        <v>744</v>
      </c>
      <c r="X43" s="17" t="s">
        <v>744</v>
      </c>
      <c r="Y43" s="14" t="s">
        <v>742</v>
      </c>
      <c r="Z43" s="17" t="s">
        <v>744</v>
      </c>
      <c r="AA43" s="17" t="s">
        <v>744</v>
      </c>
      <c r="AB43" s="14" t="s">
        <v>742</v>
      </c>
      <c r="AC43" s="17" t="s">
        <v>547</v>
      </c>
      <c r="AD43" s="17" t="s">
        <v>547</v>
      </c>
      <c r="AE43" s="14" t="s">
        <v>742</v>
      </c>
      <c r="AF43" s="17" t="s">
        <v>744</v>
      </c>
      <c r="AG43" s="17" t="s">
        <v>744</v>
      </c>
      <c r="AH43" s="14" t="s">
        <v>742</v>
      </c>
      <c r="AI43" s="17" t="s">
        <v>744</v>
      </c>
      <c r="AJ43" s="17" t="s">
        <v>744</v>
      </c>
      <c r="AK43" s="14" t="s">
        <v>742</v>
      </c>
      <c r="AL43" s="17" t="s">
        <v>744</v>
      </c>
      <c r="AM43" s="17" t="s">
        <v>744</v>
      </c>
      <c r="AN43" s="14" t="s">
        <v>742</v>
      </c>
    </row>
    <row r="44" spans="1:40">
      <c r="A44" s="14">
        <v>0</v>
      </c>
      <c r="B44" s="14">
        <v>0</v>
      </c>
      <c r="C44" s="14">
        <v>150</v>
      </c>
      <c r="D44" s="14">
        <v>101</v>
      </c>
      <c r="E44" s="14">
        <v>3300</v>
      </c>
      <c r="F44" s="14">
        <v>150</v>
      </c>
      <c r="G44" s="16">
        <v>39147</v>
      </c>
      <c r="H44" s="14">
        <v>1071</v>
      </c>
      <c r="I44" s="14">
        <v>9852998</v>
      </c>
      <c r="J44" s="16">
        <v>39147</v>
      </c>
      <c r="K44" s="14">
        <v>1071</v>
      </c>
      <c r="L44" s="14" t="s">
        <v>197</v>
      </c>
      <c r="M44" s="14" t="s">
        <v>738</v>
      </c>
      <c r="N44" s="14" t="s">
        <v>199</v>
      </c>
      <c r="P44" s="14" t="s">
        <v>671</v>
      </c>
      <c r="Q44" s="17" t="s">
        <v>744</v>
      </c>
      <c r="R44" s="17" t="s">
        <v>744</v>
      </c>
      <c r="S44" s="14" t="s">
        <v>742</v>
      </c>
      <c r="T44" s="17" t="s">
        <v>524</v>
      </c>
      <c r="U44" s="17" t="s">
        <v>524</v>
      </c>
      <c r="V44" s="14" t="s">
        <v>742</v>
      </c>
      <c r="W44" s="17" t="s">
        <v>744</v>
      </c>
      <c r="X44" s="17" t="s">
        <v>744</v>
      </c>
      <c r="Y44" s="14" t="s">
        <v>742</v>
      </c>
      <c r="Z44" s="17" t="s">
        <v>744</v>
      </c>
      <c r="AA44" s="17" t="s">
        <v>744</v>
      </c>
      <c r="AB44" s="14" t="s">
        <v>742</v>
      </c>
      <c r="AC44" s="17" t="s">
        <v>546</v>
      </c>
      <c r="AD44" s="17" t="s">
        <v>546</v>
      </c>
      <c r="AE44" s="14" t="s">
        <v>742</v>
      </c>
      <c r="AF44" s="17" t="s">
        <v>744</v>
      </c>
      <c r="AG44" s="17" t="s">
        <v>744</v>
      </c>
      <c r="AH44" s="14" t="s">
        <v>742</v>
      </c>
      <c r="AI44" s="17" t="s">
        <v>744</v>
      </c>
      <c r="AJ44" s="17" t="s">
        <v>744</v>
      </c>
      <c r="AK44" s="14" t="s">
        <v>742</v>
      </c>
      <c r="AL44" s="17" t="s">
        <v>744</v>
      </c>
      <c r="AM44" s="17" t="s">
        <v>744</v>
      </c>
      <c r="AN44" s="14" t="s">
        <v>742</v>
      </c>
    </row>
    <row r="45" spans="1:40">
      <c r="A45" s="14">
        <v>0</v>
      </c>
      <c r="B45" s="14">
        <v>0</v>
      </c>
      <c r="C45" s="14">
        <v>150</v>
      </c>
      <c r="D45" s="14">
        <v>101</v>
      </c>
      <c r="E45" s="14">
        <v>3300</v>
      </c>
      <c r="F45" s="14">
        <v>150</v>
      </c>
      <c r="G45" s="16">
        <v>39147</v>
      </c>
      <c r="H45" s="14">
        <v>1071</v>
      </c>
      <c r="I45" s="14">
        <v>9852998</v>
      </c>
      <c r="J45" s="16">
        <v>39147</v>
      </c>
      <c r="K45" s="14">
        <v>1071</v>
      </c>
      <c r="L45" s="14" t="s">
        <v>197</v>
      </c>
      <c r="M45" s="14" t="s">
        <v>738</v>
      </c>
      <c r="N45" s="14" t="s">
        <v>199</v>
      </c>
      <c r="P45" s="14" t="s">
        <v>672</v>
      </c>
      <c r="Q45" s="17" t="s">
        <v>744</v>
      </c>
      <c r="R45" s="17" t="s">
        <v>744</v>
      </c>
      <c r="S45" s="14" t="s">
        <v>742</v>
      </c>
      <c r="T45" s="17" t="s">
        <v>524</v>
      </c>
      <c r="U45" s="17" t="s">
        <v>524</v>
      </c>
      <c r="V45" s="14" t="s">
        <v>742</v>
      </c>
      <c r="W45" s="17" t="s">
        <v>744</v>
      </c>
      <c r="X45" s="17" t="s">
        <v>744</v>
      </c>
      <c r="Y45" s="14" t="s">
        <v>742</v>
      </c>
      <c r="Z45" s="17" t="s">
        <v>744</v>
      </c>
      <c r="AA45" s="17" t="s">
        <v>744</v>
      </c>
      <c r="AB45" s="14" t="s">
        <v>742</v>
      </c>
      <c r="AC45" s="17" t="s">
        <v>547</v>
      </c>
      <c r="AD45" s="17" t="s">
        <v>547</v>
      </c>
      <c r="AE45" s="14" t="s">
        <v>742</v>
      </c>
      <c r="AF45" s="17" t="s">
        <v>744</v>
      </c>
      <c r="AG45" s="17" t="s">
        <v>744</v>
      </c>
      <c r="AH45" s="14" t="s">
        <v>742</v>
      </c>
      <c r="AI45" s="17" t="s">
        <v>744</v>
      </c>
      <c r="AJ45" s="17" t="s">
        <v>744</v>
      </c>
      <c r="AK45" s="14" t="s">
        <v>742</v>
      </c>
      <c r="AL45" s="17" t="s">
        <v>744</v>
      </c>
      <c r="AM45" s="17" t="s">
        <v>744</v>
      </c>
      <c r="AN45" s="14" t="s">
        <v>742</v>
      </c>
    </row>
    <row r="46" spans="1:40">
      <c r="A46" s="14">
        <v>0</v>
      </c>
      <c r="B46" s="14">
        <v>0</v>
      </c>
      <c r="C46" s="14">
        <v>160</v>
      </c>
      <c r="D46" s="14">
        <v>101</v>
      </c>
      <c r="E46" s="14">
        <v>3300</v>
      </c>
      <c r="F46" s="14">
        <v>160</v>
      </c>
      <c r="G46" s="16">
        <v>39147</v>
      </c>
      <c r="H46" s="14">
        <v>1071</v>
      </c>
      <c r="I46" s="14">
        <v>9852998</v>
      </c>
      <c r="J46" s="16">
        <v>39147</v>
      </c>
      <c r="K46" s="14">
        <v>1071</v>
      </c>
      <c r="L46" s="14" t="s">
        <v>197</v>
      </c>
      <c r="M46" s="14" t="s">
        <v>738</v>
      </c>
      <c r="N46" s="14" t="s">
        <v>199</v>
      </c>
      <c r="P46" s="14" t="s">
        <v>673</v>
      </c>
      <c r="Q46" s="17" t="s">
        <v>744</v>
      </c>
      <c r="R46" s="17" t="s">
        <v>744</v>
      </c>
      <c r="S46" s="14" t="s">
        <v>742</v>
      </c>
      <c r="T46" s="17" t="s">
        <v>526</v>
      </c>
      <c r="U46" s="17" t="s">
        <v>526</v>
      </c>
      <c r="V46" s="14" t="s">
        <v>742</v>
      </c>
      <c r="W46" s="17" t="s">
        <v>744</v>
      </c>
      <c r="X46" s="17" t="s">
        <v>744</v>
      </c>
      <c r="Y46" s="14" t="s">
        <v>742</v>
      </c>
      <c r="Z46" s="17" t="s">
        <v>744</v>
      </c>
      <c r="AA46" s="17" t="s">
        <v>744</v>
      </c>
      <c r="AB46" s="14" t="s">
        <v>742</v>
      </c>
      <c r="AC46" s="17" t="s">
        <v>546</v>
      </c>
      <c r="AD46" s="17" t="s">
        <v>546</v>
      </c>
      <c r="AE46" s="14" t="s">
        <v>742</v>
      </c>
      <c r="AF46" s="17" t="s">
        <v>744</v>
      </c>
      <c r="AG46" s="17" t="s">
        <v>744</v>
      </c>
      <c r="AH46" s="14" t="s">
        <v>742</v>
      </c>
      <c r="AI46" s="17" t="s">
        <v>744</v>
      </c>
      <c r="AJ46" s="17" t="s">
        <v>744</v>
      </c>
      <c r="AK46" s="14" t="s">
        <v>742</v>
      </c>
      <c r="AL46" s="17" t="s">
        <v>744</v>
      </c>
      <c r="AM46" s="17" t="s">
        <v>744</v>
      </c>
      <c r="AN46" s="14" t="s">
        <v>742</v>
      </c>
    </row>
    <row r="47" spans="1:40">
      <c r="A47" s="14">
        <v>0</v>
      </c>
      <c r="B47" s="14">
        <v>0</v>
      </c>
      <c r="C47" s="14">
        <v>160</v>
      </c>
      <c r="D47" s="14">
        <v>101</v>
      </c>
      <c r="E47" s="14">
        <v>3300</v>
      </c>
      <c r="F47" s="14">
        <v>160</v>
      </c>
      <c r="G47" s="16">
        <v>39147</v>
      </c>
      <c r="H47" s="14">
        <v>1071</v>
      </c>
      <c r="I47" s="14">
        <v>9852998</v>
      </c>
      <c r="J47" s="16">
        <v>39147</v>
      </c>
      <c r="K47" s="14">
        <v>1071</v>
      </c>
      <c r="L47" s="14" t="s">
        <v>197</v>
      </c>
      <c r="M47" s="14" t="s">
        <v>738</v>
      </c>
      <c r="N47" s="14" t="s">
        <v>199</v>
      </c>
      <c r="P47" s="14" t="s">
        <v>674</v>
      </c>
      <c r="Q47" s="17" t="s">
        <v>744</v>
      </c>
      <c r="R47" s="17" t="s">
        <v>744</v>
      </c>
      <c r="S47" s="14" t="s">
        <v>742</v>
      </c>
      <c r="T47" s="17" t="s">
        <v>526</v>
      </c>
      <c r="U47" s="17" t="s">
        <v>526</v>
      </c>
      <c r="V47" s="14" t="s">
        <v>742</v>
      </c>
      <c r="W47" s="17" t="s">
        <v>744</v>
      </c>
      <c r="X47" s="17" t="s">
        <v>744</v>
      </c>
      <c r="Y47" s="14" t="s">
        <v>742</v>
      </c>
      <c r="Z47" s="17" t="s">
        <v>744</v>
      </c>
      <c r="AA47" s="17" t="s">
        <v>744</v>
      </c>
      <c r="AB47" s="14" t="s">
        <v>742</v>
      </c>
      <c r="AC47" s="17" t="s">
        <v>547</v>
      </c>
      <c r="AD47" s="17" t="s">
        <v>547</v>
      </c>
      <c r="AE47" s="14" t="s">
        <v>742</v>
      </c>
      <c r="AF47" s="17" t="s">
        <v>744</v>
      </c>
      <c r="AG47" s="17" t="s">
        <v>744</v>
      </c>
      <c r="AH47" s="14" t="s">
        <v>742</v>
      </c>
      <c r="AI47" s="17" t="s">
        <v>744</v>
      </c>
      <c r="AJ47" s="17" t="s">
        <v>744</v>
      </c>
      <c r="AK47" s="14" t="s">
        <v>742</v>
      </c>
      <c r="AL47" s="17" t="s">
        <v>744</v>
      </c>
      <c r="AM47" s="17" t="s">
        <v>744</v>
      </c>
      <c r="AN47" s="14" t="s">
        <v>742</v>
      </c>
    </row>
    <row r="48" spans="1:40">
      <c r="A48" s="14">
        <v>0</v>
      </c>
      <c r="B48" s="14">
        <v>0</v>
      </c>
      <c r="C48" s="14">
        <v>160</v>
      </c>
      <c r="D48" s="14">
        <v>101</v>
      </c>
      <c r="E48" s="14">
        <v>3300</v>
      </c>
      <c r="F48" s="14">
        <v>160</v>
      </c>
      <c r="G48" s="16">
        <v>39147</v>
      </c>
      <c r="H48" s="14">
        <v>1071</v>
      </c>
      <c r="I48" s="14">
        <v>9852998</v>
      </c>
      <c r="J48" s="16">
        <v>39147</v>
      </c>
      <c r="K48" s="14">
        <v>1071</v>
      </c>
      <c r="L48" s="14" t="s">
        <v>197</v>
      </c>
      <c r="M48" s="14" t="s">
        <v>738</v>
      </c>
      <c r="N48" s="14" t="s">
        <v>199</v>
      </c>
      <c r="P48" s="14" t="s">
        <v>1012</v>
      </c>
      <c r="Q48" s="17" t="s">
        <v>744</v>
      </c>
      <c r="R48" s="17" t="s">
        <v>744</v>
      </c>
      <c r="S48" s="14" t="s">
        <v>742</v>
      </c>
      <c r="T48" s="17" t="s">
        <v>525</v>
      </c>
      <c r="U48" s="17" t="s">
        <v>525</v>
      </c>
      <c r="V48" s="14" t="s">
        <v>742</v>
      </c>
      <c r="W48" s="17" t="s">
        <v>744</v>
      </c>
      <c r="X48" s="17" t="s">
        <v>744</v>
      </c>
      <c r="Y48" s="14" t="s">
        <v>742</v>
      </c>
      <c r="Z48" s="17" t="s">
        <v>744</v>
      </c>
      <c r="AA48" s="17" t="s">
        <v>744</v>
      </c>
      <c r="AB48" s="14" t="s">
        <v>742</v>
      </c>
      <c r="AC48" s="17" t="s">
        <v>546</v>
      </c>
      <c r="AD48" s="17" t="s">
        <v>546</v>
      </c>
      <c r="AE48" s="14" t="s">
        <v>742</v>
      </c>
      <c r="AF48" s="17" t="s">
        <v>744</v>
      </c>
      <c r="AG48" s="17" t="s">
        <v>744</v>
      </c>
      <c r="AH48" s="14" t="s">
        <v>742</v>
      </c>
      <c r="AI48" s="17" t="s">
        <v>744</v>
      </c>
      <c r="AJ48" s="17" t="s">
        <v>744</v>
      </c>
      <c r="AK48" s="14" t="s">
        <v>742</v>
      </c>
      <c r="AL48" s="17" t="s">
        <v>744</v>
      </c>
      <c r="AM48" s="17" t="s">
        <v>744</v>
      </c>
      <c r="AN48" s="14" t="s">
        <v>742</v>
      </c>
    </row>
    <row r="49" spans="1:40">
      <c r="A49" s="14">
        <v>0</v>
      </c>
      <c r="B49" s="14">
        <v>0</v>
      </c>
      <c r="C49" s="14">
        <v>160</v>
      </c>
      <c r="D49" s="14">
        <v>101</v>
      </c>
      <c r="E49" s="14">
        <v>3300</v>
      </c>
      <c r="F49" s="14">
        <v>160</v>
      </c>
      <c r="G49" s="16">
        <v>39147</v>
      </c>
      <c r="H49" s="14">
        <v>1071</v>
      </c>
      <c r="I49" s="14">
        <v>9852998</v>
      </c>
      <c r="J49" s="16">
        <v>39147</v>
      </c>
      <c r="K49" s="14">
        <v>1071</v>
      </c>
      <c r="L49" s="14" t="s">
        <v>197</v>
      </c>
      <c r="M49" s="14" t="s">
        <v>738</v>
      </c>
      <c r="N49" s="14" t="s">
        <v>199</v>
      </c>
      <c r="P49" s="14" t="s">
        <v>1013</v>
      </c>
      <c r="Q49" s="17" t="s">
        <v>744</v>
      </c>
      <c r="R49" s="17" t="s">
        <v>744</v>
      </c>
      <c r="S49" s="14" t="s">
        <v>742</v>
      </c>
      <c r="T49" s="17" t="s">
        <v>525</v>
      </c>
      <c r="U49" s="17" t="s">
        <v>525</v>
      </c>
      <c r="V49" s="14" t="s">
        <v>742</v>
      </c>
      <c r="W49" s="17" t="s">
        <v>744</v>
      </c>
      <c r="X49" s="17" t="s">
        <v>744</v>
      </c>
      <c r="Y49" s="14" t="s">
        <v>742</v>
      </c>
      <c r="Z49" s="17" t="s">
        <v>744</v>
      </c>
      <c r="AA49" s="17" t="s">
        <v>744</v>
      </c>
      <c r="AB49" s="14" t="s">
        <v>742</v>
      </c>
      <c r="AC49" s="17" t="s">
        <v>547</v>
      </c>
      <c r="AD49" s="17" t="s">
        <v>547</v>
      </c>
      <c r="AE49" s="14" t="s">
        <v>742</v>
      </c>
      <c r="AF49" s="17" t="s">
        <v>744</v>
      </c>
      <c r="AG49" s="17" t="s">
        <v>744</v>
      </c>
      <c r="AH49" s="14" t="s">
        <v>742</v>
      </c>
      <c r="AI49" s="17" t="s">
        <v>744</v>
      </c>
      <c r="AJ49" s="17" t="s">
        <v>744</v>
      </c>
      <c r="AK49" s="14" t="s">
        <v>742</v>
      </c>
      <c r="AL49" s="17" t="s">
        <v>744</v>
      </c>
      <c r="AM49" s="17" t="s">
        <v>744</v>
      </c>
      <c r="AN49" s="14" t="s">
        <v>742</v>
      </c>
    </row>
    <row r="50" spans="1:40">
      <c r="A50" s="14">
        <v>0</v>
      </c>
      <c r="B50" s="14">
        <v>0</v>
      </c>
      <c r="C50" s="14">
        <v>170</v>
      </c>
      <c r="D50" s="14">
        <v>101</v>
      </c>
      <c r="E50" s="14">
        <v>3300</v>
      </c>
      <c r="F50" s="14">
        <v>170</v>
      </c>
      <c r="G50" s="16">
        <v>39147</v>
      </c>
      <c r="H50" s="14">
        <v>1071</v>
      </c>
      <c r="I50" s="14">
        <v>9852998</v>
      </c>
      <c r="J50" s="16">
        <v>39147</v>
      </c>
      <c r="K50" s="14">
        <v>1071</v>
      </c>
      <c r="L50" s="14" t="s">
        <v>197</v>
      </c>
      <c r="M50" s="14" t="s">
        <v>738</v>
      </c>
      <c r="N50" s="14" t="s">
        <v>199</v>
      </c>
      <c r="P50" s="14" t="s">
        <v>503</v>
      </c>
      <c r="Q50" s="17" t="s">
        <v>744</v>
      </c>
      <c r="R50" s="17" t="s">
        <v>744</v>
      </c>
      <c r="S50" s="14" t="s">
        <v>742</v>
      </c>
      <c r="T50" s="17" t="s">
        <v>515</v>
      </c>
      <c r="U50" s="17" t="s">
        <v>515</v>
      </c>
      <c r="V50" s="14" t="s">
        <v>742</v>
      </c>
      <c r="W50" s="17" t="s">
        <v>744</v>
      </c>
      <c r="X50" s="17" t="s">
        <v>744</v>
      </c>
      <c r="Y50" s="14" t="s">
        <v>742</v>
      </c>
      <c r="Z50" s="17" t="s">
        <v>744</v>
      </c>
      <c r="AA50" s="17" t="s">
        <v>744</v>
      </c>
      <c r="AB50" s="14" t="s">
        <v>742</v>
      </c>
      <c r="AC50" s="17" t="s">
        <v>548</v>
      </c>
      <c r="AD50" s="17" t="s">
        <v>548</v>
      </c>
      <c r="AE50" s="14" t="s">
        <v>742</v>
      </c>
      <c r="AF50" s="17" t="s">
        <v>744</v>
      </c>
      <c r="AG50" s="17" t="s">
        <v>744</v>
      </c>
      <c r="AH50" s="14" t="s">
        <v>742</v>
      </c>
      <c r="AI50" s="17" t="s">
        <v>744</v>
      </c>
      <c r="AJ50" s="17" t="s">
        <v>744</v>
      </c>
      <c r="AK50" s="14" t="s">
        <v>742</v>
      </c>
      <c r="AL50" s="17" t="s">
        <v>744</v>
      </c>
      <c r="AM50" s="17" t="s">
        <v>744</v>
      </c>
      <c r="AN50" s="14" t="s">
        <v>742</v>
      </c>
    </row>
    <row r="51" spans="1:40">
      <c r="A51" s="14">
        <v>0</v>
      </c>
      <c r="B51" s="14">
        <v>0</v>
      </c>
      <c r="C51" s="14">
        <v>170</v>
      </c>
      <c r="D51" s="14">
        <v>101</v>
      </c>
      <c r="E51" s="14">
        <v>3300</v>
      </c>
      <c r="F51" s="14">
        <v>170</v>
      </c>
      <c r="G51" s="16">
        <v>39147</v>
      </c>
      <c r="H51" s="14">
        <v>1071</v>
      </c>
      <c r="I51" s="14">
        <v>9852998</v>
      </c>
      <c r="J51" s="16">
        <v>39147</v>
      </c>
      <c r="K51" s="14">
        <v>1071</v>
      </c>
      <c r="L51" s="14" t="s">
        <v>197</v>
      </c>
      <c r="M51" s="14" t="s">
        <v>738</v>
      </c>
      <c r="N51" s="14" t="s">
        <v>199</v>
      </c>
      <c r="P51" s="14" t="s">
        <v>504</v>
      </c>
      <c r="Q51" s="17" t="s">
        <v>744</v>
      </c>
      <c r="R51" s="17" t="s">
        <v>744</v>
      </c>
      <c r="S51" s="14" t="s">
        <v>742</v>
      </c>
      <c r="T51" s="17" t="s">
        <v>515</v>
      </c>
      <c r="U51" s="17" t="s">
        <v>515</v>
      </c>
      <c r="V51" s="14" t="s">
        <v>742</v>
      </c>
      <c r="W51" s="17" t="s">
        <v>744</v>
      </c>
      <c r="X51" s="17" t="s">
        <v>744</v>
      </c>
      <c r="Y51" s="14" t="s">
        <v>742</v>
      </c>
      <c r="Z51" s="17" t="s">
        <v>744</v>
      </c>
      <c r="AA51" s="17" t="s">
        <v>744</v>
      </c>
      <c r="AB51" s="14" t="s">
        <v>742</v>
      </c>
      <c r="AC51" s="17" t="s">
        <v>549</v>
      </c>
      <c r="AD51" s="17" t="s">
        <v>549</v>
      </c>
      <c r="AE51" s="14" t="s">
        <v>742</v>
      </c>
      <c r="AF51" s="17" t="s">
        <v>744</v>
      </c>
      <c r="AG51" s="17" t="s">
        <v>744</v>
      </c>
      <c r="AH51" s="14" t="s">
        <v>742</v>
      </c>
      <c r="AI51" s="17" t="s">
        <v>744</v>
      </c>
      <c r="AJ51" s="17" t="s">
        <v>744</v>
      </c>
      <c r="AK51" s="14" t="s">
        <v>742</v>
      </c>
      <c r="AL51" s="17" t="s">
        <v>744</v>
      </c>
      <c r="AM51" s="17" t="s">
        <v>744</v>
      </c>
      <c r="AN51" s="14" t="s">
        <v>742</v>
      </c>
    </row>
    <row r="52" spans="1:40">
      <c r="A52" s="14">
        <v>0</v>
      </c>
      <c r="B52" s="14">
        <v>0</v>
      </c>
      <c r="C52" s="14">
        <v>170</v>
      </c>
      <c r="D52" s="14">
        <v>101</v>
      </c>
      <c r="E52" s="14">
        <v>3300</v>
      </c>
      <c r="F52" s="14">
        <v>170</v>
      </c>
      <c r="G52" s="16">
        <v>39147</v>
      </c>
      <c r="H52" s="14">
        <v>1071</v>
      </c>
      <c r="I52" s="14">
        <v>9852998</v>
      </c>
      <c r="J52" s="16">
        <v>39147</v>
      </c>
      <c r="K52" s="14">
        <v>1071</v>
      </c>
      <c r="L52" s="14" t="s">
        <v>197</v>
      </c>
      <c r="M52" s="14" t="s">
        <v>738</v>
      </c>
      <c r="N52" s="14" t="s">
        <v>199</v>
      </c>
      <c r="P52" s="14" t="s">
        <v>505</v>
      </c>
      <c r="Q52" s="17" t="s">
        <v>744</v>
      </c>
      <c r="R52" s="17" t="s">
        <v>744</v>
      </c>
      <c r="S52" s="14" t="s">
        <v>742</v>
      </c>
      <c r="T52" s="17" t="s">
        <v>516</v>
      </c>
      <c r="U52" s="17" t="s">
        <v>516</v>
      </c>
      <c r="V52" s="14" t="s">
        <v>742</v>
      </c>
      <c r="W52" s="17" t="s">
        <v>744</v>
      </c>
      <c r="X52" s="17" t="s">
        <v>744</v>
      </c>
      <c r="Y52" s="14" t="s">
        <v>742</v>
      </c>
      <c r="Z52" s="17" t="s">
        <v>744</v>
      </c>
      <c r="AA52" s="17" t="s">
        <v>744</v>
      </c>
      <c r="AB52" s="14" t="s">
        <v>742</v>
      </c>
      <c r="AC52" s="17" t="s">
        <v>548</v>
      </c>
      <c r="AD52" s="17" t="s">
        <v>548</v>
      </c>
      <c r="AE52" s="14" t="s">
        <v>742</v>
      </c>
      <c r="AF52" s="17" t="s">
        <v>744</v>
      </c>
      <c r="AG52" s="17" t="s">
        <v>744</v>
      </c>
      <c r="AH52" s="14" t="s">
        <v>742</v>
      </c>
      <c r="AI52" s="17" t="s">
        <v>744</v>
      </c>
      <c r="AJ52" s="17" t="s">
        <v>744</v>
      </c>
      <c r="AK52" s="14" t="s">
        <v>742</v>
      </c>
      <c r="AL52" s="17" t="s">
        <v>744</v>
      </c>
      <c r="AM52" s="17" t="s">
        <v>744</v>
      </c>
      <c r="AN52" s="14" t="s">
        <v>742</v>
      </c>
    </row>
    <row r="53" spans="1:40">
      <c r="A53" s="14">
        <v>0</v>
      </c>
      <c r="B53" s="14">
        <v>0</v>
      </c>
      <c r="C53" s="14">
        <v>170</v>
      </c>
      <c r="D53" s="14">
        <v>101</v>
      </c>
      <c r="E53" s="14">
        <v>3300</v>
      </c>
      <c r="F53" s="14">
        <v>170</v>
      </c>
      <c r="G53" s="16">
        <v>39147</v>
      </c>
      <c r="H53" s="14">
        <v>1071</v>
      </c>
      <c r="I53" s="14">
        <v>9852998</v>
      </c>
      <c r="J53" s="16">
        <v>39147</v>
      </c>
      <c r="K53" s="14">
        <v>1071</v>
      </c>
      <c r="L53" s="14" t="s">
        <v>197</v>
      </c>
      <c r="M53" s="14" t="s">
        <v>738</v>
      </c>
      <c r="N53" s="14" t="s">
        <v>199</v>
      </c>
      <c r="P53" s="14" t="s">
        <v>506</v>
      </c>
      <c r="Q53" s="17" t="s">
        <v>744</v>
      </c>
      <c r="R53" s="17" t="s">
        <v>744</v>
      </c>
      <c r="S53" s="14" t="s">
        <v>742</v>
      </c>
      <c r="T53" s="17" t="s">
        <v>516</v>
      </c>
      <c r="U53" s="17" t="s">
        <v>516</v>
      </c>
      <c r="V53" s="14" t="s">
        <v>742</v>
      </c>
      <c r="W53" s="17" t="s">
        <v>744</v>
      </c>
      <c r="X53" s="17" t="s">
        <v>744</v>
      </c>
      <c r="Y53" s="14" t="s">
        <v>742</v>
      </c>
      <c r="Z53" s="17" t="s">
        <v>744</v>
      </c>
      <c r="AA53" s="17" t="s">
        <v>744</v>
      </c>
      <c r="AB53" s="14" t="s">
        <v>742</v>
      </c>
      <c r="AC53" s="17" t="s">
        <v>549</v>
      </c>
      <c r="AD53" s="17" t="s">
        <v>549</v>
      </c>
      <c r="AE53" s="14" t="s">
        <v>742</v>
      </c>
      <c r="AF53" s="17" t="s">
        <v>744</v>
      </c>
      <c r="AG53" s="17" t="s">
        <v>744</v>
      </c>
      <c r="AH53" s="14" t="s">
        <v>742</v>
      </c>
      <c r="AI53" s="17" t="s">
        <v>744</v>
      </c>
      <c r="AJ53" s="17" t="s">
        <v>744</v>
      </c>
      <c r="AK53" s="14" t="s">
        <v>742</v>
      </c>
      <c r="AL53" s="17" t="s">
        <v>744</v>
      </c>
      <c r="AM53" s="17" t="s">
        <v>744</v>
      </c>
      <c r="AN53" s="14" t="s">
        <v>742</v>
      </c>
    </row>
    <row r="54" spans="1:40">
      <c r="A54" s="14">
        <v>0</v>
      </c>
      <c r="B54" s="14">
        <v>0</v>
      </c>
      <c r="C54" s="14">
        <v>180</v>
      </c>
      <c r="D54" s="14">
        <v>101</v>
      </c>
      <c r="E54" s="14">
        <v>3300</v>
      </c>
      <c r="F54" s="14">
        <v>180</v>
      </c>
      <c r="G54" s="16">
        <v>39147</v>
      </c>
      <c r="H54" s="14">
        <v>1071</v>
      </c>
      <c r="I54" s="14">
        <v>9852998</v>
      </c>
      <c r="J54" s="16">
        <v>39147</v>
      </c>
      <c r="K54" s="14">
        <v>1071</v>
      </c>
      <c r="L54" s="14" t="s">
        <v>197</v>
      </c>
      <c r="M54" s="14" t="s">
        <v>738</v>
      </c>
      <c r="N54" s="14" t="s">
        <v>199</v>
      </c>
      <c r="P54" s="14" t="s">
        <v>507</v>
      </c>
      <c r="Q54" s="17" t="s">
        <v>744</v>
      </c>
      <c r="R54" s="17" t="s">
        <v>744</v>
      </c>
      <c r="S54" s="14" t="s">
        <v>742</v>
      </c>
      <c r="T54" s="17" t="s">
        <v>522</v>
      </c>
      <c r="U54" s="17" t="s">
        <v>522</v>
      </c>
      <c r="V54" s="14" t="s">
        <v>742</v>
      </c>
      <c r="W54" s="17" t="s">
        <v>744</v>
      </c>
      <c r="X54" s="17" t="s">
        <v>744</v>
      </c>
      <c r="Y54" s="14" t="s">
        <v>742</v>
      </c>
      <c r="Z54" s="17" t="s">
        <v>744</v>
      </c>
      <c r="AA54" s="17" t="s">
        <v>744</v>
      </c>
      <c r="AB54" s="14" t="s">
        <v>742</v>
      </c>
      <c r="AC54" s="17" t="s">
        <v>548</v>
      </c>
      <c r="AD54" s="17" t="s">
        <v>548</v>
      </c>
      <c r="AE54" s="14" t="s">
        <v>742</v>
      </c>
      <c r="AF54" s="17" t="s">
        <v>744</v>
      </c>
      <c r="AG54" s="17" t="s">
        <v>744</v>
      </c>
      <c r="AH54" s="14" t="s">
        <v>742</v>
      </c>
      <c r="AI54" s="17" t="s">
        <v>744</v>
      </c>
      <c r="AJ54" s="17" t="s">
        <v>744</v>
      </c>
      <c r="AK54" s="14" t="s">
        <v>742</v>
      </c>
      <c r="AL54" s="17" t="s">
        <v>744</v>
      </c>
      <c r="AM54" s="17" t="s">
        <v>744</v>
      </c>
      <c r="AN54" s="14" t="s">
        <v>742</v>
      </c>
    </row>
    <row r="55" spans="1:40">
      <c r="A55" s="14">
        <v>0</v>
      </c>
      <c r="B55" s="14">
        <v>0</v>
      </c>
      <c r="C55" s="14">
        <v>180</v>
      </c>
      <c r="D55" s="14">
        <v>101</v>
      </c>
      <c r="E55" s="14">
        <v>3300</v>
      </c>
      <c r="F55" s="14">
        <v>180</v>
      </c>
      <c r="G55" s="16">
        <v>39147</v>
      </c>
      <c r="H55" s="14">
        <v>1071</v>
      </c>
      <c r="I55" s="14">
        <v>9852998</v>
      </c>
      <c r="J55" s="16">
        <v>39147</v>
      </c>
      <c r="K55" s="14">
        <v>1071</v>
      </c>
      <c r="L55" s="14" t="s">
        <v>197</v>
      </c>
      <c r="M55" s="14" t="s">
        <v>738</v>
      </c>
      <c r="N55" s="14" t="s">
        <v>199</v>
      </c>
      <c r="P55" s="14" t="s">
        <v>508</v>
      </c>
      <c r="Q55" s="17" t="s">
        <v>744</v>
      </c>
      <c r="R55" s="17" t="s">
        <v>744</v>
      </c>
      <c r="S55" s="14" t="s">
        <v>742</v>
      </c>
      <c r="T55" s="17" t="s">
        <v>522</v>
      </c>
      <c r="U55" s="17" t="s">
        <v>522</v>
      </c>
      <c r="V55" s="14" t="s">
        <v>742</v>
      </c>
      <c r="W55" s="17" t="s">
        <v>744</v>
      </c>
      <c r="X55" s="17" t="s">
        <v>744</v>
      </c>
      <c r="Y55" s="14" t="s">
        <v>742</v>
      </c>
      <c r="Z55" s="17" t="s">
        <v>744</v>
      </c>
      <c r="AA55" s="17" t="s">
        <v>744</v>
      </c>
      <c r="AB55" s="14" t="s">
        <v>742</v>
      </c>
      <c r="AC55" s="17" t="s">
        <v>549</v>
      </c>
      <c r="AD55" s="17" t="s">
        <v>549</v>
      </c>
      <c r="AE55" s="14" t="s">
        <v>742</v>
      </c>
      <c r="AF55" s="17" t="s">
        <v>744</v>
      </c>
      <c r="AG55" s="17" t="s">
        <v>744</v>
      </c>
      <c r="AH55" s="14" t="s">
        <v>742</v>
      </c>
      <c r="AI55" s="17" t="s">
        <v>744</v>
      </c>
      <c r="AJ55" s="17" t="s">
        <v>744</v>
      </c>
      <c r="AK55" s="14" t="s">
        <v>742</v>
      </c>
      <c r="AL55" s="17" t="s">
        <v>744</v>
      </c>
      <c r="AM55" s="17" t="s">
        <v>744</v>
      </c>
      <c r="AN55" s="14" t="s">
        <v>742</v>
      </c>
    </row>
    <row r="56" spans="1:40">
      <c r="A56" s="14">
        <v>0</v>
      </c>
      <c r="B56" s="14">
        <v>0</v>
      </c>
      <c r="C56" s="14">
        <v>180</v>
      </c>
      <c r="D56" s="14">
        <v>101</v>
      </c>
      <c r="E56" s="14">
        <v>3300</v>
      </c>
      <c r="F56" s="14">
        <v>180</v>
      </c>
      <c r="G56" s="16">
        <v>39147</v>
      </c>
      <c r="H56" s="14">
        <v>1071</v>
      </c>
      <c r="I56" s="14">
        <v>9852998</v>
      </c>
      <c r="J56" s="16">
        <v>39147</v>
      </c>
      <c r="K56" s="14">
        <v>1071</v>
      </c>
      <c r="L56" s="14" t="s">
        <v>197</v>
      </c>
      <c r="M56" s="14" t="s">
        <v>738</v>
      </c>
      <c r="N56" s="14" t="s">
        <v>199</v>
      </c>
      <c r="P56" s="14" t="s">
        <v>509</v>
      </c>
      <c r="Q56" s="17" t="s">
        <v>744</v>
      </c>
      <c r="R56" s="17" t="s">
        <v>744</v>
      </c>
      <c r="S56" s="14" t="s">
        <v>742</v>
      </c>
      <c r="T56" s="17" t="s">
        <v>524</v>
      </c>
      <c r="U56" s="17" t="s">
        <v>524</v>
      </c>
      <c r="V56" s="14" t="s">
        <v>742</v>
      </c>
      <c r="W56" s="17" t="s">
        <v>744</v>
      </c>
      <c r="X56" s="17" t="s">
        <v>744</v>
      </c>
      <c r="Y56" s="14" t="s">
        <v>742</v>
      </c>
      <c r="Z56" s="17" t="s">
        <v>744</v>
      </c>
      <c r="AA56" s="17" t="s">
        <v>744</v>
      </c>
      <c r="AB56" s="14" t="s">
        <v>742</v>
      </c>
      <c r="AC56" s="17" t="s">
        <v>548</v>
      </c>
      <c r="AD56" s="17" t="s">
        <v>548</v>
      </c>
      <c r="AE56" s="14" t="s">
        <v>742</v>
      </c>
      <c r="AF56" s="17" t="s">
        <v>744</v>
      </c>
      <c r="AG56" s="17" t="s">
        <v>744</v>
      </c>
      <c r="AH56" s="14" t="s">
        <v>742</v>
      </c>
      <c r="AI56" s="17" t="s">
        <v>744</v>
      </c>
      <c r="AJ56" s="17" t="s">
        <v>744</v>
      </c>
      <c r="AK56" s="14" t="s">
        <v>742</v>
      </c>
      <c r="AL56" s="17" t="s">
        <v>744</v>
      </c>
      <c r="AM56" s="17" t="s">
        <v>744</v>
      </c>
      <c r="AN56" s="14" t="s">
        <v>742</v>
      </c>
    </row>
    <row r="57" spans="1:40">
      <c r="A57" s="14">
        <v>0</v>
      </c>
      <c r="B57" s="14">
        <v>0</v>
      </c>
      <c r="C57" s="14">
        <v>180</v>
      </c>
      <c r="D57" s="14">
        <v>101</v>
      </c>
      <c r="E57" s="14">
        <v>3300</v>
      </c>
      <c r="F57" s="14">
        <v>180</v>
      </c>
      <c r="G57" s="16">
        <v>39147</v>
      </c>
      <c r="H57" s="14">
        <v>1071</v>
      </c>
      <c r="I57" s="14">
        <v>9852998</v>
      </c>
      <c r="J57" s="16">
        <v>39147</v>
      </c>
      <c r="K57" s="14">
        <v>1071</v>
      </c>
      <c r="L57" s="14" t="s">
        <v>197</v>
      </c>
      <c r="M57" s="14" t="s">
        <v>738</v>
      </c>
      <c r="N57" s="14" t="s">
        <v>199</v>
      </c>
      <c r="P57" s="14" t="s">
        <v>510</v>
      </c>
      <c r="Q57" s="17" t="s">
        <v>744</v>
      </c>
      <c r="R57" s="17" t="s">
        <v>744</v>
      </c>
      <c r="S57" s="14" t="s">
        <v>742</v>
      </c>
      <c r="T57" s="17" t="s">
        <v>524</v>
      </c>
      <c r="U57" s="17" t="s">
        <v>524</v>
      </c>
      <c r="V57" s="14" t="s">
        <v>742</v>
      </c>
      <c r="W57" s="17" t="s">
        <v>744</v>
      </c>
      <c r="X57" s="17" t="s">
        <v>744</v>
      </c>
      <c r="Y57" s="14" t="s">
        <v>742</v>
      </c>
      <c r="Z57" s="17" t="s">
        <v>744</v>
      </c>
      <c r="AA57" s="17" t="s">
        <v>744</v>
      </c>
      <c r="AB57" s="14" t="s">
        <v>742</v>
      </c>
      <c r="AC57" s="17" t="s">
        <v>549</v>
      </c>
      <c r="AD57" s="17" t="s">
        <v>549</v>
      </c>
      <c r="AE57" s="14" t="s">
        <v>742</v>
      </c>
      <c r="AF57" s="17" t="s">
        <v>744</v>
      </c>
      <c r="AG57" s="17" t="s">
        <v>744</v>
      </c>
      <c r="AH57" s="14" t="s">
        <v>742</v>
      </c>
      <c r="AI57" s="17" t="s">
        <v>744</v>
      </c>
      <c r="AJ57" s="17" t="s">
        <v>744</v>
      </c>
      <c r="AK57" s="14" t="s">
        <v>742</v>
      </c>
      <c r="AL57" s="17" t="s">
        <v>744</v>
      </c>
      <c r="AM57" s="17" t="s">
        <v>744</v>
      </c>
      <c r="AN57" s="14" t="s">
        <v>742</v>
      </c>
    </row>
    <row r="58" spans="1:40">
      <c r="A58" s="14">
        <v>0</v>
      </c>
      <c r="B58" s="14">
        <v>0</v>
      </c>
      <c r="C58" s="14">
        <v>190</v>
      </c>
      <c r="D58" s="14">
        <v>101</v>
      </c>
      <c r="E58" s="14">
        <v>3300</v>
      </c>
      <c r="F58" s="14">
        <v>190</v>
      </c>
      <c r="G58" s="16">
        <v>39147</v>
      </c>
      <c r="H58" s="14">
        <v>1071</v>
      </c>
      <c r="I58" s="14">
        <v>9852998</v>
      </c>
      <c r="J58" s="16">
        <v>39147</v>
      </c>
      <c r="K58" s="14">
        <v>1071</v>
      </c>
      <c r="L58" s="14" t="s">
        <v>197</v>
      </c>
      <c r="M58" s="14" t="s">
        <v>738</v>
      </c>
      <c r="N58" s="14" t="s">
        <v>199</v>
      </c>
      <c r="P58" s="14" t="s">
        <v>511</v>
      </c>
      <c r="Q58" s="17" t="s">
        <v>744</v>
      </c>
      <c r="R58" s="17" t="s">
        <v>744</v>
      </c>
      <c r="S58" s="14" t="s">
        <v>742</v>
      </c>
      <c r="T58" s="17" t="s">
        <v>526</v>
      </c>
      <c r="U58" s="17" t="s">
        <v>526</v>
      </c>
      <c r="V58" s="14" t="s">
        <v>742</v>
      </c>
      <c r="W58" s="17" t="s">
        <v>744</v>
      </c>
      <c r="X58" s="17" t="s">
        <v>744</v>
      </c>
      <c r="Y58" s="14" t="s">
        <v>742</v>
      </c>
      <c r="Z58" s="17" t="s">
        <v>744</v>
      </c>
      <c r="AA58" s="17" t="s">
        <v>744</v>
      </c>
      <c r="AB58" s="14" t="s">
        <v>742</v>
      </c>
      <c r="AC58" s="17" t="s">
        <v>548</v>
      </c>
      <c r="AD58" s="17" t="s">
        <v>548</v>
      </c>
      <c r="AE58" s="14" t="s">
        <v>742</v>
      </c>
      <c r="AF58" s="17" t="s">
        <v>744</v>
      </c>
      <c r="AG58" s="17" t="s">
        <v>744</v>
      </c>
      <c r="AH58" s="14" t="s">
        <v>742</v>
      </c>
      <c r="AI58" s="17" t="s">
        <v>744</v>
      </c>
      <c r="AJ58" s="17" t="s">
        <v>744</v>
      </c>
      <c r="AK58" s="14" t="s">
        <v>742</v>
      </c>
      <c r="AL58" s="17" t="s">
        <v>744</v>
      </c>
      <c r="AM58" s="17" t="s">
        <v>744</v>
      </c>
      <c r="AN58" s="14" t="s">
        <v>742</v>
      </c>
    </row>
    <row r="59" spans="1:40">
      <c r="A59" s="14">
        <v>0</v>
      </c>
      <c r="B59" s="14">
        <v>0</v>
      </c>
      <c r="C59" s="14">
        <v>190</v>
      </c>
      <c r="D59" s="14">
        <v>101</v>
      </c>
      <c r="E59" s="14">
        <v>3300</v>
      </c>
      <c r="F59" s="14">
        <v>190</v>
      </c>
      <c r="G59" s="16">
        <v>39147</v>
      </c>
      <c r="H59" s="14">
        <v>1071</v>
      </c>
      <c r="I59" s="14">
        <v>9852998</v>
      </c>
      <c r="J59" s="16">
        <v>39147</v>
      </c>
      <c r="K59" s="14">
        <v>1071</v>
      </c>
      <c r="L59" s="14" t="s">
        <v>197</v>
      </c>
      <c r="M59" s="14" t="s">
        <v>738</v>
      </c>
      <c r="N59" s="14" t="s">
        <v>199</v>
      </c>
      <c r="P59" s="14" t="s">
        <v>512</v>
      </c>
      <c r="Q59" s="17" t="s">
        <v>744</v>
      </c>
      <c r="R59" s="17" t="s">
        <v>744</v>
      </c>
      <c r="S59" s="14" t="s">
        <v>742</v>
      </c>
      <c r="T59" s="17" t="s">
        <v>526</v>
      </c>
      <c r="U59" s="17" t="s">
        <v>526</v>
      </c>
      <c r="V59" s="14" t="s">
        <v>742</v>
      </c>
      <c r="W59" s="17" t="s">
        <v>744</v>
      </c>
      <c r="X59" s="17" t="s">
        <v>744</v>
      </c>
      <c r="Y59" s="14" t="s">
        <v>742</v>
      </c>
      <c r="Z59" s="17" t="s">
        <v>744</v>
      </c>
      <c r="AA59" s="17" t="s">
        <v>744</v>
      </c>
      <c r="AB59" s="14" t="s">
        <v>742</v>
      </c>
      <c r="AC59" s="17" t="s">
        <v>549</v>
      </c>
      <c r="AD59" s="17" t="s">
        <v>549</v>
      </c>
      <c r="AE59" s="14" t="s">
        <v>742</v>
      </c>
      <c r="AF59" s="17" t="s">
        <v>744</v>
      </c>
      <c r="AG59" s="17" t="s">
        <v>744</v>
      </c>
      <c r="AH59" s="14" t="s">
        <v>742</v>
      </c>
      <c r="AI59" s="17" t="s">
        <v>744</v>
      </c>
      <c r="AJ59" s="17" t="s">
        <v>744</v>
      </c>
      <c r="AK59" s="14" t="s">
        <v>742</v>
      </c>
      <c r="AL59" s="17" t="s">
        <v>744</v>
      </c>
      <c r="AM59" s="17" t="s">
        <v>744</v>
      </c>
      <c r="AN59" s="14" t="s">
        <v>742</v>
      </c>
    </row>
    <row r="60" spans="1:40">
      <c r="A60" s="14">
        <v>0</v>
      </c>
      <c r="B60" s="14">
        <v>0</v>
      </c>
      <c r="C60" s="14">
        <v>190</v>
      </c>
      <c r="D60" s="14">
        <v>101</v>
      </c>
      <c r="E60" s="14">
        <v>3300</v>
      </c>
      <c r="F60" s="14">
        <v>190</v>
      </c>
      <c r="G60" s="16">
        <v>39147</v>
      </c>
      <c r="H60" s="14">
        <v>1071</v>
      </c>
      <c r="I60" s="14">
        <v>9852998</v>
      </c>
      <c r="J60" s="16">
        <v>39147</v>
      </c>
      <c r="K60" s="14">
        <v>1071</v>
      </c>
      <c r="L60" s="14" t="s">
        <v>197</v>
      </c>
      <c r="M60" s="14" t="s">
        <v>738</v>
      </c>
      <c r="N60" s="14" t="s">
        <v>199</v>
      </c>
      <c r="P60" s="14" t="s">
        <v>513</v>
      </c>
      <c r="Q60" s="17" t="s">
        <v>744</v>
      </c>
      <c r="R60" s="17" t="s">
        <v>744</v>
      </c>
      <c r="S60" s="14" t="s">
        <v>742</v>
      </c>
      <c r="T60" s="17" t="s">
        <v>525</v>
      </c>
      <c r="U60" s="17" t="s">
        <v>525</v>
      </c>
      <c r="V60" s="14" t="s">
        <v>742</v>
      </c>
      <c r="W60" s="17" t="s">
        <v>744</v>
      </c>
      <c r="X60" s="17" t="s">
        <v>744</v>
      </c>
      <c r="Y60" s="14" t="s">
        <v>742</v>
      </c>
      <c r="Z60" s="17" t="s">
        <v>744</v>
      </c>
      <c r="AA60" s="17" t="s">
        <v>744</v>
      </c>
      <c r="AB60" s="14" t="s">
        <v>742</v>
      </c>
      <c r="AC60" s="17" t="s">
        <v>548</v>
      </c>
      <c r="AD60" s="17" t="s">
        <v>548</v>
      </c>
      <c r="AE60" s="14" t="s">
        <v>742</v>
      </c>
      <c r="AF60" s="17" t="s">
        <v>744</v>
      </c>
      <c r="AG60" s="17" t="s">
        <v>744</v>
      </c>
      <c r="AH60" s="14" t="s">
        <v>742</v>
      </c>
      <c r="AI60" s="17" t="s">
        <v>744</v>
      </c>
      <c r="AJ60" s="17" t="s">
        <v>744</v>
      </c>
      <c r="AK60" s="14" t="s">
        <v>742</v>
      </c>
      <c r="AL60" s="17" t="s">
        <v>744</v>
      </c>
      <c r="AM60" s="17" t="s">
        <v>744</v>
      </c>
      <c r="AN60" s="14" t="s">
        <v>742</v>
      </c>
    </row>
    <row r="61" spans="1:40">
      <c r="A61" s="14">
        <v>0</v>
      </c>
      <c r="B61" s="14">
        <v>0</v>
      </c>
      <c r="C61" s="14">
        <v>190</v>
      </c>
      <c r="D61" s="14">
        <v>101</v>
      </c>
      <c r="E61" s="14">
        <v>3300</v>
      </c>
      <c r="F61" s="14">
        <v>190</v>
      </c>
      <c r="G61" s="16">
        <v>39147</v>
      </c>
      <c r="H61" s="14">
        <v>1071</v>
      </c>
      <c r="I61" s="14">
        <v>9852998</v>
      </c>
      <c r="J61" s="16">
        <v>39147</v>
      </c>
      <c r="K61" s="14">
        <v>1071</v>
      </c>
      <c r="L61" s="14" t="s">
        <v>197</v>
      </c>
      <c r="M61" s="14" t="s">
        <v>738</v>
      </c>
      <c r="N61" s="14" t="s">
        <v>199</v>
      </c>
      <c r="P61" s="14" t="s">
        <v>514</v>
      </c>
      <c r="Q61" s="17" t="s">
        <v>744</v>
      </c>
      <c r="R61" s="17" t="s">
        <v>744</v>
      </c>
      <c r="S61" s="14" t="s">
        <v>742</v>
      </c>
      <c r="T61" s="17" t="s">
        <v>525</v>
      </c>
      <c r="U61" s="17" t="s">
        <v>525</v>
      </c>
      <c r="V61" s="14" t="s">
        <v>742</v>
      </c>
      <c r="W61" s="17" t="s">
        <v>744</v>
      </c>
      <c r="X61" s="17" t="s">
        <v>744</v>
      </c>
      <c r="Y61" s="14" t="s">
        <v>742</v>
      </c>
      <c r="Z61" s="17" t="s">
        <v>744</v>
      </c>
      <c r="AA61" s="17" t="s">
        <v>744</v>
      </c>
      <c r="AB61" s="14" t="s">
        <v>742</v>
      </c>
      <c r="AC61" s="17" t="s">
        <v>549</v>
      </c>
      <c r="AD61" s="17" t="s">
        <v>549</v>
      </c>
      <c r="AE61" s="14" t="s">
        <v>742</v>
      </c>
      <c r="AF61" s="17" t="s">
        <v>744</v>
      </c>
      <c r="AG61" s="17" t="s">
        <v>744</v>
      </c>
      <c r="AH61" s="14" t="s">
        <v>742</v>
      </c>
      <c r="AI61" s="17" t="s">
        <v>744</v>
      </c>
      <c r="AJ61" s="17" t="s">
        <v>744</v>
      </c>
      <c r="AK61" s="14" t="s">
        <v>742</v>
      </c>
      <c r="AL61" s="17" t="s">
        <v>744</v>
      </c>
      <c r="AM61" s="17" t="s">
        <v>744</v>
      </c>
      <c r="AN61" s="14" t="s">
        <v>742</v>
      </c>
    </row>
  </sheetData>
  <customSheetViews>
    <customSheetView guid="{6B74E52F-9552-408A-8775-25AFF24E6639}" state="hidden" showRuler="0">
      <selection activeCell="A2" sqref="A2:AN61"/>
      <pageMargins left="0.75" right="0.75" top="1" bottom="1" header="0.5" footer="0.5"/>
      <headerFooter alignWithMargins="0"/>
    </customSheetView>
  </customSheetViews>
  <phoneticPr fontId="4" type="noConversion"/>
  <pageMargins left="0.75" right="0.75" top="1" bottom="1" header="0.5" footer="0.5"/>
  <headerFooter alignWithMargins="0"/>
</worksheet>
</file>

<file path=xl/worksheets/sheet40.xml><?xml version="1.0" encoding="utf-8"?>
<worksheet xmlns="http://schemas.openxmlformats.org/spreadsheetml/2006/main" xmlns:r="http://schemas.openxmlformats.org/officeDocument/2006/relationships">
  <sheetPr codeName="Sheet41"/>
  <dimension ref="A1:C1"/>
  <sheetViews>
    <sheetView workbookViewId="0"/>
  </sheetViews>
  <sheetFormatPr defaultColWidth="25.7109375" defaultRowHeight="13.5"/>
  <cols>
    <col min="1" max="16384" width="25.7109375" style="14"/>
  </cols>
  <sheetData>
    <row r="1" spans="1:3">
      <c r="A1" s="14">
        <v>0</v>
      </c>
      <c r="B1" s="14">
        <v>15</v>
      </c>
      <c r="C1" s="14" t="s">
        <v>789</v>
      </c>
    </row>
  </sheetData>
  <customSheetViews>
    <customSheetView guid="{6B74E52F-9552-408A-8775-25AFF24E6639}" state="hidden" showRuler="0">
      <pageMargins left="0.75" right="0.75" top="1" bottom="1" header="0.5" footer="0.5"/>
      <headerFooter alignWithMargins="0"/>
    </customSheetView>
  </customSheetViews>
  <phoneticPr fontId="4" type="noConversion"/>
  <pageMargins left="0.75" right="0.75" top="1" bottom="1" header="0.5" footer="0.5"/>
  <headerFooter alignWithMargins="0"/>
</worksheet>
</file>

<file path=xl/worksheets/sheet41.xml><?xml version="1.0" encoding="utf-8"?>
<worksheet xmlns="http://schemas.openxmlformats.org/spreadsheetml/2006/main" xmlns:r="http://schemas.openxmlformats.org/officeDocument/2006/relationships">
  <sheetPr codeName="Sheet42"/>
  <dimension ref="A1:C1"/>
  <sheetViews>
    <sheetView workbookViewId="0"/>
  </sheetViews>
  <sheetFormatPr defaultColWidth="25.7109375" defaultRowHeight="13.5"/>
  <cols>
    <col min="1" max="16384" width="25.7109375" style="14"/>
  </cols>
  <sheetData>
    <row r="1" spans="1:3">
      <c r="A1" s="14">
        <v>0</v>
      </c>
      <c r="B1" s="14">
        <v>18</v>
      </c>
      <c r="C1" s="14" t="s">
        <v>790</v>
      </c>
    </row>
  </sheetData>
  <customSheetViews>
    <customSheetView guid="{6B74E52F-9552-408A-8775-25AFF24E6639}" state="hidden" showRuler="0">
      <pageMargins left="0.75" right="0.75" top="1" bottom="1" header="0.5" footer="0.5"/>
      <headerFooter alignWithMargins="0"/>
    </customSheetView>
  </customSheetViews>
  <phoneticPr fontId="4" type="noConversion"/>
  <pageMargins left="0.75" right="0.75" top="1" bottom="1" header="0.5" footer="0.5"/>
  <headerFooter alignWithMargins="0"/>
</worksheet>
</file>

<file path=xl/worksheets/sheet42.xml><?xml version="1.0" encoding="utf-8"?>
<worksheet xmlns="http://schemas.openxmlformats.org/spreadsheetml/2006/main" xmlns:r="http://schemas.openxmlformats.org/officeDocument/2006/relationships">
  <sheetPr codeName="Sheet43"/>
  <dimension ref="A1:C1"/>
  <sheetViews>
    <sheetView workbookViewId="0"/>
  </sheetViews>
  <sheetFormatPr defaultColWidth="25.7109375" defaultRowHeight="13.5"/>
  <cols>
    <col min="1" max="16384" width="25.7109375" style="14"/>
  </cols>
  <sheetData>
    <row r="1" spans="1:3">
      <c r="A1" s="14">
        <v>0</v>
      </c>
      <c r="B1" s="14">
        <v>37</v>
      </c>
      <c r="C1" s="14" t="s">
        <v>791</v>
      </c>
    </row>
  </sheetData>
  <customSheetViews>
    <customSheetView guid="{6B74E52F-9552-408A-8775-25AFF24E6639}" state="hidden" showRuler="0">
      <pageMargins left="0.75" right="0.75" top="1" bottom="1" header="0.5" footer="0.5"/>
      <headerFooter alignWithMargins="0"/>
    </customSheetView>
  </customSheetViews>
  <phoneticPr fontId="4" type="noConversion"/>
  <pageMargins left="0.75" right="0.75" top="1" bottom="1" header="0.5" footer="0.5"/>
  <headerFooter alignWithMargins="0"/>
</worksheet>
</file>

<file path=xl/worksheets/sheet43.xml><?xml version="1.0" encoding="utf-8"?>
<worksheet xmlns="http://schemas.openxmlformats.org/spreadsheetml/2006/main" xmlns:r="http://schemas.openxmlformats.org/officeDocument/2006/relationships">
  <sheetPr codeName="Sheet44"/>
  <dimension ref="A1"/>
  <sheetViews>
    <sheetView workbookViewId="0"/>
  </sheetViews>
  <sheetFormatPr defaultColWidth="25.7109375" defaultRowHeight="13.5"/>
  <cols>
    <col min="1" max="16384" width="25.7109375" style="14"/>
  </cols>
  <sheetData/>
  <customSheetViews>
    <customSheetView guid="{6B74E52F-9552-408A-8775-25AFF24E6639}" state="hidden" showRuler="0">
      <pageMargins left="0.75" right="0.75" top="1" bottom="1" header="0.5" footer="0.5"/>
      <headerFooter alignWithMargins="0"/>
    </customSheetView>
  </customSheetViews>
  <phoneticPr fontId="4" type="noConversion"/>
  <pageMargins left="0.75" right="0.75" top="1" bottom="1" header="0.5" footer="0.5"/>
  <headerFooter alignWithMargins="0"/>
</worksheet>
</file>

<file path=xl/worksheets/sheet44.xml><?xml version="1.0" encoding="utf-8"?>
<worksheet xmlns="http://schemas.openxmlformats.org/spreadsheetml/2006/main" xmlns:r="http://schemas.openxmlformats.org/officeDocument/2006/relationships">
  <sheetPr codeName="Sheet45"/>
  <dimension ref="A1"/>
  <sheetViews>
    <sheetView workbookViewId="0"/>
  </sheetViews>
  <sheetFormatPr defaultColWidth="25.7109375" defaultRowHeight="13.5"/>
  <cols>
    <col min="1" max="16384" width="25.7109375" style="14"/>
  </cols>
  <sheetData/>
  <customSheetViews>
    <customSheetView guid="{6B74E52F-9552-408A-8775-25AFF24E6639}" state="hidden" showRuler="0">
      <pageMargins left="0.75" right="0.75" top="1" bottom="1" header="0.5" footer="0.5"/>
      <headerFooter alignWithMargins="0"/>
    </customSheetView>
  </customSheetViews>
  <phoneticPr fontId="4" type="noConversion"/>
  <pageMargins left="0.75" right="0.75" top="1" bottom="1" header="0.5" footer="0.5"/>
  <headerFooter alignWithMargins="0"/>
</worksheet>
</file>

<file path=xl/worksheets/sheet45.xml><?xml version="1.0" encoding="utf-8"?>
<worksheet xmlns="http://schemas.openxmlformats.org/spreadsheetml/2006/main" xmlns:r="http://schemas.openxmlformats.org/officeDocument/2006/relationships">
  <sheetPr codeName="Sheet46"/>
  <dimension ref="A1:C1"/>
  <sheetViews>
    <sheetView workbookViewId="0"/>
  </sheetViews>
  <sheetFormatPr defaultColWidth="25.7109375" defaultRowHeight="13.5"/>
  <cols>
    <col min="1" max="16384" width="25.7109375" style="14"/>
  </cols>
  <sheetData>
    <row r="1" spans="1:3">
      <c r="A1" s="14">
        <v>0</v>
      </c>
      <c r="B1" s="14">
        <v>18</v>
      </c>
      <c r="C1" s="14" t="s">
        <v>792</v>
      </c>
    </row>
  </sheetData>
  <customSheetViews>
    <customSheetView guid="{6B74E52F-9552-408A-8775-25AFF24E6639}" state="hidden" showRuler="0">
      <pageMargins left="0.75" right="0.75" top="1" bottom="1" header="0.5" footer="0.5"/>
      <headerFooter alignWithMargins="0"/>
    </customSheetView>
  </customSheetViews>
  <phoneticPr fontId="4" type="noConversion"/>
  <pageMargins left="0.75" right="0.75" top="1" bottom="1" header="0.5" footer="0.5"/>
  <headerFooter alignWithMargins="0"/>
</worksheet>
</file>

<file path=xl/worksheets/sheet46.xml><?xml version="1.0" encoding="utf-8"?>
<worksheet xmlns="http://schemas.openxmlformats.org/spreadsheetml/2006/main" xmlns:r="http://schemas.openxmlformats.org/officeDocument/2006/relationships">
  <sheetPr codeName="Sheet47"/>
  <dimension ref="A1:AA25"/>
  <sheetViews>
    <sheetView workbookViewId="0">
      <selection activeCell="A5" sqref="A5:R5"/>
    </sheetView>
  </sheetViews>
  <sheetFormatPr defaultColWidth="25.7109375" defaultRowHeight="13.5"/>
  <cols>
    <col min="1" max="16384" width="25.7109375" style="14"/>
  </cols>
  <sheetData>
    <row r="1" spans="1:27">
      <c r="A1" s="14">
        <v>1</v>
      </c>
      <c r="B1" s="14">
        <v>27</v>
      </c>
      <c r="C1" s="14" t="s">
        <v>759</v>
      </c>
    </row>
    <row r="2" spans="1:27">
      <c r="A2" s="14">
        <v>0</v>
      </c>
      <c r="B2" s="14">
        <v>0</v>
      </c>
      <c r="D2" s="14">
        <v>101</v>
      </c>
      <c r="E2" s="14">
        <v>6935</v>
      </c>
      <c r="F2" s="18">
        <v>39410.54210648148</v>
      </c>
      <c r="G2" s="14">
        <v>1068</v>
      </c>
      <c r="H2" s="14">
        <v>13279845</v>
      </c>
      <c r="I2" s="18">
        <v>39252.678078703706</v>
      </c>
      <c r="J2" s="14">
        <v>1071</v>
      </c>
      <c r="K2" s="17" t="s">
        <v>733</v>
      </c>
      <c r="L2" s="14">
        <v>5462</v>
      </c>
      <c r="M2" s="14">
        <v>5461</v>
      </c>
      <c r="N2" s="14" t="s">
        <v>756</v>
      </c>
      <c r="P2" s="14">
        <v>1581</v>
      </c>
      <c r="R2" s="14">
        <v>7125</v>
      </c>
      <c r="T2" s="14" t="s">
        <v>736</v>
      </c>
      <c r="U2" s="14">
        <v>101</v>
      </c>
      <c r="V2" s="17" t="s">
        <v>744</v>
      </c>
      <c r="W2" s="17" t="s">
        <v>744</v>
      </c>
      <c r="Y2" s="17" t="s">
        <v>757</v>
      </c>
      <c r="Z2" s="14" t="s">
        <v>734</v>
      </c>
      <c r="AA2" s="14" t="s">
        <v>758</v>
      </c>
    </row>
    <row r="4" spans="1:27">
      <c r="A4" s="14">
        <v>1</v>
      </c>
      <c r="B4" s="14">
        <v>18</v>
      </c>
    </row>
    <row r="5" spans="1:27">
      <c r="A5" s="14">
        <v>0</v>
      </c>
      <c r="B5" s="14">
        <v>0</v>
      </c>
      <c r="D5" s="14" t="s">
        <v>732</v>
      </c>
      <c r="E5" s="14">
        <v>101</v>
      </c>
      <c r="F5" s="14">
        <v>5461</v>
      </c>
      <c r="G5" s="16">
        <v>39252</v>
      </c>
      <c r="H5" s="14">
        <v>1071</v>
      </c>
      <c r="I5" s="14">
        <v>11228347</v>
      </c>
      <c r="J5" s="16">
        <v>39252</v>
      </c>
      <c r="K5" s="14">
        <v>1071</v>
      </c>
      <c r="L5" s="14" t="s">
        <v>733</v>
      </c>
      <c r="M5" s="14" t="s">
        <v>734</v>
      </c>
      <c r="N5" s="14" t="s">
        <v>735</v>
      </c>
      <c r="O5" s="14" t="s">
        <v>755</v>
      </c>
      <c r="P5" s="14" t="s">
        <v>736</v>
      </c>
      <c r="Q5" s="14">
        <v>101</v>
      </c>
    </row>
    <row r="9" spans="1:27">
      <c r="A9">
        <v>1</v>
      </c>
      <c r="B9">
        <v>18</v>
      </c>
      <c r="C9" t="s">
        <v>765</v>
      </c>
      <c r="D9"/>
      <c r="E9"/>
      <c r="F9"/>
      <c r="G9"/>
      <c r="H9"/>
      <c r="I9"/>
      <c r="J9"/>
      <c r="K9"/>
      <c r="L9"/>
      <c r="M9"/>
      <c r="N9"/>
      <c r="O9"/>
      <c r="P9"/>
      <c r="Q9"/>
      <c r="R9"/>
    </row>
    <row r="10" spans="1:27">
      <c r="A10">
        <v>0</v>
      </c>
      <c r="B10">
        <v>0</v>
      </c>
      <c r="C10"/>
      <c r="D10">
        <v>101</v>
      </c>
      <c r="E10">
        <v>5462</v>
      </c>
      <c r="F10" s="15">
        <v>39252.677384259259</v>
      </c>
      <c r="G10">
        <v>1071</v>
      </c>
      <c r="H10">
        <v>11228347</v>
      </c>
      <c r="I10" s="15">
        <v>39252.675798611112</v>
      </c>
      <c r="J10">
        <v>1071</v>
      </c>
      <c r="K10" s="19" t="s">
        <v>733</v>
      </c>
      <c r="L10" t="s">
        <v>756</v>
      </c>
      <c r="M10" s="19" t="s">
        <v>760</v>
      </c>
      <c r="N10">
        <v>62</v>
      </c>
      <c r="O10" s="19" t="s">
        <v>744</v>
      </c>
      <c r="P10" t="s">
        <v>736</v>
      </c>
      <c r="Q10">
        <v>101</v>
      </c>
      <c r="R10" t="s">
        <v>761</v>
      </c>
    </row>
    <row r="14" spans="1:27">
      <c r="A14">
        <v>1</v>
      </c>
      <c r="B14">
        <v>16</v>
      </c>
      <c r="C14" t="s">
        <v>770</v>
      </c>
      <c r="D14"/>
      <c r="E14"/>
      <c r="F14"/>
      <c r="G14"/>
      <c r="H14"/>
      <c r="I14"/>
      <c r="J14"/>
      <c r="K14"/>
      <c r="L14"/>
      <c r="M14"/>
      <c r="N14"/>
      <c r="O14"/>
      <c r="P14"/>
    </row>
    <row r="15" spans="1:27">
      <c r="A15">
        <v>0</v>
      </c>
      <c r="B15">
        <v>0</v>
      </c>
      <c r="C15"/>
      <c r="D15">
        <v>101</v>
      </c>
      <c r="E15">
        <v>1581</v>
      </c>
      <c r="F15" s="15">
        <v>39410.531921296293</v>
      </c>
      <c r="G15">
        <v>1068</v>
      </c>
      <c r="H15">
        <v>13279845</v>
      </c>
      <c r="I15" s="15">
        <v>39410.531921296293</v>
      </c>
      <c r="J15">
        <v>1068</v>
      </c>
      <c r="K15" s="19" t="s">
        <v>766</v>
      </c>
      <c r="L15" t="s">
        <v>767</v>
      </c>
      <c r="M15" t="s">
        <v>736</v>
      </c>
      <c r="N15">
        <v>101</v>
      </c>
      <c r="O15" s="19" t="s">
        <v>768</v>
      </c>
      <c r="P15" t="s">
        <v>769</v>
      </c>
    </row>
    <row r="19" spans="1:18">
      <c r="A19">
        <v>1</v>
      </c>
      <c r="B19">
        <v>18</v>
      </c>
      <c r="C19" t="s">
        <v>772</v>
      </c>
      <c r="D19"/>
      <c r="E19"/>
      <c r="F19"/>
      <c r="G19"/>
      <c r="H19"/>
      <c r="I19"/>
      <c r="J19"/>
      <c r="K19"/>
      <c r="L19"/>
      <c r="M19"/>
      <c r="N19"/>
      <c r="O19"/>
      <c r="P19"/>
      <c r="Q19"/>
      <c r="R19"/>
    </row>
    <row r="20" spans="1:18">
      <c r="A20">
        <v>0</v>
      </c>
      <c r="B20">
        <v>0</v>
      </c>
      <c r="C20"/>
      <c r="D20"/>
      <c r="E20"/>
      <c r="F20" s="20">
        <v>0</v>
      </c>
      <c r="G20"/>
      <c r="H20"/>
      <c r="I20" s="20">
        <v>0</v>
      </c>
      <c r="J20"/>
      <c r="K20" s="19" t="s">
        <v>744</v>
      </c>
      <c r="L20" t="s">
        <v>771</v>
      </c>
      <c r="M20"/>
      <c r="N20"/>
      <c r="O20" s="19" t="s">
        <v>744</v>
      </c>
      <c r="P20"/>
      <c r="Q20" s="19" t="s">
        <v>744</v>
      </c>
      <c r="R20"/>
    </row>
    <row r="24" spans="1:18">
      <c r="A24">
        <v>1</v>
      </c>
      <c r="B24">
        <v>14</v>
      </c>
      <c r="C24" t="s">
        <v>773</v>
      </c>
      <c r="D24"/>
      <c r="E24"/>
      <c r="F24"/>
      <c r="G24"/>
      <c r="H24"/>
      <c r="I24"/>
      <c r="J24"/>
      <c r="K24"/>
      <c r="L24"/>
      <c r="M24"/>
      <c r="N24"/>
    </row>
    <row r="25" spans="1:18">
      <c r="A25">
        <v>0</v>
      </c>
      <c r="B25">
        <v>0</v>
      </c>
      <c r="C25"/>
      <c r="D25"/>
      <c r="E25" s="19" t="s">
        <v>744</v>
      </c>
      <c r="F25" s="20">
        <v>0</v>
      </c>
      <c r="G25"/>
      <c r="H25" s="20">
        <v>0</v>
      </c>
      <c r="I25"/>
      <c r="J25"/>
      <c r="K25"/>
      <c r="L25"/>
      <c r="M25" s="19" t="s">
        <v>744</v>
      </c>
      <c r="N25"/>
    </row>
  </sheetData>
  <customSheetViews>
    <customSheetView guid="{6B74E52F-9552-408A-8775-25AFF24E6639}" state="hidden" showRuler="0">
      <selection activeCell="A5" sqref="A5:R5"/>
      <pageMargins left="0.75" right="0.75" top="1" bottom="1" header="0.5" footer="0.5"/>
      <headerFooter alignWithMargins="0"/>
    </customSheetView>
  </customSheetViews>
  <phoneticPr fontId="4" type="noConversion"/>
  <pageMargins left="0.75" right="0.75" top="1" bottom="1" header="0.5" footer="0.5"/>
  <headerFooter alignWithMargins="0"/>
  <legacyDrawing r:id="rId1"/>
</worksheet>
</file>

<file path=xl/worksheets/sheet47.xml><?xml version="1.0" encoding="utf-8"?>
<worksheet xmlns="http://schemas.openxmlformats.org/spreadsheetml/2006/main" xmlns:r="http://schemas.openxmlformats.org/officeDocument/2006/relationships">
  <sheetPr codeName="Sheet48"/>
  <dimension ref="A1:L24"/>
  <sheetViews>
    <sheetView workbookViewId="0"/>
  </sheetViews>
  <sheetFormatPr defaultRowHeight="12.75"/>
  <cols>
    <col min="1" max="1" width="28.28515625" bestFit="1" customWidth="1"/>
    <col min="2" max="2" width="18.42578125" bestFit="1" customWidth="1"/>
    <col min="3" max="3" width="14.7109375" bestFit="1" customWidth="1"/>
    <col min="4" max="5" width="19.85546875" bestFit="1" customWidth="1"/>
    <col min="6" max="6" width="11.140625" bestFit="1" customWidth="1"/>
  </cols>
  <sheetData>
    <row r="1" spans="1:12">
      <c r="A1" t="s">
        <v>155</v>
      </c>
      <c r="B1">
        <v>1</v>
      </c>
      <c r="C1" t="s">
        <v>156</v>
      </c>
      <c r="D1" t="s">
        <v>157</v>
      </c>
      <c r="E1" t="s">
        <v>158</v>
      </c>
      <c r="F1" t="s">
        <v>159</v>
      </c>
      <c r="G1" t="s">
        <v>160</v>
      </c>
      <c r="H1" t="s">
        <v>157</v>
      </c>
      <c r="I1" t="s">
        <v>161</v>
      </c>
      <c r="J1">
        <v>4</v>
      </c>
      <c r="K1" t="s">
        <v>162</v>
      </c>
      <c r="L1">
        <v>4</v>
      </c>
    </row>
    <row r="2" spans="1:12">
      <c r="A2" t="s">
        <v>163</v>
      </c>
      <c r="B2" t="s">
        <v>815</v>
      </c>
      <c r="C2" t="s">
        <v>164</v>
      </c>
      <c r="D2" t="s">
        <v>165</v>
      </c>
      <c r="E2" t="s">
        <v>166</v>
      </c>
      <c r="F2" t="s">
        <v>167</v>
      </c>
      <c r="G2" t="s">
        <v>168</v>
      </c>
      <c r="H2" t="s">
        <v>165</v>
      </c>
      <c r="I2" t="s">
        <v>169</v>
      </c>
      <c r="J2">
        <v>3</v>
      </c>
      <c r="K2" t="s">
        <v>170</v>
      </c>
      <c r="L2">
        <v>3</v>
      </c>
    </row>
    <row r="3" spans="1:12">
      <c r="A3" t="s">
        <v>171</v>
      </c>
      <c r="B3">
        <v>101</v>
      </c>
      <c r="C3" t="s">
        <v>172</v>
      </c>
      <c r="D3" t="s">
        <v>173</v>
      </c>
      <c r="E3" t="s">
        <v>174</v>
      </c>
      <c r="F3" t="s">
        <v>175</v>
      </c>
      <c r="G3" t="s">
        <v>176</v>
      </c>
      <c r="H3" t="s">
        <v>173</v>
      </c>
      <c r="I3" t="s">
        <v>177</v>
      </c>
      <c r="J3">
        <v>6</v>
      </c>
      <c r="K3" t="s">
        <v>178</v>
      </c>
      <c r="L3">
        <v>6</v>
      </c>
    </row>
    <row r="4" spans="1:12">
      <c r="A4" t="s">
        <v>179</v>
      </c>
      <c r="B4" t="s">
        <v>180</v>
      </c>
      <c r="C4" t="s">
        <v>181</v>
      </c>
      <c r="D4" t="s">
        <v>182</v>
      </c>
      <c r="E4" t="s">
        <v>183</v>
      </c>
      <c r="F4" t="s">
        <v>184</v>
      </c>
      <c r="G4" t="s">
        <v>185</v>
      </c>
      <c r="H4" t="s">
        <v>182</v>
      </c>
      <c r="I4" t="s">
        <v>186</v>
      </c>
      <c r="J4">
        <v>6</v>
      </c>
      <c r="K4" t="s">
        <v>456</v>
      </c>
      <c r="L4">
        <v>6</v>
      </c>
    </row>
    <row r="5" spans="1:12">
      <c r="A5" t="s">
        <v>457</v>
      </c>
      <c r="B5" t="s">
        <v>458</v>
      </c>
      <c r="C5" t="s">
        <v>459</v>
      </c>
      <c r="D5" t="s">
        <v>104</v>
      </c>
      <c r="E5" t="s">
        <v>460</v>
      </c>
      <c r="F5" t="s">
        <v>461</v>
      </c>
      <c r="G5" t="s">
        <v>462</v>
      </c>
      <c r="H5" t="s">
        <v>104</v>
      </c>
      <c r="I5" t="s">
        <v>463</v>
      </c>
      <c r="J5">
        <v>6</v>
      </c>
      <c r="K5" t="s">
        <v>464</v>
      </c>
      <c r="L5">
        <v>6</v>
      </c>
    </row>
    <row r="6" spans="1:12">
      <c r="A6" t="s">
        <v>465</v>
      </c>
      <c r="B6" t="s">
        <v>466</v>
      </c>
      <c r="C6" t="s">
        <v>467</v>
      </c>
      <c r="D6" t="s">
        <v>81</v>
      </c>
      <c r="E6" t="s">
        <v>468</v>
      </c>
      <c r="F6" t="s">
        <v>469</v>
      </c>
      <c r="G6" t="s">
        <v>470</v>
      </c>
      <c r="H6" t="s">
        <v>81</v>
      </c>
      <c r="I6" t="s">
        <v>471</v>
      </c>
      <c r="J6">
        <v>4</v>
      </c>
      <c r="K6" t="s">
        <v>472</v>
      </c>
      <c r="L6">
        <v>4</v>
      </c>
    </row>
    <row r="7" spans="1:12">
      <c r="A7" t="s">
        <v>473</v>
      </c>
      <c r="B7">
        <v>101</v>
      </c>
      <c r="C7" t="s">
        <v>474</v>
      </c>
      <c r="D7" t="s">
        <v>475</v>
      </c>
      <c r="E7" t="s">
        <v>476</v>
      </c>
      <c r="F7" t="s">
        <v>477</v>
      </c>
      <c r="G7" t="s">
        <v>478</v>
      </c>
      <c r="H7" t="s">
        <v>475</v>
      </c>
      <c r="I7" t="s">
        <v>479</v>
      </c>
      <c r="J7">
        <v>4</v>
      </c>
      <c r="K7" t="s">
        <v>480</v>
      </c>
      <c r="L7">
        <v>4</v>
      </c>
    </row>
    <row r="8" spans="1:12">
      <c r="A8" t="s">
        <v>481</v>
      </c>
      <c r="B8">
        <v>50417</v>
      </c>
      <c r="C8" t="s">
        <v>482</v>
      </c>
      <c r="D8" t="s">
        <v>483</v>
      </c>
      <c r="E8" t="s">
        <v>484</v>
      </c>
      <c r="F8" t="s">
        <v>485</v>
      </c>
      <c r="G8" t="s">
        <v>486</v>
      </c>
      <c r="H8" t="s">
        <v>483</v>
      </c>
      <c r="I8" t="s">
        <v>487</v>
      </c>
      <c r="J8">
        <v>4</v>
      </c>
      <c r="K8" t="s">
        <v>488</v>
      </c>
      <c r="L8">
        <v>4</v>
      </c>
    </row>
    <row r="9" spans="1:12">
      <c r="A9" t="s">
        <v>489</v>
      </c>
      <c r="B9" t="s">
        <v>490</v>
      </c>
    </row>
    <row r="10" spans="1:12">
      <c r="A10" t="s">
        <v>491</v>
      </c>
      <c r="B10" t="s">
        <v>492</v>
      </c>
    </row>
    <row r="11" spans="1:12">
      <c r="A11" t="s">
        <v>493</v>
      </c>
      <c r="B11" t="s">
        <v>492</v>
      </c>
    </row>
    <row r="12" spans="1:12">
      <c r="A12" t="s">
        <v>494</v>
      </c>
      <c r="B12" t="s">
        <v>495</v>
      </c>
    </row>
    <row r="13" spans="1:12">
      <c r="A13" t="s">
        <v>496</v>
      </c>
      <c r="B13" t="s">
        <v>497</v>
      </c>
    </row>
    <row r="14" spans="1:12">
      <c r="A14" t="s">
        <v>187</v>
      </c>
      <c r="B14" t="s">
        <v>188</v>
      </c>
    </row>
    <row r="15" spans="1:12">
      <c r="A15" t="s">
        <v>189</v>
      </c>
      <c r="B15">
        <v>1071</v>
      </c>
    </row>
    <row r="17" spans="1:2">
      <c r="A17" t="s">
        <v>190</v>
      </c>
      <c r="B17" t="s">
        <v>191</v>
      </c>
    </row>
    <row r="18" spans="1:2">
      <c r="A18" t="s">
        <v>192</v>
      </c>
      <c r="B18">
        <v>8</v>
      </c>
    </row>
    <row r="19" spans="1:2">
      <c r="A19" t="s">
        <v>193</v>
      </c>
      <c r="B19">
        <v>-1</v>
      </c>
    </row>
    <row r="20" spans="1:2">
      <c r="A20" t="s">
        <v>194</v>
      </c>
      <c r="B20" t="s">
        <v>195</v>
      </c>
    </row>
    <row r="21" spans="1:2">
      <c r="A21" t="s">
        <v>196</v>
      </c>
      <c r="B21" t="s">
        <v>197</v>
      </c>
    </row>
    <row r="22" spans="1:2">
      <c r="A22" t="s">
        <v>198</v>
      </c>
      <c r="B22" t="s">
        <v>199</v>
      </c>
    </row>
    <row r="23" spans="1:2">
      <c r="A23" t="s">
        <v>200</v>
      </c>
      <c r="B23" t="s">
        <v>201</v>
      </c>
    </row>
    <row r="24" spans="1:2">
      <c r="A24" t="s">
        <v>731</v>
      </c>
      <c r="B24" t="s">
        <v>191</v>
      </c>
    </row>
  </sheetData>
  <customSheetViews>
    <customSheetView guid="{6B74E52F-9552-408A-8775-25AFF24E6639}" state="hidden" showRuler="0">
      <pageMargins left="0.75" right="0.75" top="1" bottom="1" header="0.5" footer="0.5"/>
      <headerFooter alignWithMargins="0"/>
    </customSheetView>
  </customSheetViews>
  <phoneticPr fontId="4" type="noConversion"/>
  <pageMargins left="0.75" right="0.75" top="1" bottom="1" header="0.5" footer="0.5"/>
  <headerFooter alignWithMargins="0"/>
</worksheet>
</file>

<file path=xl/worksheets/sheet48.xml><?xml version="1.0" encoding="utf-8"?>
<worksheet xmlns="http://schemas.openxmlformats.org/spreadsheetml/2006/main" xmlns:r="http://schemas.openxmlformats.org/officeDocument/2006/relationships">
  <sheetPr codeName="Sheet154">
    <tabColor indexed="14"/>
    <pageSetUpPr fitToPage="1"/>
  </sheetPr>
  <dimension ref="A1:W286"/>
  <sheetViews>
    <sheetView topLeftCell="A28" zoomScale="70" zoomScaleNormal="70" workbookViewId="0">
      <selection activeCell="I63" sqref="I63"/>
    </sheetView>
  </sheetViews>
  <sheetFormatPr defaultRowHeight="12.75"/>
  <cols>
    <col min="1" max="1" width="4.42578125" customWidth="1"/>
    <col min="2" max="2" width="32.7109375" customWidth="1"/>
    <col min="3" max="3" width="18.7109375" customWidth="1"/>
    <col min="4" max="4" width="1.7109375" customWidth="1"/>
    <col min="5" max="5" width="18.7109375" customWidth="1"/>
    <col min="6" max="6" width="1.7109375" customWidth="1"/>
    <col min="7" max="7" width="18.7109375" customWidth="1"/>
    <col min="8" max="8" width="1.7109375" customWidth="1"/>
    <col min="9" max="9" width="16.7109375" customWidth="1"/>
    <col min="10" max="10" width="1.7109375" customWidth="1"/>
    <col min="11" max="11" width="18.7109375" customWidth="1"/>
    <col min="12" max="12" width="1.7109375" customWidth="1"/>
    <col min="13" max="13" width="18.85546875" customWidth="1"/>
    <col min="14" max="14" width="1.7109375" customWidth="1"/>
    <col min="15" max="15" width="12.7109375" customWidth="1"/>
    <col min="16" max="16" width="1.7109375" customWidth="1"/>
    <col min="17" max="17" width="14.7109375" customWidth="1"/>
    <col min="18" max="18" width="1.7109375" customWidth="1"/>
    <col min="19" max="19" width="18.7109375" customWidth="1"/>
    <col min="20" max="20" width="14.7109375" customWidth="1"/>
    <col min="21" max="21" width="13.7109375" customWidth="1"/>
    <col min="22" max="22" width="18.5703125" bestFit="1" customWidth="1"/>
  </cols>
  <sheetData>
    <row r="1" spans="1:21">
      <c r="A1" s="356" t="s">
        <v>134</v>
      </c>
      <c r="B1" s="356"/>
      <c r="C1" s="356"/>
      <c r="D1" s="356"/>
      <c r="E1" s="356"/>
      <c r="F1" s="356"/>
      <c r="G1" s="356"/>
      <c r="H1" s="356"/>
      <c r="I1" s="356"/>
      <c r="J1" s="356"/>
      <c r="K1" s="356"/>
      <c r="L1" s="356"/>
      <c r="M1" s="356"/>
      <c r="N1" s="356"/>
      <c r="O1" s="356"/>
      <c r="P1" s="356"/>
      <c r="Q1" s="356"/>
      <c r="R1" s="356"/>
      <c r="S1" s="356"/>
    </row>
    <row r="2" spans="1:21">
      <c r="A2" s="356" t="s">
        <v>1278</v>
      </c>
      <c r="B2" s="356"/>
      <c r="C2" s="356"/>
      <c r="D2" s="356"/>
      <c r="E2" s="356"/>
      <c r="F2" s="356"/>
      <c r="G2" s="356"/>
      <c r="H2" s="356"/>
      <c r="I2" s="356"/>
      <c r="J2" s="356"/>
      <c r="K2" s="356"/>
      <c r="L2" s="356"/>
      <c r="M2" s="356"/>
      <c r="N2" s="356"/>
      <c r="O2" s="356"/>
      <c r="P2" s="356"/>
      <c r="Q2" s="356"/>
      <c r="R2" s="356"/>
      <c r="S2" s="356"/>
    </row>
    <row r="3" spans="1:21">
      <c r="A3" s="357" t="str">
        <f>'Summary - Cost - PG 1 (PA)'!A3:N3</f>
        <v>MARCH 2012</v>
      </c>
      <c r="B3" s="357"/>
      <c r="C3" s="357"/>
      <c r="D3" s="357"/>
      <c r="E3" s="357"/>
      <c r="F3" s="357"/>
      <c r="G3" s="357"/>
      <c r="H3" s="357"/>
      <c r="I3" s="357"/>
      <c r="J3" s="357"/>
      <c r="K3" s="357"/>
      <c r="L3" s="357"/>
      <c r="M3" s="357"/>
      <c r="N3" s="357"/>
      <c r="O3" s="357"/>
      <c r="P3" s="357"/>
      <c r="Q3" s="357"/>
      <c r="R3" s="357"/>
      <c r="S3" s="357"/>
    </row>
    <row r="4" spans="1:21" ht="20.25">
      <c r="A4" s="94" t="s">
        <v>992</v>
      </c>
      <c r="B4" s="270"/>
      <c r="C4" s="270"/>
      <c r="D4" s="270"/>
      <c r="E4" s="270"/>
      <c r="F4" s="270"/>
      <c r="G4" s="270"/>
      <c r="H4" s="270"/>
      <c r="I4" s="270"/>
      <c r="J4" s="270"/>
      <c r="K4" s="270"/>
      <c r="L4" s="270"/>
      <c r="M4" s="270"/>
      <c r="N4" s="270"/>
      <c r="O4" s="270"/>
      <c r="P4" s="270"/>
      <c r="Q4" s="270"/>
      <c r="R4" s="270"/>
      <c r="S4" s="270"/>
      <c r="T4" s="270"/>
    </row>
    <row r="6" spans="1:21">
      <c r="C6" s="41" t="s">
        <v>25</v>
      </c>
      <c r="E6" s="33"/>
      <c r="G6" s="33"/>
      <c r="I6" s="41" t="s">
        <v>612</v>
      </c>
      <c r="K6" s="41" t="s">
        <v>28</v>
      </c>
      <c r="M6" s="54" t="s">
        <v>37</v>
      </c>
      <c r="O6" s="41"/>
      <c r="Q6" s="54" t="s">
        <v>39</v>
      </c>
      <c r="S6" s="41" t="s">
        <v>26</v>
      </c>
    </row>
    <row r="7" spans="1:21">
      <c r="C7" s="42" t="s">
        <v>27</v>
      </c>
      <c r="E7" s="42" t="s">
        <v>954</v>
      </c>
      <c r="G7" s="42" t="s">
        <v>108</v>
      </c>
      <c r="I7" s="42" t="s">
        <v>613</v>
      </c>
      <c r="K7" s="42" t="s">
        <v>29</v>
      </c>
      <c r="M7" s="42" t="s">
        <v>38</v>
      </c>
      <c r="O7" s="42" t="s">
        <v>955</v>
      </c>
      <c r="Q7" s="42" t="s">
        <v>105</v>
      </c>
      <c r="S7" s="42" t="s">
        <v>27</v>
      </c>
      <c r="T7" s="114">
        <v>108901</v>
      </c>
      <c r="U7" s="114">
        <v>108799</v>
      </c>
    </row>
    <row r="8" spans="1:21">
      <c r="A8" s="3" t="s">
        <v>35</v>
      </c>
      <c r="C8" s="36"/>
      <c r="D8" s="36"/>
      <c r="E8" s="36"/>
      <c r="F8" s="36"/>
      <c r="G8" s="36"/>
      <c r="H8" s="36"/>
      <c r="I8" s="36"/>
      <c r="J8" s="36"/>
      <c r="K8" s="36"/>
      <c r="L8" s="36"/>
      <c r="M8" s="36"/>
      <c r="N8" s="36"/>
      <c r="O8" s="36"/>
      <c r="P8" s="36"/>
      <c r="Q8" s="36"/>
      <c r="R8" s="36"/>
      <c r="S8" s="36"/>
    </row>
    <row r="9" spans="1:21">
      <c r="B9" t="s">
        <v>455</v>
      </c>
      <c r="C9" s="33">
        <f>'Summary - Reserve - PG 2 (PA)'!C10+'Summary - Reserve - PG 2 (PA)'!C35+'Summary - Reserve - PG 2 (PA)'!C51</f>
        <v>63178428.180000015</v>
      </c>
      <c r="D9" s="33"/>
      <c r="E9" s="33">
        <f>'Summary - Reserve - PG 2 (PA)'!E10+'Summary - Reserve - PG 2 (PA)'!E35+'Summary - Reserve - PG 2 (PA)'!E51</f>
        <v>0</v>
      </c>
      <c r="F9" s="33"/>
      <c r="G9" s="33">
        <f>'Summary - Reserve - PG 2 (PA)'!G10+'Summary - Reserve - PG 2 (PA)'!G35+'Summary - Reserve - PG 2 (PA)'!G51</f>
        <v>-147165.54000000004</v>
      </c>
      <c r="H9" s="33"/>
      <c r="I9" s="33">
        <f>'Summary - Reserve - PG 2 (PA)'!I10+'Summary - Reserve - PG 2 (PA)'!I35+'Summary - Reserve - PG 2 (PA)'!I51</f>
        <v>0</v>
      </c>
      <c r="J9" s="33"/>
      <c r="K9" s="33">
        <f>'Summary - Reserve - PG 2 (PA)'!K10+'Summary - Reserve - PG 2 (PA)'!K35+'Summary - Reserve - PG 2 (PA)'!K51</f>
        <v>0</v>
      </c>
      <c r="L9" s="33"/>
      <c r="M9" s="33">
        <f>'Summary - Reserve - PG 2 (PA)'!M10+'Summary - Reserve - PG 2 (PA)'!M35+'Summary - Reserve - PG 2 (PA)'!M51</f>
        <v>0</v>
      </c>
      <c r="N9" s="33"/>
      <c r="O9" s="33">
        <f>'Summary - Reserve - PG 2 (PA)'!O10+'Summary - Reserve - PG 2 (PA)'!O35+'Summary - Reserve - PG 2 (PA)'!O51</f>
        <v>0</v>
      </c>
      <c r="P9" s="33"/>
      <c r="Q9" s="33">
        <f>'Summary - Reserve - PG 2 (PA)'!Q10+'Summary - Reserve - PG 2 (PA)'!Q35+'Summary - Reserve - PG 2 (PA)'!Q51</f>
        <v>0</v>
      </c>
      <c r="R9" s="33"/>
      <c r="S9" s="33">
        <f>'Summary - Reserve - PG 2 (PA)'!S10+'Summary - Reserve - PG 2 (PA)'!S35+'Summary - Reserve - PG 2 (PA)'!S51</f>
        <v>63031262.640000015</v>
      </c>
    </row>
    <row r="10" spans="1:21">
      <c r="B10" t="s">
        <v>851</v>
      </c>
      <c r="C10" s="33">
        <f>'Summary - Reserve - PG 2 (PA)'!C11</f>
        <v>0</v>
      </c>
      <c r="D10" s="33"/>
      <c r="E10" s="33">
        <f>'Summary - Reserve - PG 2 (PA)'!E11</f>
        <v>0</v>
      </c>
      <c r="F10" s="33"/>
      <c r="G10" s="33">
        <f>'Summary - Reserve - PG 2 (PA)'!G11</f>
        <v>0</v>
      </c>
      <c r="H10" s="33"/>
      <c r="I10" s="33">
        <f>'Summary - Reserve - PG 2 (PA)'!I11</f>
        <v>0</v>
      </c>
      <c r="J10" s="33"/>
      <c r="K10" s="33">
        <f>'Summary - Reserve - PG 2 (PA)'!K11</f>
        <v>0</v>
      </c>
      <c r="L10" s="33"/>
      <c r="M10" s="33">
        <f>'Summary - Reserve - PG 2 (PA)'!M11</f>
        <v>0</v>
      </c>
      <c r="N10" s="33"/>
      <c r="O10" s="33">
        <f>'Summary - Reserve - PG 2 (PA)'!O11</f>
        <v>0</v>
      </c>
      <c r="P10" s="33"/>
      <c r="Q10" s="33">
        <f>'Summary - Reserve - PG 2 (PA)'!Q11</f>
        <v>0</v>
      </c>
      <c r="R10" s="33"/>
      <c r="S10" s="33">
        <f>'Summary - Reserve - PG 2 (PA)'!S11</f>
        <v>0</v>
      </c>
    </row>
    <row r="11" spans="1:21">
      <c r="B11" t="s">
        <v>113</v>
      </c>
      <c r="C11" s="33">
        <f>'Summary - Reserve - PG 2 (PA)'!C12+'Summary - Reserve - PG 2 (PA)'!C36+'Summary - Reserve - PG 2 (PA)'!C52</f>
        <v>271498277.91999996</v>
      </c>
      <c r="D11" s="33"/>
      <c r="E11" s="33">
        <f>'Summary - Reserve - PG 2 (PA)'!E12+'Summary - Reserve - PG 2 (PA)'!E36+'Summary - Reserve - PG 2 (PA)'!E52</f>
        <v>0</v>
      </c>
      <c r="F11" s="33"/>
      <c r="G11" s="33">
        <f>'Summary - Reserve - PG 2 (PA)'!G12+'Summary - Reserve - PG 2 (PA)'!G36+'Summary - Reserve - PG 2 (PA)'!G52</f>
        <v>-586138.93000000005</v>
      </c>
      <c r="H11" s="33"/>
      <c r="I11" s="33">
        <f>'Summary - Reserve - PG 2 (PA)'!I12+'Summary - Reserve - PG 2 (PA)'!I36+'Summary - Reserve - PG 2 (PA)'!I52</f>
        <v>0</v>
      </c>
      <c r="J11" s="33"/>
      <c r="K11" s="33">
        <f>'Summary - Reserve - PG 2 (PA)'!K12+'Summary - Reserve - PG 2 (PA)'!K36+'Summary - Reserve - PG 2 (PA)'!K52</f>
        <v>0</v>
      </c>
      <c r="L11" s="33"/>
      <c r="M11" s="33">
        <f>'Summary - Reserve - PG 2 (PA)'!M12+'Summary - Reserve - PG 2 (PA)'!M36+'Summary - Reserve - PG 2 (PA)'!M52</f>
        <v>0</v>
      </c>
      <c r="N11" s="33"/>
      <c r="O11" s="33">
        <f>'Summary - Reserve - PG 2 (PA)'!O12+'Summary - Reserve - PG 2 (PA)'!O36+'Summary - Reserve - PG 2 (PA)'!O52</f>
        <v>0</v>
      </c>
      <c r="P11" s="33"/>
      <c r="Q11" s="33">
        <f>'Summary - Reserve - PG 2 (PA)'!Q12+'Summary - Reserve - PG 2 (PA)'!Q36+'Summary - Reserve - PG 2 (PA)'!Q52</f>
        <v>0</v>
      </c>
      <c r="R11" s="33"/>
      <c r="S11" s="33">
        <f>'Summary - Reserve - PG 2 (PA)'!S12+'Summary - Reserve - PG 2 (PA)'!S36+'Summary - Reserve - PG 2 (PA)'!S52</f>
        <v>270912138.98999995</v>
      </c>
    </row>
    <row r="12" spans="1:21">
      <c r="B12" t="s">
        <v>852</v>
      </c>
      <c r="C12" s="33">
        <f>'Summary - Reserve - PG 2 (PA)'!C13</f>
        <v>0</v>
      </c>
      <c r="D12" s="33"/>
      <c r="E12" s="33">
        <f>'Summary - Reserve - PG 2 (PA)'!E13</f>
        <v>0</v>
      </c>
      <c r="F12" s="33"/>
      <c r="G12" s="33">
        <f>'Summary - Reserve - PG 2 (PA)'!G13</f>
        <v>0</v>
      </c>
      <c r="H12" s="33"/>
      <c r="I12" s="33">
        <f>'Summary - Reserve - PG 2 (PA)'!I13</f>
        <v>0</v>
      </c>
      <c r="J12" s="33"/>
      <c r="K12" s="33">
        <f>'Summary - Reserve - PG 2 (PA)'!K13</f>
        <v>0</v>
      </c>
      <c r="L12" s="33"/>
      <c r="M12" s="33">
        <f>'Summary - Reserve - PG 2 (PA)'!M13</f>
        <v>0</v>
      </c>
      <c r="N12" s="33"/>
      <c r="O12" s="33">
        <f>'Summary - Reserve - PG 2 (PA)'!O13</f>
        <v>0</v>
      </c>
      <c r="P12" s="33"/>
      <c r="Q12" s="33">
        <f>'Summary - Reserve - PG 2 (PA)'!Q13</f>
        <v>0</v>
      </c>
      <c r="R12" s="33"/>
      <c r="S12" s="33">
        <f>'Summary - Reserve - PG 2 (PA)'!S13</f>
        <v>0</v>
      </c>
    </row>
    <row r="13" spans="1:21">
      <c r="B13" t="s">
        <v>114</v>
      </c>
      <c r="C13" s="33">
        <f>'Summary - Reserve - PG 2 (PA)'!C14+'Summary - Reserve - PG 2 (PA)'!C37+'Summary - Reserve - PG 2 (PA)'!C53</f>
        <v>10825272.689999999</v>
      </c>
      <c r="D13" s="33"/>
      <c r="E13" s="33">
        <f>'Summary - Reserve - PG 2 (PA)'!E14+'Summary - Reserve - PG 2 (PA)'!E37+'Summary - Reserve - PG 2 (PA)'!E53</f>
        <v>0</v>
      </c>
      <c r="F13" s="33"/>
      <c r="G13" s="33">
        <f>'Summary - Reserve - PG 2 (PA)'!G14+'Summary - Reserve - PG 2 (PA)'!G37+'Summary - Reserve - PG 2 (PA)'!G53</f>
        <v>-39209.64</v>
      </c>
      <c r="H13" s="33"/>
      <c r="I13" s="33">
        <f>'Summary - Reserve - PG 2 (PA)'!I14+'Summary - Reserve - PG 2 (PA)'!I37+'Summary - Reserve - PG 2 (PA)'!I53</f>
        <v>0</v>
      </c>
      <c r="J13" s="33"/>
      <c r="K13" s="33">
        <f>'Summary - Reserve - PG 2 (PA)'!K14+'Summary - Reserve - PG 2 (PA)'!K37+'Summary - Reserve - PG 2 (PA)'!K53</f>
        <v>0</v>
      </c>
      <c r="L13" s="33"/>
      <c r="M13" s="33">
        <f>'Summary - Reserve - PG 2 (PA)'!M14+'Summary - Reserve - PG 2 (PA)'!M37+'Summary - Reserve - PG 2 (PA)'!M53</f>
        <v>0</v>
      </c>
      <c r="N13" s="33"/>
      <c r="O13" s="33">
        <f>'Summary - Reserve - PG 2 (PA)'!O14+'Summary - Reserve - PG 2 (PA)'!O37+'Summary - Reserve - PG 2 (PA)'!O53</f>
        <v>0</v>
      </c>
      <c r="P13" s="33"/>
      <c r="Q13" s="33">
        <f>'Summary - Reserve - PG 2 (PA)'!Q14+'Summary - Reserve - PG 2 (PA)'!Q37+'Summary - Reserve - PG 2 (PA)'!Q53</f>
        <v>0</v>
      </c>
      <c r="R13" s="33"/>
      <c r="S13" s="33">
        <f>'Summary - Reserve - PG 2 (PA)'!S14+'Summary - Reserve - PG 2 (PA)'!S37+'Summary - Reserve - PG 2 (PA)'!S53</f>
        <v>10786063.049999999</v>
      </c>
    </row>
    <row r="14" spans="1:21">
      <c r="B14" t="s">
        <v>115</v>
      </c>
      <c r="C14" s="33">
        <f>'Summary - Reserve - PG 2 (PA)'!C15+'Summary - Reserve - PG 2 (PA)'!C38+'Summary - Reserve - PG 2 (PA)'!C54</f>
        <v>9521332.4499999993</v>
      </c>
      <c r="D14" s="33"/>
      <c r="E14" s="33">
        <f>'Summary - Reserve - PG 2 (PA)'!E15+'Summary - Reserve - PG 2 (PA)'!E38+'Summary - Reserve - PG 2 (PA)'!E54</f>
        <v>0</v>
      </c>
      <c r="F14" s="33"/>
      <c r="G14" s="33">
        <f>'Summary - Reserve - PG 2 (PA)'!G15+'Summary - Reserve - PG 2 (PA)'!G38+'Summary - Reserve - PG 2 (PA)'!G54</f>
        <v>-526.02</v>
      </c>
      <c r="H14" s="33"/>
      <c r="I14" s="33">
        <f>'Summary - Reserve - PG 2 (PA)'!I15+'Summary - Reserve - PG 2 (PA)'!I38+'Summary - Reserve - PG 2 (PA)'!I54</f>
        <v>0</v>
      </c>
      <c r="J14" s="33"/>
      <c r="K14" s="33">
        <f>'Summary - Reserve - PG 2 (PA)'!K15+'Summary - Reserve - PG 2 (PA)'!K38+'Summary - Reserve - PG 2 (PA)'!K54</f>
        <v>0</v>
      </c>
      <c r="L14" s="33"/>
      <c r="M14" s="33">
        <f>'Summary - Reserve - PG 2 (PA)'!M15+'Summary - Reserve - PG 2 (PA)'!M38+'Summary - Reserve - PG 2 (PA)'!M54</f>
        <v>0</v>
      </c>
      <c r="N14" s="33"/>
      <c r="O14" s="33">
        <f>'Summary - Reserve - PG 2 (PA)'!O15+'Summary - Reserve - PG 2 (PA)'!O38+'Summary - Reserve - PG 2 (PA)'!O54</f>
        <v>0</v>
      </c>
      <c r="P14" s="33"/>
      <c r="Q14" s="33">
        <f>'Summary - Reserve - PG 2 (PA)'!Q15+'Summary - Reserve - PG 2 (PA)'!Q38+'Summary - Reserve - PG 2 (PA)'!Q54</f>
        <v>0</v>
      </c>
      <c r="R14" s="33"/>
      <c r="S14" s="33">
        <f>'Summary - Reserve - PG 2 (PA)'!S15+'Summary - Reserve - PG 2 (PA)'!S38+'Summary - Reserve - PG 2 (PA)'!S54</f>
        <v>9520806.4299999997</v>
      </c>
    </row>
    <row r="15" spans="1:21">
      <c r="B15" t="s">
        <v>853</v>
      </c>
      <c r="C15" s="33">
        <f>'Summary - Reserve - PG 2 (PA)'!C16</f>
        <v>0</v>
      </c>
      <c r="D15" s="33"/>
      <c r="E15" s="33">
        <f>'Summary - Reserve - PG 2 (PA)'!E16</f>
        <v>0</v>
      </c>
      <c r="F15" s="33"/>
      <c r="G15" s="33">
        <f>'Summary - Reserve - PG 2 (PA)'!G16</f>
        <v>0</v>
      </c>
      <c r="H15" s="33"/>
      <c r="I15" s="33">
        <f>'Summary - Reserve - PG 2 (PA)'!I16</f>
        <v>0</v>
      </c>
      <c r="J15" s="33"/>
      <c r="K15" s="33">
        <f>'Summary - Reserve - PG 2 (PA)'!K16</f>
        <v>0</v>
      </c>
      <c r="L15" s="33"/>
      <c r="M15" s="33">
        <f>'Summary - Reserve - PG 2 (PA)'!M16</f>
        <v>0</v>
      </c>
      <c r="N15" s="33"/>
      <c r="O15" s="33">
        <f>'Summary - Reserve - PG 2 (PA)'!O16</f>
        <v>0</v>
      </c>
      <c r="P15" s="33"/>
      <c r="Q15" s="33">
        <f>'Summary - Reserve - PG 2 (PA)'!Q16</f>
        <v>0</v>
      </c>
      <c r="R15" s="33"/>
      <c r="S15" s="33">
        <f>'Summary - Reserve - PG 2 (PA)'!S16</f>
        <v>0</v>
      </c>
    </row>
    <row r="16" spans="1:21">
      <c r="B16" t="s">
        <v>117</v>
      </c>
      <c r="C16" s="33">
        <f>'Summary - Reserve - PG 2 (PA)'!C17+'Summary - Reserve - PG 2 (PA)'!C39+'Summary - Reserve - PG 2 (PA)'!C55</f>
        <v>58643031.120000005</v>
      </c>
      <c r="D16" s="33"/>
      <c r="E16" s="33">
        <f>'Summary - Reserve - PG 2 (PA)'!E17+'Summary - Reserve - PG 2 (PA)'!E39+'Summary - Reserve - PG 2 (PA)'!E55</f>
        <v>0</v>
      </c>
      <c r="F16" s="33"/>
      <c r="G16" s="33">
        <f>'Summary - Reserve - PG 2 (PA)'!G17+'Summary - Reserve - PG 2 (PA)'!G39+'Summary - Reserve - PG 2 (PA)'!G55</f>
        <v>-194624.59</v>
      </c>
      <c r="H16" s="33"/>
      <c r="I16" s="33">
        <f>'Summary - Reserve - PG 2 (PA)'!I17+'Summary - Reserve - PG 2 (PA)'!I39+'Summary - Reserve - PG 2 (PA)'!I55</f>
        <v>0</v>
      </c>
      <c r="J16" s="33"/>
      <c r="K16" s="33">
        <f>'Summary - Reserve - PG 2 (PA)'!K17+'Summary - Reserve - PG 2 (PA)'!K39+'Summary - Reserve - PG 2 (PA)'!K55</f>
        <v>0</v>
      </c>
      <c r="L16" s="33"/>
      <c r="M16" s="33">
        <f>'Summary - Reserve - PG 2 (PA)'!M17+'Summary - Reserve - PG 2 (PA)'!M39+'Summary - Reserve - PG 2 (PA)'!M55</f>
        <v>0</v>
      </c>
      <c r="N16" s="33"/>
      <c r="O16" s="33">
        <f>'Summary - Reserve - PG 2 (PA)'!O17+'Summary - Reserve - PG 2 (PA)'!O39+'Summary - Reserve - PG 2 (PA)'!O55</f>
        <v>0</v>
      </c>
      <c r="P16" s="33"/>
      <c r="Q16" s="33">
        <f>'Summary - Reserve - PG 2 (PA)'!Q17+'Summary - Reserve - PG 2 (PA)'!Q39+'Summary - Reserve - PG 2 (PA)'!Q55</f>
        <v>0</v>
      </c>
      <c r="R16" s="33"/>
      <c r="S16" s="33">
        <f>'Summary - Reserve - PG 2 (PA)'!S17+'Summary - Reserve - PG 2 (PA)'!S39+'Summary - Reserve - PG 2 (PA)'!S55</f>
        <v>58448406.530000001</v>
      </c>
    </row>
    <row r="17" spans="2:22">
      <c r="B17" t="s">
        <v>953</v>
      </c>
      <c r="C17" s="33">
        <f>'Summary - Reserve - PG 2 (PA)'!C18</f>
        <v>0</v>
      </c>
      <c r="D17" s="33"/>
      <c r="E17" s="33">
        <f>'Summary - Reserve - PG 2 (PA)'!E18</f>
        <v>0</v>
      </c>
      <c r="F17" s="33"/>
      <c r="G17" s="33">
        <f>'Summary - Reserve - PG 2 (PA)'!G18</f>
        <v>0</v>
      </c>
      <c r="H17" s="33"/>
      <c r="I17" s="33">
        <f>'Summary - Reserve - PG 2 (PA)'!I18</f>
        <v>0</v>
      </c>
      <c r="J17" s="33"/>
      <c r="K17" s="33">
        <f>'Summary - Reserve - PG 2 (PA)'!K18</f>
        <v>0</v>
      </c>
      <c r="L17" s="33"/>
      <c r="M17" s="33">
        <f>'Summary - Reserve - PG 2 (PA)'!M18</f>
        <v>0</v>
      </c>
      <c r="N17" s="33"/>
      <c r="O17" s="33">
        <f>'Summary - Reserve - PG 2 (PA)'!O18</f>
        <v>0</v>
      </c>
      <c r="P17" s="33"/>
      <c r="Q17" s="33">
        <f>'Summary - Reserve - PG 2 (PA)'!Q18</f>
        <v>0</v>
      </c>
      <c r="R17" s="33"/>
      <c r="S17" s="33">
        <f>'Summary - Reserve - PG 2 (PA)'!S18</f>
        <v>0</v>
      </c>
    </row>
    <row r="18" spans="2:22">
      <c r="B18" t="s">
        <v>118</v>
      </c>
      <c r="C18" s="33">
        <f>'Summary - Reserve - PG 2 (PA)'!C19+'Summary - Reserve - PG 2 (PA)'!C40+'Summary - Reserve - PG 2 (PA)'!C56</f>
        <v>1008356685.1099999</v>
      </c>
      <c r="D18" s="33"/>
      <c r="E18" s="33">
        <f>'Summary - Reserve - PG 2 (PA)'!E19+'Summary - Reserve - PG 2 (PA)'!E40+'Summary - Reserve - PG 2 (PA)'!E56</f>
        <v>0</v>
      </c>
      <c r="F18" s="33"/>
      <c r="G18" s="33">
        <f>'Summary - Reserve - PG 2 (PA)'!G19+'Summary - Reserve - PG 2 (PA)'!G40+'Summary - Reserve - PG 2 (PA)'!G56</f>
        <v>35234.099999999919</v>
      </c>
      <c r="H18" s="33"/>
      <c r="I18" s="33">
        <f>'Summary - Reserve - PG 2 (PA)'!I19+'Summary - Reserve - PG 2 (PA)'!I40+'Summary - Reserve - PG 2 (PA)'!I56</f>
        <v>0</v>
      </c>
      <c r="J18" s="33"/>
      <c r="K18" s="33">
        <f>'Summary - Reserve - PG 2 (PA)'!K19+'Summary - Reserve - PG 2 (PA)'!K40+'Summary - Reserve - PG 2 (PA)'!K56</f>
        <v>0</v>
      </c>
      <c r="L18" s="33"/>
      <c r="M18" s="33">
        <f>'Summary - Reserve - PG 2 (PA)'!M19+'Summary - Reserve - PG 2 (PA)'!M40+'Summary - Reserve - PG 2 (PA)'!M56</f>
        <v>0</v>
      </c>
      <c r="N18" s="33"/>
      <c r="O18" s="33">
        <f>'Summary - Reserve - PG 2 (PA)'!O19+'Summary - Reserve - PG 2 (PA)'!O40+'Summary - Reserve - PG 2 (PA)'!O56</f>
        <v>0</v>
      </c>
      <c r="P18" s="33"/>
      <c r="Q18" s="33">
        <f>'Summary - Reserve - PG 2 (PA)'!Q19+'Summary - Reserve - PG 2 (PA)'!Q40+'Summary - Reserve - PG 2 (PA)'!Q56</f>
        <v>0</v>
      </c>
      <c r="R18" s="33"/>
      <c r="S18" s="33">
        <f>'Summary - Reserve - PG 2 (PA)'!S19+'Summary - Reserve - PG 2 (PA)'!S40+'Summary - Reserve - PG 2 (PA)'!S56</f>
        <v>1008391919.2099999</v>
      </c>
    </row>
    <row r="19" spans="2:22">
      <c r="B19" t="s">
        <v>949</v>
      </c>
      <c r="C19" s="33">
        <f>'Summary - Reserve - PG 2 (PA)'!C20</f>
        <v>0</v>
      </c>
      <c r="D19" s="33"/>
      <c r="E19" s="33">
        <f>'Summary - Reserve - PG 2 (PA)'!E20</f>
        <v>0</v>
      </c>
      <c r="F19" s="33"/>
      <c r="G19" s="33">
        <f>'Summary - Reserve - PG 2 (PA)'!G20</f>
        <v>0</v>
      </c>
      <c r="H19" s="33"/>
      <c r="I19" s="33">
        <f>'Summary - Reserve - PG 2 (PA)'!I20</f>
        <v>0</v>
      </c>
      <c r="J19" s="33"/>
      <c r="K19" s="33">
        <f>'Summary - Reserve - PG 2 (PA)'!K20</f>
        <v>0</v>
      </c>
      <c r="L19" s="33"/>
      <c r="M19" s="33">
        <f>'Summary - Reserve - PG 2 (PA)'!M20</f>
        <v>0</v>
      </c>
      <c r="N19" s="33"/>
      <c r="O19" s="33">
        <f>'Summary - Reserve - PG 2 (PA)'!O20</f>
        <v>0</v>
      </c>
      <c r="P19" s="33"/>
      <c r="Q19" s="33">
        <f>'Summary - Reserve - PG 2 (PA)'!Q20</f>
        <v>0</v>
      </c>
      <c r="R19" s="33"/>
      <c r="S19" s="33">
        <f>'Summary - Reserve - PG 2 (PA)'!S20</f>
        <v>0</v>
      </c>
    </row>
    <row r="20" spans="2:22">
      <c r="B20" t="s">
        <v>119</v>
      </c>
      <c r="C20" s="33">
        <f>'Summary - Reserve - PG 2 (PA)'!C21+'Summary - Reserve - PG 2 (PA)'!C41+'Summary - Reserve - PG 2 (PA)'!C57</f>
        <v>117578314.66</v>
      </c>
      <c r="D20" s="33"/>
      <c r="E20" s="33">
        <f>'Summary - Reserve - PG 2 (PA)'!E21+'Summary - Reserve - PG 2 (PA)'!E41+'Summary - Reserve - PG 2 (PA)'!E57</f>
        <v>0</v>
      </c>
      <c r="F20" s="33"/>
      <c r="G20" s="33">
        <f>'Summary - Reserve - PG 2 (PA)'!G21+'Summary - Reserve - PG 2 (PA)'!G41+'Summary - Reserve - PG 2 (PA)'!G57</f>
        <v>-1167259.44</v>
      </c>
      <c r="H20" s="33"/>
      <c r="I20" s="33">
        <f>'Summary - Reserve - PG 2 (PA)'!I21+'Summary - Reserve - PG 2 (PA)'!I41+'Summary - Reserve - PG 2 (PA)'!I57</f>
        <v>0</v>
      </c>
      <c r="J20" s="33"/>
      <c r="K20" s="33">
        <f>'Summary - Reserve - PG 2 (PA)'!K21+'Summary - Reserve - PG 2 (PA)'!K41+'Summary - Reserve - PG 2 (PA)'!K57</f>
        <v>0</v>
      </c>
      <c r="L20" s="33"/>
      <c r="M20" s="33">
        <f>'Summary - Reserve - PG 2 (PA)'!M21+'Summary - Reserve - PG 2 (PA)'!M41+'Summary - Reserve - PG 2 (PA)'!M57</f>
        <v>0</v>
      </c>
      <c r="N20" s="33"/>
      <c r="O20" s="33">
        <f>'Summary - Reserve - PG 2 (PA)'!O21+'Summary - Reserve - PG 2 (PA)'!O41+'Summary - Reserve - PG 2 (PA)'!O57</f>
        <v>0</v>
      </c>
      <c r="P20" s="33"/>
      <c r="Q20" s="33">
        <f>'Summary - Reserve - PG 2 (PA)'!Q21+'Summary - Reserve - PG 2 (PA)'!Q41+'Summary - Reserve - PG 2 (PA)'!Q57</f>
        <v>0</v>
      </c>
      <c r="R20" s="33"/>
      <c r="S20" s="33">
        <f>'Summary - Reserve - PG 2 (PA)'!S21+'Summary - Reserve - PG 2 (PA)'!S41+'Summary - Reserve - PG 2 (PA)'!S57</f>
        <v>116411055.22</v>
      </c>
    </row>
    <row r="21" spans="2:22">
      <c r="B21" t="s">
        <v>950</v>
      </c>
      <c r="C21" s="33">
        <f>'Summary - Reserve - PG 2 (PA)'!C22</f>
        <v>0</v>
      </c>
      <c r="D21" s="33"/>
      <c r="E21" s="33">
        <f>'Summary - Reserve - PG 2 (PA)'!E22</f>
        <v>0</v>
      </c>
      <c r="F21" s="33"/>
      <c r="G21" s="33">
        <f>'Summary - Reserve - PG 2 (PA)'!G22</f>
        <v>0</v>
      </c>
      <c r="H21" s="33"/>
      <c r="I21" s="33">
        <f>'Summary - Reserve - PG 2 (PA)'!I22</f>
        <v>0</v>
      </c>
      <c r="J21" s="33"/>
      <c r="K21" s="33">
        <f>'Summary - Reserve - PG 2 (PA)'!K22</f>
        <v>0</v>
      </c>
      <c r="L21" s="33"/>
      <c r="M21" s="33">
        <f>'Summary - Reserve - PG 2 (PA)'!M22</f>
        <v>0</v>
      </c>
      <c r="N21" s="33"/>
      <c r="O21" s="33">
        <f>'Summary - Reserve - PG 2 (PA)'!O22</f>
        <v>0</v>
      </c>
      <c r="P21" s="33"/>
      <c r="Q21" s="33">
        <f>'Summary - Reserve - PG 2 (PA)'!Q22</f>
        <v>0</v>
      </c>
      <c r="R21" s="33"/>
      <c r="S21" s="33">
        <f>'Summary - Reserve - PG 2 (PA)'!S22</f>
        <v>0</v>
      </c>
    </row>
    <row r="22" spans="2:22">
      <c r="B22" t="s">
        <v>121</v>
      </c>
      <c r="C22" s="33">
        <f>'Summary - Reserve - PG 2 (PA)'!C23+'Summary - Reserve - PG 2 (PA)'!C42+'Summary - Reserve - PG 2 (PA)'!C58</f>
        <v>123194782.14000002</v>
      </c>
      <c r="D22" s="33"/>
      <c r="E22" s="33">
        <f>'Summary - Reserve - PG 2 (PA)'!E23+'Summary - Reserve - PG 2 (PA)'!E42+'Summary - Reserve - PG 2 (PA)'!E58</f>
        <v>0</v>
      </c>
      <c r="F22" s="33"/>
      <c r="G22" s="33">
        <f>'Summary - Reserve - PG 2 (PA)'!G23+'Summary - Reserve - PG 2 (PA)'!G42+'Summary - Reserve - PG 2 (PA)'!G58</f>
        <v>-14486.08</v>
      </c>
      <c r="H22" s="33"/>
      <c r="I22" s="33">
        <f>'Summary - Reserve - PG 2 (PA)'!I23+'Summary - Reserve - PG 2 (PA)'!I42+'Summary - Reserve - PG 2 (PA)'!I58</f>
        <v>0</v>
      </c>
      <c r="J22" s="33"/>
      <c r="K22" s="33">
        <f>'Summary - Reserve - PG 2 (PA)'!K23+'Summary - Reserve - PG 2 (PA)'!K42+'Summary - Reserve - PG 2 (PA)'!K58</f>
        <v>0</v>
      </c>
      <c r="L22" s="33"/>
      <c r="M22" s="33">
        <f>'Summary - Reserve - PG 2 (PA)'!M23+'Summary - Reserve - PG 2 (PA)'!M42+'Summary - Reserve - PG 2 (PA)'!M58</f>
        <v>0</v>
      </c>
      <c r="N22" s="33"/>
      <c r="O22" s="33">
        <f>'Summary - Reserve - PG 2 (PA)'!O23+'Summary - Reserve - PG 2 (PA)'!O42+'Summary - Reserve - PG 2 (PA)'!O58</f>
        <v>0</v>
      </c>
      <c r="P22" s="33"/>
      <c r="Q22" s="33">
        <f>'Summary - Reserve - PG 2 (PA)'!Q23+'Summary - Reserve - PG 2 (PA)'!Q42+'Summary - Reserve - PG 2 (PA)'!Q58</f>
        <v>0</v>
      </c>
      <c r="R22" s="33"/>
      <c r="S22" s="33">
        <f>'Summary - Reserve - PG 2 (PA)'!S23+'Summary - Reserve - PG 2 (PA)'!S42+'Summary - Reserve - PG 2 (PA)'!S58</f>
        <v>123180296.06000002</v>
      </c>
    </row>
    <row r="23" spans="2:22">
      <c r="B23" t="s">
        <v>951</v>
      </c>
      <c r="C23" s="33">
        <f>'Summary - Reserve - PG 2 (PA)'!C24</f>
        <v>0</v>
      </c>
      <c r="D23" s="33"/>
      <c r="E23" s="33">
        <f>'Summary - Reserve - PG 2 (PA)'!E24</f>
        <v>0</v>
      </c>
      <c r="F23" s="33"/>
      <c r="G23" s="33">
        <f>'Summary - Reserve - PG 2 (PA)'!G24</f>
        <v>0</v>
      </c>
      <c r="H23" s="33"/>
      <c r="I23" s="33">
        <f>'Summary - Reserve - PG 2 (PA)'!I24</f>
        <v>0</v>
      </c>
      <c r="J23" s="33"/>
      <c r="K23" s="33">
        <f>'Summary - Reserve - PG 2 (PA)'!K24</f>
        <v>0</v>
      </c>
      <c r="L23" s="33"/>
      <c r="M23" s="33">
        <f>'Summary - Reserve - PG 2 (PA)'!M24</f>
        <v>0</v>
      </c>
      <c r="N23" s="33"/>
      <c r="O23" s="33">
        <f>'Summary - Reserve - PG 2 (PA)'!O24</f>
        <v>0</v>
      </c>
      <c r="P23" s="33"/>
      <c r="Q23" s="33">
        <f>'Summary - Reserve - PG 2 (PA)'!Q24</f>
        <v>0</v>
      </c>
      <c r="R23" s="33"/>
      <c r="S23" s="33">
        <f>'Summary - Reserve - PG 2 (PA)'!S24</f>
        <v>0</v>
      </c>
    </row>
    <row r="24" spans="2:22">
      <c r="B24" t="s">
        <v>122</v>
      </c>
      <c r="C24" s="33">
        <f>'Summary - Reserve - PG 2 (PA)'!C25+'Summary - Reserve - PG 2 (PA)'!C43+'Summary - Reserve - PG 2 (PA)'!C59</f>
        <v>4714350.2300000004</v>
      </c>
      <c r="D24" s="33"/>
      <c r="E24" s="33">
        <f>'Summary - Reserve - PG 2 (PA)'!E25+'Summary - Reserve - PG 2 (PA)'!E43+'Summary - Reserve - PG 2 (PA)'!E59</f>
        <v>0</v>
      </c>
      <c r="F24" s="33"/>
      <c r="G24" s="33">
        <f>'Summary - Reserve - PG 2 (PA)'!G25+'Summary - Reserve - PG 2 (PA)'!G43+'Summary - Reserve - PG 2 (PA)'!G59</f>
        <v>0</v>
      </c>
      <c r="H24" s="33"/>
      <c r="I24" s="33">
        <f>'Summary - Reserve - PG 2 (PA)'!I25+'Summary - Reserve - PG 2 (PA)'!I43+'Summary - Reserve - PG 2 (PA)'!I59</f>
        <v>0</v>
      </c>
      <c r="J24" s="33"/>
      <c r="K24" s="33">
        <f>'Summary - Reserve - PG 2 (PA)'!K25+'Summary - Reserve - PG 2 (PA)'!K43+'Summary - Reserve - PG 2 (PA)'!K59</f>
        <v>0</v>
      </c>
      <c r="L24" s="33"/>
      <c r="M24" s="33">
        <f>'Summary - Reserve - PG 2 (PA)'!M25+'Summary - Reserve - PG 2 (PA)'!M43+'Summary - Reserve - PG 2 (PA)'!M59</f>
        <v>0</v>
      </c>
      <c r="N24" s="33"/>
      <c r="O24" s="33">
        <f>'Summary - Reserve - PG 2 (PA)'!O25+'Summary - Reserve - PG 2 (PA)'!O43+'Summary - Reserve - PG 2 (PA)'!O59</f>
        <v>0</v>
      </c>
      <c r="P24" s="33"/>
      <c r="Q24" s="33">
        <f>'Summary - Reserve - PG 2 (PA)'!Q25+'Summary - Reserve - PG 2 (PA)'!Q43+'Summary - Reserve - PG 2 (PA)'!Q59</f>
        <v>0</v>
      </c>
      <c r="R24" s="33"/>
      <c r="S24" s="33">
        <f>'Summary - Reserve - PG 2 (PA)'!S25+'Summary - Reserve - PG 2 (PA)'!S43+'Summary - Reserve - PG 2 (PA)'!S59</f>
        <v>4714350.2300000004</v>
      </c>
    </row>
    <row r="25" spans="2:22">
      <c r="B25" t="s">
        <v>124</v>
      </c>
      <c r="C25" s="33">
        <f>'Summary - Reserve - PG 2 (PA)'!C26+'Summary - Reserve - PG 2 (PA)'!C44+'Summary - Reserve - PG 2 (PA)'!C60</f>
        <v>31469454.919999998</v>
      </c>
      <c r="D25" s="33"/>
      <c r="E25" s="33">
        <f>'Summary - Reserve - PG 2 (PA)'!E26+'Summary - Reserve - PG 2 (PA)'!E44+'Summary - Reserve - PG 2 (PA)'!E60</f>
        <v>0</v>
      </c>
      <c r="F25" s="33"/>
      <c r="G25" s="33">
        <f>'Summary - Reserve - PG 2 (PA)'!G26+'Summary - Reserve - PG 2 (PA)'!G44+'Summary - Reserve - PG 2 (PA)'!G60</f>
        <v>-39066.25</v>
      </c>
      <c r="H25" s="33"/>
      <c r="I25" s="33">
        <f>'Summary - Reserve - PG 2 (PA)'!I26+'Summary - Reserve - PG 2 (PA)'!I44+'Summary - Reserve - PG 2 (PA)'!I60</f>
        <v>0</v>
      </c>
      <c r="J25" s="33"/>
      <c r="K25" s="33">
        <f>'Summary - Reserve - PG 2 (PA)'!K26+'Summary - Reserve - PG 2 (PA)'!K44+'Summary - Reserve - PG 2 (PA)'!K60</f>
        <v>0</v>
      </c>
      <c r="L25" s="33"/>
      <c r="M25" s="33">
        <f>'Summary - Reserve - PG 2 (PA)'!M26+'Summary - Reserve - PG 2 (PA)'!M44+'Summary - Reserve - PG 2 (PA)'!M60</f>
        <v>0</v>
      </c>
      <c r="N25" s="33"/>
      <c r="O25" s="33">
        <f>'Summary - Reserve - PG 2 (PA)'!O26+'Summary - Reserve - PG 2 (PA)'!O44+'Summary - Reserve - PG 2 (PA)'!O60</f>
        <v>0</v>
      </c>
      <c r="P25" s="33"/>
      <c r="Q25" s="33">
        <f>'Summary - Reserve - PG 2 (PA)'!Q26+'Summary - Reserve - PG 2 (PA)'!Q44+'Summary - Reserve - PG 2 (PA)'!Q60</f>
        <v>0</v>
      </c>
      <c r="R25" s="33"/>
      <c r="S25" s="33">
        <f>'Summary - Reserve - PG 2 (PA)'!S26+'Summary - Reserve - PG 2 (PA)'!S44+'Summary - Reserve - PG 2 (PA)'!S60</f>
        <v>31430388.669999998</v>
      </c>
    </row>
    <row r="26" spans="2:22">
      <c r="B26" t="s">
        <v>952</v>
      </c>
      <c r="C26" s="33">
        <f>'Summary - Reserve - PG 2 (PA)'!C27</f>
        <v>0</v>
      </c>
      <c r="D26" s="33"/>
      <c r="E26" s="33">
        <f>'Summary - Reserve - PG 2 (PA)'!E27</f>
        <v>0</v>
      </c>
      <c r="F26" s="33"/>
      <c r="G26" s="33">
        <f>'Summary - Reserve - PG 2 (PA)'!G27</f>
        <v>0</v>
      </c>
      <c r="H26" s="33"/>
      <c r="I26" s="33">
        <f>'Summary - Reserve - PG 2 (PA)'!I27</f>
        <v>0</v>
      </c>
      <c r="J26" s="33"/>
      <c r="K26" s="33">
        <f>'Summary - Reserve - PG 2 (PA)'!K27</f>
        <v>0</v>
      </c>
      <c r="L26" s="33"/>
      <c r="M26" s="33">
        <f>'Summary - Reserve - PG 2 (PA)'!M27</f>
        <v>0</v>
      </c>
      <c r="N26" s="33"/>
      <c r="O26" s="33">
        <f>'Summary - Reserve - PG 2 (PA)'!O27</f>
        <v>0</v>
      </c>
      <c r="P26" s="33"/>
      <c r="Q26" s="33">
        <f>'Summary - Reserve - PG 2 (PA)'!Q27</f>
        <v>0</v>
      </c>
      <c r="R26" s="33"/>
      <c r="S26" s="33">
        <f>'Summary - Reserve - PG 2 (PA)'!S27</f>
        <v>0</v>
      </c>
    </row>
    <row r="27" spans="2:22">
      <c r="B27" t="s">
        <v>129</v>
      </c>
      <c r="C27" s="33">
        <f>'Summary - Reserve - PG 2 (PA)'!C28+'Summary - Reserve - PG 2 (PA)'!C45+'Summary - Reserve - PG 2 (PA)'!C61</f>
        <v>0</v>
      </c>
      <c r="D27" s="33"/>
      <c r="E27" s="33">
        <f>'Summary - Reserve - PG 2 (PA)'!E28+'Summary - Reserve - PG 2 (PA)'!E45+'Summary - Reserve - PG 2 (PA)'!E61</f>
        <v>0</v>
      </c>
      <c r="F27" s="33"/>
      <c r="G27" s="33">
        <f>'Summary - Reserve - PG 2 (PA)'!G28+'Summary - Reserve - PG 2 (PA)'!G45+'Summary - Reserve - PG 2 (PA)'!G61</f>
        <v>0</v>
      </c>
      <c r="H27" s="33"/>
      <c r="I27" s="33">
        <f>'Summary - Reserve - PG 2 (PA)'!I28+'Summary - Reserve - PG 2 (PA)'!I45+'Summary - Reserve - PG 2 (PA)'!I61</f>
        <v>0</v>
      </c>
      <c r="J27" s="33"/>
      <c r="K27" s="33">
        <f>'Summary - Reserve - PG 2 (PA)'!K28+'Summary - Reserve - PG 2 (PA)'!K45+'Summary - Reserve - PG 2 (PA)'!K61</f>
        <v>0</v>
      </c>
      <c r="L27" s="33"/>
      <c r="M27" s="33">
        <f>'Summary - Reserve - PG 2 (PA)'!M28+'Summary - Reserve - PG 2 (PA)'!M45+'Summary - Reserve - PG 2 (PA)'!M61</f>
        <v>0</v>
      </c>
      <c r="N27" s="33"/>
      <c r="O27" s="33">
        <f>'Summary - Reserve - PG 2 (PA)'!O28+'Summary - Reserve - PG 2 (PA)'!O45+'Summary - Reserve - PG 2 (PA)'!O61</f>
        <v>0</v>
      </c>
      <c r="P27" s="33"/>
      <c r="Q27" s="33">
        <f>'Summary - Reserve - PG 2 (PA)'!Q28+'Summary - Reserve - PG 2 (PA)'!Q45+'Summary - Reserve - PG 2 (PA)'!Q61</f>
        <v>0</v>
      </c>
      <c r="R27" s="33"/>
      <c r="S27" s="33">
        <f>'Summary - Reserve - PG 2 (PA)'!S28+'Summary - Reserve - PG 2 (PA)'!S45+'Summary - Reserve - PG 2 (PA)'!S61</f>
        <v>0</v>
      </c>
    </row>
    <row r="28" spans="2:22">
      <c r="B28" t="s">
        <v>125</v>
      </c>
      <c r="C28" s="33">
        <f>'Summary - Reserve - PG 2 (PA)'!C29+'Summary - Reserve - PG 2 (PA)'!C46+'Summary - Reserve - PG 2 (PA)'!C62</f>
        <v>9426614.1399999987</v>
      </c>
      <c r="D28" s="37"/>
      <c r="E28" s="33">
        <f>'Summary - Reserve - PG 2 (PA)'!E29+'Summary - Reserve - PG 2 (PA)'!E46+'Summary - Reserve - PG 2 (PA)'!E62</f>
        <v>0</v>
      </c>
      <c r="F28" s="37"/>
      <c r="G28" s="33">
        <f>'Summary - Reserve - PG 2 (PA)'!G29+'Summary - Reserve - PG 2 (PA)'!G46+'Summary - Reserve - PG 2 (PA)'!G62</f>
        <v>-698.24</v>
      </c>
      <c r="H28" s="37"/>
      <c r="I28" s="33">
        <f>'Summary - Reserve - PG 2 (PA)'!I29+'Summary - Reserve - PG 2 (PA)'!I46+'Summary - Reserve - PG 2 (PA)'!I62</f>
        <v>0</v>
      </c>
      <c r="J28" s="37"/>
      <c r="K28" s="33">
        <f>'Summary - Reserve - PG 2 (PA)'!K29+'Summary - Reserve - PG 2 (PA)'!K46+'Summary - Reserve - PG 2 (PA)'!K62</f>
        <v>0</v>
      </c>
      <c r="L28" s="37"/>
      <c r="M28" s="33">
        <f>'Summary - Reserve - PG 2 (PA)'!M29+'Summary - Reserve - PG 2 (PA)'!M46+'Summary - Reserve - PG 2 (PA)'!M62</f>
        <v>0</v>
      </c>
      <c r="N28" s="37"/>
      <c r="O28" s="33">
        <f>'Summary - Reserve - PG 2 (PA)'!O29+'Summary - Reserve - PG 2 (PA)'!O46+'Summary - Reserve - PG 2 (PA)'!O62</f>
        <v>0</v>
      </c>
      <c r="P28" s="37"/>
      <c r="Q28" s="33">
        <f>'Summary - Reserve - PG 2 (PA)'!Q29+'Summary - Reserve - PG 2 (PA)'!Q46+'Summary - Reserve - PG 2 (PA)'!Q62</f>
        <v>0</v>
      </c>
      <c r="R28" s="37"/>
      <c r="S28" s="33">
        <f>'Summary - Reserve - PG 2 (PA)'!S29+'Summary - Reserve - PG 2 (PA)'!S46+'Summary - Reserve - PG 2 (PA)'!S62</f>
        <v>9425915.8999999985</v>
      </c>
    </row>
    <row r="29" spans="2:22">
      <c r="B29" t="s">
        <v>131</v>
      </c>
      <c r="C29" s="35">
        <f>'Summary - Reserve - PG 2 (PA)'!C31+'Summary - Reserve - PG 2 (PA)'!C47+'Summary - Reserve - PG 2 (PA)'!C63</f>
        <v>63360.36</v>
      </c>
      <c r="D29" s="37"/>
      <c r="E29" s="35">
        <f>'Summary - Reserve - PG 2 (PA)'!E31+'Summary - Reserve - PG 2 (PA)'!E47+'Summary - Reserve - PG 2 (PA)'!E63</f>
        <v>0</v>
      </c>
      <c r="F29" s="37"/>
      <c r="G29" s="35">
        <f>'Summary - Reserve - PG 2 (PA)'!G31+'Summary - Reserve - PG 2 (PA)'!G47+'Summary - Reserve - PG 2 (PA)'!G63</f>
        <v>0</v>
      </c>
      <c r="H29" s="37"/>
      <c r="I29" s="35">
        <f>'Summary - Reserve - PG 2 (PA)'!I31+'Summary - Reserve - PG 2 (PA)'!I47+'Summary - Reserve - PG 2 (PA)'!I63</f>
        <v>0</v>
      </c>
      <c r="J29" s="37"/>
      <c r="K29" s="35">
        <f>'Summary - Reserve - PG 2 (PA)'!K31+'Summary - Reserve - PG 2 (PA)'!K47+'Summary - Reserve - PG 2 (PA)'!K63</f>
        <v>0</v>
      </c>
      <c r="L29" s="37"/>
      <c r="M29" s="35">
        <f>'Summary - Reserve - PG 2 (PA)'!M31+'Summary - Reserve - PG 2 (PA)'!M47+'Summary - Reserve - PG 2 (PA)'!M63</f>
        <v>0</v>
      </c>
      <c r="N29" s="37"/>
      <c r="O29" s="35">
        <f>'Summary - Reserve - PG 2 (PA)'!O31+'Summary - Reserve - PG 2 (PA)'!O47+'Summary - Reserve - PG 2 (PA)'!O63</f>
        <v>0</v>
      </c>
      <c r="P29" s="37"/>
      <c r="Q29" s="35">
        <f>'Summary - Reserve - PG 2 (PA)'!Q31+'Summary - Reserve - PG 2 (PA)'!Q47+'Summary - Reserve - PG 2 (PA)'!Q63</f>
        <v>0</v>
      </c>
      <c r="R29" s="37"/>
      <c r="S29" s="35">
        <f>'Summary - Reserve - PG 2 (PA)'!S31+'Summary - Reserve - PG 2 (PA)'!S47+'Summary - Reserve - PG 2 (PA)'!S63</f>
        <v>63360.36</v>
      </c>
    </row>
    <row r="30" spans="2:22">
      <c r="B30" s="2"/>
      <c r="C30" s="37">
        <f>SUM(C9:C29)</f>
        <v>1708469903.9200001</v>
      </c>
      <c r="D30" s="37"/>
      <c r="E30" s="37">
        <f>SUM(E9:E29)</f>
        <v>0</v>
      </c>
      <c r="F30" s="37"/>
      <c r="G30" s="37">
        <f>SUM(G9:G29)</f>
        <v>-2153940.6300000004</v>
      </c>
      <c r="H30" s="37"/>
      <c r="I30" s="37">
        <f>SUM(I9:I29)</f>
        <v>0</v>
      </c>
      <c r="J30" s="37"/>
      <c r="K30" s="37">
        <f>SUM(K9:K29)</f>
        <v>0</v>
      </c>
      <c r="L30" s="37"/>
      <c r="M30" s="37">
        <f>SUM(M9:M29)</f>
        <v>0</v>
      </c>
      <c r="N30" s="37"/>
      <c r="O30" s="37">
        <f>SUM(O9:O29)</f>
        <v>0</v>
      </c>
      <c r="P30" s="37"/>
      <c r="Q30" s="37">
        <f>SUM(Q9:Q29)</f>
        <v>0</v>
      </c>
      <c r="R30" s="37"/>
      <c r="S30" s="37">
        <f>SUM(S9:S29)</f>
        <v>1706315963.29</v>
      </c>
    </row>
    <row r="31" spans="2:22">
      <c r="C31" s="7"/>
      <c r="D31" s="7"/>
      <c r="E31" s="7"/>
      <c r="F31" s="7"/>
      <c r="G31" s="7"/>
      <c r="H31" s="7"/>
      <c r="I31" s="51"/>
      <c r="J31" s="7"/>
      <c r="K31" s="7"/>
      <c r="L31" s="7"/>
      <c r="M31" s="7"/>
      <c r="N31" s="7"/>
      <c r="O31" s="7"/>
      <c r="P31" s="7"/>
      <c r="Q31" s="7"/>
      <c r="R31" s="7"/>
      <c r="S31" s="7"/>
      <c r="V31" s="29" t="s">
        <v>1085</v>
      </c>
    </row>
    <row r="32" spans="2:22" hidden="1">
      <c r="C32" s="37"/>
      <c r="D32" s="37"/>
      <c r="E32" s="37"/>
      <c r="F32" s="37"/>
      <c r="G32" s="37"/>
      <c r="H32" s="37"/>
      <c r="I32" s="37"/>
      <c r="J32" s="37"/>
      <c r="K32" s="37"/>
      <c r="L32" s="37"/>
      <c r="M32" s="37"/>
      <c r="N32" s="37"/>
      <c r="O32" s="37"/>
      <c r="P32" s="37"/>
      <c r="Q32" s="37"/>
      <c r="R32" s="37"/>
      <c r="S32" s="37"/>
    </row>
    <row r="33" spans="1:20" hidden="1">
      <c r="A33" s="3" t="s">
        <v>1006</v>
      </c>
      <c r="C33" s="33"/>
      <c r="D33" s="33"/>
      <c r="E33" s="33"/>
      <c r="F33" s="33"/>
      <c r="G33" s="33"/>
      <c r="H33" s="33"/>
      <c r="I33" s="33"/>
      <c r="J33" s="33"/>
      <c r="K33" s="33"/>
      <c r="L33" s="33"/>
      <c r="M33" s="33"/>
      <c r="N33" s="33"/>
      <c r="O33" s="33"/>
      <c r="P33" s="33"/>
      <c r="Q33" s="33"/>
      <c r="R33" s="33"/>
      <c r="S33" s="33"/>
    </row>
    <row r="34" spans="1:20" hidden="1">
      <c r="B34" t="s">
        <v>652</v>
      </c>
      <c r="C34" s="33">
        <f>C9+C10+C29</f>
        <v>63241788.540000014</v>
      </c>
      <c r="D34" s="33"/>
      <c r="E34" s="33">
        <f>E9+E10+E29</f>
        <v>0</v>
      </c>
      <c r="F34" s="33"/>
      <c r="G34" s="33">
        <f>G9+G10+G29</f>
        <v>-147165.54000000004</v>
      </c>
      <c r="H34" s="33"/>
      <c r="I34" s="33">
        <f>I9+I10+I29</f>
        <v>0</v>
      </c>
      <c r="J34" s="33"/>
      <c r="K34" s="33">
        <f>K9+K10+K29</f>
        <v>0</v>
      </c>
      <c r="L34" s="33"/>
      <c r="M34" s="33">
        <f>M9+M10+M29</f>
        <v>0</v>
      </c>
      <c r="N34" s="33"/>
      <c r="O34" s="33">
        <f>O9+O10+O29</f>
        <v>0</v>
      </c>
      <c r="P34" s="33"/>
      <c r="Q34" s="33">
        <f>Q9+Q10+Q29</f>
        <v>0</v>
      </c>
      <c r="R34" s="33"/>
      <c r="S34" s="33">
        <f>S9+S10+S29</f>
        <v>63094623.000000015</v>
      </c>
    </row>
    <row r="35" spans="1:20" hidden="1">
      <c r="B35" t="s">
        <v>112</v>
      </c>
      <c r="C35" s="37">
        <f>SUM(C11:C21)</f>
        <v>1476422913.95</v>
      </c>
      <c r="D35" s="37"/>
      <c r="E35" s="37">
        <f>SUM(E11:E21)</f>
        <v>0</v>
      </c>
      <c r="F35" s="37"/>
      <c r="G35" s="37">
        <f>SUM(G11:G21)</f>
        <v>-1952524.52</v>
      </c>
      <c r="H35" s="37"/>
      <c r="I35" s="37">
        <f>SUM(I11:I21)</f>
        <v>0</v>
      </c>
      <c r="J35" s="37"/>
      <c r="K35" s="37">
        <f>SUM(K11:K21)</f>
        <v>0</v>
      </c>
      <c r="L35" s="37"/>
      <c r="M35" s="37">
        <f>SUM(M11:M21)</f>
        <v>0</v>
      </c>
      <c r="N35" s="37"/>
      <c r="O35" s="37">
        <f>SUM(O11:O21)</f>
        <v>0</v>
      </c>
      <c r="P35" s="37"/>
      <c r="Q35" s="37">
        <f>SUM(Q11:Q21)</f>
        <v>0</v>
      </c>
      <c r="R35" s="37"/>
      <c r="S35" s="37">
        <f>SUM(S11:S21)</f>
        <v>1474470389.4300001</v>
      </c>
    </row>
    <row r="36" spans="1:20" hidden="1">
      <c r="B36" t="s">
        <v>120</v>
      </c>
      <c r="C36" s="35">
        <f>SUM(C22:C28)</f>
        <v>168805201.43000001</v>
      </c>
      <c r="D36" s="37"/>
      <c r="E36" s="35">
        <f>SUM(E22:E28)</f>
        <v>0</v>
      </c>
      <c r="F36" s="37"/>
      <c r="G36" s="35">
        <f>SUM(G22:G28)</f>
        <v>-54250.57</v>
      </c>
      <c r="H36" s="37"/>
      <c r="I36" s="35">
        <f>SUM(I22:I28)</f>
        <v>0</v>
      </c>
      <c r="J36" s="37"/>
      <c r="K36" s="35">
        <f>SUM(K22:K28)</f>
        <v>0</v>
      </c>
      <c r="L36" s="37"/>
      <c r="M36" s="35">
        <f>SUM(M22:M28)</f>
        <v>0</v>
      </c>
      <c r="N36" s="37"/>
      <c r="O36" s="35">
        <f>SUM(O22:O28)</f>
        <v>0</v>
      </c>
      <c r="P36" s="37"/>
      <c r="Q36" s="35">
        <f>SUM(Q22:Q28)</f>
        <v>0</v>
      </c>
      <c r="R36" s="37"/>
      <c r="S36" s="35">
        <f>SUM(S22:S28)</f>
        <v>168750950.86000001</v>
      </c>
    </row>
    <row r="37" spans="1:20" s="10" customFormat="1" hidden="1">
      <c r="B37" s="11"/>
      <c r="C37" s="27">
        <f>SUM(C34:C36)</f>
        <v>1708469903.9200001</v>
      </c>
      <c r="D37" s="27"/>
      <c r="E37" s="27">
        <f>SUM(E34:E36)</f>
        <v>0</v>
      </c>
      <c r="F37" s="27"/>
      <c r="G37" s="27">
        <f>SUM(G34:G36)</f>
        <v>-2153940.63</v>
      </c>
      <c r="H37" s="27"/>
      <c r="I37" s="27">
        <f>SUM(I34:I36)</f>
        <v>0</v>
      </c>
      <c r="J37" s="27"/>
      <c r="K37" s="27">
        <f>SUM(K34:K36)</f>
        <v>0</v>
      </c>
      <c r="L37" s="27"/>
      <c r="M37" s="27">
        <f>SUM(M34:M36)</f>
        <v>0</v>
      </c>
      <c r="N37" s="27"/>
      <c r="O37" s="27">
        <f>SUM(O34:O36)</f>
        <v>0</v>
      </c>
      <c r="P37" s="27"/>
      <c r="Q37" s="27">
        <f>SUM(Q34:Q36)</f>
        <v>0</v>
      </c>
      <c r="R37" s="27"/>
      <c r="S37" s="27">
        <f>SUM(S34:S36)</f>
        <v>1706315963.29</v>
      </c>
    </row>
    <row r="38" spans="1:20" s="10" customFormat="1" hidden="1">
      <c r="B38" s="11"/>
      <c r="C38" s="27"/>
      <c r="D38" s="27"/>
      <c r="E38" s="27"/>
      <c r="F38" s="27"/>
      <c r="G38" s="27"/>
      <c r="H38" s="27"/>
      <c r="I38" s="27"/>
      <c r="J38" s="27"/>
      <c r="K38" s="27"/>
      <c r="L38" s="27"/>
      <c r="M38" s="27"/>
      <c r="N38" s="27"/>
      <c r="O38" s="27"/>
      <c r="P38" s="27"/>
      <c r="Q38" s="27"/>
      <c r="R38" s="27"/>
      <c r="S38" s="27"/>
    </row>
    <row r="39" spans="1:20" hidden="1">
      <c r="A39" s="3" t="s">
        <v>656</v>
      </c>
      <c r="C39" s="33"/>
      <c r="D39" s="33"/>
      <c r="E39" s="33"/>
      <c r="F39" s="33"/>
      <c r="G39" s="33"/>
      <c r="H39" s="33"/>
      <c r="I39" s="33"/>
      <c r="J39" s="33"/>
      <c r="K39" s="33"/>
      <c r="L39" s="33"/>
      <c r="M39" s="33"/>
      <c r="N39" s="33"/>
      <c r="O39" s="33"/>
      <c r="P39" s="33"/>
      <c r="Q39" s="33"/>
      <c r="R39" s="33"/>
      <c r="S39" s="33"/>
    </row>
    <row r="40" spans="1:20" hidden="1">
      <c r="B40" t="s">
        <v>652</v>
      </c>
      <c r="C40" s="33">
        <f>'Summary - Reserve - PG 2 (PA)'!C73</f>
        <v>0</v>
      </c>
      <c r="D40" s="33"/>
      <c r="E40" s="33">
        <f>'Summary - Reserve - PG 2 (PA)'!E73</f>
        <v>0</v>
      </c>
      <c r="F40" s="33"/>
      <c r="G40" s="33">
        <f>'Summary - Reserve - PG 2 (PA)'!G73</f>
        <v>0</v>
      </c>
      <c r="H40" s="33"/>
      <c r="I40" s="33">
        <f>'Summary - Reserve - PG 2 (PA)'!I73</f>
        <v>0</v>
      </c>
      <c r="J40" s="33"/>
      <c r="K40" s="33">
        <f>'Summary - Reserve - PG 2 (PA)'!K73</f>
        <v>0</v>
      </c>
      <c r="L40" s="33"/>
      <c r="M40" s="33">
        <f>'Summary - Reserve - PG 2 (PA)'!M73</f>
        <v>0</v>
      </c>
      <c r="N40" s="33"/>
      <c r="O40" s="33">
        <f>'Summary - Reserve - PG 2 (PA)'!O73</f>
        <v>0</v>
      </c>
      <c r="P40" s="33"/>
      <c r="Q40" s="33">
        <f>'Summary - Reserve - PG 2 (PA)'!Q73</f>
        <v>0</v>
      </c>
      <c r="R40" s="33"/>
      <c r="S40" s="33">
        <f>Q40+O40+M40+K40+I40+G40+E40+C40</f>
        <v>0</v>
      </c>
      <c r="T40" s="5"/>
    </row>
    <row r="41" spans="1:20" hidden="1">
      <c r="B41" t="s">
        <v>112</v>
      </c>
      <c r="C41" s="33">
        <f>'Summary - Reserve - PG 2 (PA)'!C74</f>
        <v>0</v>
      </c>
      <c r="D41" s="33"/>
      <c r="E41" s="33">
        <f>'Summary - Reserve - PG 2 (PA)'!E74</f>
        <v>0</v>
      </c>
      <c r="F41" s="33"/>
      <c r="G41" s="33">
        <f>'Summary - Reserve - PG 2 (PA)'!G74</f>
        <v>0</v>
      </c>
      <c r="H41" s="33"/>
      <c r="I41" s="33">
        <f>'Summary - Reserve - PG 2 (PA)'!I74</f>
        <v>0</v>
      </c>
      <c r="J41" s="33"/>
      <c r="K41" s="33">
        <f>'Summary - Reserve - PG 2 (PA)'!K74</f>
        <v>0</v>
      </c>
      <c r="L41" s="33"/>
      <c r="M41" s="33">
        <f>'Summary - Reserve - PG 2 (PA)'!M74</f>
        <v>0</v>
      </c>
      <c r="N41" s="33"/>
      <c r="O41" s="33">
        <f>'Summary - Reserve - PG 2 (PA)'!O74</f>
        <v>0</v>
      </c>
      <c r="P41" s="33"/>
      <c r="Q41" s="33">
        <f>'Summary - Reserve - PG 2 (PA)'!Q74</f>
        <v>0</v>
      </c>
      <c r="R41" s="33"/>
      <c r="S41" s="33">
        <f>Q41+O41+M41+K41+I41+G41+E41+C41</f>
        <v>0</v>
      </c>
      <c r="T41" s="5"/>
    </row>
    <row r="42" spans="1:20" hidden="1">
      <c r="B42" t="s">
        <v>120</v>
      </c>
      <c r="C42" s="33">
        <f>'Summary - Reserve - PG 2 (PA)'!C75</f>
        <v>0</v>
      </c>
      <c r="D42" s="33"/>
      <c r="E42" s="33">
        <f>'Summary - Reserve - PG 2 (PA)'!E75</f>
        <v>0</v>
      </c>
      <c r="F42" s="33"/>
      <c r="G42" s="33">
        <f>'Summary - Reserve - PG 2 (PA)'!G75</f>
        <v>0</v>
      </c>
      <c r="H42" s="33"/>
      <c r="I42" s="33">
        <f>'Summary - Reserve - PG 2 (PA)'!I75</f>
        <v>0</v>
      </c>
      <c r="J42" s="33"/>
      <c r="K42" s="33">
        <f>'Summary - Reserve - PG 2 (PA)'!K75</f>
        <v>0</v>
      </c>
      <c r="L42" s="33"/>
      <c r="M42" s="33">
        <f>'Summary - Reserve - PG 2 (PA)'!M75</f>
        <v>0</v>
      </c>
      <c r="N42" s="33"/>
      <c r="O42" s="33">
        <f>'Summary - Reserve - PG 2 (PA)'!O75</f>
        <v>0</v>
      </c>
      <c r="P42" s="33"/>
      <c r="Q42" s="33">
        <f>'Summary - Reserve - PG 2 (PA)'!Q75</f>
        <v>0</v>
      </c>
      <c r="R42" s="33"/>
      <c r="S42" s="33">
        <f>Q42+O42+M42+K42+I42+G42+E42+C42</f>
        <v>0</v>
      </c>
      <c r="T42" s="5"/>
    </row>
    <row r="43" spans="1:20" hidden="1">
      <c r="B43" s="2"/>
      <c r="C43" s="34">
        <f>SUM(C40:C42)</f>
        <v>0</v>
      </c>
      <c r="D43" s="33"/>
      <c r="E43" s="34">
        <f>SUM(E40:E42)</f>
        <v>0</v>
      </c>
      <c r="F43" s="33"/>
      <c r="G43" s="34">
        <f>SUM(G40:G42)</f>
        <v>0</v>
      </c>
      <c r="H43" s="33"/>
      <c r="I43" s="34">
        <f>SUM(I40:I42)</f>
        <v>0</v>
      </c>
      <c r="J43" s="33"/>
      <c r="K43" s="34">
        <f>SUM(K40:K42)</f>
        <v>0</v>
      </c>
      <c r="L43" s="33"/>
      <c r="M43" s="34">
        <f>SUM(M40:M42)</f>
        <v>0</v>
      </c>
      <c r="N43" s="33"/>
      <c r="O43" s="34">
        <f>SUM(O40:O42)</f>
        <v>0</v>
      </c>
      <c r="P43" s="33"/>
      <c r="Q43" s="34">
        <f>SUM(Q40:Q42)</f>
        <v>0</v>
      </c>
      <c r="R43" s="33"/>
      <c r="S43" s="34">
        <f>SUM(S40:S42)</f>
        <v>0</v>
      </c>
      <c r="T43" s="5"/>
    </row>
    <row r="44" spans="1:20" hidden="1">
      <c r="C44" s="37"/>
      <c r="D44" s="37"/>
      <c r="E44" s="37"/>
      <c r="F44" s="37"/>
      <c r="G44" s="37"/>
      <c r="H44" s="37"/>
      <c r="I44" s="37"/>
      <c r="J44" s="37"/>
      <c r="K44" s="37"/>
      <c r="L44" s="37"/>
      <c r="M44" s="37"/>
      <c r="N44" s="37"/>
      <c r="O44" s="37"/>
      <c r="P44" s="37"/>
      <c r="Q44" s="37"/>
      <c r="R44" s="37"/>
      <c r="S44" s="37"/>
    </row>
    <row r="45" spans="1:20" hidden="1">
      <c r="B45" t="s">
        <v>36</v>
      </c>
      <c r="C45" s="33">
        <f>'Summary - Reserve - PG 2 (PA)'!C70-'Summary - Reserve - PG 2 (PA)'!C76</f>
        <v>1708469903.9200001</v>
      </c>
      <c r="D45" s="33"/>
      <c r="E45" s="33">
        <f>'Summary - Reserve - PG 2 (PA)'!E70-'Summary - Reserve - PG 2 (PA)'!E76</f>
        <v>0</v>
      </c>
      <c r="F45" s="33"/>
      <c r="G45" s="33">
        <f>'Summary - Reserve - PG 2 (PA)'!G70-'Summary - Reserve - PG 2 (PA)'!G76</f>
        <v>-2153940.63</v>
      </c>
      <c r="H45" s="33"/>
      <c r="I45" s="33">
        <f>'Summary - Reserve - PG 2 (PA)'!I70-'Summary - Reserve - PG 2 (PA)'!I76</f>
        <v>0</v>
      </c>
      <c r="J45" s="33"/>
      <c r="K45" s="33">
        <f>'Summary - Reserve - PG 2 (PA)'!K70-'Summary - Reserve - PG 2 (PA)'!K76</f>
        <v>0</v>
      </c>
      <c r="L45" s="33"/>
      <c r="M45" s="33">
        <f>'Summary - Reserve - PG 2 (PA)'!M70-'Summary - Reserve - PG 2 (PA)'!M76</f>
        <v>0</v>
      </c>
      <c r="N45" s="33"/>
      <c r="O45" s="33">
        <f>'Summary - Reserve - PG 2 (PA)'!O70-'Summary - Reserve - PG 2 (PA)'!O76</f>
        <v>0</v>
      </c>
      <c r="P45" s="33"/>
      <c r="Q45" s="33">
        <f>'Summary - Reserve - PG 2 (PA)'!Q70-'Summary - Reserve - PG 2 (PA)'!Q76</f>
        <v>0</v>
      </c>
      <c r="R45" s="33"/>
      <c r="S45" s="33">
        <f>'Summary - Reserve - PG 2 (PA)'!S70-'Summary - Reserve - PG 2 (PA)'!S76</f>
        <v>1706315963.29</v>
      </c>
      <c r="T45" s="5"/>
    </row>
    <row r="46" spans="1:20" hidden="1">
      <c r="C46" s="5"/>
      <c r="D46" s="5"/>
      <c r="E46" s="5"/>
      <c r="F46" s="5"/>
      <c r="G46" s="5"/>
      <c r="H46" s="5"/>
      <c r="I46" s="5"/>
      <c r="J46" s="5"/>
      <c r="K46" s="5"/>
      <c r="L46" s="5"/>
      <c r="M46" s="5"/>
      <c r="N46" s="5"/>
      <c r="O46" s="5"/>
      <c r="P46" s="5"/>
      <c r="Q46" s="5"/>
      <c r="R46" s="5"/>
      <c r="S46" s="5"/>
      <c r="T46" s="5"/>
    </row>
    <row r="47" spans="1:20" hidden="1">
      <c r="C47" s="5">
        <f>C37-C43-C45</f>
        <v>0</v>
      </c>
      <c r="D47" s="5"/>
      <c r="E47" s="5">
        <f>E37-E43-E45</f>
        <v>0</v>
      </c>
      <c r="F47" s="5"/>
      <c r="G47" s="5">
        <f>G37-G43-G45</f>
        <v>0</v>
      </c>
      <c r="H47" s="5"/>
      <c r="I47" s="5">
        <f>I37-I43-I45</f>
        <v>0</v>
      </c>
      <c r="J47" s="5"/>
      <c r="K47" s="5">
        <f>K37-K43-K45</f>
        <v>0</v>
      </c>
      <c r="L47" s="5"/>
      <c r="M47" s="5">
        <f>M37-M43-M45</f>
        <v>0</v>
      </c>
      <c r="N47" s="5"/>
      <c r="O47" s="5">
        <f>O37-O43-O45</f>
        <v>0</v>
      </c>
      <c r="P47" s="5"/>
      <c r="Q47" s="5">
        <f>Q37-Q43-Q45</f>
        <v>0</v>
      </c>
      <c r="R47" s="5"/>
      <c r="S47" s="5">
        <f>S37-S43-S45</f>
        <v>0</v>
      </c>
      <c r="T47" s="5"/>
    </row>
    <row r="48" spans="1:20" hidden="1">
      <c r="C48" s="5"/>
      <c r="D48" s="5"/>
      <c r="E48" s="5"/>
      <c r="F48" s="5"/>
      <c r="G48" s="5"/>
      <c r="H48" s="5"/>
      <c r="I48" s="5"/>
      <c r="J48" s="5"/>
      <c r="K48" s="5"/>
      <c r="L48" s="5"/>
      <c r="M48" s="5"/>
      <c r="N48" s="5"/>
      <c r="O48" s="5"/>
      <c r="P48" s="5"/>
      <c r="Q48" s="5"/>
      <c r="R48" s="5"/>
      <c r="S48" s="5"/>
      <c r="T48" s="5"/>
    </row>
    <row r="49" spans="1:23" hidden="1">
      <c r="A49" s="3" t="s">
        <v>1007</v>
      </c>
      <c r="C49" s="5"/>
      <c r="D49" s="5"/>
      <c r="E49" s="5"/>
      <c r="F49" s="5"/>
      <c r="G49" s="5"/>
      <c r="H49" s="5"/>
      <c r="I49" s="5"/>
      <c r="J49" s="5"/>
      <c r="K49" s="5"/>
      <c r="L49" s="5"/>
      <c r="M49" s="5"/>
      <c r="N49" s="5"/>
      <c r="O49" s="5"/>
      <c r="P49" s="5"/>
      <c r="Q49" s="5"/>
      <c r="R49" s="5"/>
      <c r="S49" s="5"/>
      <c r="T49" s="5"/>
    </row>
    <row r="50" spans="1:23" hidden="1">
      <c r="B50" t="s">
        <v>652</v>
      </c>
      <c r="C50" s="5">
        <f>C34-C40</f>
        <v>63241788.540000014</v>
      </c>
      <c r="D50" s="5"/>
      <c r="E50" s="5">
        <f>E34-E40</f>
        <v>0</v>
      </c>
      <c r="F50" s="5"/>
      <c r="G50" s="5">
        <f>G34-G40</f>
        <v>-147165.54000000004</v>
      </c>
      <c r="H50" s="5"/>
      <c r="I50" s="5">
        <f>I34-I40</f>
        <v>0</v>
      </c>
      <c r="J50" s="5"/>
      <c r="K50" s="5">
        <f>K34-K40</f>
        <v>0</v>
      </c>
      <c r="L50" s="5"/>
      <c r="M50" s="5">
        <f>M34-M40</f>
        <v>0</v>
      </c>
      <c r="N50" s="5"/>
      <c r="O50" s="5">
        <f>O34-O40</f>
        <v>0</v>
      </c>
      <c r="P50" s="5"/>
      <c r="Q50" s="5">
        <f>Q34-Q40</f>
        <v>0</v>
      </c>
      <c r="R50" s="5"/>
      <c r="S50" s="33">
        <f>Q50+O50+M50+K50+I50+G50+E50+C50</f>
        <v>63094623.000000015</v>
      </c>
      <c r="T50" s="5"/>
    </row>
    <row r="51" spans="1:23" hidden="1">
      <c r="B51" t="s">
        <v>112</v>
      </c>
      <c r="C51" s="5">
        <f>C35-C41</f>
        <v>1476422913.95</v>
      </c>
      <c r="D51" s="5"/>
      <c r="E51" s="5">
        <f>E35-E41</f>
        <v>0</v>
      </c>
      <c r="F51" s="5"/>
      <c r="G51" s="5">
        <f>G35-G41</f>
        <v>-1952524.52</v>
      </c>
      <c r="H51" s="5"/>
      <c r="I51" s="5">
        <f>I35-I41</f>
        <v>0</v>
      </c>
      <c r="J51" s="5"/>
      <c r="K51" s="5">
        <f>K35-K41</f>
        <v>0</v>
      </c>
      <c r="L51" s="5"/>
      <c r="M51" s="5">
        <f>M35-M41</f>
        <v>0</v>
      </c>
      <c r="N51" s="5"/>
      <c r="O51" s="5">
        <f>O35-O41</f>
        <v>0</v>
      </c>
      <c r="P51" s="5"/>
      <c r="Q51" s="5">
        <f>Q35-Q41</f>
        <v>0</v>
      </c>
      <c r="R51" s="5"/>
      <c r="S51" s="33">
        <f>Q51+O51+M51+K51+I51+G51+E51+C51</f>
        <v>1474470389.4300001</v>
      </c>
      <c r="T51" s="5"/>
    </row>
    <row r="52" spans="1:23" hidden="1">
      <c r="B52" t="s">
        <v>120</v>
      </c>
      <c r="C52" s="5">
        <f>C36-C42</f>
        <v>168805201.43000001</v>
      </c>
      <c r="D52" s="5"/>
      <c r="E52" s="5">
        <f>E36-E42</f>
        <v>0</v>
      </c>
      <c r="F52" s="5"/>
      <c r="G52" s="5">
        <f>G36-G42</f>
        <v>-54250.57</v>
      </c>
      <c r="H52" s="5"/>
      <c r="I52" s="5">
        <f>I36-I42</f>
        <v>0</v>
      </c>
      <c r="J52" s="5"/>
      <c r="K52" s="5">
        <f>K36-K42</f>
        <v>0</v>
      </c>
      <c r="L52" s="5"/>
      <c r="M52" s="5">
        <f>M36-M42</f>
        <v>0</v>
      </c>
      <c r="N52" s="5"/>
      <c r="O52" s="5">
        <f>O36-O42</f>
        <v>0</v>
      </c>
      <c r="P52" s="5"/>
      <c r="Q52" s="5">
        <f>Q36-Q42</f>
        <v>0</v>
      </c>
      <c r="R52" s="5"/>
      <c r="S52" s="33">
        <f>Q52+O52+M52+K52+I52+G52+E52+C52</f>
        <v>168750950.86000001</v>
      </c>
      <c r="T52" s="5"/>
    </row>
    <row r="53" spans="1:23" ht="13.5" hidden="1" thickBot="1">
      <c r="C53" s="75">
        <f>SUM(C50:C52)</f>
        <v>1708469903.9200001</v>
      </c>
      <c r="D53" s="5"/>
      <c r="E53" s="75">
        <f>SUM(E50:E52)</f>
        <v>0</v>
      </c>
      <c r="F53" s="5"/>
      <c r="G53" s="75">
        <f>SUM(G50:G52)</f>
        <v>-2153940.63</v>
      </c>
      <c r="H53" s="5"/>
      <c r="I53" s="75">
        <f>SUM(I50:I52)</f>
        <v>0</v>
      </c>
      <c r="J53" s="5"/>
      <c r="K53" s="75">
        <f>SUM(K50:K52)</f>
        <v>0</v>
      </c>
      <c r="L53" s="5"/>
      <c r="M53" s="75">
        <f>SUM(M50:M52)</f>
        <v>0</v>
      </c>
      <c r="N53" s="5"/>
      <c r="O53" s="75">
        <f>SUM(O50:O52)</f>
        <v>0</v>
      </c>
      <c r="P53" s="5"/>
      <c r="Q53" s="75">
        <f>SUM(Q50:Q52)</f>
        <v>0</v>
      </c>
      <c r="R53" s="5"/>
      <c r="S53" s="34">
        <f>SUM(S50:S52)</f>
        <v>1706315963.29</v>
      </c>
      <c r="T53" s="5"/>
    </row>
    <row r="54" spans="1:23" hidden="1">
      <c r="C54" s="5"/>
      <c r="D54" s="5"/>
      <c r="E54" s="5"/>
      <c r="F54" s="5"/>
      <c r="G54" s="5"/>
      <c r="H54" s="5"/>
      <c r="I54" s="5"/>
      <c r="J54" s="5"/>
      <c r="K54" s="5"/>
      <c r="L54" s="5"/>
      <c r="M54" s="5"/>
      <c r="N54" s="5"/>
      <c r="O54" s="5"/>
      <c r="P54" s="5"/>
      <c r="Q54" s="5"/>
      <c r="R54" s="5"/>
      <c r="S54" s="5"/>
      <c r="T54" s="5"/>
    </row>
    <row r="55" spans="1:23" hidden="1">
      <c r="A55" t="s">
        <v>1008</v>
      </c>
      <c r="C55" s="5"/>
      <c r="D55" s="5"/>
      <c r="E55" s="5"/>
      <c r="F55" s="5"/>
      <c r="G55" s="5"/>
      <c r="H55" s="5"/>
      <c r="I55" s="5"/>
      <c r="J55" s="5"/>
      <c r="K55" s="5"/>
      <c r="L55" s="5"/>
      <c r="M55" s="5"/>
      <c r="N55" s="5"/>
      <c r="O55" s="5"/>
      <c r="P55" s="5"/>
      <c r="Q55" s="5"/>
      <c r="R55" s="5"/>
      <c r="S55" s="5"/>
      <c r="T55" s="5"/>
    </row>
    <row r="56" spans="1:23" hidden="1">
      <c r="A56" s="76" t="s">
        <v>1005</v>
      </c>
      <c r="B56" s="77"/>
      <c r="C56" s="78"/>
      <c r="D56" s="78"/>
      <c r="E56" s="78"/>
      <c r="F56" s="78"/>
      <c r="G56" s="78"/>
      <c r="H56" s="78"/>
      <c r="I56" s="78"/>
      <c r="J56" s="78"/>
      <c r="K56" s="78"/>
      <c r="L56" s="78"/>
      <c r="M56" s="78"/>
      <c r="N56" s="78"/>
      <c r="O56" s="78"/>
      <c r="P56" s="78"/>
      <c r="Q56" s="78"/>
      <c r="R56" s="78"/>
      <c r="S56" s="78"/>
      <c r="T56" s="5"/>
    </row>
    <row r="57" spans="1:23" hidden="1">
      <c r="A57" s="77"/>
      <c r="B57" s="77" t="s">
        <v>652</v>
      </c>
      <c r="C57" s="78">
        <f>C34-C40-C29</f>
        <v>63178428.180000015</v>
      </c>
      <c r="D57" s="78"/>
      <c r="E57" s="78">
        <f>E34-E40-E29</f>
        <v>0</v>
      </c>
      <c r="F57" s="78"/>
      <c r="G57" s="78">
        <f>G34-G40-G29</f>
        <v>-147165.54000000004</v>
      </c>
      <c r="H57" s="78"/>
      <c r="I57" s="78">
        <f>I34-I40-I29</f>
        <v>0</v>
      </c>
      <c r="J57" s="78"/>
      <c r="K57" s="78">
        <f>K34-K40-K29</f>
        <v>0</v>
      </c>
      <c r="L57" s="78"/>
      <c r="M57" s="78">
        <f>M34-M40-M29</f>
        <v>0</v>
      </c>
      <c r="N57" s="78"/>
      <c r="O57" s="78">
        <f>O34-O40-O29</f>
        <v>0</v>
      </c>
      <c r="P57" s="78"/>
      <c r="Q57" s="78">
        <f>Q34-Q40-Q29</f>
        <v>0</v>
      </c>
      <c r="R57" s="78"/>
      <c r="S57" s="79">
        <f>Q57+O57+M57+K57+I57+G57+E57+C57</f>
        <v>63031262.640000015</v>
      </c>
      <c r="T57" s="5"/>
    </row>
    <row r="58" spans="1:23" hidden="1">
      <c r="A58" s="77"/>
      <c r="B58" s="77" t="s">
        <v>112</v>
      </c>
      <c r="C58" s="78">
        <f>C35-C41</f>
        <v>1476422913.95</v>
      </c>
      <c r="D58" s="78"/>
      <c r="E58" s="78">
        <f>E35-E41</f>
        <v>0</v>
      </c>
      <c r="F58" s="78"/>
      <c r="G58" s="78">
        <f>G35-G41</f>
        <v>-1952524.52</v>
      </c>
      <c r="H58" s="78"/>
      <c r="I58" s="78">
        <f>I35-I41</f>
        <v>0</v>
      </c>
      <c r="J58" s="78"/>
      <c r="K58" s="78">
        <f>K35-K41</f>
        <v>0</v>
      </c>
      <c r="L58" s="78"/>
      <c r="M58" s="78">
        <f>M35-M41</f>
        <v>0</v>
      </c>
      <c r="N58" s="78"/>
      <c r="O58" s="78">
        <f>O35-O41</f>
        <v>0</v>
      </c>
      <c r="P58" s="78"/>
      <c r="Q58" s="78">
        <f>Q35-Q41</f>
        <v>0</v>
      </c>
      <c r="R58" s="78"/>
      <c r="S58" s="79">
        <f>Q58+O58+M58+K58+I58+G58+E58+C58</f>
        <v>1474470389.4300001</v>
      </c>
      <c r="T58" s="5"/>
    </row>
    <row r="59" spans="1:23" hidden="1">
      <c r="A59" s="77"/>
      <c r="B59" s="77" t="s">
        <v>120</v>
      </c>
      <c r="C59" s="78">
        <f>C36-C42</f>
        <v>168805201.43000001</v>
      </c>
      <c r="D59" s="78"/>
      <c r="E59" s="78">
        <f>E36-E42</f>
        <v>0</v>
      </c>
      <c r="F59" s="78"/>
      <c r="G59" s="78">
        <f>G36-G42</f>
        <v>-54250.57</v>
      </c>
      <c r="H59" s="78"/>
      <c r="I59" s="78">
        <f>I36-I42</f>
        <v>0</v>
      </c>
      <c r="J59" s="78"/>
      <c r="K59" s="78">
        <f>K36-K42</f>
        <v>0</v>
      </c>
      <c r="L59" s="78"/>
      <c r="M59" s="78">
        <f>M36-M42</f>
        <v>0</v>
      </c>
      <c r="N59" s="78"/>
      <c r="O59" s="78">
        <f>O36-O42</f>
        <v>0</v>
      </c>
      <c r="P59" s="78"/>
      <c r="Q59" s="78">
        <f>Q36-Q42</f>
        <v>0</v>
      </c>
      <c r="R59" s="78"/>
      <c r="S59" s="79">
        <f>Q59+O59+M59+K59+I59+G59+E59+C59</f>
        <v>168750950.86000001</v>
      </c>
      <c r="T59" s="5"/>
    </row>
    <row r="60" spans="1:23" ht="13.5" hidden="1" thickBot="1">
      <c r="A60" s="77"/>
      <c r="B60" s="77"/>
      <c r="C60" s="80">
        <f>SUM(C57:C59)</f>
        <v>1708406543.5600002</v>
      </c>
      <c r="D60" s="78"/>
      <c r="E60" s="80">
        <f>SUM(E57:E59)</f>
        <v>0</v>
      </c>
      <c r="F60" s="78"/>
      <c r="G60" s="80">
        <f>SUM(G57:G59)</f>
        <v>-2153940.63</v>
      </c>
      <c r="H60" s="78"/>
      <c r="I60" s="80">
        <f>SUM(I57:I59)</f>
        <v>0</v>
      </c>
      <c r="J60" s="78"/>
      <c r="K60" s="80">
        <f>SUM(K57:K59)</f>
        <v>0</v>
      </c>
      <c r="L60" s="78"/>
      <c r="M60" s="80">
        <f>SUM(M57:M59)</f>
        <v>0</v>
      </c>
      <c r="N60" s="78"/>
      <c r="O60" s="80">
        <f>SUM(O57:O59)</f>
        <v>0</v>
      </c>
      <c r="P60" s="78"/>
      <c r="Q60" s="80">
        <f>SUM(Q57:Q59)</f>
        <v>0</v>
      </c>
      <c r="R60" s="78"/>
      <c r="S60" s="81">
        <f>SUM(S57:S59)</f>
        <v>1706252602.9300003</v>
      </c>
      <c r="T60" s="5"/>
    </row>
    <row r="61" spans="1:23" s="10" customFormat="1" hidden="1">
      <c r="C61" s="82"/>
      <c r="D61" s="21"/>
      <c r="E61" s="82"/>
      <c r="F61" s="21"/>
      <c r="G61" s="82"/>
      <c r="H61" s="21"/>
      <c r="I61" s="82"/>
      <c r="J61" s="21"/>
      <c r="K61" s="82"/>
      <c r="L61" s="21"/>
      <c r="M61" s="82"/>
      <c r="N61" s="21"/>
      <c r="O61" s="82"/>
      <c r="P61" s="21"/>
      <c r="Q61" s="82"/>
      <c r="R61" s="21"/>
      <c r="S61" s="27"/>
      <c r="T61" s="21"/>
    </row>
    <row r="62" spans="1:23" s="10" customFormat="1" hidden="1">
      <c r="C62" s="82"/>
      <c r="D62" s="21"/>
      <c r="E62" s="82"/>
      <c r="F62" s="21"/>
      <c r="G62" s="82"/>
      <c r="H62" s="21"/>
      <c r="I62" s="82"/>
      <c r="J62" s="21"/>
      <c r="K62" s="82"/>
      <c r="L62" s="21"/>
      <c r="M62" s="82"/>
      <c r="N62" s="21"/>
      <c r="O62" s="82"/>
      <c r="P62" s="21"/>
      <c r="Q62" s="82"/>
      <c r="R62" s="21"/>
      <c r="S62" s="27"/>
      <c r="T62" s="21"/>
    </row>
    <row r="63" spans="1:23">
      <c r="A63" s="107" t="s">
        <v>1011</v>
      </c>
      <c r="B63" s="107"/>
      <c r="C63" s="105"/>
      <c r="D63" s="105"/>
      <c r="E63" s="105"/>
      <c r="F63" s="105"/>
      <c r="G63" s="105"/>
      <c r="H63" s="105"/>
      <c r="I63" s="105"/>
      <c r="J63" s="105"/>
      <c r="K63" s="105"/>
      <c r="L63" s="105"/>
      <c r="M63" s="105"/>
      <c r="N63" s="105"/>
      <c r="O63" s="105"/>
      <c r="P63" s="105"/>
      <c r="Q63" s="105"/>
      <c r="R63" s="105"/>
      <c r="S63" s="105"/>
      <c r="T63" s="5"/>
      <c r="U63" s="179"/>
    </row>
    <row r="64" spans="1:23">
      <c r="A64" s="108" t="s">
        <v>810</v>
      </c>
      <c r="B64" s="107"/>
      <c r="C64" s="105"/>
      <c r="D64" s="105"/>
      <c r="E64" s="105"/>
      <c r="F64" s="105"/>
      <c r="G64" s="105"/>
      <c r="H64" s="105"/>
      <c r="I64" s="105"/>
      <c r="J64" s="105"/>
      <c r="K64" s="105"/>
      <c r="L64" s="105"/>
      <c r="M64" s="105"/>
      <c r="N64" s="105"/>
      <c r="O64" s="105"/>
      <c r="P64" s="105"/>
      <c r="Q64" s="105"/>
      <c r="R64" s="105"/>
      <c r="S64" s="105">
        <f>'Summary - Reserve - PG 2 (PA)'!S82</f>
        <v>0</v>
      </c>
      <c r="T64" s="5"/>
      <c r="V64" s="5">
        <f>SUM(S64:U64)</f>
        <v>0</v>
      </c>
      <c r="W64" s="108" t="str">
        <f>+A64</f>
        <v>Intangible</v>
      </c>
    </row>
    <row r="65" spans="1:23">
      <c r="A65" s="108" t="s">
        <v>1009</v>
      </c>
      <c r="B65" s="108"/>
      <c r="C65" s="105"/>
      <c r="D65" s="105"/>
      <c r="E65" s="105"/>
      <c r="F65" s="105"/>
      <c r="G65" s="105"/>
      <c r="H65" s="105"/>
      <c r="I65" s="105"/>
      <c r="J65" s="105"/>
      <c r="K65" s="105"/>
      <c r="L65" s="105"/>
      <c r="M65" s="105"/>
      <c r="N65" s="105"/>
      <c r="O65" s="105"/>
      <c r="P65" s="105"/>
      <c r="Q65" s="105"/>
      <c r="R65" s="105"/>
      <c r="S65" s="105">
        <f>S18+S19</f>
        <v>1008391919.2099999</v>
      </c>
      <c r="T65" s="183">
        <v>0</v>
      </c>
      <c r="U65" s="116">
        <v>0</v>
      </c>
      <c r="V65" s="5">
        <f t="shared" ref="V65:V70" si="0">SUM(S65:U65)</f>
        <v>1008391919.2099999</v>
      </c>
      <c r="W65" s="108" t="str">
        <f t="shared" ref="W65:W70" si="1">+A65</f>
        <v>Steam production Plant</v>
      </c>
    </row>
    <row r="66" spans="1:23">
      <c r="A66" s="108" t="s">
        <v>1010</v>
      </c>
      <c r="B66" s="108"/>
      <c r="C66" s="105"/>
      <c r="D66" s="105"/>
      <c r="E66" s="105"/>
      <c r="F66" s="105"/>
      <c r="G66" s="105"/>
      <c r="H66" s="105"/>
      <c r="I66" s="105"/>
      <c r="J66" s="105"/>
      <c r="K66" s="105"/>
      <c r="L66" s="105"/>
      <c r="M66" s="105"/>
      <c r="N66" s="105"/>
      <c r="O66" s="105"/>
      <c r="P66" s="105"/>
      <c r="Q66" s="105"/>
      <c r="R66" s="105"/>
      <c r="S66" s="105">
        <f>S14+S15</f>
        <v>9520806.4299999997</v>
      </c>
      <c r="T66" s="103"/>
      <c r="U66" s="116">
        <v>0</v>
      </c>
      <c r="V66" s="5">
        <f t="shared" si="0"/>
        <v>9520806.4299999997</v>
      </c>
      <c r="W66" s="108" t="str">
        <f t="shared" si="1"/>
        <v>Hydraulic</v>
      </c>
    </row>
    <row r="67" spans="1:23">
      <c r="A67" s="108" t="s">
        <v>811</v>
      </c>
      <c r="B67" s="108"/>
      <c r="C67" s="105"/>
      <c r="D67" s="105"/>
      <c r="E67" s="105"/>
      <c r="F67" s="105"/>
      <c r="G67" s="105"/>
      <c r="H67" s="105"/>
      <c r="I67" s="105"/>
      <c r="J67" s="105"/>
      <c r="K67" s="105"/>
      <c r="L67" s="105"/>
      <c r="M67" s="105"/>
      <c r="N67" s="105"/>
      <c r="O67" s="105"/>
      <c r="P67" s="105"/>
      <c r="Q67" s="105"/>
      <c r="R67" s="105"/>
      <c r="S67" s="105">
        <f>S16+S17</f>
        <v>58448406.530000001</v>
      </c>
      <c r="T67" s="103"/>
      <c r="U67" s="116"/>
      <c r="V67" s="5">
        <f t="shared" si="0"/>
        <v>58448406.530000001</v>
      </c>
      <c r="W67" s="108" t="str">
        <f t="shared" si="1"/>
        <v>Other Production</v>
      </c>
    </row>
    <row r="68" spans="1:23">
      <c r="A68" s="109" t="s">
        <v>814</v>
      </c>
      <c r="B68" s="108"/>
      <c r="C68" s="105"/>
      <c r="D68" s="105"/>
      <c r="E68" s="105"/>
      <c r="F68" s="105"/>
      <c r="G68" s="105"/>
      <c r="H68" s="105"/>
      <c r="I68" s="105"/>
      <c r="J68" s="105"/>
      <c r="K68" s="105"/>
      <c r="L68" s="105"/>
      <c r="M68" s="105"/>
      <c r="N68" s="105"/>
      <c r="O68" s="105"/>
      <c r="P68" s="105"/>
      <c r="Q68" s="105"/>
      <c r="R68" s="105"/>
      <c r="S68" s="105">
        <f>S20+S21</f>
        <v>116411055.22</v>
      </c>
      <c r="T68" s="103">
        <v>0</v>
      </c>
      <c r="U68" s="116"/>
      <c r="V68" s="5">
        <f t="shared" si="0"/>
        <v>116411055.22</v>
      </c>
      <c r="W68" s="108" t="str">
        <f t="shared" si="1"/>
        <v>Transmission</v>
      </c>
    </row>
    <row r="69" spans="1:23">
      <c r="A69" s="109" t="s">
        <v>691</v>
      </c>
      <c r="B69" s="108"/>
      <c r="C69" s="105"/>
      <c r="D69" s="105"/>
      <c r="E69" s="105"/>
      <c r="F69" s="105"/>
      <c r="G69" s="105"/>
      <c r="H69" s="105"/>
      <c r="I69" s="105"/>
      <c r="J69" s="105"/>
      <c r="K69" s="105"/>
      <c r="L69" s="105"/>
      <c r="M69" s="105"/>
      <c r="N69" s="105"/>
      <c r="O69" s="105"/>
      <c r="P69" s="105"/>
      <c r="Q69" s="105"/>
      <c r="R69" s="105"/>
      <c r="S69" s="105">
        <f>S11+S12</f>
        <v>270912138.98999995</v>
      </c>
      <c r="T69" s="103">
        <v>0</v>
      </c>
      <c r="U69" s="116">
        <v>0</v>
      </c>
      <c r="V69" s="5">
        <f t="shared" si="0"/>
        <v>270912138.98999995</v>
      </c>
      <c r="W69" s="108" t="str">
        <f t="shared" si="1"/>
        <v>Distribution</v>
      </c>
    </row>
    <row r="70" spans="1:23">
      <c r="A70" s="108" t="s">
        <v>808</v>
      </c>
      <c r="B70" s="107"/>
      <c r="C70" s="105"/>
      <c r="D70" s="105"/>
      <c r="E70" s="105"/>
      <c r="F70" s="105"/>
      <c r="G70" s="105"/>
      <c r="H70" s="105"/>
      <c r="I70" s="105"/>
      <c r="J70" s="105"/>
      <c r="K70" s="105"/>
      <c r="L70" s="105"/>
      <c r="M70" s="105"/>
      <c r="N70" s="105"/>
      <c r="O70" s="105"/>
      <c r="P70" s="105"/>
      <c r="Q70" s="105"/>
      <c r="R70" s="105"/>
      <c r="S70" s="105">
        <f>S13</f>
        <v>10786063.049999999</v>
      </c>
      <c r="T70" s="103"/>
      <c r="U70" s="116"/>
      <c r="V70" s="5">
        <f t="shared" si="0"/>
        <v>10786063.049999999</v>
      </c>
      <c r="W70" s="108" t="str">
        <f t="shared" si="1"/>
        <v>General</v>
      </c>
    </row>
    <row r="71" spans="1:23" ht="13.5" thickBot="1">
      <c r="C71" s="5"/>
      <c r="D71" s="5"/>
      <c r="E71" s="5"/>
      <c r="F71" s="5"/>
      <c r="G71" s="5"/>
      <c r="H71" s="5"/>
      <c r="I71" s="5"/>
      <c r="J71" s="5"/>
      <c r="K71" s="5"/>
      <c r="L71" s="5"/>
      <c r="M71" s="5"/>
      <c r="N71" s="5"/>
      <c r="O71" s="5"/>
      <c r="P71" s="5"/>
      <c r="Q71" s="5"/>
      <c r="R71" s="5"/>
      <c r="S71" s="75">
        <f>SUM(S64:S70)</f>
        <v>1474470389.4299998</v>
      </c>
      <c r="T71" s="75">
        <f>SUM(T64:T70)</f>
        <v>0</v>
      </c>
      <c r="U71" s="44">
        <f>SUM(U64:U70)</f>
        <v>0</v>
      </c>
      <c r="V71" s="75">
        <f>SUM(V64:V70)</f>
        <v>1474470389.4299998</v>
      </c>
    </row>
    <row r="72" spans="1:23" ht="21" thickTop="1">
      <c r="A72" s="94" t="s">
        <v>992</v>
      </c>
      <c r="C72" s="5"/>
      <c r="D72" s="5"/>
      <c r="E72" s="5"/>
      <c r="F72" s="5"/>
      <c r="G72" s="5"/>
      <c r="H72" s="5"/>
      <c r="I72" s="5"/>
      <c r="J72" s="5"/>
      <c r="K72" s="5"/>
      <c r="L72" s="5"/>
      <c r="M72" s="5"/>
      <c r="N72" s="5"/>
      <c r="O72" s="5"/>
      <c r="P72" s="5"/>
      <c r="Q72" s="5"/>
      <c r="R72" s="171"/>
      <c r="S72" s="5"/>
      <c r="T72" s="5"/>
      <c r="V72" s="173"/>
    </row>
    <row r="73" spans="1:23" s="10" customFormat="1">
      <c r="A73" s="58" t="s">
        <v>112</v>
      </c>
      <c r="B73" s="10">
        <v>101</v>
      </c>
      <c r="C73" s="27"/>
      <c r="D73" s="27"/>
      <c r="E73" s="27"/>
      <c r="F73" s="27"/>
      <c r="G73" s="27"/>
      <c r="H73" s="27"/>
      <c r="I73" s="27"/>
      <c r="J73" s="27"/>
      <c r="K73" s="27"/>
      <c r="L73" s="27"/>
      <c r="M73" s="27"/>
      <c r="N73" s="27"/>
      <c r="O73" s="163" t="s">
        <v>1098</v>
      </c>
      <c r="Q73" s="163" t="s">
        <v>1084</v>
      </c>
      <c r="R73" s="172"/>
      <c r="S73" s="10" t="str">
        <f>+'Summary - Reserve - PG 2 (PA)'!A72</f>
        <v>RETIREMENT WORK IN PROGRESS</v>
      </c>
      <c r="U73" s="89">
        <f>+T71+U71</f>
        <v>0</v>
      </c>
      <c r="V73" s="172"/>
    </row>
    <row r="74" spans="1:23" s="10" customFormat="1">
      <c r="A74" s="58"/>
      <c r="B74" s="10" t="s">
        <v>113</v>
      </c>
      <c r="C74" s="27">
        <f>'Summary - Cost - PG 1 (PA)'!D15</f>
        <v>-271480094.50999999</v>
      </c>
      <c r="D74" s="27"/>
      <c r="E74" s="27">
        <f>'Summary - Cost - PG 1 (PA)'!F15</f>
        <v>-9704.86</v>
      </c>
      <c r="F74" s="27"/>
      <c r="G74" s="27">
        <f>'Summary - Cost - PG 1 (PA)'!H15</f>
        <v>586138.93000000005</v>
      </c>
      <c r="H74" s="27"/>
      <c r="I74" s="27">
        <f>'Summary - Cost - PG 1 (PA)'!J15</f>
        <v>0</v>
      </c>
      <c r="J74" s="27"/>
      <c r="K74" s="27">
        <f t="shared" ref="K74:K80" si="2">E74+G74+I74</f>
        <v>576434.07000000007</v>
      </c>
      <c r="L74" s="27"/>
      <c r="M74" s="27">
        <f t="shared" ref="M74:M80" si="3">C74+K74</f>
        <v>-270903660.44</v>
      </c>
      <c r="N74" s="27"/>
      <c r="R74" s="172"/>
      <c r="T74" s="10" t="str">
        <f>+'Summary - Reserve - PG 2 (PA)'!B74</f>
        <v>Electric</v>
      </c>
      <c r="U74" s="72">
        <f>+'Summary - Reserve - PG 2 (PA)'!S74</f>
        <v>0</v>
      </c>
      <c r="V74" s="172"/>
    </row>
    <row r="75" spans="1:23" s="10" customFormat="1" ht="13.5" thickBot="1">
      <c r="A75" s="58"/>
      <c r="B75" s="10" t="s">
        <v>114</v>
      </c>
      <c r="C75" s="27">
        <f>'Summary - Cost - PG 1 (PA)'!D16</f>
        <v>-10825272.689999999</v>
      </c>
      <c r="D75" s="27"/>
      <c r="E75" s="27">
        <f>'Summary - Cost - PG 1 (PA)'!F16</f>
        <v>0</v>
      </c>
      <c r="F75" s="27"/>
      <c r="G75" s="27">
        <f>'Summary - Cost - PG 1 (PA)'!H16</f>
        <v>39209.64</v>
      </c>
      <c r="H75" s="27"/>
      <c r="I75" s="27">
        <f>'Summary - Cost - PG 1 (PA)'!J16</f>
        <v>0</v>
      </c>
      <c r="J75" s="27"/>
      <c r="K75" s="27">
        <f t="shared" si="2"/>
        <v>39209.64</v>
      </c>
      <c r="L75" s="27"/>
      <c r="M75" s="27">
        <f t="shared" si="3"/>
        <v>-10786063.049999999</v>
      </c>
      <c r="N75" s="27"/>
      <c r="O75" s="12"/>
      <c r="R75" s="172"/>
      <c r="T75" s="163" t="s">
        <v>36</v>
      </c>
      <c r="U75" s="170">
        <f>+U73-U74</f>
        <v>0</v>
      </c>
      <c r="V75" s="172"/>
    </row>
    <row r="76" spans="1:23" s="10" customFormat="1" ht="13.5" thickTop="1">
      <c r="A76" s="58"/>
      <c r="B76" s="10" t="s">
        <v>115</v>
      </c>
      <c r="C76" s="27">
        <f>'Summary - Cost - PG 1 (PA)'!D17</f>
        <v>-9521332.4499999993</v>
      </c>
      <c r="D76" s="27"/>
      <c r="E76" s="27">
        <f>'Summary - Cost - PG 1 (PA)'!F17</f>
        <v>0</v>
      </c>
      <c r="F76" s="27"/>
      <c r="G76" s="27">
        <f>'Summary - Cost - PG 1 (PA)'!H17</f>
        <v>526.02</v>
      </c>
      <c r="H76" s="27"/>
      <c r="I76" s="27">
        <f>'Summary - Cost - PG 1 (PA)'!J17</f>
        <v>0</v>
      </c>
      <c r="J76" s="27"/>
      <c r="K76" s="27">
        <f t="shared" si="2"/>
        <v>526.02</v>
      </c>
      <c r="L76" s="27"/>
      <c r="M76" s="27">
        <f t="shared" si="3"/>
        <v>-9520806.4299999997</v>
      </c>
      <c r="N76" s="27"/>
      <c r="O76" s="12"/>
      <c r="R76" s="172"/>
      <c r="V76" s="172"/>
    </row>
    <row r="77" spans="1:23" s="10" customFormat="1">
      <c r="A77" s="58"/>
      <c r="B77" s="10" t="s">
        <v>116</v>
      </c>
      <c r="C77" s="27">
        <f>'Summary - Cost - PG 1 (PA)'!D18</f>
        <v>0</v>
      </c>
      <c r="D77" s="27"/>
      <c r="E77" s="27">
        <f>'Summary - Cost - PG 1 (PA)'!F18</f>
        <v>0</v>
      </c>
      <c r="F77" s="27"/>
      <c r="G77" s="27">
        <f>'Summary - Cost - PG 1 (PA)'!H18</f>
        <v>0</v>
      </c>
      <c r="H77" s="27"/>
      <c r="I77" s="27">
        <f>'Summary - Cost - PG 1 (PA)'!J18</f>
        <v>0</v>
      </c>
      <c r="J77" s="27"/>
      <c r="K77" s="27">
        <f t="shared" si="2"/>
        <v>0</v>
      </c>
      <c r="L77" s="27"/>
      <c r="M77" s="27">
        <f t="shared" si="3"/>
        <v>0</v>
      </c>
      <c r="N77" s="27"/>
      <c r="O77" s="12"/>
      <c r="R77" s="172"/>
      <c r="V77" s="172"/>
    </row>
    <row r="78" spans="1:23" s="10" customFormat="1">
      <c r="A78" s="58"/>
      <c r="B78" s="10" t="s">
        <v>117</v>
      </c>
      <c r="C78" s="27">
        <f>'Summary - Cost - PG 1 (PA)'!D19</f>
        <v>-58644445.899999999</v>
      </c>
      <c r="D78" s="27"/>
      <c r="E78" s="27">
        <f>'Summary - Cost - PG 1 (PA)'!F19</f>
        <v>0</v>
      </c>
      <c r="F78" s="27"/>
      <c r="G78" s="27">
        <f>'Summary - Cost - PG 1 (PA)'!H19</f>
        <v>194624.59</v>
      </c>
      <c r="H78" s="27"/>
      <c r="I78" s="27">
        <f>'Summary - Cost - PG 1 (PA)'!J19</f>
        <v>0</v>
      </c>
      <c r="J78" s="27"/>
      <c r="K78" s="27">
        <f t="shared" si="2"/>
        <v>194624.59</v>
      </c>
      <c r="L78" s="27"/>
      <c r="M78" s="27">
        <f t="shared" si="3"/>
        <v>-58449821.309999995</v>
      </c>
      <c r="N78" s="27"/>
      <c r="O78" s="12"/>
      <c r="R78" s="172"/>
      <c r="S78" s="174"/>
      <c r="T78" s="175"/>
      <c r="U78" s="175"/>
      <c r="V78" s="176"/>
    </row>
    <row r="79" spans="1:23" s="10" customFormat="1">
      <c r="A79" s="58"/>
      <c r="B79" s="10" t="s">
        <v>118</v>
      </c>
      <c r="C79" s="27">
        <f>'Summary - Cost - PG 1 (PA)'!D20</f>
        <v>-1008320418.9500002</v>
      </c>
      <c r="D79" s="27"/>
      <c r="E79" s="27">
        <f>'Summary - Cost - PG 1 (PA)'!F20</f>
        <v>-16378.43</v>
      </c>
      <c r="F79" s="27"/>
      <c r="G79" s="27">
        <f>'Summary - Cost - PG 1 (PA)'!H20</f>
        <v>-35234.099999999919</v>
      </c>
      <c r="H79" s="27"/>
      <c r="I79" s="27">
        <f>'Summary - Cost - PG 1 (PA)'!J20</f>
        <v>0</v>
      </c>
      <c r="J79" s="27"/>
      <c r="K79" s="27">
        <f t="shared" si="2"/>
        <v>-51612.529999999919</v>
      </c>
      <c r="L79" s="27"/>
      <c r="M79" s="27">
        <f t="shared" si="3"/>
        <v>-1008372031.4800001</v>
      </c>
      <c r="N79" s="27"/>
      <c r="O79" s="12"/>
    </row>
    <row r="80" spans="1:23" s="10" customFormat="1">
      <c r="A80" s="58"/>
      <c r="B80" s="10" t="s">
        <v>119</v>
      </c>
      <c r="C80" s="28">
        <f>'Summary - Cost - PG 1 (PA)'!D21</f>
        <v>-117393208.42999999</v>
      </c>
      <c r="D80" s="27"/>
      <c r="E80" s="28">
        <f>'Summary - Cost - PG 1 (PA)'!F21</f>
        <v>0</v>
      </c>
      <c r="F80" s="27"/>
      <c r="G80" s="28">
        <f>'Summary - Cost - PG 1 (PA)'!H21</f>
        <v>1167259.44</v>
      </c>
      <c r="H80" s="27"/>
      <c r="I80" s="28">
        <f>'Summary - Cost - PG 1 (PA)'!J21</f>
        <v>0</v>
      </c>
      <c r="J80" s="27"/>
      <c r="K80" s="28">
        <f t="shared" si="2"/>
        <v>1167259.44</v>
      </c>
      <c r="L80" s="27"/>
      <c r="M80" s="28">
        <f t="shared" si="3"/>
        <v>-116225948.98999999</v>
      </c>
      <c r="N80" s="27"/>
      <c r="O80" s="12"/>
    </row>
    <row r="81" spans="1:20" s="10" customFormat="1">
      <c r="A81" s="58"/>
      <c r="B81" s="11"/>
      <c r="C81" s="27">
        <f>SUM(C74:C80)</f>
        <v>-1476184772.9300001</v>
      </c>
      <c r="D81" s="27"/>
      <c r="E81" s="27">
        <f>SUM(E74:E80)</f>
        <v>-26083.29</v>
      </c>
      <c r="F81" s="27"/>
      <c r="G81" s="27">
        <f>SUM(G74:G80)</f>
        <v>1952524.52</v>
      </c>
      <c r="H81" s="27"/>
      <c r="I81" s="27">
        <f>SUM(I74:I80)</f>
        <v>0</v>
      </c>
      <c r="J81" s="27"/>
      <c r="K81" s="27">
        <f>SUM(K74:K80)</f>
        <v>1926441.23</v>
      </c>
      <c r="L81" s="27"/>
      <c r="M81" s="27">
        <f>SUM(M74:M80)</f>
        <v>-1474258331.7</v>
      </c>
      <c r="N81" s="27"/>
      <c r="O81" s="12" t="s">
        <v>1099</v>
      </c>
    </row>
    <row r="82" spans="1:20">
      <c r="B82" s="5"/>
      <c r="C82" s="5"/>
      <c r="D82" s="5"/>
      <c r="E82" s="5"/>
      <c r="F82" s="5"/>
      <c r="G82" s="5"/>
      <c r="H82" s="5"/>
      <c r="I82" s="5"/>
      <c r="J82" s="5"/>
      <c r="K82" s="5"/>
      <c r="L82" s="5"/>
      <c r="M82" s="5"/>
      <c r="N82" s="5"/>
      <c r="O82" s="177"/>
      <c r="P82" s="5"/>
      <c r="Q82" s="5"/>
      <c r="R82" s="5"/>
      <c r="S82" s="5"/>
    </row>
    <row r="83" spans="1:20">
      <c r="A83" s="58" t="s">
        <v>112</v>
      </c>
      <c r="B83" s="10">
        <v>102</v>
      </c>
      <c r="C83" s="5"/>
      <c r="D83" s="5"/>
      <c r="E83" s="5"/>
      <c r="F83" s="5"/>
      <c r="G83" s="5"/>
      <c r="H83" s="5"/>
      <c r="I83" s="5"/>
      <c r="J83" s="5"/>
      <c r="K83" s="5"/>
      <c r="L83" s="5"/>
      <c r="M83" s="5"/>
      <c r="N83" s="5"/>
      <c r="O83" s="177"/>
      <c r="P83" s="5"/>
      <c r="Q83" s="5"/>
      <c r="R83" s="5"/>
      <c r="S83" s="5"/>
    </row>
    <row r="84" spans="1:20">
      <c r="B84" s="12" t="s">
        <v>501</v>
      </c>
      <c r="C84" s="5"/>
      <c r="D84" s="5"/>
      <c r="E84" s="5"/>
      <c r="F84" s="5"/>
      <c r="G84" s="5"/>
      <c r="H84" s="5"/>
      <c r="I84" s="5"/>
      <c r="J84" s="5"/>
      <c r="K84" s="5"/>
      <c r="L84" s="5"/>
      <c r="M84" s="5"/>
      <c r="N84" s="5"/>
      <c r="O84" s="177"/>
      <c r="P84" s="5"/>
      <c r="Q84" s="5"/>
      <c r="R84" s="5"/>
      <c r="S84" s="5"/>
    </row>
    <row r="85" spans="1:20">
      <c r="B85" s="10" t="s">
        <v>118</v>
      </c>
      <c r="C85" s="28">
        <f>+'Summary - Cost - PG 1 (Fin)'!D45</f>
        <v>0</v>
      </c>
      <c r="D85" s="27"/>
      <c r="E85" s="28">
        <f>+'Summary - Cost - PG 1 (Fin)'!F45</f>
        <v>0</v>
      </c>
      <c r="F85" s="27"/>
      <c r="G85" s="28">
        <f>+'Summary - Cost - PG 1 (Fin)'!H45</f>
        <v>0</v>
      </c>
      <c r="H85" s="27"/>
      <c r="I85" s="28">
        <f>+'Summary - Cost - PG 1 (Fin)'!J45</f>
        <v>0</v>
      </c>
      <c r="J85" s="27"/>
      <c r="K85" s="28">
        <f>E85+G85+I85</f>
        <v>0</v>
      </c>
      <c r="L85" s="27"/>
      <c r="M85" s="28">
        <f>C85+K85</f>
        <v>0</v>
      </c>
      <c r="N85" s="5"/>
      <c r="O85" s="12"/>
      <c r="P85" s="5"/>
      <c r="Q85" s="5"/>
      <c r="R85" s="5"/>
      <c r="S85" s="5"/>
    </row>
    <row r="86" spans="1:20">
      <c r="B86" s="10"/>
      <c r="C86" s="27">
        <f>SUM(C85:C85)</f>
        <v>0</v>
      </c>
      <c r="D86" s="27"/>
      <c r="E86" s="27">
        <f>SUM(E85)</f>
        <v>0</v>
      </c>
      <c r="F86" s="27"/>
      <c r="G86" s="27">
        <f>SUM(G85)</f>
        <v>0</v>
      </c>
      <c r="H86" s="27"/>
      <c r="I86" s="27">
        <f>SUM(I85)</f>
        <v>0</v>
      </c>
      <c r="J86" s="27"/>
      <c r="K86" s="27">
        <f>SUM(K85)</f>
        <v>0</v>
      </c>
      <c r="L86" s="27"/>
      <c r="M86" s="27">
        <f>SUM(M85:M85)</f>
        <v>0</v>
      </c>
      <c r="N86" s="5"/>
      <c r="O86" s="12" t="s">
        <v>1100</v>
      </c>
      <c r="P86" s="5"/>
      <c r="Q86" s="5"/>
      <c r="R86" s="5"/>
      <c r="S86" s="5"/>
    </row>
    <row r="87" spans="1:20">
      <c r="B87" s="10"/>
      <c r="C87" s="5"/>
      <c r="D87" s="5"/>
      <c r="E87" s="5"/>
      <c r="F87" s="5"/>
      <c r="G87" s="5"/>
      <c r="H87" s="5"/>
      <c r="I87" s="5"/>
      <c r="J87" s="5"/>
      <c r="K87" s="5"/>
      <c r="L87" s="5"/>
      <c r="M87" s="5"/>
      <c r="N87" s="5"/>
      <c r="O87" s="177"/>
      <c r="P87" s="5"/>
      <c r="Q87" s="5"/>
      <c r="R87" s="5"/>
      <c r="S87" s="5"/>
    </row>
    <row r="88" spans="1:20">
      <c r="C88" s="27"/>
      <c r="D88" s="27"/>
      <c r="E88" s="27"/>
      <c r="F88" s="27"/>
      <c r="G88" s="27"/>
      <c r="H88" s="27"/>
      <c r="I88" s="27"/>
      <c r="J88" s="27"/>
      <c r="K88" s="27"/>
      <c r="L88" s="27"/>
      <c r="M88" s="27">
        <f>+M81+M86</f>
        <v>-1474258331.7</v>
      </c>
      <c r="N88" s="5"/>
      <c r="O88" s="177" t="s">
        <v>1101</v>
      </c>
      <c r="P88" s="5"/>
      <c r="Q88" s="5"/>
      <c r="R88" s="5"/>
      <c r="S88" s="5"/>
    </row>
    <row r="89" spans="1:20">
      <c r="A89" s="58" t="s">
        <v>112</v>
      </c>
      <c r="B89" s="10">
        <v>106</v>
      </c>
      <c r="C89" s="27"/>
      <c r="D89" s="27"/>
      <c r="E89" s="27"/>
      <c r="F89" s="27"/>
      <c r="G89" s="27"/>
      <c r="H89" s="27"/>
      <c r="I89" s="27"/>
      <c r="J89" s="27"/>
      <c r="K89" s="27"/>
      <c r="L89" s="27"/>
      <c r="M89" s="27"/>
      <c r="N89" s="5"/>
      <c r="O89" s="177"/>
      <c r="P89" s="5"/>
      <c r="Q89" s="5"/>
      <c r="R89" s="5"/>
      <c r="S89" s="5"/>
    </row>
    <row r="90" spans="1:20">
      <c r="A90" s="58"/>
      <c r="B90" s="10" t="s">
        <v>113</v>
      </c>
      <c r="C90" s="27">
        <f>'Summary - Cost - PG 1 (PA)'!D67</f>
        <v>-18137.169999999998</v>
      </c>
      <c r="D90" s="27"/>
      <c r="E90" s="27">
        <f>'Summary - Cost - PG 1 (PA)'!F67</f>
        <v>9704.86</v>
      </c>
      <c r="F90" s="27"/>
      <c r="G90" s="27">
        <f>'Summary - Cost - PG 1 (PA)'!H67</f>
        <v>0</v>
      </c>
      <c r="H90" s="27"/>
      <c r="I90" s="27">
        <f>'Summary - Cost - PG 1 (PA)'!J67</f>
        <v>0</v>
      </c>
      <c r="J90" s="27"/>
      <c r="K90" s="27">
        <f t="shared" ref="K90:K96" si="4">E90+G90+I90</f>
        <v>9704.86</v>
      </c>
      <c r="L90" s="27"/>
      <c r="M90" s="27">
        <f t="shared" ref="M90:M96" si="5">C90+K90</f>
        <v>-8432.3099999999977</v>
      </c>
      <c r="N90" s="5"/>
      <c r="O90" s="3"/>
      <c r="P90" s="5"/>
      <c r="Q90" s="5"/>
      <c r="R90" s="5"/>
      <c r="S90" s="5"/>
      <c r="T90" s="5"/>
    </row>
    <row r="91" spans="1:20">
      <c r="A91" s="58"/>
      <c r="B91" s="10" t="s">
        <v>114</v>
      </c>
      <c r="C91" s="27">
        <f>'Summary - Cost - PG 1 (PA)'!D68</f>
        <v>0</v>
      </c>
      <c r="D91" s="27"/>
      <c r="E91" s="27">
        <f>'Summary - Cost - PG 1 (PA)'!F68</f>
        <v>0</v>
      </c>
      <c r="F91" s="27"/>
      <c r="G91" s="27">
        <f>'Summary - Cost - PG 1 (PA)'!H68</f>
        <v>0</v>
      </c>
      <c r="H91" s="27"/>
      <c r="I91" s="27">
        <f>'Summary - Cost - PG 1 (PA)'!J68</f>
        <v>0</v>
      </c>
      <c r="J91" s="27"/>
      <c r="K91" s="27">
        <f t="shared" si="4"/>
        <v>0</v>
      </c>
      <c r="L91" s="27"/>
      <c r="M91" s="27">
        <f t="shared" si="5"/>
        <v>0</v>
      </c>
      <c r="N91" s="5"/>
      <c r="O91" s="177"/>
      <c r="P91" s="5"/>
      <c r="Q91" s="5"/>
      <c r="R91" s="5"/>
      <c r="S91" s="5"/>
      <c r="T91" s="5"/>
    </row>
    <row r="92" spans="1:20">
      <c r="A92" s="58"/>
      <c r="B92" s="10" t="s">
        <v>115</v>
      </c>
      <c r="C92" s="27">
        <f>'Summary - Cost - PG 1 (PA)'!D69</f>
        <v>0</v>
      </c>
      <c r="D92" s="27"/>
      <c r="E92" s="27">
        <f>'Summary - Cost - PG 1 (PA)'!F69</f>
        <v>0</v>
      </c>
      <c r="F92" s="27"/>
      <c r="G92" s="27">
        <f>'Summary - Cost - PG 1 (PA)'!H69</f>
        <v>0</v>
      </c>
      <c r="H92" s="27"/>
      <c r="I92" s="27">
        <f>'Summary - Cost - PG 1 (PA)'!J69</f>
        <v>0</v>
      </c>
      <c r="J92" s="27"/>
      <c r="K92" s="27">
        <f t="shared" si="4"/>
        <v>0</v>
      </c>
      <c r="L92" s="27"/>
      <c r="M92" s="27">
        <f t="shared" si="5"/>
        <v>0</v>
      </c>
      <c r="N92" s="5"/>
      <c r="O92" s="177"/>
      <c r="P92" s="5"/>
      <c r="Q92" s="5"/>
      <c r="R92" s="5"/>
      <c r="S92" s="5"/>
      <c r="T92" s="5"/>
    </row>
    <row r="93" spans="1:20">
      <c r="A93" s="58"/>
      <c r="B93" s="10" t="s">
        <v>116</v>
      </c>
      <c r="C93" s="27">
        <f>'Summary - Cost - PG 1 (PA)'!D70</f>
        <v>0</v>
      </c>
      <c r="D93" s="27"/>
      <c r="E93" s="27">
        <f>'Summary - Cost - PG 1 (PA)'!F70</f>
        <v>0</v>
      </c>
      <c r="F93" s="27"/>
      <c r="G93" s="27">
        <f>'Summary - Cost - PG 1 (PA)'!H70</f>
        <v>0</v>
      </c>
      <c r="H93" s="27"/>
      <c r="I93" s="27">
        <f>'Summary - Cost - PG 1 (PA)'!J70</f>
        <v>0</v>
      </c>
      <c r="J93" s="27"/>
      <c r="K93" s="27">
        <f t="shared" si="4"/>
        <v>0</v>
      </c>
      <c r="L93" s="27"/>
      <c r="M93" s="27">
        <f t="shared" si="5"/>
        <v>0</v>
      </c>
      <c r="N93" s="5"/>
      <c r="O93" s="177"/>
      <c r="P93" s="5"/>
      <c r="Q93" s="5"/>
      <c r="R93" s="5"/>
      <c r="S93" s="5"/>
      <c r="T93" s="5"/>
    </row>
    <row r="94" spans="1:20">
      <c r="A94" s="58"/>
      <c r="B94" s="10" t="s">
        <v>117</v>
      </c>
      <c r="C94" s="27">
        <f>'Summary - Cost - PG 1 (PA)'!D71</f>
        <v>0</v>
      </c>
      <c r="D94" s="27"/>
      <c r="E94" s="27">
        <f>'Summary - Cost - PG 1 (PA)'!F71</f>
        <v>0</v>
      </c>
      <c r="F94" s="27"/>
      <c r="G94" s="27">
        <f>'Summary - Cost - PG 1 (PA)'!H71</f>
        <v>0</v>
      </c>
      <c r="H94" s="27"/>
      <c r="I94" s="27">
        <f>'Summary - Cost - PG 1 (PA)'!J71</f>
        <v>0</v>
      </c>
      <c r="J94" s="27"/>
      <c r="K94" s="27">
        <f t="shared" si="4"/>
        <v>0</v>
      </c>
      <c r="L94" s="27"/>
      <c r="M94" s="27">
        <f t="shared" si="5"/>
        <v>0</v>
      </c>
      <c r="N94" s="5"/>
      <c r="O94" s="177"/>
      <c r="P94" s="5"/>
      <c r="Q94" s="5"/>
      <c r="R94" s="5"/>
      <c r="S94" s="5"/>
      <c r="T94" s="5"/>
    </row>
    <row r="95" spans="1:20">
      <c r="A95" s="58"/>
      <c r="B95" s="10" t="s">
        <v>118</v>
      </c>
      <c r="C95" s="27">
        <f>'Summary - Cost - PG 1 (PA)'!D72</f>
        <v>-34851.389999999985</v>
      </c>
      <c r="D95" s="27"/>
      <c r="E95" s="27">
        <f>'Summary - Cost - PG 1 (PA)'!F72</f>
        <v>16378.43</v>
      </c>
      <c r="F95" s="27"/>
      <c r="G95" s="27">
        <f>'Summary - Cost - PG 1 (PA)'!H72</f>
        <v>0</v>
      </c>
      <c r="H95" s="27"/>
      <c r="I95" s="27">
        <f>'Summary - Cost - PG 1 (PA)'!J72</f>
        <v>0</v>
      </c>
      <c r="J95" s="27"/>
      <c r="K95" s="27">
        <f t="shared" si="4"/>
        <v>16378.43</v>
      </c>
      <c r="L95" s="27"/>
      <c r="M95" s="27">
        <f t="shared" si="5"/>
        <v>-18472.959999999985</v>
      </c>
      <c r="N95" s="5"/>
      <c r="O95" s="177"/>
      <c r="P95" s="5"/>
      <c r="Q95" s="5"/>
      <c r="R95" s="5"/>
      <c r="S95" s="5"/>
      <c r="T95" s="5"/>
    </row>
    <row r="96" spans="1:20">
      <c r="A96" s="58"/>
      <c r="B96" s="10" t="s">
        <v>119</v>
      </c>
      <c r="C96" s="28">
        <f>'Summary - Cost - PG 1 (PA)'!D73</f>
        <v>-185555.67</v>
      </c>
      <c r="D96" s="27"/>
      <c r="E96" s="28">
        <f>'Summary - Cost - PG 1 (PA)'!F73</f>
        <v>0</v>
      </c>
      <c r="F96" s="27"/>
      <c r="G96" s="28">
        <f>'Summary - Cost - PG 1 (PA)'!H73</f>
        <v>0</v>
      </c>
      <c r="H96" s="27"/>
      <c r="I96" s="28">
        <f>'Summary - Cost - PG 1 (PA)'!J73</f>
        <v>0</v>
      </c>
      <c r="J96" s="27"/>
      <c r="K96" s="28">
        <f t="shared" si="4"/>
        <v>0</v>
      </c>
      <c r="L96" s="27"/>
      <c r="M96" s="28">
        <f t="shared" si="5"/>
        <v>-185555.67</v>
      </c>
      <c r="N96" s="5"/>
      <c r="O96" s="177"/>
      <c r="P96" s="5"/>
      <c r="Q96" s="5"/>
      <c r="R96" s="5"/>
      <c r="S96" s="5"/>
      <c r="T96" s="5"/>
    </row>
    <row r="97" spans="1:20">
      <c r="A97" s="58"/>
      <c r="B97" s="11"/>
      <c r="C97" s="27">
        <f>SUM(C90:C96)</f>
        <v>-238544.22999999998</v>
      </c>
      <c r="D97" s="27"/>
      <c r="E97" s="27">
        <f>SUM(E90:E96)</f>
        <v>26083.29</v>
      </c>
      <c r="F97" s="27"/>
      <c r="G97" s="27">
        <f>SUM(G90:G96)</f>
        <v>0</v>
      </c>
      <c r="H97" s="27"/>
      <c r="I97" s="27">
        <f>SUM(I90:I96)</f>
        <v>0</v>
      </c>
      <c r="J97" s="27"/>
      <c r="K97" s="27">
        <f>SUM(K90:K96)</f>
        <v>26083.29</v>
      </c>
      <c r="L97" s="27"/>
      <c r="M97" s="27">
        <f>SUM(M90:M96)</f>
        <v>-212460.94</v>
      </c>
      <c r="N97" s="5"/>
      <c r="O97" s="177" t="s">
        <v>990</v>
      </c>
      <c r="P97" s="5"/>
      <c r="Q97" s="10"/>
      <c r="R97" s="5"/>
      <c r="S97" s="5"/>
      <c r="T97" s="5"/>
    </row>
    <row r="98" spans="1:20">
      <c r="C98" s="5"/>
      <c r="D98" s="5"/>
      <c r="E98" s="5"/>
      <c r="F98" s="5"/>
      <c r="G98" s="5"/>
      <c r="H98" s="5"/>
      <c r="I98" s="5"/>
      <c r="J98" s="5"/>
      <c r="K98" s="5"/>
      <c r="L98" s="5"/>
      <c r="M98" s="5"/>
      <c r="N98" s="5"/>
      <c r="P98" s="5"/>
      <c r="Q98" s="5"/>
      <c r="R98" s="5"/>
      <c r="S98" s="5"/>
      <c r="T98" s="5"/>
    </row>
    <row r="99" spans="1:20">
      <c r="A99" s="110" t="s">
        <v>112</v>
      </c>
      <c r="B99" s="107" t="s">
        <v>147</v>
      </c>
      <c r="C99" s="111"/>
      <c r="D99" s="111"/>
      <c r="E99" s="111"/>
      <c r="F99" s="111"/>
      <c r="G99" s="111"/>
      <c r="H99" s="111"/>
      <c r="I99" s="111"/>
      <c r="J99" s="111"/>
      <c r="K99" s="111"/>
      <c r="L99" s="111"/>
      <c r="M99" s="111"/>
      <c r="N99" s="5"/>
      <c r="O99" s="177"/>
      <c r="P99" s="5"/>
      <c r="Q99" s="5"/>
      <c r="R99" s="5"/>
      <c r="S99" s="5"/>
      <c r="T99" s="5"/>
    </row>
    <row r="100" spans="1:20">
      <c r="A100" s="110"/>
      <c r="B100" s="107" t="s">
        <v>113</v>
      </c>
      <c r="C100" s="111">
        <f t="shared" ref="C100:C106" si="6">C74+C90</f>
        <v>-271498231.68000001</v>
      </c>
      <c r="D100" s="111"/>
      <c r="E100" s="111">
        <f>E74+E90</f>
        <v>0</v>
      </c>
      <c r="F100" s="111"/>
      <c r="G100" s="111">
        <f t="shared" ref="G100:G106" si="7">G74+G90</f>
        <v>586138.93000000005</v>
      </c>
      <c r="H100" s="111"/>
      <c r="I100" s="111">
        <f t="shared" ref="I100:I106" si="8">I74+I90</f>
        <v>0</v>
      </c>
      <c r="J100" s="111"/>
      <c r="K100" s="111">
        <f t="shared" ref="K100:K106" si="9">E100+G100+I100</f>
        <v>586138.93000000005</v>
      </c>
      <c r="L100" s="111"/>
      <c r="M100" s="111">
        <f t="shared" ref="M100:M106" si="10">C100+K100</f>
        <v>-270912092.75</v>
      </c>
      <c r="N100" s="5"/>
      <c r="O100" s="177"/>
      <c r="P100" s="5"/>
      <c r="Q100" s="5"/>
      <c r="R100" s="5"/>
      <c r="S100" s="5"/>
      <c r="T100" s="5"/>
    </row>
    <row r="101" spans="1:20">
      <c r="A101" s="110"/>
      <c r="B101" s="107" t="s">
        <v>114</v>
      </c>
      <c r="C101" s="111">
        <f t="shared" si="6"/>
        <v>-10825272.689999999</v>
      </c>
      <c r="D101" s="111"/>
      <c r="E101" s="111">
        <f>E75+E91</f>
        <v>0</v>
      </c>
      <c r="F101" s="111"/>
      <c r="G101" s="111">
        <f t="shared" si="7"/>
        <v>39209.64</v>
      </c>
      <c r="H101" s="111"/>
      <c r="I101" s="111">
        <f t="shared" si="8"/>
        <v>0</v>
      </c>
      <c r="J101" s="111"/>
      <c r="K101" s="111">
        <f t="shared" si="9"/>
        <v>39209.64</v>
      </c>
      <c r="L101" s="111"/>
      <c r="M101" s="111">
        <f t="shared" si="10"/>
        <v>-10786063.049999999</v>
      </c>
      <c r="N101" s="5"/>
      <c r="O101" s="177"/>
      <c r="P101" s="5"/>
      <c r="Q101" s="5"/>
      <c r="R101" s="5"/>
      <c r="S101" s="5"/>
      <c r="T101" s="5"/>
    </row>
    <row r="102" spans="1:20">
      <c r="A102" s="110"/>
      <c r="B102" s="107" t="s">
        <v>115</v>
      </c>
      <c r="C102" s="111">
        <f t="shared" si="6"/>
        <v>-9521332.4499999993</v>
      </c>
      <c r="D102" s="111"/>
      <c r="E102" s="111">
        <f>E76+E92</f>
        <v>0</v>
      </c>
      <c r="F102" s="111"/>
      <c r="G102" s="111">
        <f t="shared" si="7"/>
        <v>526.02</v>
      </c>
      <c r="H102" s="111"/>
      <c r="I102" s="111">
        <f t="shared" si="8"/>
        <v>0</v>
      </c>
      <c r="J102" s="111"/>
      <c r="K102" s="111">
        <f t="shared" si="9"/>
        <v>526.02</v>
      </c>
      <c r="L102" s="111"/>
      <c r="M102" s="111">
        <f t="shared" si="10"/>
        <v>-9520806.4299999997</v>
      </c>
      <c r="N102" s="5"/>
      <c r="O102" s="177"/>
      <c r="P102" s="5"/>
      <c r="Q102" s="5"/>
      <c r="R102" s="5"/>
      <c r="S102" s="5"/>
      <c r="T102" s="5"/>
    </row>
    <row r="103" spans="1:20">
      <c r="A103" s="110"/>
      <c r="B103" s="107" t="s">
        <v>116</v>
      </c>
      <c r="C103" s="111">
        <f t="shared" si="6"/>
        <v>0</v>
      </c>
      <c r="D103" s="111"/>
      <c r="E103" s="111">
        <f>E77+E93</f>
        <v>0</v>
      </c>
      <c r="F103" s="111"/>
      <c r="G103" s="111">
        <f t="shared" si="7"/>
        <v>0</v>
      </c>
      <c r="H103" s="111"/>
      <c r="I103" s="111">
        <f t="shared" si="8"/>
        <v>0</v>
      </c>
      <c r="J103" s="111"/>
      <c r="K103" s="111">
        <f t="shared" si="9"/>
        <v>0</v>
      </c>
      <c r="L103" s="111"/>
      <c r="M103" s="111">
        <f t="shared" si="10"/>
        <v>0</v>
      </c>
      <c r="N103" s="5"/>
      <c r="O103" s="177"/>
      <c r="P103" s="5"/>
      <c r="Q103" s="5"/>
      <c r="R103" s="5"/>
      <c r="S103" s="5"/>
      <c r="T103" s="5"/>
    </row>
    <row r="104" spans="1:20">
      <c r="A104" s="110"/>
      <c r="B104" s="107" t="s">
        <v>117</v>
      </c>
      <c r="C104" s="111">
        <f t="shared" si="6"/>
        <v>-58644445.899999999</v>
      </c>
      <c r="D104" s="111"/>
      <c r="E104" s="111">
        <f>E78+E94</f>
        <v>0</v>
      </c>
      <c r="F104" s="111"/>
      <c r="G104" s="111">
        <f t="shared" si="7"/>
        <v>194624.59</v>
      </c>
      <c r="H104" s="111"/>
      <c r="I104" s="111">
        <f t="shared" si="8"/>
        <v>0</v>
      </c>
      <c r="J104" s="111"/>
      <c r="K104" s="111">
        <f t="shared" si="9"/>
        <v>194624.59</v>
      </c>
      <c r="L104" s="111"/>
      <c r="M104" s="111">
        <f t="shared" si="10"/>
        <v>-58449821.309999995</v>
      </c>
      <c r="N104" s="5"/>
      <c r="O104" s="177"/>
      <c r="P104" s="5"/>
      <c r="Q104" s="5"/>
      <c r="R104" s="5"/>
      <c r="S104" s="5"/>
      <c r="T104" s="5"/>
    </row>
    <row r="105" spans="1:20">
      <c r="A105" s="110"/>
      <c r="B105" s="107" t="s">
        <v>118</v>
      </c>
      <c r="C105" s="111">
        <f t="shared" si="6"/>
        <v>-1008355270.3400002</v>
      </c>
      <c r="D105" s="111"/>
      <c r="E105" s="111">
        <f>E79+E85+E95</f>
        <v>0</v>
      </c>
      <c r="F105" s="111"/>
      <c r="G105" s="111">
        <f t="shared" si="7"/>
        <v>-35234.099999999919</v>
      </c>
      <c r="H105" s="111"/>
      <c r="I105" s="111">
        <f t="shared" si="8"/>
        <v>0</v>
      </c>
      <c r="J105" s="111"/>
      <c r="K105" s="111">
        <f t="shared" si="9"/>
        <v>-35234.099999999919</v>
      </c>
      <c r="L105" s="111"/>
      <c r="M105" s="111">
        <f t="shared" si="10"/>
        <v>-1008390504.4400002</v>
      </c>
      <c r="N105" s="5"/>
      <c r="O105" s="177"/>
      <c r="P105" s="5"/>
      <c r="Q105" s="5"/>
      <c r="R105" s="5"/>
      <c r="S105" s="5"/>
      <c r="T105" s="5"/>
    </row>
    <row r="106" spans="1:20">
      <c r="A106" s="110"/>
      <c r="B106" s="107" t="s">
        <v>119</v>
      </c>
      <c r="C106" s="112">
        <f t="shared" si="6"/>
        <v>-117578764.09999999</v>
      </c>
      <c r="D106" s="111"/>
      <c r="E106" s="112">
        <f>E80+E96</f>
        <v>0</v>
      </c>
      <c r="F106" s="111"/>
      <c r="G106" s="112">
        <f t="shared" si="7"/>
        <v>1167259.44</v>
      </c>
      <c r="H106" s="111"/>
      <c r="I106" s="112">
        <f t="shared" si="8"/>
        <v>0</v>
      </c>
      <c r="J106" s="111"/>
      <c r="K106" s="112">
        <f t="shared" si="9"/>
        <v>1167259.44</v>
      </c>
      <c r="L106" s="111"/>
      <c r="M106" s="112">
        <f t="shared" si="10"/>
        <v>-116411504.66</v>
      </c>
      <c r="N106" s="5"/>
      <c r="O106" s="177"/>
      <c r="P106" s="5"/>
      <c r="Q106" s="5"/>
      <c r="R106" s="5"/>
      <c r="S106" s="5"/>
      <c r="T106" s="5"/>
    </row>
    <row r="107" spans="1:20">
      <c r="A107" s="110"/>
      <c r="B107" s="113"/>
      <c r="C107" s="111">
        <f>SUM(C100:C106)</f>
        <v>-1476423317.1600001</v>
      </c>
      <c r="D107" s="111"/>
      <c r="E107" s="111">
        <f>SUM(E100:E106)</f>
        <v>0</v>
      </c>
      <c r="F107" s="111"/>
      <c r="G107" s="111">
        <f>SUM(G100:G106)</f>
        <v>1952524.52</v>
      </c>
      <c r="H107" s="111"/>
      <c r="I107" s="111">
        <f>SUM(I100:I106)</f>
        <v>0</v>
      </c>
      <c r="J107" s="111"/>
      <c r="K107" s="111">
        <f>SUM(K100:K106)</f>
        <v>1952524.52</v>
      </c>
      <c r="L107" s="111"/>
      <c r="M107" s="111">
        <f>SUM(M100:M106)</f>
        <v>-1474470792.6400003</v>
      </c>
      <c r="N107" s="5"/>
      <c r="O107" s="177" t="s">
        <v>991</v>
      </c>
      <c r="P107" s="5"/>
      <c r="Q107" s="163" t="s">
        <v>1082</v>
      </c>
      <c r="R107" s="5"/>
      <c r="S107" s="5"/>
      <c r="T107" s="5"/>
    </row>
    <row r="108" spans="1:20">
      <c r="A108" s="110"/>
      <c r="B108" s="113"/>
      <c r="C108" s="111">
        <f>+C81+C86+C97-C107</f>
        <v>0</v>
      </c>
      <c r="D108" s="111"/>
      <c r="E108" s="111">
        <f t="shared" ref="E108:N108" si="11">+E81+E86+E97-E107</f>
        <v>0</v>
      </c>
      <c r="F108" s="111"/>
      <c r="G108" s="111">
        <f t="shared" si="11"/>
        <v>0</v>
      </c>
      <c r="H108" s="111"/>
      <c r="I108" s="111">
        <f t="shared" si="11"/>
        <v>0</v>
      </c>
      <c r="J108" s="111"/>
      <c r="K108" s="111">
        <f t="shared" si="11"/>
        <v>0</v>
      </c>
      <c r="L108" s="111"/>
      <c r="M108" s="111">
        <f t="shared" si="11"/>
        <v>0</v>
      </c>
      <c r="N108" s="111">
        <f t="shared" si="11"/>
        <v>0</v>
      </c>
      <c r="P108" s="5"/>
      <c r="Q108" s="10"/>
      <c r="R108" s="5"/>
      <c r="S108" s="5"/>
      <c r="T108" s="5"/>
    </row>
    <row r="109" spans="1:20" s="10" customFormat="1">
      <c r="A109" s="58"/>
      <c r="B109" s="11"/>
      <c r="C109" s="27"/>
      <c r="D109" s="27"/>
      <c r="E109" s="27"/>
      <c r="F109" s="27"/>
      <c r="G109" s="27"/>
      <c r="H109" s="27"/>
      <c r="I109" s="27"/>
      <c r="J109" s="27"/>
      <c r="K109" s="27"/>
      <c r="L109" s="27"/>
      <c r="M109" s="27"/>
      <c r="N109" s="21"/>
      <c r="O109" s="177"/>
      <c r="P109" s="21"/>
      <c r="R109" s="21"/>
      <c r="S109" s="21"/>
      <c r="T109" s="21"/>
    </row>
    <row r="110" spans="1:20">
      <c r="C110" s="5"/>
      <c r="D110" s="5"/>
      <c r="E110" s="5"/>
      <c r="F110" s="5"/>
      <c r="G110" s="5"/>
      <c r="H110" s="5"/>
      <c r="I110" s="5"/>
      <c r="J110" s="5"/>
      <c r="K110" s="5"/>
      <c r="L110" s="5"/>
      <c r="M110" s="5"/>
      <c r="N110" s="5"/>
      <c r="O110" s="178"/>
      <c r="P110" s="5"/>
      <c r="Q110" s="5"/>
      <c r="R110" s="5"/>
      <c r="S110" s="5"/>
      <c r="T110" s="5"/>
    </row>
    <row r="111" spans="1:20">
      <c r="A111" s="101" t="s">
        <v>418</v>
      </c>
      <c r="C111" s="5"/>
      <c r="D111" s="5"/>
      <c r="E111" s="5"/>
      <c r="F111" s="5"/>
      <c r="G111" s="5"/>
      <c r="H111" s="5"/>
      <c r="I111" s="5"/>
      <c r="J111" s="5"/>
      <c r="K111" s="5"/>
      <c r="L111" s="5"/>
      <c r="M111" s="5"/>
      <c r="N111" s="5"/>
      <c r="O111" s="177"/>
      <c r="P111" s="5"/>
      <c r="Q111" s="5"/>
      <c r="R111" s="5"/>
      <c r="S111" s="5"/>
      <c r="T111" s="5"/>
    </row>
    <row r="112" spans="1:20">
      <c r="C112" s="5"/>
      <c r="D112" s="5"/>
      <c r="E112" s="97" t="s">
        <v>678</v>
      </c>
      <c r="F112" s="5"/>
      <c r="G112" s="5"/>
      <c r="H112" s="5"/>
      <c r="I112" s="165"/>
      <c r="J112" s="5"/>
      <c r="K112" s="162"/>
      <c r="L112" s="5"/>
      <c r="M112" s="162"/>
      <c r="N112" s="5"/>
      <c r="O112" s="177"/>
      <c r="P112" s="5"/>
      <c r="Q112" s="5"/>
      <c r="R112" s="5"/>
      <c r="S112" s="5"/>
      <c r="T112" s="5"/>
    </row>
    <row r="113" spans="2:20">
      <c r="B113" s="12" t="s">
        <v>655</v>
      </c>
      <c r="C113" s="10"/>
      <c r="D113" s="5"/>
      <c r="E113" s="98" t="s">
        <v>679</v>
      </c>
      <c r="F113" s="5"/>
      <c r="G113" s="5"/>
      <c r="H113" s="5"/>
      <c r="I113" s="166" t="s">
        <v>1037</v>
      </c>
      <c r="J113" s="5"/>
      <c r="K113" s="5"/>
      <c r="L113" s="5"/>
      <c r="M113" s="5"/>
      <c r="N113" s="5"/>
      <c r="O113" s="177"/>
      <c r="P113" s="5"/>
      <c r="Q113" s="5"/>
      <c r="R113" s="5"/>
      <c r="S113" s="5"/>
      <c r="T113" s="5"/>
    </row>
    <row r="114" spans="2:20">
      <c r="B114" s="10" t="s">
        <v>652</v>
      </c>
      <c r="C114" s="89">
        <f>'Summary - Reserve - PG 2 (PA)'!S67</f>
        <v>63094623.000000015</v>
      </c>
      <c r="D114" s="5"/>
      <c r="E114" s="5">
        <f>-'Summary - Reserve - PG 2 (PA)'!S31</f>
        <v>-63360.36</v>
      </c>
      <c r="F114" s="5"/>
      <c r="G114" s="5">
        <f>C114+E114</f>
        <v>63031262.640000015</v>
      </c>
      <c r="H114" s="5"/>
      <c r="I114" s="5"/>
      <c r="J114" s="5"/>
      <c r="K114" s="5">
        <f>G114+I114</f>
        <v>63031262.640000015</v>
      </c>
      <c r="L114" s="5"/>
      <c r="M114" s="5"/>
      <c r="N114" s="5"/>
      <c r="O114" s="177"/>
      <c r="P114" s="5"/>
      <c r="Q114" s="5"/>
      <c r="R114" s="5"/>
      <c r="S114" s="5"/>
      <c r="T114" s="5"/>
    </row>
    <row r="115" spans="2:20">
      <c r="B115" s="10" t="s">
        <v>112</v>
      </c>
      <c r="C115" s="89">
        <f>'Summary - Reserve - PG 2 (PA)'!S68</f>
        <v>1474470389.4300001</v>
      </c>
      <c r="D115" s="5"/>
      <c r="E115" s="5"/>
      <c r="F115" s="5"/>
      <c r="G115" s="5">
        <f>C115+E115</f>
        <v>1474470389.4300001</v>
      </c>
      <c r="H115" s="5"/>
      <c r="I115" s="8">
        <f>-'Recon Depr Exp to IS P4 (PA)'!O22</f>
        <v>0</v>
      </c>
      <c r="J115" s="5"/>
      <c r="K115" s="5">
        <f>G115+-I115</f>
        <v>1474470389.4300001</v>
      </c>
      <c r="L115" s="5"/>
      <c r="M115" s="5"/>
      <c r="N115" s="5"/>
      <c r="O115" s="177"/>
      <c r="P115" s="5"/>
      <c r="Q115" s="5"/>
      <c r="R115" s="5"/>
      <c r="S115" s="5"/>
      <c r="T115" s="5"/>
    </row>
    <row r="116" spans="2:20">
      <c r="B116" s="10" t="s">
        <v>120</v>
      </c>
      <c r="C116" s="89">
        <f>'Summary - Reserve - PG 2 (PA)'!S69</f>
        <v>168750950.86000001</v>
      </c>
      <c r="D116" s="5"/>
      <c r="E116" s="5"/>
      <c r="F116" s="5"/>
      <c r="G116" s="5">
        <f>C116+E116</f>
        <v>168750950.86000001</v>
      </c>
      <c r="H116" s="5"/>
      <c r="I116" s="99"/>
      <c r="J116" s="5"/>
      <c r="K116" s="5">
        <f>G116+I116</f>
        <v>168750950.86000001</v>
      </c>
      <c r="L116" s="5"/>
      <c r="M116" s="5"/>
      <c r="N116" s="5"/>
      <c r="O116" s="177"/>
      <c r="P116" s="5"/>
      <c r="Q116" s="5"/>
      <c r="R116" s="5"/>
      <c r="S116" s="5"/>
      <c r="T116" s="5"/>
    </row>
    <row r="117" spans="2:20" ht="13.5" thickBot="1">
      <c r="B117" s="10"/>
      <c r="C117" s="96">
        <f>SUM(C114:C116)</f>
        <v>1706315963.29</v>
      </c>
      <c r="D117" s="5"/>
      <c r="E117" s="96">
        <f>SUM(E114:E116)</f>
        <v>-63360.36</v>
      </c>
      <c r="F117" s="5"/>
      <c r="G117" s="96">
        <f>SUM(G114:G116)</f>
        <v>1706252602.9300003</v>
      </c>
      <c r="H117" s="5"/>
      <c r="I117" s="99"/>
      <c r="J117" s="5"/>
      <c r="K117" s="96">
        <f>SUM(K114:K116)</f>
        <v>1706252602.9300003</v>
      </c>
      <c r="L117" s="5"/>
      <c r="M117" s="5"/>
      <c r="N117" s="5"/>
      <c r="O117" s="177"/>
      <c r="P117" s="5"/>
      <c r="Q117" s="5"/>
      <c r="R117" s="5"/>
      <c r="S117" s="5"/>
      <c r="T117" s="5"/>
    </row>
    <row r="118" spans="2:20" ht="13.5" thickTop="1">
      <c r="B118" s="10"/>
      <c r="C118" s="10"/>
      <c r="D118" s="5"/>
      <c r="E118" s="5"/>
      <c r="F118" s="5"/>
      <c r="G118" s="5"/>
      <c r="H118" s="5"/>
      <c r="I118" s="99"/>
      <c r="J118" s="5"/>
      <c r="K118" s="5"/>
      <c r="L118" s="5"/>
      <c r="M118" s="5"/>
      <c r="N118" s="5"/>
      <c r="O118" s="177"/>
      <c r="P118" s="5"/>
      <c r="Q118" s="5"/>
      <c r="R118" s="5"/>
      <c r="S118" s="5"/>
      <c r="T118" s="5"/>
    </row>
    <row r="119" spans="2:20">
      <c r="B119" s="12" t="s">
        <v>656</v>
      </c>
      <c r="C119" s="10"/>
      <c r="D119" s="5"/>
      <c r="E119" s="5"/>
      <c r="F119" s="5"/>
      <c r="G119" s="5"/>
      <c r="H119" s="5"/>
      <c r="I119" s="99"/>
      <c r="J119" s="5"/>
      <c r="K119" s="5"/>
      <c r="L119" s="5"/>
      <c r="M119" s="5"/>
      <c r="N119" s="5"/>
      <c r="O119" s="177"/>
      <c r="P119" s="5"/>
      <c r="Q119" s="5"/>
      <c r="R119" s="5"/>
      <c r="S119" s="5"/>
      <c r="T119" s="5"/>
    </row>
    <row r="120" spans="2:20">
      <c r="B120" s="10" t="s">
        <v>652</v>
      </c>
      <c r="C120" s="89">
        <f>'Summary - Reserve - PG 2 (PA)'!S73</f>
        <v>0</v>
      </c>
      <c r="D120" s="5"/>
      <c r="E120" s="5"/>
      <c r="F120" s="5"/>
      <c r="G120" s="5">
        <f>C120+E120</f>
        <v>0</v>
      </c>
      <c r="H120" s="5"/>
      <c r="I120" s="99"/>
      <c r="J120" s="5"/>
      <c r="K120" s="5">
        <f>G120+I120</f>
        <v>0</v>
      </c>
      <c r="L120" s="5"/>
      <c r="M120" s="5"/>
      <c r="N120" s="5"/>
      <c r="O120" s="177"/>
      <c r="P120" s="5"/>
      <c r="Q120" s="5"/>
      <c r="R120" s="5"/>
      <c r="S120" s="5"/>
      <c r="T120" s="5"/>
    </row>
    <row r="121" spans="2:20">
      <c r="B121" s="10" t="s">
        <v>112</v>
      </c>
      <c r="C121" s="89">
        <f>'Summary - Reserve - PG 2 (PA)'!S74</f>
        <v>0</v>
      </c>
      <c r="D121" s="5"/>
      <c r="E121" s="5"/>
      <c r="F121" s="5"/>
      <c r="G121" s="5">
        <f>C121+E121</f>
        <v>0</v>
      </c>
      <c r="H121" s="5"/>
      <c r="I121" s="99"/>
      <c r="J121" s="5"/>
      <c r="K121" s="5">
        <f>G121+-I121</f>
        <v>0</v>
      </c>
      <c r="L121" s="5"/>
      <c r="M121" s="5"/>
      <c r="N121" s="5"/>
      <c r="O121" s="177"/>
      <c r="P121" s="5"/>
      <c r="Q121" s="5"/>
      <c r="R121" s="5"/>
      <c r="S121" s="5"/>
      <c r="T121" s="5"/>
    </row>
    <row r="122" spans="2:20">
      <c r="B122" s="10" t="s">
        <v>120</v>
      </c>
      <c r="C122" s="89">
        <f>'Summary - Reserve - PG 2 (PA)'!S75</f>
        <v>0</v>
      </c>
      <c r="D122" s="5"/>
      <c r="E122" s="5"/>
      <c r="F122" s="5"/>
      <c r="G122" s="5">
        <f>C122+E122</f>
        <v>0</v>
      </c>
      <c r="H122" s="5"/>
      <c r="I122" s="99"/>
      <c r="J122" s="5"/>
      <c r="K122" s="5">
        <f>G122+I122</f>
        <v>0</v>
      </c>
      <c r="L122" s="5"/>
      <c r="M122" s="5"/>
      <c r="N122" s="5"/>
      <c r="O122" s="177"/>
      <c r="P122" s="5"/>
      <c r="Q122" s="5"/>
      <c r="R122" s="5"/>
      <c r="S122" s="5"/>
      <c r="T122" s="5"/>
    </row>
    <row r="123" spans="2:20" ht="13.5" thickBot="1">
      <c r="B123" s="10"/>
      <c r="C123" s="96">
        <f>SUM(C120:C122)</f>
        <v>0</v>
      </c>
      <c r="D123" s="5"/>
      <c r="E123" s="96">
        <f>SUM(E120:E122)</f>
        <v>0</v>
      </c>
      <c r="F123" s="5"/>
      <c r="G123" s="96">
        <f>SUM(G120:G122)</f>
        <v>0</v>
      </c>
      <c r="H123" s="5"/>
      <c r="I123" s="115"/>
      <c r="J123" s="5"/>
      <c r="K123" s="96">
        <f>SUM(K120:K122)</f>
        <v>0</v>
      </c>
      <c r="L123" s="5"/>
      <c r="M123" s="5"/>
      <c r="N123" s="5"/>
      <c r="O123" s="177"/>
      <c r="P123" s="5"/>
      <c r="Q123" s="5"/>
      <c r="R123" s="5"/>
      <c r="S123" s="5"/>
      <c r="T123" s="5"/>
    </row>
    <row r="124" spans="2:20" ht="13.5" thickTop="1">
      <c r="B124" s="3" t="s">
        <v>677</v>
      </c>
      <c r="C124" s="5"/>
      <c r="D124" s="5"/>
      <c r="E124" s="5"/>
      <c r="F124" s="5"/>
      <c r="G124" s="5"/>
      <c r="H124" s="5"/>
      <c r="I124" s="99"/>
      <c r="J124" s="5"/>
      <c r="K124" s="5"/>
      <c r="L124" s="5"/>
      <c r="M124" s="5"/>
      <c r="N124" s="5"/>
      <c r="O124" s="177"/>
      <c r="P124" s="5"/>
      <c r="Q124" s="5"/>
      <c r="R124" s="5"/>
      <c r="S124" s="5"/>
      <c r="T124" s="5"/>
    </row>
    <row r="125" spans="2:20">
      <c r="B125" s="10" t="s">
        <v>652</v>
      </c>
      <c r="C125" s="5">
        <f>C114+C120</f>
        <v>63094623.000000015</v>
      </c>
      <c r="D125" s="5"/>
      <c r="E125" s="5">
        <f>E114+E120</f>
        <v>-63360.36</v>
      </c>
      <c r="F125" s="5"/>
      <c r="G125" s="5">
        <f>C125+E125</f>
        <v>63031262.640000015</v>
      </c>
      <c r="H125" s="5"/>
      <c r="I125" s="99"/>
      <c r="J125" s="5"/>
      <c r="K125" s="5">
        <f>K114+K120</f>
        <v>63031262.640000015</v>
      </c>
      <c r="L125" s="5"/>
      <c r="M125" s="5"/>
      <c r="N125" s="5"/>
      <c r="O125" s="177"/>
      <c r="P125" s="5"/>
      <c r="Q125" s="5"/>
      <c r="R125" s="5"/>
      <c r="S125" s="5"/>
      <c r="T125" s="5"/>
    </row>
    <row r="126" spans="2:20">
      <c r="B126" s="10" t="s">
        <v>112</v>
      </c>
      <c r="C126" s="5">
        <f>C115+C121</f>
        <v>1474470389.4300001</v>
      </c>
      <c r="D126" s="5"/>
      <c r="E126" s="5">
        <f t="shared" ref="C126:E127" si="12">E115+E121</f>
        <v>0</v>
      </c>
      <c r="F126" s="5"/>
      <c r="G126" s="5">
        <f>C126+E126</f>
        <v>1474470389.4300001</v>
      </c>
      <c r="H126" s="5"/>
      <c r="I126" s="99"/>
      <c r="J126" s="5"/>
      <c r="K126" s="5">
        <f>K115+K121</f>
        <v>1474470389.4300001</v>
      </c>
      <c r="L126" s="5"/>
      <c r="M126" s="5"/>
      <c r="N126" s="5"/>
      <c r="O126" s="177"/>
      <c r="P126" s="5"/>
      <c r="Q126" s="5"/>
      <c r="R126" s="5"/>
      <c r="S126" s="5"/>
      <c r="T126" s="5"/>
    </row>
    <row r="127" spans="2:20">
      <c r="B127" s="10" t="s">
        <v>120</v>
      </c>
      <c r="C127" s="5">
        <f t="shared" si="12"/>
        <v>168750950.86000001</v>
      </c>
      <c r="D127" s="5"/>
      <c r="E127" s="5">
        <f t="shared" si="12"/>
        <v>0</v>
      </c>
      <c r="F127" s="5"/>
      <c r="G127" s="5">
        <f>C127+E127</f>
        <v>168750950.86000001</v>
      </c>
      <c r="H127" s="5"/>
      <c r="I127" s="99"/>
      <c r="J127" s="5"/>
      <c r="K127" s="5">
        <f>K116+K122</f>
        <v>168750950.86000001</v>
      </c>
      <c r="L127" s="5"/>
      <c r="M127" s="5"/>
      <c r="N127" s="5"/>
      <c r="O127" s="177"/>
      <c r="P127" s="5"/>
      <c r="Q127" s="5"/>
      <c r="R127" s="5"/>
      <c r="S127" s="5"/>
      <c r="T127" s="5"/>
    </row>
    <row r="128" spans="2:20" ht="13.5" thickBot="1">
      <c r="C128" s="96">
        <f>SUM(C125:C127)</f>
        <v>1706315963.29</v>
      </c>
      <c r="D128" s="5"/>
      <c r="E128" s="96">
        <f>SUM(E125:E127)</f>
        <v>-63360.36</v>
      </c>
      <c r="F128" s="5"/>
      <c r="G128" s="96">
        <f>SUM(G125:G127)</f>
        <v>1706252602.9300003</v>
      </c>
      <c r="H128" s="5"/>
      <c r="I128" s="115"/>
      <c r="J128" s="5"/>
      <c r="K128" s="96">
        <f>SUM(K125:K127)</f>
        <v>1706252602.9300003</v>
      </c>
      <c r="L128" s="5"/>
      <c r="M128" s="5"/>
      <c r="N128" s="5"/>
      <c r="O128" s="177"/>
      <c r="P128" s="5"/>
      <c r="Q128" s="5"/>
      <c r="R128" s="5"/>
      <c r="S128" s="5"/>
      <c r="T128" s="5"/>
    </row>
    <row r="129" spans="1:20" ht="13.5" thickTop="1">
      <c r="C129" s="5"/>
      <c r="D129" s="5"/>
      <c r="E129" s="5"/>
      <c r="F129" s="5"/>
      <c r="G129" s="5"/>
      <c r="H129" s="5"/>
      <c r="I129" s="99"/>
      <c r="J129" s="5"/>
      <c r="K129" s="5"/>
      <c r="L129" s="5"/>
      <c r="M129" s="5"/>
      <c r="N129" s="5"/>
      <c r="O129" s="177"/>
      <c r="P129" s="5"/>
      <c r="Q129" s="5"/>
      <c r="R129" s="5"/>
      <c r="S129" s="5"/>
      <c r="T129" s="5"/>
    </row>
    <row r="130" spans="1:20">
      <c r="B130" s="12" t="s">
        <v>658</v>
      </c>
      <c r="C130" s="5"/>
      <c r="D130" s="5"/>
      <c r="E130" s="5"/>
      <c r="F130" s="5"/>
      <c r="G130" s="5"/>
      <c r="H130" s="5"/>
      <c r="I130" s="99"/>
      <c r="J130" s="5"/>
      <c r="K130" s="5"/>
      <c r="L130" s="5"/>
      <c r="M130" s="5"/>
      <c r="N130" s="5"/>
      <c r="O130" s="177"/>
      <c r="P130" s="5"/>
      <c r="Q130" s="5"/>
      <c r="R130" s="5"/>
      <c r="S130" s="5"/>
      <c r="T130" s="5"/>
    </row>
    <row r="131" spans="1:20">
      <c r="A131" s="10"/>
      <c r="B131" s="10" t="s">
        <v>652</v>
      </c>
      <c r="C131" s="5">
        <f>'Summary - Reserve - PG 2 (PA)'!S81</f>
        <v>10475230.08</v>
      </c>
      <c r="D131" s="5"/>
      <c r="E131" s="5"/>
      <c r="F131" s="5"/>
      <c r="G131" s="5">
        <f>C131+E131</f>
        <v>10475230.08</v>
      </c>
      <c r="H131" s="5"/>
      <c r="I131" s="5"/>
      <c r="J131" s="5"/>
      <c r="K131" s="5">
        <f>G131+I131</f>
        <v>10475230.08</v>
      </c>
      <c r="L131" s="5"/>
      <c r="M131" s="5"/>
      <c r="N131" s="5"/>
      <c r="O131" s="177"/>
      <c r="P131" s="5"/>
      <c r="Q131" s="5"/>
      <c r="R131" s="5"/>
      <c r="S131" s="5"/>
      <c r="T131" s="5"/>
    </row>
    <row r="132" spans="1:20">
      <c r="A132" s="10"/>
      <c r="B132" s="10" t="s">
        <v>112</v>
      </c>
      <c r="C132" s="5">
        <f>'Summary - Reserve - PG 2 (PA)'!S82</f>
        <v>0</v>
      </c>
      <c r="D132" s="5"/>
      <c r="E132" s="5"/>
      <c r="F132" s="5"/>
      <c r="G132" s="5">
        <f>C132+E132</f>
        <v>0</v>
      </c>
      <c r="H132" s="5"/>
      <c r="I132" s="5"/>
      <c r="J132" s="5"/>
      <c r="K132" s="5">
        <f>G132+I132</f>
        <v>0</v>
      </c>
      <c r="L132" s="5"/>
      <c r="M132" s="5"/>
      <c r="N132" s="5"/>
      <c r="O132" s="177"/>
      <c r="P132" s="5"/>
      <c r="Q132" s="5"/>
      <c r="R132" s="5"/>
      <c r="S132" s="5"/>
      <c r="T132" s="5"/>
    </row>
    <row r="133" spans="1:20">
      <c r="A133" s="10"/>
      <c r="B133" s="10" t="s">
        <v>120</v>
      </c>
      <c r="C133" s="5">
        <f>'Summary - Reserve - PG 2 (PA)'!S83</f>
        <v>119.15999999999997</v>
      </c>
      <c r="D133" s="5"/>
      <c r="E133" s="5"/>
      <c r="F133" s="5"/>
      <c r="G133" s="5">
        <f>C133+E133</f>
        <v>119.15999999999997</v>
      </c>
      <c r="H133" s="5"/>
      <c r="I133" s="5"/>
      <c r="J133" s="5"/>
      <c r="K133" s="5">
        <f>G133+I133</f>
        <v>119.15999999999997</v>
      </c>
      <c r="L133" s="5"/>
      <c r="M133" s="5"/>
      <c r="N133" s="5"/>
      <c r="O133" s="177"/>
      <c r="P133" s="5"/>
      <c r="Q133" s="5"/>
      <c r="R133" s="5"/>
      <c r="S133" s="5"/>
      <c r="T133" s="5"/>
    </row>
    <row r="134" spans="1:20" ht="13.5" thickBot="1">
      <c r="C134" s="96">
        <f>SUM(C131:C133)</f>
        <v>10475349.24</v>
      </c>
      <c r="D134" s="5"/>
      <c r="E134" s="96">
        <f>SUM(E131:E133)</f>
        <v>0</v>
      </c>
      <c r="F134" s="5"/>
      <c r="G134" s="96">
        <f>SUM(G131:G133)</f>
        <v>10475349.24</v>
      </c>
      <c r="H134" s="5"/>
      <c r="I134" s="5"/>
      <c r="J134" s="5"/>
      <c r="K134" s="96">
        <f>SUM(K131:K133)</f>
        <v>10475349.24</v>
      </c>
      <c r="L134" s="5"/>
      <c r="M134" s="5"/>
      <c r="N134" s="5"/>
      <c r="O134" s="177"/>
      <c r="P134" s="5"/>
      <c r="Q134" s="5"/>
      <c r="R134" s="5"/>
      <c r="S134" s="5"/>
      <c r="T134" s="5"/>
    </row>
    <row r="135" spans="1:20" ht="13.5" thickTop="1">
      <c r="B135" s="95" t="s">
        <v>680</v>
      </c>
      <c r="C135" s="5"/>
      <c r="D135" s="5"/>
      <c r="E135" s="5"/>
      <c r="F135" s="5"/>
      <c r="G135" s="5"/>
      <c r="H135" s="5"/>
      <c r="I135" s="5"/>
      <c r="J135" s="5"/>
      <c r="K135" s="5"/>
      <c r="L135" s="5"/>
      <c r="M135" s="5"/>
      <c r="N135" s="5"/>
      <c r="O135" s="177"/>
      <c r="P135" s="5"/>
      <c r="Q135" s="5"/>
      <c r="R135" s="5"/>
      <c r="S135" s="5"/>
      <c r="T135" s="5"/>
    </row>
    <row r="136" spans="1:20">
      <c r="B136" s="10" t="s">
        <v>652</v>
      </c>
      <c r="C136" s="5">
        <f>C125+C131</f>
        <v>73569853.080000013</v>
      </c>
      <c r="D136" s="5"/>
      <c r="E136" s="5">
        <f>E125+E131</f>
        <v>-63360.36</v>
      </c>
      <c r="F136" s="5"/>
      <c r="G136" s="5">
        <f>C136+E136</f>
        <v>73506492.720000014</v>
      </c>
      <c r="H136" s="5"/>
      <c r="I136" s="5"/>
      <c r="J136" s="5"/>
      <c r="K136" s="5">
        <f>K125+K131</f>
        <v>73506492.720000014</v>
      </c>
      <c r="L136" s="5"/>
      <c r="M136" s="5"/>
      <c r="N136" s="5"/>
      <c r="O136" s="177"/>
      <c r="P136" s="5"/>
      <c r="Q136" s="5"/>
      <c r="R136" s="5"/>
      <c r="S136" s="5"/>
      <c r="T136" s="5"/>
    </row>
    <row r="137" spans="1:20">
      <c r="B137" s="10" t="s">
        <v>112</v>
      </c>
      <c r="C137" s="5">
        <f>C126+C132</f>
        <v>1474470389.4300001</v>
      </c>
      <c r="D137" s="5"/>
      <c r="E137" s="5">
        <f>E126+E132</f>
        <v>0</v>
      </c>
      <c r="F137" s="5"/>
      <c r="G137" s="5">
        <f>C137+E137</f>
        <v>1474470389.4300001</v>
      </c>
      <c r="H137" s="5"/>
      <c r="I137" s="5"/>
      <c r="J137" s="5"/>
      <c r="K137" s="5">
        <f>K126+K132</f>
        <v>1474470389.4300001</v>
      </c>
      <c r="L137" s="5"/>
      <c r="M137" s="5">
        <f>+K137-M139</f>
        <v>1474470389.4300001</v>
      </c>
      <c r="N137" s="5"/>
      <c r="O137" s="177"/>
      <c r="P137" s="5"/>
      <c r="Q137" s="5"/>
      <c r="R137" s="5"/>
      <c r="S137" s="5"/>
      <c r="T137" s="5"/>
    </row>
    <row r="138" spans="1:20">
      <c r="B138" s="10" t="s">
        <v>120</v>
      </c>
      <c r="C138" s="5">
        <f>C127+C133</f>
        <v>168751070.02000001</v>
      </c>
      <c r="D138" s="5"/>
      <c r="E138" s="5">
        <f>E127+E133</f>
        <v>0</v>
      </c>
      <c r="F138" s="5"/>
      <c r="G138" s="5">
        <f>C138+E138</f>
        <v>168751070.02000001</v>
      </c>
      <c r="H138" s="5"/>
      <c r="I138" s="5"/>
      <c r="J138" s="5"/>
      <c r="K138" s="5">
        <f>K127+K133</f>
        <v>168751070.02000001</v>
      </c>
      <c r="L138" s="5"/>
      <c r="M138" s="162"/>
      <c r="N138" s="5"/>
      <c r="O138" s="177"/>
      <c r="P138" s="5"/>
      <c r="Q138" s="5"/>
      <c r="R138" s="5"/>
      <c r="S138" s="5"/>
      <c r="T138" s="5"/>
    </row>
    <row r="139" spans="1:20" ht="13.5" thickBot="1">
      <c r="C139" s="96">
        <f>SUM(C136:C138)</f>
        <v>1716791312.53</v>
      </c>
      <c r="D139" s="5"/>
      <c r="E139" s="96">
        <f>SUM(E136:E138)</f>
        <v>-63360.36</v>
      </c>
      <c r="F139" s="5"/>
      <c r="G139" s="96">
        <f>SUM(G136:G138)</f>
        <v>1716727952.1700001</v>
      </c>
      <c r="H139" s="5"/>
      <c r="I139" s="5"/>
      <c r="J139" s="5"/>
      <c r="K139" s="96">
        <f>SUM(K136:K138)</f>
        <v>1716727952.1700001</v>
      </c>
      <c r="L139" s="5"/>
      <c r="M139" s="5">
        <f>G139-K139</f>
        <v>0</v>
      </c>
      <c r="N139" s="5"/>
      <c r="O139" s="177"/>
      <c r="P139" s="5"/>
      <c r="Q139" s="5"/>
      <c r="R139" s="5"/>
      <c r="S139" s="5"/>
      <c r="T139" s="5"/>
    </row>
    <row r="140" spans="1:20" ht="13.5" thickTop="1">
      <c r="C140" s="5"/>
      <c r="D140" s="5"/>
      <c r="E140" s="5"/>
      <c r="F140" s="5"/>
      <c r="G140" s="5"/>
      <c r="H140" s="5"/>
      <c r="I140" s="5"/>
      <c r="J140" s="5"/>
      <c r="K140" s="5"/>
      <c r="L140" s="5"/>
      <c r="M140" s="5"/>
      <c r="N140" s="5"/>
      <c r="O140" s="177"/>
      <c r="P140" s="5"/>
      <c r="Q140" s="5"/>
      <c r="R140" s="5"/>
      <c r="S140" s="5"/>
      <c r="T140" s="5"/>
    </row>
    <row r="141" spans="1:20">
      <c r="C141" s="5"/>
      <c r="D141" s="5"/>
      <c r="E141" s="5"/>
      <c r="F141" s="5"/>
      <c r="G141" s="5"/>
      <c r="H141" s="5"/>
      <c r="I141" s="5"/>
      <c r="J141" s="5"/>
      <c r="K141" s="5"/>
      <c r="L141" s="5"/>
      <c r="M141" s="5"/>
      <c r="N141" s="5"/>
      <c r="O141" s="5"/>
      <c r="P141" s="5"/>
      <c r="Q141" s="5"/>
      <c r="R141" s="5"/>
      <c r="S141" s="5"/>
      <c r="T141" s="5"/>
    </row>
    <row r="142" spans="1:20">
      <c r="B142" s="102" t="s">
        <v>1032</v>
      </c>
      <c r="C142" s="103"/>
      <c r="D142" s="103"/>
      <c r="E142" s="104" t="e">
        <f>+#REF!</f>
        <v>#REF!</v>
      </c>
      <c r="F142" s="104"/>
      <c r="G142" s="104" t="e">
        <f>+#REF!</f>
        <v>#REF!</v>
      </c>
      <c r="H142" s="5"/>
      <c r="I142" s="5" t="s">
        <v>1083</v>
      </c>
      <c r="J142" s="5"/>
      <c r="K142" s="5"/>
      <c r="L142" s="5"/>
      <c r="M142" s="5"/>
      <c r="N142" s="5"/>
      <c r="O142" s="5"/>
      <c r="P142" s="5"/>
      <c r="Q142" s="5"/>
      <c r="R142" s="5"/>
      <c r="S142" s="5"/>
      <c r="T142" s="5"/>
    </row>
    <row r="143" spans="1:20">
      <c r="C143" s="5"/>
      <c r="D143" s="5"/>
      <c r="E143" s="100" t="s">
        <v>2</v>
      </c>
      <c r="F143" s="5"/>
      <c r="G143" s="100" t="s">
        <v>3</v>
      </c>
      <c r="H143" s="5"/>
      <c r="I143" s="5"/>
      <c r="J143" s="5"/>
      <c r="K143" s="5"/>
      <c r="L143" s="5"/>
      <c r="M143" s="5"/>
      <c r="N143" s="5"/>
      <c r="O143" s="157" t="s">
        <v>1081</v>
      </c>
      <c r="P143" s="5"/>
      <c r="Q143" s="5"/>
      <c r="R143" s="5"/>
      <c r="S143" s="5"/>
      <c r="T143" s="5"/>
    </row>
    <row r="144" spans="1:20">
      <c r="C144" s="5"/>
      <c r="D144" s="5"/>
      <c r="E144" s="98" t="s">
        <v>1</v>
      </c>
      <c r="F144" s="5"/>
      <c r="G144" s="98" t="s">
        <v>1</v>
      </c>
      <c r="H144" s="5"/>
      <c r="I144" s="5"/>
      <c r="J144" s="5"/>
      <c r="K144" s="5"/>
      <c r="L144" s="5"/>
      <c r="M144" s="5"/>
      <c r="N144" s="5"/>
      <c r="O144" s="157" t="s">
        <v>1067</v>
      </c>
      <c r="P144" s="5"/>
      <c r="Q144" s="5"/>
      <c r="R144" s="5"/>
      <c r="S144" s="5"/>
      <c r="T144" s="5"/>
    </row>
    <row r="145" spans="1:20">
      <c r="A145" s="95" t="s">
        <v>0</v>
      </c>
      <c r="C145" s="5"/>
      <c r="D145" s="5"/>
      <c r="E145" s="5"/>
      <c r="F145" s="5"/>
      <c r="G145" s="5"/>
      <c r="H145" s="5"/>
      <c r="I145" s="5"/>
      <c r="J145" s="5"/>
      <c r="K145" s="5"/>
      <c r="L145" s="5"/>
      <c r="M145" s="5"/>
      <c r="N145" s="5"/>
      <c r="O145" s="5"/>
      <c r="P145" s="5"/>
      <c r="Q145" s="5"/>
      <c r="R145" s="5"/>
      <c r="S145" s="5"/>
      <c r="T145" s="5"/>
    </row>
    <row r="146" spans="1:20">
      <c r="B146" t="s">
        <v>455</v>
      </c>
      <c r="C146" s="5">
        <f>'Recon Depr Exp to IS P4 (PA)'!S11</f>
        <v>0</v>
      </c>
      <c r="D146" s="5"/>
      <c r="E146" s="99" t="e">
        <f>E142*-C146</f>
        <v>#REF!</v>
      </c>
      <c r="F146" s="5"/>
      <c r="G146" s="99" t="e">
        <f>G142*-C146</f>
        <v>#REF!</v>
      </c>
      <c r="H146" s="5"/>
      <c r="I146" s="105" t="e">
        <f t="shared" ref="I146:I151" si="13">SUM(C146:H146)</f>
        <v>#REF!</v>
      </c>
      <c r="J146" s="5"/>
      <c r="K146" s="5"/>
      <c r="L146" s="5"/>
      <c r="M146" s="5"/>
      <c r="N146" s="5"/>
      <c r="O146" s="5"/>
      <c r="P146" s="5"/>
      <c r="Q146" s="5"/>
      <c r="R146" s="5"/>
      <c r="S146" s="5"/>
      <c r="T146" s="5"/>
    </row>
    <row r="147" spans="1:20">
      <c r="B147" s="101" t="s">
        <v>1033</v>
      </c>
      <c r="C147" s="5"/>
      <c r="D147" s="5"/>
      <c r="E147" s="99" t="e">
        <f>E142*C146</f>
        <v>#REF!</v>
      </c>
      <c r="F147" s="5"/>
      <c r="G147" s="99"/>
      <c r="H147" s="5"/>
      <c r="I147" s="156" t="e">
        <f t="shared" si="13"/>
        <v>#REF!</v>
      </c>
      <c r="J147" s="5"/>
      <c r="K147" s="5"/>
      <c r="L147" s="5"/>
      <c r="M147" s="5"/>
      <c r="N147" s="5"/>
      <c r="O147" s="157" t="s">
        <v>1079</v>
      </c>
      <c r="P147" s="5"/>
      <c r="Q147" s="5"/>
      <c r="R147" s="5"/>
      <c r="S147" s="5"/>
      <c r="T147" s="5"/>
    </row>
    <row r="148" spans="1:20">
      <c r="B148" s="101" t="s">
        <v>1034</v>
      </c>
      <c r="C148" s="5"/>
      <c r="D148" s="5"/>
      <c r="E148" s="99"/>
      <c r="F148" s="5"/>
      <c r="G148" s="99" t="e">
        <f>G142*C146</f>
        <v>#REF!</v>
      </c>
      <c r="H148" s="5"/>
      <c r="I148" s="156" t="e">
        <f t="shared" si="13"/>
        <v>#REF!</v>
      </c>
      <c r="J148" s="5"/>
      <c r="K148" s="5"/>
      <c r="L148" s="5"/>
      <c r="M148" s="5"/>
      <c r="N148" s="5"/>
      <c r="O148" s="158"/>
      <c r="P148" s="5"/>
      <c r="Q148" s="5"/>
      <c r="R148" s="5"/>
      <c r="S148" s="5"/>
      <c r="T148" s="5"/>
    </row>
    <row r="149" spans="1:20">
      <c r="B149" t="s">
        <v>851</v>
      </c>
      <c r="C149" s="5">
        <f>'Recon Depr Exp to IS P4 (PA)'!S12</f>
        <v>0</v>
      </c>
      <c r="D149" s="5"/>
      <c r="E149" s="99" t="e">
        <f>E142*-C149</f>
        <v>#REF!</v>
      </c>
      <c r="F149" s="5"/>
      <c r="G149" s="99" t="e">
        <f>G142*-C149</f>
        <v>#REF!</v>
      </c>
      <c r="H149" s="5"/>
      <c r="I149" s="156" t="e">
        <f t="shared" si="13"/>
        <v>#REF!</v>
      </c>
      <c r="J149" s="5"/>
      <c r="K149" s="5" t="e">
        <f>+I149+I146</f>
        <v>#REF!</v>
      </c>
      <c r="L149" s="5"/>
      <c r="M149" s="5"/>
      <c r="N149" s="5"/>
      <c r="O149" s="158"/>
      <c r="P149" s="5"/>
      <c r="Q149" s="5"/>
      <c r="R149" s="5"/>
      <c r="S149" s="5"/>
      <c r="T149" s="5"/>
    </row>
    <row r="150" spans="1:20">
      <c r="B150" s="101" t="s">
        <v>1035</v>
      </c>
      <c r="C150" s="5"/>
      <c r="D150" s="5"/>
      <c r="E150" s="99" t="e">
        <f>E142*C149</f>
        <v>#REF!</v>
      </c>
      <c r="F150" s="5"/>
      <c r="G150" s="99"/>
      <c r="H150" s="5"/>
      <c r="I150" s="156" t="e">
        <f t="shared" si="13"/>
        <v>#REF!</v>
      </c>
      <c r="J150" s="5"/>
      <c r="K150" s="33" t="e">
        <f>+I150+I147</f>
        <v>#REF!</v>
      </c>
      <c r="L150" s="5"/>
      <c r="M150" s="5"/>
      <c r="N150" s="5"/>
      <c r="O150" s="158" t="s">
        <v>1080</v>
      </c>
      <c r="P150" s="5"/>
      <c r="Q150" s="5"/>
      <c r="R150" s="5"/>
      <c r="S150" s="5"/>
      <c r="T150" s="5"/>
    </row>
    <row r="151" spans="1:20">
      <c r="B151" s="101" t="s">
        <v>1036</v>
      </c>
      <c r="C151" s="5"/>
      <c r="D151" s="5"/>
      <c r="E151" s="99"/>
      <c r="F151" s="5"/>
      <c r="G151" s="99" t="e">
        <f>G142*C149</f>
        <v>#REF!</v>
      </c>
      <c r="H151" s="5"/>
      <c r="I151" s="105" t="e">
        <f t="shared" si="13"/>
        <v>#REF!</v>
      </c>
      <c r="J151" s="5"/>
      <c r="K151" s="33" t="e">
        <f>+I151+I148</f>
        <v>#REF!</v>
      </c>
      <c r="L151" s="5"/>
      <c r="M151" s="5"/>
      <c r="N151" s="5"/>
      <c r="O151" s="158"/>
      <c r="P151" s="5"/>
      <c r="Q151" s="5"/>
      <c r="R151" s="5"/>
      <c r="S151" s="5"/>
      <c r="T151" s="5"/>
    </row>
    <row r="152" spans="1:20" ht="13.5" thickBot="1">
      <c r="B152" t="s">
        <v>48</v>
      </c>
      <c r="C152" s="75">
        <f>SUM(C146:C149)</f>
        <v>0</v>
      </c>
      <c r="D152" s="5"/>
      <c r="E152" s="99"/>
      <c r="F152" s="5"/>
      <c r="G152" s="5"/>
      <c r="H152" s="5"/>
      <c r="I152" s="106" t="e">
        <f>SUM(I146:I151)</f>
        <v>#REF!</v>
      </c>
      <c r="J152" s="5"/>
      <c r="K152" s="106" t="e">
        <f>SUM(K146:K151)</f>
        <v>#REF!</v>
      </c>
      <c r="L152" s="5"/>
      <c r="M152" s="5"/>
      <c r="N152" s="5"/>
      <c r="O152" s="158"/>
      <c r="P152" s="5"/>
      <c r="Q152" s="5"/>
      <c r="R152" s="5"/>
      <c r="S152" s="5"/>
      <c r="T152" s="5"/>
    </row>
    <row r="153" spans="1:20" ht="13.5" thickTop="1">
      <c r="C153" s="5"/>
      <c r="D153" s="5"/>
      <c r="E153" s="99"/>
      <c r="F153" s="5"/>
      <c r="G153" s="5"/>
      <c r="H153" s="5"/>
      <c r="I153" s="105"/>
      <c r="J153" s="5"/>
      <c r="K153" s="5"/>
      <c r="L153" s="5"/>
      <c r="M153" s="5"/>
      <c r="N153" s="5"/>
      <c r="O153" s="158"/>
      <c r="P153" s="5"/>
      <c r="Q153" s="5"/>
      <c r="R153" s="5"/>
      <c r="S153" s="5"/>
      <c r="T153" s="5"/>
    </row>
    <row r="154" spans="1:20">
      <c r="B154" t="s">
        <v>113</v>
      </c>
      <c r="C154" s="5">
        <f>'Recon Depr Exp to IS P4 (PA)'!S15</f>
        <v>0</v>
      </c>
      <c r="D154" s="5"/>
      <c r="E154" s="99"/>
      <c r="F154" s="5"/>
      <c r="G154" s="5"/>
      <c r="H154" s="5"/>
      <c r="I154" s="105">
        <f t="shared" ref="I154:I164" si="14">SUM(C154:H154)</f>
        <v>0</v>
      </c>
      <c r="J154" s="5"/>
      <c r="K154" s="5"/>
      <c r="L154" s="5"/>
      <c r="M154" s="5"/>
      <c r="N154" s="5"/>
      <c r="O154" s="158" t="s">
        <v>1068</v>
      </c>
      <c r="P154" s="5"/>
      <c r="Q154" s="5"/>
      <c r="R154" s="5"/>
      <c r="S154" s="5"/>
      <c r="T154" s="5"/>
    </row>
    <row r="155" spans="1:20">
      <c r="B155" t="s">
        <v>852</v>
      </c>
      <c r="C155" s="33">
        <f>'Recon Depr Exp to IS P4 (PA)'!S16</f>
        <v>0</v>
      </c>
      <c r="D155" s="33"/>
      <c r="E155" s="37"/>
      <c r="F155" s="33"/>
      <c r="G155" s="33"/>
      <c r="H155" s="33"/>
      <c r="I155" s="156">
        <f t="shared" si="14"/>
        <v>0</v>
      </c>
      <c r="J155" s="5"/>
      <c r="K155" s="6">
        <f>SUM(I154:I155)</f>
        <v>0</v>
      </c>
      <c r="L155" s="5"/>
      <c r="M155" s="5" t="s">
        <v>1063</v>
      </c>
      <c r="N155" s="5"/>
      <c r="O155" s="158" t="s">
        <v>1069</v>
      </c>
      <c r="P155" s="5"/>
      <c r="Q155" s="5"/>
      <c r="R155" s="5"/>
      <c r="S155" s="5"/>
      <c r="T155" s="5"/>
    </row>
    <row r="156" spans="1:20">
      <c r="B156" t="s">
        <v>114</v>
      </c>
      <c r="C156" s="33">
        <f>'Recon Depr Exp to IS P4 (PA)'!S17</f>
        <v>0</v>
      </c>
      <c r="D156" s="33"/>
      <c r="E156" s="37"/>
      <c r="F156" s="33"/>
      <c r="G156" s="33"/>
      <c r="H156" s="33"/>
      <c r="I156" s="156">
        <f t="shared" si="14"/>
        <v>0</v>
      </c>
      <c r="J156" s="5"/>
      <c r="K156" s="37">
        <f>SUM(I156:I156)</f>
        <v>0</v>
      </c>
      <c r="L156" s="5"/>
      <c r="M156" s="5" t="s">
        <v>1059</v>
      </c>
      <c r="N156" s="5"/>
      <c r="O156" s="158" t="s">
        <v>1070</v>
      </c>
      <c r="P156" s="5"/>
      <c r="Q156" s="5"/>
      <c r="R156" s="5"/>
      <c r="S156" s="5"/>
      <c r="T156" s="5"/>
    </row>
    <row r="157" spans="1:20">
      <c r="B157" t="s">
        <v>115</v>
      </c>
      <c r="C157" s="33">
        <f>'Recon Depr Exp to IS P4 (PA)'!S18</f>
        <v>0</v>
      </c>
      <c r="D157" s="33"/>
      <c r="E157" s="37"/>
      <c r="F157" s="33"/>
      <c r="G157" s="33"/>
      <c r="H157" s="33"/>
      <c r="I157" s="156">
        <f t="shared" si="14"/>
        <v>0</v>
      </c>
      <c r="J157" s="5"/>
      <c r="K157" s="37"/>
      <c r="L157" s="5"/>
      <c r="M157" s="5"/>
      <c r="N157" s="5"/>
      <c r="O157" s="158" t="s">
        <v>1071</v>
      </c>
      <c r="P157" s="5"/>
      <c r="Q157" s="5"/>
      <c r="R157" s="5"/>
      <c r="S157" s="5"/>
      <c r="T157" s="5"/>
    </row>
    <row r="158" spans="1:20">
      <c r="B158" t="s">
        <v>853</v>
      </c>
      <c r="C158" s="33">
        <f>'Recon Depr Exp to IS P4 (PA)'!S19</f>
        <v>0</v>
      </c>
      <c r="D158" s="33"/>
      <c r="E158" s="37"/>
      <c r="F158" s="33"/>
      <c r="G158" s="33"/>
      <c r="H158" s="33"/>
      <c r="I158" s="156">
        <f t="shared" si="14"/>
        <v>0</v>
      </c>
      <c r="J158" s="5"/>
      <c r="K158" s="37">
        <f>SUM(I157:I158)</f>
        <v>0</v>
      </c>
      <c r="L158" s="5"/>
      <c r="M158" s="5" t="s">
        <v>809</v>
      </c>
      <c r="N158" s="5"/>
      <c r="O158" s="158" t="s">
        <v>1072</v>
      </c>
      <c r="P158" s="5"/>
      <c r="Q158" s="5"/>
      <c r="R158" s="5"/>
      <c r="S158" s="5"/>
      <c r="T158" s="5"/>
    </row>
    <row r="159" spans="1:20">
      <c r="B159" t="s">
        <v>117</v>
      </c>
      <c r="C159" s="33">
        <f>'Recon Depr Exp to IS P4 (PA)'!S20</f>
        <v>0</v>
      </c>
      <c r="D159" s="33"/>
      <c r="E159" s="37"/>
      <c r="F159" s="33"/>
      <c r="G159" s="33"/>
      <c r="H159" s="33"/>
      <c r="I159" s="156">
        <f t="shared" si="14"/>
        <v>0</v>
      </c>
      <c r="J159" s="5"/>
      <c r="K159" s="37"/>
      <c r="L159" s="5"/>
      <c r="M159" s="5"/>
      <c r="N159" s="5"/>
      <c r="O159" s="158" t="s">
        <v>1073</v>
      </c>
      <c r="P159" s="5"/>
      <c r="Q159" s="5"/>
      <c r="R159" s="5"/>
      <c r="S159" s="5"/>
      <c r="T159" s="5"/>
    </row>
    <row r="160" spans="1:20">
      <c r="B160" t="s">
        <v>953</v>
      </c>
      <c r="C160" s="33">
        <f>'Recon Depr Exp to IS P4 (PA)'!S21</f>
        <v>0</v>
      </c>
      <c r="D160" s="33"/>
      <c r="E160" s="37"/>
      <c r="F160" s="33"/>
      <c r="G160" s="33"/>
      <c r="H160" s="33"/>
      <c r="I160" s="156">
        <f t="shared" si="14"/>
        <v>0</v>
      </c>
      <c r="J160" s="5"/>
      <c r="K160" s="37">
        <f>SUM(I159:I160)</f>
        <v>0</v>
      </c>
      <c r="L160" s="5"/>
      <c r="M160" s="5" t="s">
        <v>1060</v>
      </c>
      <c r="N160" s="5"/>
      <c r="O160" s="158" t="s">
        <v>1074</v>
      </c>
      <c r="P160" s="5"/>
      <c r="Q160" s="5"/>
      <c r="R160" s="5"/>
      <c r="S160" s="5"/>
      <c r="T160" s="5"/>
    </row>
    <row r="161" spans="1:20">
      <c r="B161" t="s">
        <v>118</v>
      </c>
      <c r="C161" s="33">
        <f>'Recon Depr Exp to IS P4 (PA)'!S22</f>
        <v>0</v>
      </c>
      <c r="D161" s="33"/>
      <c r="E161" s="37"/>
      <c r="F161" s="33"/>
      <c r="G161" s="33"/>
      <c r="H161" s="33"/>
      <c r="I161" s="156">
        <f t="shared" si="14"/>
        <v>0</v>
      </c>
      <c r="J161" s="5"/>
      <c r="K161" s="37"/>
      <c r="L161" s="5"/>
      <c r="M161" s="5"/>
      <c r="N161" s="5"/>
      <c r="O161" s="158" t="s">
        <v>1075</v>
      </c>
      <c r="P161" s="5"/>
      <c r="Q161" s="5"/>
      <c r="R161" s="5"/>
      <c r="S161" s="5"/>
      <c r="T161" s="5"/>
    </row>
    <row r="162" spans="1:20">
      <c r="B162" t="s">
        <v>949</v>
      </c>
      <c r="C162" s="33">
        <f>'Recon Depr Exp to IS P4 (PA)'!S23</f>
        <v>0</v>
      </c>
      <c r="D162" s="33"/>
      <c r="E162" s="37"/>
      <c r="F162" s="33"/>
      <c r="G162" s="33"/>
      <c r="H162" s="33"/>
      <c r="I162" s="156">
        <f t="shared" si="14"/>
        <v>0</v>
      </c>
      <c r="J162" s="5"/>
      <c r="K162" s="37">
        <f>SUM(I161:I162)</f>
        <v>0</v>
      </c>
      <c r="L162" s="5"/>
      <c r="M162" s="5" t="s">
        <v>1061</v>
      </c>
      <c r="N162" s="5"/>
      <c r="O162" s="158" t="s">
        <v>1076</v>
      </c>
      <c r="P162" s="5"/>
      <c r="Q162" s="5"/>
      <c r="R162" s="5"/>
      <c r="S162" s="5"/>
      <c r="T162" s="5"/>
    </row>
    <row r="163" spans="1:20">
      <c r="B163" t="s">
        <v>119</v>
      </c>
      <c r="C163" s="33">
        <f>'Recon Depr Exp to IS P4 (PA)'!S24</f>
        <v>0</v>
      </c>
      <c r="D163" s="33"/>
      <c r="E163" s="37"/>
      <c r="F163" s="33"/>
      <c r="G163" s="33"/>
      <c r="H163" s="33"/>
      <c r="I163" s="156">
        <f t="shared" si="14"/>
        <v>0</v>
      </c>
      <c r="J163" s="5"/>
      <c r="K163" s="37"/>
      <c r="L163" s="5"/>
      <c r="M163" s="5"/>
      <c r="N163" s="5"/>
      <c r="O163" s="158" t="s">
        <v>1077</v>
      </c>
      <c r="P163" s="5"/>
      <c r="Q163" s="5"/>
      <c r="R163" s="5"/>
      <c r="S163" s="5"/>
      <c r="T163" s="5"/>
    </row>
    <row r="164" spans="1:20">
      <c r="B164" t="s">
        <v>950</v>
      </c>
      <c r="C164" s="33">
        <f>'Recon Depr Exp to IS P4 (PA)'!S25</f>
        <v>0</v>
      </c>
      <c r="D164" s="33"/>
      <c r="E164" s="37"/>
      <c r="F164" s="33"/>
      <c r="G164" s="33"/>
      <c r="H164" s="33"/>
      <c r="I164" s="156">
        <f t="shared" si="14"/>
        <v>0</v>
      </c>
      <c r="J164" s="5"/>
      <c r="K164" s="37">
        <f>SUM(I163:I164)</f>
        <v>0</v>
      </c>
      <c r="L164" s="5"/>
      <c r="M164" s="5" t="s">
        <v>1064</v>
      </c>
      <c r="N164" s="5"/>
      <c r="O164" s="158" t="s">
        <v>1078</v>
      </c>
      <c r="P164" s="5"/>
      <c r="Q164" s="5"/>
      <c r="R164" s="5"/>
      <c r="S164" s="5"/>
      <c r="T164" s="5"/>
    </row>
    <row r="165" spans="1:20" ht="13.5" thickBot="1">
      <c r="B165" t="s">
        <v>49</v>
      </c>
      <c r="C165" s="75">
        <f>SUM(C154:C164)</f>
        <v>0</v>
      </c>
      <c r="D165" s="5"/>
      <c r="E165" s="99"/>
      <c r="F165" s="5"/>
      <c r="G165" s="5"/>
      <c r="H165" s="5"/>
      <c r="I165" s="106">
        <f>SUM(I154:I164)</f>
        <v>0</v>
      </c>
      <c r="J165" s="5"/>
      <c r="K165" s="106">
        <f>SUM(K154:K164)</f>
        <v>0</v>
      </c>
      <c r="L165" s="5"/>
      <c r="M165" s="5"/>
      <c r="N165" s="5"/>
      <c r="O165" s="158"/>
      <c r="P165" s="5"/>
      <c r="Q165" s="5"/>
      <c r="R165" s="5"/>
      <c r="S165" s="5"/>
      <c r="T165" s="5"/>
    </row>
    <row r="166" spans="1:20" ht="13.5" thickTop="1">
      <c r="C166" s="5"/>
      <c r="D166" s="5"/>
      <c r="E166" s="99"/>
      <c r="F166" s="5"/>
      <c r="G166" s="5"/>
      <c r="H166" s="5"/>
      <c r="I166" s="105"/>
      <c r="J166" s="5"/>
      <c r="K166" s="5"/>
      <c r="L166" s="5"/>
      <c r="M166" s="5"/>
      <c r="N166" s="5"/>
      <c r="O166" s="158"/>
      <c r="P166" s="5"/>
      <c r="Q166" s="5"/>
      <c r="R166" s="5"/>
      <c r="S166" s="5"/>
      <c r="T166" s="5"/>
    </row>
    <row r="167" spans="1:20">
      <c r="B167" t="s">
        <v>121</v>
      </c>
      <c r="C167" s="5">
        <f>'Recon Depr Exp to IS P4 (PA)'!S28</f>
        <v>0</v>
      </c>
      <c r="D167" s="5"/>
      <c r="E167" s="99"/>
      <c r="F167" s="5"/>
      <c r="G167" s="5"/>
      <c r="H167" s="5"/>
      <c r="I167" s="105">
        <f t="shared" ref="I167:I173" si="15">SUM(C167:H167)</f>
        <v>0</v>
      </c>
      <c r="J167" s="5"/>
      <c r="K167" s="5"/>
      <c r="L167" s="5"/>
      <c r="M167" s="5"/>
      <c r="N167" s="5"/>
      <c r="O167" s="158"/>
      <c r="P167" s="5"/>
      <c r="Q167" s="5"/>
      <c r="R167" s="5"/>
      <c r="S167" s="5"/>
      <c r="T167" s="5"/>
    </row>
    <row r="168" spans="1:20">
      <c r="B168" t="s">
        <v>951</v>
      </c>
      <c r="C168" s="33">
        <f>'Recon Depr Exp to IS P4 (PA)'!S29</f>
        <v>0</v>
      </c>
      <c r="D168" s="33"/>
      <c r="E168" s="37"/>
      <c r="F168" s="33"/>
      <c r="G168" s="33"/>
      <c r="H168" s="33"/>
      <c r="I168" s="156">
        <f t="shared" si="15"/>
        <v>0</v>
      </c>
      <c r="J168" s="5"/>
      <c r="K168" s="6">
        <f>SUM(I167:I168)</f>
        <v>0</v>
      </c>
      <c r="L168" s="5"/>
      <c r="M168" s="5" t="s">
        <v>1062</v>
      </c>
      <c r="N168" s="5"/>
      <c r="O168" s="158"/>
      <c r="P168" s="5"/>
      <c r="Q168" s="5"/>
      <c r="R168" s="5"/>
      <c r="S168" s="5"/>
      <c r="T168" s="5"/>
    </row>
    <row r="169" spans="1:20">
      <c r="B169" t="s">
        <v>122</v>
      </c>
      <c r="C169" s="33">
        <f>'Recon Depr Exp to IS P4 (PA)'!S30</f>
        <v>0</v>
      </c>
      <c r="D169" s="33"/>
      <c r="E169" s="37"/>
      <c r="F169" s="33"/>
      <c r="G169" s="33"/>
      <c r="H169" s="33"/>
      <c r="I169" s="156">
        <f t="shared" si="15"/>
        <v>0</v>
      </c>
      <c r="J169" s="5"/>
      <c r="K169" s="37">
        <f>SUM(I169:I169)</f>
        <v>0</v>
      </c>
      <c r="L169" s="5"/>
      <c r="M169" s="5" t="s">
        <v>1059</v>
      </c>
      <c r="N169" s="5"/>
      <c r="O169" s="158"/>
      <c r="P169" s="5"/>
      <c r="Q169" s="5"/>
      <c r="R169" s="5"/>
      <c r="S169" s="5"/>
      <c r="T169" s="5"/>
    </row>
    <row r="170" spans="1:20">
      <c r="B170" t="s">
        <v>124</v>
      </c>
      <c r="C170" s="33">
        <f>'Recon Depr Exp to IS P4 (PA)'!S31</f>
        <v>0</v>
      </c>
      <c r="D170" s="33"/>
      <c r="E170" s="37"/>
      <c r="F170" s="33"/>
      <c r="G170" s="33"/>
      <c r="H170" s="33"/>
      <c r="I170" s="156">
        <f t="shared" si="15"/>
        <v>0</v>
      </c>
      <c r="J170" s="5"/>
      <c r="K170" s="5"/>
      <c r="L170" s="5"/>
      <c r="M170" s="5"/>
      <c r="N170" s="5"/>
      <c r="O170" s="158"/>
      <c r="P170" s="5"/>
      <c r="Q170" s="5"/>
      <c r="R170" s="5"/>
      <c r="S170" s="5"/>
      <c r="T170" s="5"/>
    </row>
    <row r="171" spans="1:20">
      <c r="B171" t="s">
        <v>952</v>
      </c>
      <c r="C171" s="33">
        <f>'Recon Depr Exp to IS P4 (PA)'!S32</f>
        <v>0</v>
      </c>
      <c r="D171" s="33"/>
      <c r="E171" s="37"/>
      <c r="F171" s="33"/>
      <c r="G171" s="33"/>
      <c r="H171" s="33"/>
      <c r="I171" s="156">
        <f t="shared" si="15"/>
        <v>0</v>
      </c>
      <c r="J171" s="5"/>
      <c r="K171" s="37">
        <f>SUM(I170:I171)</f>
        <v>0</v>
      </c>
      <c r="L171" s="5"/>
      <c r="M171" s="5" t="s">
        <v>124</v>
      </c>
      <c r="N171" s="5"/>
      <c r="O171" s="158"/>
      <c r="P171" s="5"/>
      <c r="Q171" s="5"/>
      <c r="R171" s="5"/>
      <c r="S171" s="5"/>
      <c r="T171" s="5"/>
    </row>
    <row r="172" spans="1:20">
      <c r="B172" t="s">
        <v>129</v>
      </c>
      <c r="C172" s="33">
        <f>'Recon Depr Exp to IS P4 (PA)'!S33</f>
        <v>0</v>
      </c>
      <c r="D172" s="33"/>
      <c r="E172" s="37"/>
      <c r="F172" s="33"/>
      <c r="G172" s="33"/>
      <c r="H172" s="33"/>
      <c r="I172" s="156">
        <f t="shared" si="15"/>
        <v>0</v>
      </c>
      <c r="J172" s="5"/>
      <c r="K172" s="37">
        <f>SUM(I172:I172)</f>
        <v>0</v>
      </c>
      <c r="L172" s="5"/>
      <c r="M172" s="5" t="s">
        <v>1066</v>
      </c>
      <c r="N172" s="5"/>
      <c r="O172" s="158"/>
      <c r="P172" s="5"/>
      <c r="Q172" s="5"/>
      <c r="R172" s="5"/>
      <c r="S172" s="5"/>
      <c r="T172" s="5"/>
    </row>
    <row r="173" spans="1:20">
      <c r="B173" t="s">
        <v>125</v>
      </c>
      <c r="C173" s="33">
        <f>'Recon Depr Exp to IS P4 (PA)'!S34</f>
        <v>0</v>
      </c>
      <c r="D173" s="33"/>
      <c r="E173" s="37"/>
      <c r="F173" s="33"/>
      <c r="G173" s="33"/>
      <c r="H173" s="33"/>
      <c r="I173" s="156">
        <f t="shared" si="15"/>
        <v>0</v>
      </c>
      <c r="J173" s="5"/>
      <c r="K173" s="37">
        <f>SUM(I173:I173)</f>
        <v>0</v>
      </c>
      <c r="L173" s="5"/>
      <c r="M173" s="5" t="s">
        <v>1065</v>
      </c>
      <c r="N173" s="5"/>
      <c r="O173" s="158"/>
      <c r="P173" s="5"/>
      <c r="Q173" s="5"/>
      <c r="R173" s="5"/>
      <c r="S173" s="5"/>
      <c r="T173" s="5"/>
    </row>
    <row r="174" spans="1:20" ht="13.5" thickBot="1">
      <c r="B174" t="s">
        <v>50</v>
      </c>
      <c r="C174" s="75">
        <f>SUM(C167:D173)</f>
        <v>0</v>
      </c>
      <c r="D174" s="5"/>
      <c r="E174" s="99"/>
      <c r="F174" s="5"/>
      <c r="G174" s="5"/>
      <c r="H174" s="5"/>
      <c r="I174" s="106">
        <f>SUM(I167:J173)</f>
        <v>0</v>
      </c>
      <c r="J174" s="5"/>
      <c r="K174" s="106">
        <f>SUM(K167:L173)</f>
        <v>0</v>
      </c>
      <c r="L174" s="5"/>
      <c r="M174" s="5"/>
      <c r="N174" s="5"/>
      <c r="O174" s="158"/>
      <c r="P174" s="5"/>
      <c r="Q174" s="5"/>
      <c r="R174" s="5"/>
      <c r="S174" s="5"/>
      <c r="T174" s="5"/>
    </row>
    <row r="175" spans="1:20" ht="13.5" thickTop="1">
      <c r="C175" s="5"/>
      <c r="D175" s="5"/>
      <c r="E175" s="99"/>
      <c r="F175" s="5"/>
      <c r="G175" s="5"/>
      <c r="H175" s="5"/>
      <c r="I175" s="105"/>
      <c r="J175" s="5"/>
      <c r="K175" s="5"/>
      <c r="L175" s="5"/>
      <c r="M175" s="5"/>
      <c r="N175" s="5"/>
      <c r="O175" s="158"/>
      <c r="P175" s="5"/>
      <c r="Q175" s="5"/>
      <c r="R175" s="5"/>
      <c r="S175" s="5"/>
      <c r="T175" s="5"/>
    </row>
    <row r="176" spans="1:20">
      <c r="A176" s="3" t="s">
        <v>658</v>
      </c>
      <c r="C176" s="5"/>
      <c r="D176" s="5"/>
      <c r="E176" s="99"/>
      <c r="F176" s="5"/>
      <c r="G176" s="5"/>
      <c r="H176" s="5"/>
      <c r="I176" s="105"/>
      <c r="J176" s="5"/>
      <c r="K176" s="5"/>
      <c r="L176" s="5"/>
      <c r="M176" s="5"/>
      <c r="N176" s="5"/>
      <c r="O176" s="158"/>
      <c r="P176" s="5"/>
      <c r="Q176" s="5"/>
      <c r="R176" s="5"/>
      <c r="S176" s="5"/>
      <c r="T176" s="5"/>
    </row>
    <row r="177" spans="2:20">
      <c r="B177" t="s">
        <v>652</v>
      </c>
      <c r="C177" s="5">
        <f>'Recon Depr Exp to IS P4 (PA)'!S42</f>
        <v>0</v>
      </c>
      <c r="D177" s="5"/>
      <c r="E177" s="99" t="e">
        <f>E142*-C177</f>
        <v>#REF!</v>
      </c>
      <c r="F177" s="5"/>
      <c r="G177" s="99" t="e">
        <f>G142*-C177</f>
        <v>#REF!</v>
      </c>
      <c r="H177" s="5"/>
      <c r="I177" s="105" t="e">
        <f>SUM(C177:H177)</f>
        <v>#REF!</v>
      </c>
      <c r="J177" s="5"/>
      <c r="K177" s="5"/>
      <c r="L177" s="5"/>
      <c r="M177" s="5"/>
      <c r="N177" s="5"/>
      <c r="O177" s="158"/>
      <c r="P177" s="5"/>
      <c r="Q177" s="5"/>
      <c r="R177" s="5"/>
      <c r="S177" s="5"/>
      <c r="T177" s="5"/>
    </row>
    <row r="178" spans="2:20">
      <c r="B178" t="s">
        <v>112</v>
      </c>
      <c r="C178" s="33">
        <f>'Recon Depr Exp to IS P4 (PA)'!S43</f>
        <v>0</v>
      </c>
      <c r="D178" s="33"/>
      <c r="E178" s="33" t="e">
        <f>E142*C177</f>
        <v>#REF!</v>
      </c>
      <c r="F178" s="33"/>
      <c r="G178" s="33"/>
      <c r="H178" s="33"/>
      <c r="I178" s="156" t="e">
        <f>SUM(C178:H178)</f>
        <v>#REF!</v>
      </c>
      <c r="J178" s="5"/>
      <c r="K178" s="5"/>
      <c r="L178" s="5"/>
      <c r="M178" s="5"/>
      <c r="N178" s="5"/>
      <c r="O178" s="164" t="s">
        <v>1086</v>
      </c>
      <c r="P178" s="5"/>
      <c r="Q178" s="5"/>
      <c r="R178" s="5"/>
      <c r="S178" s="5"/>
      <c r="T178" s="5"/>
    </row>
    <row r="179" spans="2:20">
      <c r="B179" t="s">
        <v>120</v>
      </c>
      <c r="C179" s="33">
        <f>'Recon Depr Exp to IS P4 (PA)'!S44</f>
        <v>0</v>
      </c>
      <c r="D179" s="33"/>
      <c r="E179" s="33"/>
      <c r="F179" s="33"/>
      <c r="G179" s="33" t="e">
        <f>G142*C177</f>
        <v>#REF!</v>
      </c>
      <c r="H179" s="33"/>
      <c r="I179" s="156" t="e">
        <f>SUM(C179:H179)</f>
        <v>#REF!</v>
      </c>
      <c r="J179" s="5"/>
      <c r="K179" s="5"/>
      <c r="L179" s="5"/>
      <c r="M179" s="5"/>
      <c r="N179" s="5"/>
      <c r="O179" s="158"/>
      <c r="P179" s="5"/>
      <c r="Q179" s="5"/>
      <c r="R179" s="5"/>
      <c r="S179" s="5"/>
      <c r="T179" s="5"/>
    </row>
    <row r="180" spans="2:20" ht="13.5" thickBot="1">
      <c r="C180" s="75">
        <f>SUM(C177:C179)</f>
        <v>0</v>
      </c>
      <c r="D180" s="5"/>
      <c r="E180" s="5"/>
      <c r="F180" s="5"/>
      <c r="G180" s="5"/>
      <c r="H180" s="5"/>
      <c r="I180" s="106" t="e">
        <f>SUM(I177:I179)</f>
        <v>#REF!</v>
      </c>
      <c r="J180" s="5"/>
      <c r="K180" s="5"/>
      <c r="L180" s="5"/>
      <c r="M180" s="5"/>
      <c r="N180" s="5"/>
      <c r="O180" s="158"/>
      <c r="P180" s="5"/>
      <c r="Q180" s="5"/>
      <c r="R180" s="5"/>
      <c r="S180" s="5"/>
      <c r="T180" s="5"/>
    </row>
    <row r="181" spans="2:20" ht="13.5" thickTop="1">
      <c r="C181" s="5"/>
      <c r="D181" s="5"/>
      <c r="E181" s="5"/>
      <c r="F181" s="5"/>
      <c r="G181" s="5"/>
      <c r="H181" s="5"/>
      <c r="I181" s="105"/>
      <c r="J181" s="5"/>
      <c r="K181" s="5"/>
      <c r="L181" s="5"/>
      <c r="M181" s="5"/>
      <c r="N181" s="5"/>
      <c r="O181" s="5"/>
      <c r="P181" s="5"/>
      <c r="Q181" s="5"/>
      <c r="R181" s="5"/>
      <c r="S181" s="5"/>
      <c r="T181" s="5"/>
    </row>
    <row r="182" spans="2:20">
      <c r="C182" s="5">
        <f>C152+C165+C174+C180</f>
        <v>0</v>
      </c>
      <c r="D182" s="5"/>
      <c r="E182" s="5"/>
      <c r="F182" s="5"/>
      <c r="G182" s="5"/>
      <c r="H182" s="5"/>
      <c r="I182" s="5" t="e">
        <f>I152+I165+I174+I180</f>
        <v>#REF!</v>
      </c>
      <c r="J182" s="5"/>
      <c r="K182" s="5" t="e">
        <f>C182-I182</f>
        <v>#REF!</v>
      </c>
      <c r="L182" s="5"/>
      <c r="M182" s="5"/>
      <c r="N182" s="5"/>
      <c r="O182" s="5"/>
      <c r="P182" s="5"/>
      <c r="Q182" s="5"/>
      <c r="R182" s="5"/>
      <c r="S182" s="5"/>
      <c r="T182" s="5"/>
    </row>
    <row r="183" spans="2:20">
      <c r="C183" s="5"/>
      <c r="D183" s="5"/>
      <c r="E183" s="5"/>
      <c r="F183" s="5"/>
      <c r="G183" s="5"/>
      <c r="H183" s="5"/>
      <c r="I183" s="5"/>
      <c r="J183" s="5"/>
      <c r="K183" s="5"/>
      <c r="L183" s="5"/>
      <c r="M183" s="5"/>
      <c r="N183" s="5"/>
      <c r="O183" s="5"/>
      <c r="P183" s="5"/>
      <c r="Q183" s="5"/>
      <c r="R183" s="5"/>
      <c r="S183" s="5"/>
      <c r="T183" s="5"/>
    </row>
    <row r="184" spans="2:20">
      <c r="C184" s="5"/>
      <c r="D184" s="5"/>
      <c r="E184" s="5"/>
      <c r="F184" s="5"/>
      <c r="G184" s="5"/>
      <c r="H184" s="5"/>
      <c r="I184" s="5"/>
      <c r="J184" s="5"/>
      <c r="K184" s="5"/>
      <c r="L184" s="5"/>
      <c r="M184" s="5"/>
      <c r="N184" s="5"/>
      <c r="O184" s="5"/>
      <c r="P184" s="5"/>
      <c r="Q184" s="5"/>
      <c r="R184" s="5"/>
      <c r="S184" s="5"/>
      <c r="T184" s="5"/>
    </row>
    <row r="185" spans="2:20">
      <c r="C185" s="5"/>
      <c r="D185" s="5"/>
      <c r="E185" s="5"/>
      <c r="F185" s="5"/>
      <c r="G185" s="5"/>
      <c r="H185" s="5"/>
      <c r="I185" s="5"/>
      <c r="J185" s="5"/>
      <c r="K185" s="5"/>
      <c r="L185" s="5"/>
      <c r="M185" s="5"/>
      <c r="N185" s="5"/>
      <c r="O185" s="5"/>
      <c r="P185" s="5"/>
      <c r="Q185" s="5"/>
      <c r="R185" s="5"/>
      <c r="S185" s="5"/>
      <c r="T185" s="5"/>
    </row>
    <row r="186" spans="2:20">
      <c r="C186" s="5"/>
      <c r="D186" s="5"/>
      <c r="E186" s="5"/>
      <c r="F186" s="5"/>
      <c r="G186" s="5"/>
      <c r="H186" s="5"/>
      <c r="I186" s="5"/>
      <c r="J186" s="5"/>
      <c r="K186" s="5"/>
      <c r="L186" s="5"/>
      <c r="M186" s="5"/>
      <c r="N186" s="5"/>
      <c r="O186" s="5"/>
      <c r="P186" s="5"/>
      <c r="Q186" s="5"/>
      <c r="R186" s="5"/>
      <c r="S186" s="5"/>
      <c r="T186" s="5"/>
    </row>
    <row r="187" spans="2:20">
      <c r="C187" s="5"/>
      <c r="D187" s="5"/>
      <c r="E187" s="5"/>
      <c r="F187" s="5"/>
      <c r="G187" s="5"/>
      <c r="H187" s="5"/>
      <c r="I187" s="5"/>
      <c r="J187" s="5"/>
      <c r="K187" s="5"/>
      <c r="L187" s="5"/>
      <c r="M187" s="5"/>
      <c r="N187" s="5"/>
      <c r="O187" s="5"/>
      <c r="P187" s="5"/>
      <c r="Q187" s="5"/>
      <c r="R187" s="5"/>
      <c r="S187" s="5"/>
      <c r="T187" s="5"/>
    </row>
    <row r="188" spans="2:20">
      <c r="C188" s="5"/>
      <c r="D188" s="5"/>
      <c r="E188" s="5"/>
      <c r="F188" s="5"/>
      <c r="G188" s="5"/>
      <c r="H188" s="5"/>
      <c r="I188" s="5"/>
      <c r="J188" s="5"/>
      <c r="K188" s="5"/>
      <c r="L188" s="5"/>
      <c r="M188" s="5"/>
      <c r="N188" s="5"/>
      <c r="O188" s="5"/>
      <c r="P188" s="5"/>
      <c r="Q188" s="5"/>
      <c r="R188" s="5"/>
      <c r="S188" s="5"/>
      <c r="T188" s="5"/>
    </row>
    <row r="189" spans="2:20">
      <c r="C189" s="5"/>
      <c r="D189" s="5"/>
      <c r="E189" s="5"/>
      <c r="F189" s="5"/>
      <c r="G189" s="5"/>
      <c r="H189" s="5"/>
      <c r="I189" s="5"/>
      <c r="J189" s="5"/>
      <c r="K189" s="5"/>
      <c r="L189" s="5"/>
      <c r="M189" s="5"/>
      <c r="N189" s="5"/>
      <c r="O189" s="5"/>
      <c r="P189" s="5"/>
      <c r="Q189" s="5"/>
      <c r="R189" s="5"/>
      <c r="S189" s="5"/>
      <c r="T189" s="5"/>
    </row>
    <row r="190" spans="2:20">
      <c r="C190" s="5"/>
      <c r="D190" s="5"/>
      <c r="E190" s="5"/>
      <c r="F190" s="5"/>
      <c r="G190" s="5"/>
      <c r="H190" s="5"/>
      <c r="I190" s="5"/>
      <c r="J190" s="5"/>
      <c r="K190" s="5"/>
      <c r="L190" s="5"/>
      <c r="M190" s="5"/>
      <c r="N190" s="5"/>
      <c r="O190" s="5"/>
      <c r="P190" s="5"/>
      <c r="Q190" s="5"/>
      <c r="R190" s="5"/>
      <c r="S190" s="5"/>
      <c r="T190" s="5"/>
    </row>
    <row r="191" spans="2:20">
      <c r="C191" s="5"/>
      <c r="D191" s="5"/>
      <c r="E191" s="5"/>
      <c r="F191" s="5"/>
      <c r="G191" s="5"/>
      <c r="H191" s="5"/>
      <c r="I191" s="5"/>
      <c r="J191" s="5"/>
      <c r="K191" s="5"/>
      <c r="L191" s="5"/>
      <c r="M191" s="5"/>
      <c r="N191" s="5"/>
      <c r="O191" s="5"/>
      <c r="P191" s="5"/>
      <c r="Q191" s="5"/>
      <c r="R191" s="5"/>
      <c r="S191" s="5"/>
      <c r="T191" s="5"/>
    </row>
    <row r="192" spans="2:20">
      <c r="C192" s="5"/>
      <c r="D192" s="5"/>
      <c r="E192" s="5"/>
      <c r="F192" s="5"/>
      <c r="G192" s="5"/>
      <c r="H192" s="5"/>
      <c r="I192" s="5"/>
      <c r="J192" s="5"/>
      <c r="K192" s="5"/>
      <c r="L192" s="5"/>
      <c r="M192" s="5"/>
      <c r="N192" s="5"/>
      <c r="O192" s="5"/>
      <c r="P192" s="5"/>
      <c r="Q192" s="5"/>
      <c r="R192" s="5"/>
      <c r="S192" s="5"/>
      <c r="T192" s="5"/>
    </row>
    <row r="193" spans="3:20">
      <c r="C193" s="5"/>
      <c r="D193" s="5"/>
      <c r="E193" s="5"/>
      <c r="F193" s="5"/>
      <c r="G193" s="5"/>
      <c r="H193" s="5"/>
      <c r="I193" s="5"/>
      <c r="J193" s="5"/>
      <c r="K193" s="5"/>
      <c r="L193" s="5"/>
      <c r="M193" s="5"/>
      <c r="N193" s="5"/>
      <c r="O193" s="5"/>
      <c r="P193" s="5"/>
      <c r="Q193" s="5"/>
      <c r="R193" s="5"/>
      <c r="S193" s="5"/>
      <c r="T193" s="5"/>
    </row>
    <row r="194" spans="3:20">
      <c r="C194" s="5"/>
      <c r="D194" s="5"/>
      <c r="E194" s="5"/>
      <c r="F194" s="5"/>
      <c r="G194" s="5"/>
      <c r="H194" s="5"/>
      <c r="I194" s="5"/>
      <c r="J194" s="5"/>
      <c r="K194" s="5"/>
      <c r="L194" s="5"/>
      <c r="M194" s="5"/>
      <c r="N194" s="5"/>
      <c r="O194" s="5"/>
      <c r="P194" s="5"/>
      <c r="Q194" s="5"/>
      <c r="R194" s="5"/>
      <c r="S194" s="5"/>
      <c r="T194" s="5"/>
    </row>
    <row r="195" spans="3:20">
      <c r="C195" s="5"/>
      <c r="D195" s="5"/>
      <c r="E195" s="5"/>
      <c r="F195" s="5"/>
      <c r="G195" s="5"/>
      <c r="H195" s="5"/>
      <c r="I195" s="5"/>
      <c r="J195" s="5"/>
      <c r="K195" s="5"/>
      <c r="L195" s="5"/>
      <c r="M195" s="5"/>
      <c r="N195" s="5"/>
      <c r="O195" s="5"/>
      <c r="P195" s="5"/>
      <c r="Q195" s="5"/>
      <c r="R195" s="5"/>
      <c r="S195" s="5"/>
      <c r="T195" s="5"/>
    </row>
    <row r="196" spans="3:20">
      <c r="C196" s="5"/>
      <c r="D196" s="5"/>
      <c r="E196" s="5"/>
      <c r="F196" s="5"/>
      <c r="G196" s="5"/>
      <c r="H196" s="5"/>
      <c r="I196" s="5"/>
      <c r="J196" s="5"/>
      <c r="K196" s="5"/>
      <c r="L196" s="5"/>
      <c r="M196" s="5"/>
      <c r="N196" s="5"/>
      <c r="O196" s="5"/>
      <c r="P196" s="5"/>
      <c r="Q196" s="5"/>
      <c r="R196" s="5"/>
      <c r="S196" s="5"/>
      <c r="T196" s="5"/>
    </row>
    <row r="197" spans="3:20">
      <c r="C197" s="5"/>
      <c r="D197" s="5"/>
      <c r="E197" s="5"/>
      <c r="F197" s="5"/>
      <c r="G197" s="5"/>
      <c r="H197" s="5"/>
      <c r="I197" s="5"/>
      <c r="J197" s="5"/>
      <c r="K197" s="5"/>
      <c r="L197" s="5"/>
      <c r="M197" s="5"/>
      <c r="N197" s="5"/>
      <c r="O197" s="5"/>
      <c r="P197" s="5"/>
      <c r="Q197" s="5"/>
      <c r="R197" s="5"/>
      <c r="S197" s="5"/>
      <c r="T197" s="5"/>
    </row>
    <row r="198" spans="3:20">
      <c r="C198" s="5"/>
      <c r="D198" s="5"/>
      <c r="E198" s="5"/>
      <c r="F198" s="5"/>
      <c r="G198" s="5"/>
      <c r="H198" s="5"/>
      <c r="I198" s="5"/>
      <c r="J198" s="5"/>
      <c r="K198" s="5"/>
      <c r="L198" s="5"/>
      <c r="M198" s="5"/>
      <c r="N198" s="5"/>
      <c r="O198" s="5"/>
      <c r="P198" s="5"/>
      <c r="Q198" s="5"/>
      <c r="R198" s="5"/>
      <c r="S198" s="5"/>
      <c r="T198" s="5"/>
    </row>
    <row r="199" spans="3:20">
      <c r="C199" s="5"/>
      <c r="D199" s="5"/>
      <c r="E199" s="5"/>
      <c r="F199" s="5"/>
      <c r="G199" s="5"/>
      <c r="H199" s="5"/>
      <c r="I199" s="5"/>
      <c r="J199" s="5"/>
      <c r="K199" s="5"/>
      <c r="L199" s="5"/>
      <c r="M199" s="5"/>
      <c r="N199" s="5"/>
      <c r="O199" s="5"/>
      <c r="P199" s="5"/>
      <c r="Q199" s="5"/>
      <c r="R199" s="5"/>
      <c r="S199" s="5"/>
      <c r="T199" s="5"/>
    </row>
    <row r="200" spans="3:20">
      <c r="C200" s="5"/>
      <c r="D200" s="5"/>
      <c r="E200" s="5"/>
      <c r="F200" s="5"/>
      <c r="G200" s="5"/>
      <c r="H200" s="5"/>
      <c r="I200" s="5"/>
      <c r="J200" s="5"/>
      <c r="K200" s="5"/>
      <c r="L200" s="5"/>
      <c r="M200" s="5"/>
      <c r="N200" s="5"/>
      <c r="O200" s="5"/>
      <c r="P200" s="5"/>
      <c r="Q200" s="5"/>
      <c r="R200" s="5"/>
      <c r="S200" s="5"/>
      <c r="T200" s="5"/>
    </row>
    <row r="201" spans="3:20">
      <c r="C201" s="5"/>
      <c r="D201" s="5"/>
      <c r="E201" s="5"/>
      <c r="F201" s="5"/>
      <c r="G201" s="5"/>
      <c r="H201" s="5"/>
      <c r="I201" s="5"/>
      <c r="J201" s="5"/>
      <c r="K201" s="5"/>
      <c r="L201" s="5"/>
      <c r="M201" s="5"/>
      <c r="N201" s="5"/>
      <c r="O201" s="5"/>
      <c r="P201" s="5"/>
      <c r="Q201" s="5"/>
      <c r="R201" s="5"/>
      <c r="S201" s="5"/>
      <c r="T201" s="5"/>
    </row>
    <row r="202" spans="3:20">
      <c r="C202" s="5"/>
      <c r="D202" s="5"/>
      <c r="E202" s="5"/>
      <c r="F202" s="5"/>
      <c r="G202" s="5"/>
      <c r="H202" s="5"/>
      <c r="I202" s="5"/>
      <c r="J202" s="5"/>
      <c r="K202" s="5"/>
      <c r="L202" s="5"/>
      <c r="M202" s="5"/>
      <c r="N202" s="5"/>
      <c r="O202" s="5"/>
      <c r="P202" s="5"/>
      <c r="Q202" s="5"/>
      <c r="R202" s="5"/>
      <c r="S202" s="5"/>
      <c r="T202" s="5"/>
    </row>
    <row r="203" spans="3:20">
      <c r="C203" s="5"/>
      <c r="D203" s="5"/>
      <c r="E203" s="5"/>
      <c r="F203" s="5"/>
      <c r="G203" s="5"/>
      <c r="H203" s="5"/>
      <c r="I203" s="5"/>
      <c r="J203" s="5"/>
      <c r="K203" s="5"/>
      <c r="L203" s="5"/>
      <c r="M203" s="5"/>
      <c r="N203" s="5"/>
      <c r="O203" s="5"/>
      <c r="P203" s="5"/>
      <c r="Q203" s="5"/>
      <c r="R203" s="5"/>
      <c r="S203" s="5"/>
      <c r="T203" s="5"/>
    </row>
    <row r="204" spans="3:20">
      <c r="C204" s="5"/>
      <c r="D204" s="5"/>
      <c r="E204" s="5"/>
      <c r="F204" s="5"/>
      <c r="G204" s="5"/>
      <c r="H204" s="5"/>
      <c r="I204" s="5"/>
      <c r="J204" s="5"/>
      <c r="K204" s="5"/>
      <c r="L204" s="5"/>
      <c r="M204" s="5"/>
      <c r="N204" s="5"/>
      <c r="O204" s="5"/>
      <c r="P204" s="5"/>
      <c r="Q204" s="5"/>
      <c r="R204" s="5"/>
      <c r="S204" s="5"/>
      <c r="T204" s="5"/>
    </row>
    <row r="205" spans="3:20">
      <c r="C205" s="5"/>
      <c r="D205" s="5"/>
      <c r="E205" s="5"/>
      <c r="F205" s="5"/>
      <c r="G205" s="5"/>
      <c r="H205" s="5"/>
      <c r="I205" s="5"/>
      <c r="J205" s="5"/>
      <c r="K205" s="5"/>
      <c r="L205" s="5"/>
      <c r="M205" s="5"/>
      <c r="N205" s="5"/>
      <c r="O205" s="5"/>
      <c r="P205" s="5"/>
      <c r="Q205" s="5"/>
      <c r="R205" s="5"/>
      <c r="S205" s="5"/>
      <c r="T205" s="5"/>
    </row>
    <row r="206" spans="3:20">
      <c r="C206" s="5"/>
      <c r="D206" s="5"/>
      <c r="E206" s="5"/>
      <c r="F206" s="5"/>
      <c r="G206" s="5"/>
      <c r="H206" s="5"/>
      <c r="I206" s="5"/>
      <c r="J206" s="5"/>
      <c r="K206" s="5"/>
      <c r="L206" s="5"/>
      <c r="M206" s="5"/>
      <c r="N206" s="5"/>
      <c r="O206" s="5"/>
      <c r="P206" s="5"/>
      <c r="Q206" s="5"/>
      <c r="R206" s="5"/>
      <c r="S206" s="5"/>
      <c r="T206" s="5"/>
    </row>
    <row r="207" spans="3:20">
      <c r="C207" s="5"/>
      <c r="D207" s="5"/>
      <c r="E207" s="5"/>
      <c r="F207" s="5"/>
      <c r="G207" s="5"/>
      <c r="H207" s="5"/>
      <c r="I207" s="5"/>
      <c r="J207" s="5"/>
      <c r="K207" s="5"/>
      <c r="L207" s="5"/>
      <c r="M207" s="5"/>
      <c r="N207" s="5"/>
      <c r="O207" s="5"/>
      <c r="P207" s="5"/>
      <c r="Q207" s="5"/>
      <c r="R207" s="5"/>
      <c r="S207" s="5"/>
      <c r="T207" s="5"/>
    </row>
    <row r="208" spans="3:20">
      <c r="C208" s="5"/>
      <c r="D208" s="5"/>
      <c r="E208" s="5"/>
      <c r="F208" s="5"/>
      <c r="G208" s="5"/>
      <c r="H208" s="5"/>
      <c r="I208" s="5"/>
      <c r="J208" s="5"/>
      <c r="K208" s="5"/>
      <c r="L208" s="5"/>
      <c r="M208" s="5"/>
      <c r="N208" s="5"/>
      <c r="O208" s="5"/>
      <c r="P208" s="5"/>
      <c r="Q208" s="5"/>
      <c r="R208" s="5"/>
      <c r="S208" s="5"/>
      <c r="T208" s="5"/>
    </row>
    <row r="209" spans="3:20">
      <c r="C209" s="5"/>
      <c r="D209" s="5"/>
      <c r="E209" s="5"/>
      <c r="F209" s="5"/>
      <c r="G209" s="5"/>
      <c r="H209" s="5"/>
      <c r="I209" s="5"/>
      <c r="J209" s="5"/>
      <c r="K209" s="5"/>
      <c r="L209" s="5"/>
      <c r="M209" s="5"/>
      <c r="N209" s="5"/>
      <c r="O209" s="5"/>
      <c r="P209" s="5"/>
      <c r="Q209" s="5"/>
      <c r="R209" s="5"/>
      <c r="S209" s="5"/>
      <c r="T209" s="5"/>
    </row>
    <row r="210" spans="3:20">
      <c r="C210" s="5"/>
      <c r="D210" s="5"/>
      <c r="E210" s="5"/>
      <c r="F210" s="5"/>
      <c r="G210" s="5"/>
      <c r="H210" s="5"/>
      <c r="I210" s="5"/>
      <c r="J210" s="5"/>
      <c r="K210" s="5"/>
      <c r="L210" s="5"/>
      <c r="M210" s="5"/>
      <c r="N210" s="5"/>
      <c r="O210" s="5"/>
      <c r="P210" s="5"/>
      <c r="Q210" s="5"/>
      <c r="R210" s="5"/>
      <c r="S210" s="5"/>
      <c r="T210" s="5"/>
    </row>
    <row r="211" spans="3:20">
      <c r="C211" s="5"/>
      <c r="D211" s="5"/>
      <c r="E211" s="5"/>
      <c r="F211" s="5"/>
      <c r="G211" s="5"/>
      <c r="H211" s="5"/>
      <c r="I211" s="5"/>
      <c r="J211" s="5"/>
      <c r="K211" s="5"/>
      <c r="L211" s="5"/>
      <c r="M211" s="5"/>
      <c r="N211" s="5"/>
      <c r="O211" s="5"/>
      <c r="P211" s="5"/>
      <c r="Q211" s="5"/>
      <c r="R211" s="5"/>
      <c r="S211" s="5"/>
      <c r="T211" s="5"/>
    </row>
    <row r="212" spans="3:20">
      <c r="C212" s="5"/>
      <c r="D212" s="5"/>
      <c r="E212" s="5"/>
      <c r="F212" s="5"/>
      <c r="G212" s="5"/>
      <c r="H212" s="5"/>
      <c r="I212" s="5"/>
      <c r="J212" s="5"/>
      <c r="K212" s="5"/>
      <c r="L212" s="5"/>
      <c r="M212" s="5"/>
      <c r="N212" s="5"/>
      <c r="O212" s="5"/>
      <c r="P212" s="5"/>
      <c r="Q212" s="5"/>
      <c r="R212" s="5"/>
      <c r="S212" s="5"/>
      <c r="T212" s="5"/>
    </row>
    <row r="213" spans="3:20">
      <c r="C213" s="5"/>
      <c r="D213" s="5"/>
      <c r="E213" s="5"/>
      <c r="F213" s="5"/>
      <c r="G213" s="5"/>
      <c r="H213" s="5"/>
      <c r="I213" s="5"/>
      <c r="J213" s="5"/>
      <c r="K213" s="5"/>
      <c r="L213" s="5"/>
      <c r="M213" s="5"/>
      <c r="N213" s="5"/>
      <c r="O213" s="5"/>
      <c r="P213" s="5"/>
      <c r="Q213" s="5"/>
      <c r="R213" s="5"/>
      <c r="S213" s="5"/>
      <c r="T213" s="5"/>
    </row>
    <row r="214" spans="3:20">
      <c r="C214" s="5"/>
      <c r="D214" s="5"/>
      <c r="E214" s="5"/>
      <c r="F214" s="5"/>
      <c r="G214" s="5"/>
      <c r="H214" s="5"/>
      <c r="I214" s="5"/>
      <c r="J214" s="5"/>
      <c r="K214" s="5"/>
      <c r="L214" s="5"/>
      <c r="M214" s="5"/>
      <c r="N214" s="5"/>
      <c r="O214" s="5"/>
      <c r="P214" s="5"/>
      <c r="Q214" s="5"/>
      <c r="R214" s="5"/>
      <c r="S214" s="5"/>
      <c r="T214" s="5"/>
    </row>
    <row r="215" spans="3:20">
      <c r="C215" s="5"/>
      <c r="D215" s="5"/>
      <c r="E215" s="5"/>
      <c r="F215" s="5"/>
      <c r="G215" s="5"/>
      <c r="H215" s="5"/>
      <c r="I215" s="5"/>
      <c r="J215" s="5"/>
      <c r="K215" s="5"/>
      <c r="L215" s="5"/>
      <c r="M215" s="5"/>
      <c r="N215" s="5"/>
      <c r="O215" s="5"/>
      <c r="P215" s="5"/>
      <c r="Q215" s="5"/>
      <c r="R215" s="5"/>
      <c r="S215" s="5"/>
      <c r="T215" s="5"/>
    </row>
    <row r="216" spans="3:20">
      <c r="C216" s="5"/>
      <c r="D216" s="5"/>
      <c r="E216" s="5"/>
      <c r="F216" s="5"/>
      <c r="G216" s="5"/>
      <c r="H216" s="5"/>
      <c r="I216" s="5"/>
      <c r="J216" s="5"/>
      <c r="K216" s="5"/>
      <c r="L216" s="5"/>
      <c r="M216" s="5"/>
      <c r="N216" s="5"/>
      <c r="O216" s="5"/>
      <c r="P216" s="5"/>
      <c r="Q216" s="5"/>
      <c r="R216" s="5"/>
      <c r="S216" s="5"/>
      <c r="T216" s="5"/>
    </row>
    <row r="217" spans="3:20">
      <c r="C217" s="5"/>
      <c r="D217" s="5"/>
      <c r="E217" s="5"/>
      <c r="F217" s="5"/>
      <c r="G217" s="5"/>
      <c r="H217" s="5"/>
      <c r="I217" s="5"/>
      <c r="J217" s="5"/>
      <c r="K217" s="5"/>
      <c r="L217" s="5"/>
      <c r="M217" s="5"/>
      <c r="N217" s="5"/>
      <c r="O217" s="5"/>
      <c r="P217" s="5"/>
      <c r="Q217" s="5"/>
      <c r="R217" s="5"/>
      <c r="S217" s="5"/>
      <c r="T217" s="5"/>
    </row>
    <row r="218" spans="3:20">
      <c r="C218" s="5"/>
      <c r="D218" s="5"/>
      <c r="E218" s="5"/>
      <c r="F218" s="5"/>
      <c r="G218" s="5"/>
      <c r="H218" s="5"/>
      <c r="I218" s="5"/>
      <c r="J218" s="5"/>
      <c r="K218" s="5"/>
      <c r="L218" s="5"/>
      <c r="M218" s="5"/>
      <c r="N218" s="5"/>
      <c r="O218" s="5"/>
      <c r="P218" s="5"/>
      <c r="Q218" s="5"/>
      <c r="R218" s="5"/>
      <c r="S218" s="5"/>
      <c r="T218" s="5"/>
    </row>
    <row r="219" spans="3:20">
      <c r="C219" s="5"/>
      <c r="D219" s="5"/>
      <c r="E219" s="5"/>
      <c r="F219" s="5"/>
      <c r="G219" s="5"/>
      <c r="H219" s="5"/>
      <c r="I219" s="5"/>
      <c r="J219" s="5"/>
      <c r="K219" s="5"/>
      <c r="L219" s="5"/>
      <c r="M219" s="5"/>
      <c r="N219" s="5"/>
      <c r="O219" s="5"/>
      <c r="P219" s="5"/>
      <c r="Q219" s="5"/>
      <c r="R219" s="5"/>
      <c r="S219" s="5"/>
      <c r="T219" s="5"/>
    </row>
    <row r="220" spans="3:20">
      <c r="C220" s="5"/>
      <c r="D220" s="5"/>
      <c r="E220" s="5"/>
      <c r="F220" s="5"/>
      <c r="G220" s="5"/>
      <c r="H220" s="5"/>
      <c r="I220" s="5"/>
      <c r="J220" s="5"/>
      <c r="K220" s="5"/>
      <c r="L220" s="5"/>
      <c r="M220" s="5"/>
      <c r="N220" s="5"/>
      <c r="O220" s="5"/>
      <c r="P220" s="5"/>
      <c r="Q220" s="5"/>
      <c r="R220" s="5"/>
      <c r="S220" s="5"/>
      <c r="T220" s="5"/>
    </row>
    <row r="221" spans="3:20">
      <c r="C221" s="5"/>
      <c r="D221" s="5"/>
      <c r="E221" s="5"/>
      <c r="F221" s="5"/>
      <c r="G221" s="5"/>
      <c r="H221" s="5"/>
      <c r="I221" s="5"/>
      <c r="J221" s="5"/>
      <c r="K221" s="5"/>
      <c r="L221" s="5"/>
      <c r="M221" s="5"/>
      <c r="N221" s="5"/>
      <c r="O221" s="5"/>
      <c r="P221" s="5"/>
      <c r="Q221" s="5"/>
      <c r="R221" s="5"/>
      <c r="S221" s="5"/>
      <c r="T221" s="5"/>
    </row>
    <row r="222" spans="3:20">
      <c r="C222" s="5"/>
      <c r="D222" s="5"/>
      <c r="E222" s="5"/>
      <c r="F222" s="5"/>
      <c r="G222" s="5"/>
      <c r="H222" s="5"/>
      <c r="I222" s="5"/>
      <c r="J222" s="5"/>
      <c r="K222" s="5"/>
      <c r="L222" s="5"/>
      <c r="M222" s="5"/>
      <c r="N222" s="5"/>
      <c r="O222" s="5"/>
      <c r="P222" s="5"/>
      <c r="Q222" s="5"/>
      <c r="R222" s="5"/>
      <c r="S222" s="5"/>
      <c r="T222" s="5"/>
    </row>
    <row r="223" spans="3:20">
      <c r="C223" s="5"/>
      <c r="D223" s="5"/>
      <c r="E223" s="5"/>
      <c r="F223" s="5"/>
      <c r="G223" s="5"/>
      <c r="H223" s="5"/>
      <c r="I223" s="5"/>
      <c r="J223" s="5"/>
      <c r="K223" s="5"/>
      <c r="L223" s="5"/>
      <c r="M223" s="5"/>
      <c r="N223" s="5"/>
      <c r="O223" s="5"/>
      <c r="P223" s="5"/>
      <c r="Q223" s="5"/>
      <c r="R223" s="5"/>
      <c r="S223" s="5"/>
      <c r="T223" s="5"/>
    </row>
    <row r="224" spans="3:20">
      <c r="C224" s="5"/>
      <c r="D224" s="5"/>
      <c r="E224" s="5"/>
      <c r="F224" s="5"/>
      <c r="G224" s="5"/>
      <c r="H224" s="5"/>
      <c r="I224" s="5"/>
      <c r="J224" s="5"/>
      <c r="K224" s="5"/>
      <c r="L224" s="5"/>
      <c r="M224" s="5"/>
      <c r="N224" s="5"/>
      <c r="O224" s="5"/>
      <c r="P224" s="5"/>
      <c r="Q224" s="5"/>
      <c r="R224" s="5"/>
      <c r="S224" s="5"/>
      <c r="T224" s="5"/>
    </row>
    <row r="225" spans="3:20">
      <c r="C225" s="5"/>
      <c r="D225" s="5"/>
      <c r="E225" s="5"/>
      <c r="F225" s="5"/>
      <c r="G225" s="5"/>
      <c r="H225" s="5"/>
      <c r="I225" s="5"/>
      <c r="J225" s="5"/>
      <c r="K225" s="5"/>
      <c r="L225" s="5"/>
      <c r="M225" s="5"/>
      <c r="N225" s="5"/>
      <c r="O225" s="5"/>
      <c r="P225" s="5"/>
      <c r="Q225" s="5"/>
      <c r="R225" s="5"/>
      <c r="S225" s="5"/>
      <c r="T225" s="5"/>
    </row>
    <row r="226" spans="3:20">
      <c r="C226" s="5"/>
      <c r="D226" s="5"/>
      <c r="E226" s="5"/>
      <c r="F226" s="5"/>
      <c r="G226" s="5"/>
      <c r="H226" s="5"/>
      <c r="I226" s="5"/>
      <c r="J226" s="5"/>
      <c r="K226" s="5"/>
      <c r="L226" s="5"/>
      <c r="M226" s="5"/>
      <c r="N226" s="5"/>
      <c r="O226" s="5"/>
      <c r="P226" s="5"/>
      <c r="Q226" s="5"/>
      <c r="R226" s="5"/>
      <c r="S226" s="5"/>
      <c r="T226" s="5"/>
    </row>
    <row r="227" spans="3:20">
      <c r="C227" s="5"/>
      <c r="D227" s="5"/>
      <c r="E227" s="5"/>
      <c r="F227" s="5"/>
      <c r="G227" s="5"/>
      <c r="H227" s="5"/>
      <c r="I227" s="5"/>
      <c r="J227" s="5"/>
      <c r="K227" s="5"/>
      <c r="L227" s="5"/>
      <c r="M227" s="5"/>
      <c r="N227" s="5"/>
      <c r="O227" s="5"/>
      <c r="P227" s="5"/>
      <c r="Q227" s="5"/>
      <c r="R227" s="5"/>
      <c r="S227" s="5"/>
      <c r="T227" s="5"/>
    </row>
    <row r="228" spans="3:20">
      <c r="C228" s="5"/>
      <c r="D228" s="5"/>
      <c r="E228" s="5"/>
      <c r="F228" s="5"/>
      <c r="G228" s="5"/>
      <c r="H228" s="5"/>
      <c r="I228" s="5"/>
      <c r="J228" s="5"/>
      <c r="K228" s="5"/>
      <c r="L228" s="5"/>
      <c r="M228" s="5"/>
      <c r="N228" s="5"/>
      <c r="O228" s="5"/>
      <c r="P228" s="5"/>
      <c r="Q228" s="5"/>
      <c r="R228" s="5"/>
      <c r="S228" s="5"/>
      <c r="T228" s="5"/>
    </row>
    <row r="229" spans="3:20">
      <c r="C229" s="5"/>
      <c r="D229" s="5"/>
      <c r="E229" s="5"/>
      <c r="F229" s="5"/>
      <c r="G229" s="5"/>
      <c r="H229" s="5"/>
      <c r="I229" s="5"/>
      <c r="J229" s="5"/>
      <c r="K229" s="5"/>
      <c r="L229" s="5"/>
      <c r="M229" s="5"/>
      <c r="N229" s="5"/>
      <c r="O229" s="5"/>
      <c r="P229" s="5"/>
      <c r="Q229" s="5"/>
      <c r="R229" s="5"/>
      <c r="S229" s="5"/>
      <c r="T229" s="5"/>
    </row>
    <row r="230" spans="3:20">
      <c r="C230" s="5"/>
      <c r="D230" s="5"/>
      <c r="E230" s="5"/>
      <c r="F230" s="5"/>
      <c r="G230" s="5"/>
      <c r="H230" s="5"/>
      <c r="I230" s="5"/>
      <c r="J230" s="5"/>
      <c r="K230" s="5"/>
      <c r="L230" s="5"/>
      <c r="M230" s="5"/>
      <c r="N230" s="5"/>
      <c r="O230" s="5"/>
      <c r="P230" s="5"/>
      <c r="Q230" s="5"/>
      <c r="R230" s="5"/>
      <c r="S230" s="5"/>
      <c r="T230" s="5"/>
    </row>
    <row r="231" spans="3:20">
      <c r="C231" s="5"/>
      <c r="D231" s="5"/>
      <c r="E231" s="5"/>
      <c r="F231" s="5"/>
      <c r="G231" s="5"/>
      <c r="H231" s="5"/>
      <c r="I231" s="5"/>
      <c r="J231" s="5"/>
      <c r="K231" s="5"/>
      <c r="L231" s="5"/>
      <c r="M231" s="5"/>
      <c r="N231" s="5"/>
      <c r="O231" s="5"/>
      <c r="P231" s="5"/>
      <c r="Q231" s="5"/>
      <c r="R231" s="5"/>
      <c r="S231" s="5"/>
      <c r="T231" s="5"/>
    </row>
    <row r="232" spans="3:20">
      <c r="C232" s="5"/>
      <c r="D232" s="5"/>
      <c r="E232" s="5"/>
      <c r="F232" s="5"/>
      <c r="G232" s="5"/>
      <c r="H232" s="5"/>
      <c r="I232" s="5"/>
      <c r="J232" s="5"/>
      <c r="K232" s="5"/>
      <c r="L232" s="5"/>
      <c r="M232" s="5"/>
      <c r="N232" s="5"/>
      <c r="O232" s="5"/>
      <c r="P232" s="5"/>
      <c r="Q232" s="5"/>
      <c r="R232" s="5"/>
      <c r="S232" s="5"/>
      <c r="T232" s="5"/>
    </row>
    <row r="233" spans="3:20">
      <c r="C233" s="5"/>
      <c r="D233" s="5"/>
      <c r="E233" s="5"/>
      <c r="F233" s="5"/>
      <c r="G233" s="5"/>
      <c r="H233" s="5"/>
      <c r="I233" s="5"/>
      <c r="J233" s="5"/>
      <c r="K233" s="5"/>
      <c r="L233" s="5"/>
      <c r="M233" s="5"/>
      <c r="N233" s="5"/>
      <c r="O233" s="5"/>
      <c r="P233" s="5"/>
      <c r="Q233" s="5"/>
      <c r="R233" s="5"/>
      <c r="S233" s="5"/>
      <c r="T233" s="5"/>
    </row>
    <row r="234" spans="3:20">
      <c r="C234" s="5"/>
      <c r="D234" s="5"/>
      <c r="E234" s="5"/>
      <c r="F234" s="5"/>
      <c r="G234" s="5"/>
      <c r="H234" s="5"/>
      <c r="I234" s="5"/>
      <c r="J234" s="5"/>
      <c r="K234" s="5"/>
      <c r="L234" s="5"/>
      <c r="M234" s="5"/>
      <c r="N234" s="5"/>
      <c r="O234" s="5"/>
      <c r="P234" s="5"/>
      <c r="Q234" s="5"/>
      <c r="R234" s="5"/>
      <c r="S234" s="5"/>
      <c r="T234" s="5"/>
    </row>
    <row r="235" spans="3:20">
      <c r="C235" s="5"/>
      <c r="D235" s="5"/>
      <c r="E235" s="5"/>
      <c r="F235" s="5"/>
      <c r="G235" s="5"/>
      <c r="H235" s="5"/>
      <c r="I235" s="5"/>
      <c r="J235" s="5"/>
      <c r="K235" s="5"/>
      <c r="L235" s="5"/>
      <c r="M235" s="5"/>
      <c r="N235" s="5"/>
      <c r="O235" s="5"/>
      <c r="P235" s="5"/>
      <c r="Q235" s="5"/>
      <c r="R235" s="5"/>
      <c r="S235" s="5"/>
      <c r="T235" s="5"/>
    </row>
    <row r="236" spans="3:20">
      <c r="C236" s="5"/>
      <c r="D236" s="5"/>
      <c r="E236" s="5"/>
      <c r="F236" s="5"/>
      <c r="G236" s="5"/>
      <c r="H236" s="5"/>
      <c r="I236" s="5"/>
      <c r="J236" s="5"/>
      <c r="K236" s="5"/>
      <c r="L236" s="5"/>
      <c r="M236" s="5"/>
      <c r="N236" s="5"/>
      <c r="O236" s="5"/>
      <c r="P236" s="5"/>
      <c r="Q236" s="5"/>
      <c r="R236" s="5"/>
      <c r="S236" s="5"/>
      <c r="T236" s="5"/>
    </row>
    <row r="237" spans="3:20">
      <c r="C237" s="5"/>
      <c r="D237" s="5"/>
      <c r="E237" s="5"/>
      <c r="F237" s="5"/>
      <c r="G237" s="5"/>
      <c r="H237" s="5"/>
      <c r="I237" s="5"/>
      <c r="J237" s="5"/>
      <c r="K237" s="5"/>
      <c r="L237" s="5"/>
      <c r="M237" s="5"/>
      <c r="N237" s="5"/>
      <c r="O237" s="5"/>
      <c r="P237" s="5"/>
      <c r="Q237" s="5"/>
      <c r="R237" s="5"/>
      <c r="S237" s="5"/>
      <c r="T237" s="5"/>
    </row>
    <row r="238" spans="3:20">
      <c r="C238" s="5"/>
      <c r="D238" s="5"/>
      <c r="E238" s="5"/>
      <c r="F238" s="5"/>
      <c r="G238" s="5"/>
      <c r="H238" s="5"/>
      <c r="I238" s="5"/>
      <c r="J238" s="5"/>
      <c r="K238" s="5"/>
      <c r="L238" s="5"/>
      <c r="M238" s="5"/>
      <c r="N238" s="5"/>
      <c r="O238" s="5"/>
      <c r="P238" s="5"/>
      <c r="Q238" s="5"/>
      <c r="R238" s="5"/>
      <c r="S238" s="5"/>
      <c r="T238" s="5"/>
    </row>
    <row r="239" spans="3:20">
      <c r="C239" s="5"/>
      <c r="D239" s="5"/>
      <c r="E239" s="5"/>
      <c r="F239" s="5"/>
      <c r="G239" s="5"/>
      <c r="H239" s="5"/>
      <c r="I239" s="5"/>
      <c r="J239" s="5"/>
      <c r="K239" s="5"/>
      <c r="L239" s="5"/>
      <c r="M239" s="5"/>
      <c r="N239" s="5"/>
      <c r="O239" s="5"/>
      <c r="P239" s="5"/>
      <c r="Q239" s="5"/>
      <c r="R239" s="5"/>
      <c r="S239" s="5"/>
      <c r="T239" s="5"/>
    </row>
    <row r="240" spans="3:20">
      <c r="C240" s="5"/>
      <c r="D240" s="5"/>
      <c r="E240" s="5"/>
      <c r="F240" s="5"/>
      <c r="G240" s="5"/>
      <c r="H240" s="5"/>
      <c r="I240" s="5"/>
      <c r="J240" s="5"/>
      <c r="K240" s="5"/>
      <c r="L240" s="5"/>
      <c r="M240" s="5"/>
      <c r="N240" s="5"/>
      <c r="O240" s="5"/>
      <c r="P240" s="5"/>
      <c r="Q240" s="5"/>
      <c r="R240" s="5"/>
      <c r="S240" s="5"/>
      <c r="T240" s="5"/>
    </row>
    <row r="241" spans="3:20">
      <c r="C241" s="5"/>
      <c r="D241" s="5"/>
      <c r="E241" s="5"/>
      <c r="F241" s="5"/>
      <c r="G241" s="5"/>
      <c r="H241" s="5"/>
      <c r="I241" s="5"/>
      <c r="J241" s="5"/>
      <c r="K241" s="5"/>
      <c r="L241" s="5"/>
      <c r="M241" s="5"/>
      <c r="N241" s="5"/>
      <c r="O241" s="5"/>
      <c r="P241" s="5"/>
      <c r="Q241" s="5"/>
      <c r="R241" s="5"/>
      <c r="S241" s="5"/>
      <c r="T241" s="5"/>
    </row>
    <row r="242" spans="3:20">
      <c r="C242" s="5"/>
      <c r="D242" s="5"/>
      <c r="E242" s="5"/>
      <c r="F242" s="5"/>
      <c r="G242" s="5"/>
      <c r="H242" s="5"/>
      <c r="I242" s="5"/>
      <c r="J242" s="5"/>
      <c r="K242" s="5"/>
      <c r="L242" s="5"/>
      <c r="M242" s="5"/>
      <c r="N242" s="5"/>
      <c r="O242" s="5"/>
      <c r="P242" s="5"/>
      <c r="Q242" s="5"/>
      <c r="R242" s="5"/>
      <c r="S242" s="5"/>
      <c r="T242" s="5"/>
    </row>
    <row r="243" spans="3:20">
      <c r="C243" s="5"/>
      <c r="D243" s="5"/>
      <c r="E243" s="5"/>
      <c r="F243" s="5"/>
      <c r="G243" s="5"/>
      <c r="H243" s="5"/>
      <c r="I243" s="5"/>
      <c r="J243" s="5"/>
      <c r="K243" s="5"/>
      <c r="L243" s="5"/>
      <c r="M243" s="5"/>
      <c r="N243" s="5"/>
      <c r="O243" s="5"/>
      <c r="P243" s="5"/>
      <c r="Q243" s="5"/>
      <c r="R243" s="5"/>
      <c r="S243" s="5"/>
      <c r="T243" s="5"/>
    </row>
    <row r="244" spans="3:20">
      <c r="C244" s="5"/>
      <c r="D244" s="5"/>
      <c r="E244" s="5"/>
      <c r="F244" s="5"/>
      <c r="G244" s="5"/>
      <c r="H244" s="5"/>
      <c r="I244" s="5"/>
      <c r="J244" s="5"/>
      <c r="K244" s="5"/>
      <c r="L244" s="5"/>
      <c r="M244" s="5"/>
      <c r="N244" s="5"/>
      <c r="O244" s="5"/>
      <c r="P244" s="5"/>
      <c r="Q244" s="5"/>
      <c r="R244" s="5"/>
      <c r="S244" s="5"/>
      <c r="T244" s="5"/>
    </row>
    <row r="245" spans="3:20">
      <c r="C245" s="5"/>
      <c r="D245" s="5"/>
      <c r="E245" s="5"/>
      <c r="F245" s="5"/>
      <c r="G245" s="5"/>
      <c r="H245" s="5"/>
      <c r="I245" s="5"/>
      <c r="J245" s="5"/>
      <c r="K245" s="5"/>
      <c r="L245" s="5"/>
      <c r="M245" s="5"/>
      <c r="N245" s="5"/>
      <c r="O245" s="5"/>
      <c r="P245" s="5"/>
      <c r="Q245" s="5"/>
      <c r="R245" s="5"/>
      <c r="S245" s="5"/>
      <c r="T245" s="5"/>
    </row>
    <row r="246" spans="3:20">
      <c r="C246" s="5"/>
      <c r="D246" s="5"/>
      <c r="E246" s="5"/>
      <c r="F246" s="5"/>
      <c r="G246" s="5"/>
      <c r="H246" s="5"/>
      <c r="I246" s="5"/>
      <c r="J246" s="5"/>
      <c r="K246" s="5"/>
      <c r="L246" s="5"/>
      <c r="M246" s="5"/>
      <c r="N246" s="5"/>
      <c r="O246" s="5"/>
      <c r="P246" s="5"/>
      <c r="Q246" s="5"/>
      <c r="R246" s="5"/>
      <c r="S246" s="5"/>
      <c r="T246" s="5"/>
    </row>
    <row r="247" spans="3:20">
      <c r="C247" s="5"/>
      <c r="D247" s="5"/>
      <c r="E247" s="5"/>
      <c r="F247" s="5"/>
      <c r="G247" s="5"/>
      <c r="H247" s="5"/>
      <c r="I247" s="5"/>
      <c r="J247" s="5"/>
      <c r="K247" s="5"/>
      <c r="L247" s="5"/>
      <c r="M247" s="5"/>
      <c r="N247" s="5"/>
      <c r="O247" s="5"/>
      <c r="P247" s="5"/>
      <c r="Q247" s="5"/>
      <c r="R247" s="5"/>
      <c r="S247" s="5"/>
      <c r="T247" s="5"/>
    </row>
    <row r="248" spans="3:20">
      <c r="C248" s="5"/>
      <c r="D248" s="5"/>
      <c r="E248" s="5"/>
      <c r="F248" s="5"/>
      <c r="G248" s="5"/>
      <c r="H248" s="5"/>
      <c r="I248" s="5"/>
      <c r="J248" s="5"/>
      <c r="K248" s="5"/>
      <c r="L248" s="5"/>
      <c r="M248" s="5"/>
      <c r="N248" s="5"/>
      <c r="O248" s="5"/>
      <c r="P248" s="5"/>
      <c r="Q248" s="5"/>
      <c r="R248" s="5"/>
      <c r="S248" s="5"/>
      <c r="T248" s="5"/>
    </row>
    <row r="249" spans="3:20">
      <c r="C249" s="5"/>
      <c r="D249" s="5"/>
      <c r="E249" s="5"/>
      <c r="F249" s="5"/>
      <c r="G249" s="5"/>
      <c r="H249" s="5"/>
      <c r="I249" s="5"/>
      <c r="J249" s="5"/>
      <c r="K249" s="5"/>
      <c r="L249" s="5"/>
      <c r="M249" s="5"/>
      <c r="N249" s="5"/>
      <c r="O249" s="5"/>
      <c r="P249" s="5"/>
      <c r="Q249" s="5"/>
      <c r="R249" s="5"/>
      <c r="S249" s="5"/>
      <c r="T249" s="5"/>
    </row>
    <row r="250" spans="3:20">
      <c r="C250" s="5"/>
      <c r="D250" s="5"/>
      <c r="E250" s="5"/>
      <c r="F250" s="5"/>
      <c r="G250" s="5"/>
      <c r="H250" s="5"/>
      <c r="I250" s="5"/>
      <c r="J250" s="5"/>
      <c r="K250" s="5"/>
      <c r="L250" s="5"/>
      <c r="M250" s="5"/>
      <c r="N250" s="5"/>
      <c r="O250" s="5"/>
      <c r="P250" s="5"/>
      <c r="Q250" s="5"/>
      <c r="R250" s="5"/>
      <c r="S250" s="5"/>
      <c r="T250" s="5"/>
    </row>
    <row r="251" spans="3:20">
      <c r="C251" s="5"/>
      <c r="D251" s="5"/>
      <c r="E251" s="5"/>
      <c r="F251" s="5"/>
      <c r="G251" s="5"/>
      <c r="H251" s="5"/>
      <c r="I251" s="5"/>
      <c r="J251" s="5"/>
      <c r="K251" s="5"/>
      <c r="L251" s="5"/>
      <c r="M251" s="5"/>
      <c r="N251" s="5"/>
      <c r="O251" s="5"/>
      <c r="P251" s="5"/>
      <c r="Q251" s="5"/>
      <c r="R251" s="5"/>
      <c r="S251" s="5"/>
      <c r="T251" s="5"/>
    </row>
    <row r="252" spans="3:20">
      <c r="C252" s="5"/>
      <c r="D252" s="5"/>
      <c r="E252" s="5"/>
      <c r="F252" s="5"/>
      <c r="G252" s="5"/>
      <c r="H252" s="5"/>
      <c r="I252" s="5"/>
      <c r="J252" s="5"/>
      <c r="K252" s="5"/>
      <c r="L252" s="5"/>
      <c r="M252" s="5"/>
      <c r="N252" s="5"/>
      <c r="O252" s="5"/>
      <c r="P252" s="5"/>
      <c r="Q252" s="5"/>
      <c r="R252" s="5"/>
      <c r="S252" s="5"/>
      <c r="T252" s="5"/>
    </row>
    <row r="253" spans="3:20">
      <c r="C253" s="5"/>
      <c r="D253" s="5"/>
      <c r="E253" s="5"/>
      <c r="F253" s="5"/>
      <c r="G253" s="5"/>
      <c r="H253" s="5"/>
      <c r="I253" s="5"/>
      <c r="J253" s="5"/>
      <c r="K253" s="5"/>
      <c r="L253" s="5"/>
      <c r="M253" s="5"/>
      <c r="N253" s="5"/>
      <c r="O253" s="5"/>
      <c r="P253" s="5"/>
      <c r="Q253" s="5"/>
      <c r="R253" s="5"/>
      <c r="S253" s="5"/>
      <c r="T253" s="5"/>
    </row>
    <row r="254" spans="3:20">
      <c r="C254" s="5"/>
      <c r="D254" s="5"/>
      <c r="E254" s="5"/>
      <c r="F254" s="5"/>
      <c r="G254" s="5"/>
      <c r="H254" s="5"/>
      <c r="I254" s="5"/>
      <c r="J254" s="5"/>
      <c r="K254" s="5"/>
      <c r="L254" s="5"/>
      <c r="M254" s="5"/>
      <c r="N254" s="5"/>
      <c r="O254" s="5"/>
      <c r="P254" s="5"/>
      <c r="Q254" s="5"/>
      <c r="R254" s="5"/>
      <c r="S254" s="5"/>
      <c r="T254" s="5"/>
    </row>
    <row r="255" spans="3:20">
      <c r="C255" s="5"/>
      <c r="D255" s="5"/>
      <c r="E255" s="5"/>
      <c r="F255" s="5"/>
      <c r="G255" s="5"/>
      <c r="H255" s="5"/>
      <c r="I255" s="5"/>
      <c r="J255" s="5"/>
      <c r="K255" s="5"/>
      <c r="L255" s="5"/>
      <c r="M255" s="5"/>
      <c r="N255" s="5"/>
      <c r="O255" s="5"/>
      <c r="P255" s="5"/>
      <c r="Q255" s="5"/>
      <c r="R255" s="5"/>
      <c r="S255" s="5"/>
      <c r="T255" s="5"/>
    </row>
    <row r="256" spans="3:20">
      <c r="C256" s="5"/>
      <c r="D256" s="5"/>
      <c r="E256" s="5"/>
      <c r="F256" s="5"/>
      <c r="G256" s="5"/>
      <c r="H256" s="5"/>
      <c r="I256" s="5"/>
      <c r="J256" s="5"/>
      <c r="K256" s="5"/>
      <c r="L256" s="5"/>
      <c r="M256" s="5"/>
      <c r="N256" s="5"/>
      <c r="O256" s="5"/>
      <c r="P256" s="5"/>
      <c r="Q256" s="5"/>
      <c r="R256" s="5"/>
      <c r="S256" s="5"/>
      <c r="T256" s="5"/>
    </row>
    <row r="257" spans="3:20">
      <c r="C257" s="5"/>
      <c r="D257" s="5"/>
      <c r="E257" s="5"/>
      <c r="F257" s="5"/>
      <c r="G257" s="5"/>
      <c r="H257" s="5"/>
      <c r="I257" s="5"/>
      <c r="J257" s="5"/>
      <c r="K257" s="5"/>
      <c r="L257" s="5"/>
      <c r="M257" s="5"/>
      <c r="N257" s="5"/>
      <c r="O257" s="5"/>
      <c r="P257" s="5"/>
      <c r="Q257" s="5"/>
      <c r="R257" s="5"/>
      <c r="S257" s="5"/>
      <c r="T257" s="5"/>
    </row>
    <row r="258" spans="3:20">
      <c r="C258" s="5"/>
      <c r="D258" s="5"/>
      <c r="E258" s="5"/>
      <c r="F258" s="5"/>
      <c r="G258" s="5"/>
      <c r="H258" s="5"/>
      <c r="I258" s="5"/>
      <c r="J258" s="5"/>
      <c r="K258" s="5"/>
      <c r="L258" s="5"/>
      <c r="M258" s="5"/>
      <c r="N258" s="5"/>
      <c r="O258" s="5"/>
      <c r="P258" s="5"/>
      <c r="Q258" s="5"/>
      <c r="R258" s="5"/>
      <c r="S258" s="5"/>
      <c r="T258" s="5"/>
    </row>
    <row r="259" spans="3:20">
      <c r="C259" s="5"/>
      <c r="D259" s="5"/>
      <c r="E259" s="5"/>
      <c r="F259" s="5"/>
      <c r="G259" s="5"/>
      <c r="H259" s="5"/>
      <c r="I259" s="5"/>
      <c r="J259" s="5"/>
      <c r="K259" s="5"/>
      <c r="L259" s="5"/>
      <c r="M259" s="5"/>
      <c r="N259" s="5"/>
      <c r="O259" s="5"/>
      <c r="P259" s="5"/>
      <c r="Q259" s="5"/>
      <c r="R259" s="5"/>
      <c r="S259" s="5"/>
      <c r="T259" s="5"/>
    </row>
    <row r="260" spans="3:20">
      <c r="C260" s="5"/>
      <c r="D260" s="5"/>
      <c r="E260" s="5"/>
      <c r="F260" s="5"/>
      <c r="G260" s="5"/>
      <c r="H260" s="5"/>
      <c r="I260" s="5"/>
      <c r="J260" s="5"/>
      <c r="K260" s="5"/>
      <c r="L260" s="5"/>
      <c r="M260" s="5"/>
      <c r="N260" s="5"/>
      <c r="O260" s="5"/>
      <c r="P260" s="5"/>
      <c r="Q260" s="5"/>
      <c r="R260" s="5"/>
      <c r="S260" s="5"/>
      <c r="T260" s="5"/>
    </row>
    <row r="261" spans="3:20">
      <c r="C261" s="5"/>
      <c r="D261" s="5"/>
      <c r="E261" s="5"/>
      <c r="F261" s="5"/>
      <c r="G261" s="5"/>
      <c r="H261" s="5"/>
      <c r="I261" s="5"/>
      <c r="J261" s="5"/>
      <c r="K261" s="5"/>
      <c r="L261" s="5"/>
      <c r="M261" s="5"/>
      <c r="N261" s="5"/>
      <c r="O261" s="5"/>
      <c r="P261" s="5"/>
      <c r="Q261" s="5"/>
      <c r="R261" s="5"/>
      <c r="S261" s="5"/>
      <c r="T261" s="5"/>
    </row>
    <row r="262" spans="3:20">
      <c r="C262" s="5"/>
      <c r="D262" s="5"/>
      <c r="E262" s="5"/>
      <c r="F262" s="5"/>
      <c r="G262" s="5"/>
      <c r="H262" s="5"/>
      <c r="I262" s="5"/>
      <c r="J262" s="5"/>
      <c r="K262" s="5"/>
      <c r="L262" s="5"/>
      <c r="M262" s="5"/>
      <c r="N262" s="5"/>
      <c r="O262" s="5"/>
      <c r="P262" s="5"/>
      <c r="Q262" s="5"/>
      <c r="R262" s="5"/>
      <c r="S262" s="5"/>
      <c r="T262" s="5"/>
    </row>
    <row r="263" spans="3:20">
      <c r="C263" s="5"/>
      <c r="D263" s="5"/>
      <c r="E263" s="5"/>
      <c r="F263" s="5"/>
      <c r="G263" s="5"/>
      <c r="H263" s="5"/>
      <c r="I263" s="5"/>
      <c r="J263" s="5"/>
      <c r="K263" s="5"/>
      <c r="L263" s="5"/>
      <c r="M263" s="5"/>
      <c r="N263" s="5"/>
      <c r="O263" s="5"/>
      <c r="P263" s="5"/>
      <c r="Q263" s="5"/>
      <c r="R263" s="5"/>
      <c r="S263" s="5"/>
      <c r="T263" s="5"/>
    </row>
    <row r="264" spans="3:20">
      <c r="C264" s="5"/>
      <c r="D264" s="5"/>
      <c r="E264" s="5"/>
      <c r="F264" s="5"/>
      <c r="G264" s="5"/>
      <c r="H264" s="5"/>
      <c r="I264" s="5"/>
      <c r="J264" s="5"/>
      <c r="K264" s="5"/>
      <c r="L264" s="5"/>
      <c r="M264" s="5"/>
      <c r="N264" s="5"/>
      <c r="O264" s="5"/>
      <c r="P264" s="5"/>
      <c r="Q264" s="5"/>
      <c r="R264" s="5"/>
      <c r="S264" s="5"/>
      <c r="T264" s="5"/>
    </row>
    <row r="265" spans="3:20">
      <c r="C265" s="5"/>
      <c r="D265" s="5"/>
      <c r="E265" s="5"/>
      <c r="F265" s="5"/>
      <c r="G265" s="5"/>
      <c r="H265" s="5"/>
      <c r="I265" s="5"/>
      <c r="J265" s="5"/>
      <c r="K265" s="5"/>
      <c r="L265" s="5"/>
      <c r="M265" s="5"/>
      <c r="N265" s="5"/>
      <c r="O265" s="5"/>
      <c r="P265" s="5"/>
      <c r="Q265" s="5"/>
      <c r="R265" s="5"/>
      <c r="S265" s="5"/>
      <c r="T265" s="5"/>
    </row>
    <row r="266" spans="3:20">
      <c r="C266" s="5"/>
      <c r="D266" s="5"/>
      <c r="E266" s="5"/>
      <c r="F266" s="5"/>
      <c r="G266" s="5"/>
      <c r="H266" s="5"/>
      <c r="I266" s="5"/>
      <c r="J266" s="5"/>
      <c r="K266" s="5"/>
      <c r="L266" s="5"/>
      <c r="M266" s="5"/>
      <c r="N266" s="5"/>
      <c r="O266" s="5"/>
      <c r="P266" s="5"/>
      <c r="Q266" s="5"/>
      <c r="R266" s="5"/>
      <c r="S266" s="5"/>
      <c r="T266" s="5"/>
    </row>
    <row r="267" spans="3:20">
      <c r="C267" s="5"/>
      <c r="D267" s="5"/>
      <c r="E267" s="5"/>
      <c r="F267" s="5"/>
      <c r="G267" s="5"/>
      <c r="H267" s="5"/>
      <c r="I267" s="5"/>
      <c r="J267" s="5"/>
      <c r="K267" s="5"/>
      <c r="L267" s="5"/>
      <c r="M267" s="5"/>
      <c r="N267" s="5"/>
      <c r="O267" s="5"/>
      <c r="P267" s="5"/>
      <c r="Q267" s="5"/>
      <c r="R267" s="5"/>
      <c r="S267" s="5"/>
      <c r="T267" s="5"/>
    </row>
    <row r="268" spans="3:20">
      <c r="C268" s="5"/>
      <c r="D268" s="5"/>
      <c r="E268" s="5"/>
      <c r="F268" s="5"/>
      <c r="G268" s="5"/>
      <c r="H268" s="5"/>
      <c r="I268" s="5"/>
      <c r="J268" s="5"/>
      <c r="K268" s="5"/>
      <c r="L268" s="5"/>
      <c r="M268" s="5"/>
      <c r="N268" s="5"/>
      <c r="O268" s="5"/>
      <c r="P268" s="5"/>
      <c r="Q268" s="5"/>
      <c r="R268" s="5"/>
      <c r="S268" s="5"/>
      <c r="T268" s="5"/>
    </row>
    <row r="269" spans="3:20">
      <c r="C269" s="5"/>
      <c r="D269" s="5"/>
      <c r="E269" s="5"/>
      <c r="F269" s="5"/>
      <c r="G269" s="5"/>
      <c r="H269" s="5"/>
      <c r="I269" s="5"/>
      <c r="J269" s="5"/>
      <c r="K269" s="5"/>
      <c r="L269" s="5"/>
      <c r="M269" s="5"/>
      <c r="N269" s="5"/>
      <c r="O269" s="5"/>
      <c r="P269" s="5"/>
      <c r="Q269" s="5"/>
      <c r="R269" s="5"/>
      <c r="S269" s="5"/>
      <c r="T269" s="5"/>
    </row>
    <row r="270" spans="3:20">
      <c r="C270" s="5"/>
      <c r="D270" s="5"/>
      <c r="E270" s="5"/>
      <c r="F270" s="5"/>
      <c r="G270" s="5"/>
      <c r="H270" s="5"/>
      <c r="I270" s="5"/>
      <c r="J270" s="5"/>
      <c r="K270" s="5"/>
      <c r="L270" s="5"/>
      <c r="M270" s="5"/>
      <c r="N270" s="5"/>
      <c r="O270" s="5"/>
      <c r="P270" s="5"/>
      <c r="Q270" s="5"/>
      <c r="R270" s="5"/>
      <c r="S270" s="5"/>
      <c r="T270" s="5"/>
    </row>
    <row r="271" spans="3:20">
      <c r="C271" s="5"/>
      <c r="D271" s="5"/>
      <c r="E271" s="5"/>
      <c r="F271" s="5"/>
      <c r="G271" s="5"/>
      <c r="H271" s="5"/>
      <c r="I271" s="5"/>
      <c r="J271" s="5"/>
      <c r="K271" s="5"/>
      <c r="L271" s="5"/>
      <c r="M271" s="5"/>
      <c r="N271" s="5"/>
      <c r="O271" s="5"/>
      <c r="P271" s="5"/>
      <c r="Q271" s="5"/>
      <c r="R271" s="5"/>
      <c r="S271" s="5"/>
      <c r="T271" s="5"/>
    </row>
    <row r="272" spans="3:20">
      <c r="C272" s="5"/>
      <c r="D272" s="5"/>
      <c r="E272" s="5"/>
      <c r="F272" s="5"/>
      <c r="G272" s="5"/>
      <c r="H272" s="5"/>
      <c r="I272" s="5"/>
      <c r="J272" s="5"/>
      <c r="K272" s="5"/>
      <c r="L272" s="5"/>
      <c r="M272" s="5"/>
      <c r="N272" s="5"/>
      <c r="O272" s="5"/>
      <c r="P272" s="5"/>
      <c r="Q272" s="5"/>
      <c r="R272" s="5"/>
      <c r="S272" s="5"/>
      <c r="T272" s="5"/>
    </row>
    <row r="273" spans="3:20">
      <c r="C273" s="5"/>
      <c r="D273" s="5"/>
      <c r="E273" s="5"/>
      <c r="F273" s="5"/>
      <c r="G273" s="5"/>
      <c r="H273" s="5"/>
      <c r="I273" s="5"/>
      <c r="J273" s="5"/>
      <c r="K273" s="5"/>
      <c r="L273" s="5"/>
      <c r="M273" s="5"/>
      <c r="N273" s="5"/>
      <c r="O273" s="5"/>
      <c r="P273" s="5"/>
      <c r="Q273" s="5"/>
      <c r="R273" s="5"/>
      <c r="S273" s="5"/>
      <c r="T273" s="5"/>
    </row>
    <row r="274" spans="3:20">
      <c r="C274" s="5"/>
      <c r="D274" s="5"/>
      <c r="E274" s="5"/>
      <c r="F274" s="5"/>
      <c r="G274" s="5"/>
      <c r="H274" s="5"/>
      <c r="I274" s="5"/>
      <c r="J274" s="5"/>
      <c r="K274" s="5"/>
      <c r="L274" s="5"/>
      <c r="M274" s="5"/>
      <c r="N274" s="5"/>
      <c r="O274" s="5"/>
      <c r="P274" s="5"/>
      <c r="Q274" s="5"/>
      <c r="R274" s="5"/>
      <c r="S274" s="5"/>
      <c r="T274" s="5"/>
    </row>
    <row r="275" spans="3:20">
      <c r="C275" s="5"/>
      <c r="D275" s="5"/>
      <c r="E275" s="5"/>
      <c r="F275" s="5"/>
      <c r="G275" s="5"/>
      <c r="H275" s="5"/>
      <c r="I275" s="5"/>
      <c r="J275" s="5"/>
      <c r="K275" s="5"/>
      <c r="L275" s="5"/>
      <c r="M275" s="5"/>
      <c r="N275" s="5"/>
      <c r="O275" s="5"/>
      <c r="P275" s="5"/>
      <c r="Q275" s="5"/>
      <c r="R275" s="5"/>
      <c r="S275" s="5"/>
      <c r="T275" s="5"/>
    </row>
    <row r="276" spans="3:20">
      <c r="C276" s="5"/>
      <c r="D276" s="5"/>
      <c r="E276" s="5"/>
      <c r="F276" s="5"/>
      <c r="G276" s="5"/>
      <c r="H276" s="5"/>
      <c r="I276" s="5"/>
      <c r="J276" s="5"/>
      <c r="K276" s="5"/>
      <c r="L276" s="5"/>
      <c r="M276" s="5"/>
      <c r="N276" s="5"/>
      <c r="O276" s="5"/>
      <c r="P276" s="5"/>
      <c r="Q276" s="5"/>
      <c r="R276" s="5"/>
      <c r="S276" s="5"/>
      <c r="T276" s="5"/>
    </row>
    <row r="277" spans="3:20">
      <c r="C277" s="5"/>
      <c r="D277" s="5"/>
      <c r="E277" s="5"/>
      <c r="F277" s="5"/>
      <c r="G277" s="5"/>
      <c r="H277" s="5"/>
      <c r="I277" s="5"/>
      <c r="J277" s="5"/>
      <c r="K277" s="5"/>
      <c r="L277" s="5"/>
      <c r="M277" s="5"/>
      <c r="N277" s="5"/>
      <c r="O277" s="5"/>
      <c r="P277" s="5"/>
      <c r="Q277" s="5"/>
      <c r="R277" s="5"/>
      <c r="S277" s="5"/>
      <c r="T277" s="5"/>
    </row>
    <row r="278" spans="3:20">
      <c r="C278" s="5"/>
      <c r="D278" s="5"/>
      <c r="E278" s="5"/>
      <c r="F278" s="5"/>
      <c r="G278" s="5"/>
      <c r="H278" s="5"/>
      <c r="I278" s="5"/>
      <c r="J278" s="5"/>
      <c r="K278" s="5"/>
      <c r="L278" s="5"/>
      <c r="M278" s="5"/>
      <c r="N278" s="5"/>
      <c r="O278" s="5"/>
      <c r="P278" s="5"/>
      <c r="Q278" s="5"/>
      <c r="R278" s="5"/>
      <c r="S278" s="5"/>
      <c r="T278" s="5"/>
    </row>
    <row r="279" spans="3:20">
      <c r="C279" s="5"/>
      <c r="D279" s="5"/>
      <c r="E279" s="5"/>
      <c r="F279" s="5"/>
      <c r="G279" s="5"/>
      <c r="H279" s="5"/>
      <c r="I279" s="5"/>
      <c r="J279" s="5"/>
      <c r="K279" s="5"/>
      <c r="L279" s="5"/>
      <c r="M279" s="5"/>
      <c r="N279" s="5"/>
      <c r="O279" s="5"/>
      <c r="P279" s="5"/>
      <c r="Q279" s="5"/>
      <c r="R279" s="5"/>
      <c r="S279" s="5"/>
      <c r="T279" s="5"/>
    </row>
    <row r="280" spans="3:20">
      <c r="C280" s="5"/>
      <c r="D280" s="5"/>
      <c r="E280" s="5"/>
      <c r="F280" s="5"/>
      <c r="G280" s="5"/>
      <c r="H280" s="5"/>
      <c r="I280" s="5"/>
      <c r="J280" s="5"/>
      <c r="K280" s="5"/>
      <c r="L280" s="5"/>
      <c r="M280" s="5"/>
      <c r="N280" s="5"/>
      <c r="O280" s="5"/>
      <c r="P280" s="5"/>
      <c r="Q280" s="5"/>
      <c r="R280" s="5"/>
      <c r="S280" s="5"/>
      <c r="T280" s="5"/>
    </row>
    <row r="281" spans="3:20">
      <c r="C281" s="5"/>
      <c r="D281" s="5"/>
      <c r="E281" s="5"/>
      <c r="F281" s="5"/>
      <c r="G281" s="5"/>
      <c r="H281" s="5"/>
      <c r="I281" s="5"/>
      <c r="J281" s="5"/>
      <c r="K281" s="5"/>
      <c r="L281" s="5"/>
      <c r="M281" s="5"/>
      <c r="N281" s="5"/>
      <c r="O281" s="5"/>
      <c r="P281" s="5"/>
      <c r="Q281" s="5"/>
      <c r="R281" s="5"/>
      <c r="S281" s="5"/>
      <c r="T281" s="5"/>
    </row>
    <row r="282" spans="3:20">
      <c r="C282" s="5"/>
      <c r="D282" s="5"/>
      <c r="E282" s="5"/>
      <c r="F282" s="5"/>
      <c r="G282" s="5"/>
      <c r="H282" s="5"/>
      <c r="I282" s="5"/>
      <c r="J282" s="5"/>
      <c r="K282" s="5"/>
      <c r="L282" s="5"/>
      <c r="M282" s="5"/>
      <c r="N282" s="5"/>
      <c r="O282" s="5"/>
      <c r="P282" s="5"/>
      <c r="Q282" s="5"/>
      <c r="R282" s="5"/>
      <c r="S282" s="5"/>
      <c r="T282" s="5"/>
    </row>
    <row r="283" spans="3:20">
      <c r="C283" s="5"/>
      <c r="D283" s="5"/>
      <c r="E283" s="5"/>
      <c r="F283" s="5"/>
      <c r="G283" s="5"/>
      <c r="H283" s="5"/>
      <c r="I283" s="5"/>
      <c r="J283" s="5"/>
      <c r="K283" s="5"/>
      <c r="L283" s="5"/>
      <c r="M283" s="5"/>
      <c r="N283" s="5"/>
      <c r="O283" s="5"/>
      <c r="P283" s="5"/>
      <c r="Q283" s="5"/>
      <c r="R283" s="5"/>
      <c r="S283" s="5"/>
      <c r="T283" s="5"/>
    </row>
    <row r="284" spans="3:20">
      <c r="C284" s="5"/>
      <c r="D284" s="5"/>
      <c r="E284" s="5"/>
      <c r="F284" s="5"/>
      <c r="G284" s="5"/>
      <c r="H284" s="5"/>
      <c r="I284" s="5"/>
      <c r="J284" s="5"/>
      <c r="K284" s="5"/>
      <c r="L284" s="5"/>
      <c r="M284" s="5"/>
      <c r="N284" s="5"/>
      <c r="O284" s="5"/>
      <c r="P284" s="5"/>
      <c r="Q284" s="5"/>
      <c r="R284" s="5"/>
      <c r="S284" s="5"/>
      <c r="T284" s="5"/>
    </row>
    <row r="285" spans="3:20">
      <c r="C285" s="5"/>
      <c r="D285" s="5"/>
      <c r="E285" s="5"/>
      <c r="F285" s="5"/>
      <c r="G285" s="5"/>
      <c r="H285" s="5"/>
      <c r="I285" s="5"/>
      <c r="J285" s="5"/>
      <c r="K285" s="5"/>
      <c r="L285" s="5"/>
      <c r="M285" s="5"/>
      <c r="N285" s="5"/>
      <c r="O285" s="5"/>
      <c r="P285" s="5"/>
      <c r="Q285" s="5"/>
      <c r="R285" s="5"/>
      <c r="S285" s="5"/>
      <c r="T285" s="5"/>
    </row>
    <row r="286" spans="3:20">
      <c r="C286" s="5"/>
      <c r="D286" s="5"/>
      <c r="E286" s="5"/>
      <c r="F286" s="5"/>
      <c r="G286" s="5"/>
      <c r="H286" s="5"/>
      <c r="I286" s="5"/>
      <c r="J286" s="5"/>
      <c r="K286" s="5"/>
      <c r="L286" s="5"/>
      <c r="M286" s="5"/>
      <c r="N286" s="5"/>
      <c r="O286" s="5"/>
      <c r="P286" s="5"/>
      <c r="Q286" s="5"/>
      <c r="R286" s="5"/>
      <c r="S286" s="5"/>
      <c r="T286" s="5"/>
    </row>
  </sheetData>
  <mergeCells count="3">
    <mergeCell ref="A1:S1"/>
    <mergeCell ref="A2:S2"/>
    <mergeCell ref="A3:S3"/>
  </mergeCells>
  <printOptions gridLines="1"/>
  <pageMargins left="0" right="0" top="0.75" bottom="0.5" header="0.5" footer="0.25"/>
  <pageSetup scale="54" fitToHeight="3" orientation="landscape" r:id="rId1"/>
  <headerFooter alignWithMargins="0">
    <oddFooter>&amp;L&amp;Z&amp;F&amp;C&amp;A</oddFooter>
  </headerFooter>
  <legacyDrawing r:id="rId2"/>
</worksheet>
</file>

<file path=xl/worksheets/sheet49.xml><?xml version="1.0" encoding="utf-8"?>
<worksheet xmlns="http://schemas.openxmlformats.org/spreadsheetml/2006/main" xmlns:r="http://schemas.openxmlformats.org/officeDocument/2006/relationships">
  <sheetPr>
    <tabColor indexed="38"/>
    <pageSetUpPr fitToPage="1"/>
  </sheetPr>
  <dimension ref="A1:E71"/>
  <sheetViews>
    <sheetView workbookViewId="0">
      <selection sqref="A1:C1"/>
    </sheetView>
  </sheetViews>
  <sheetFormatPr defaultRowHeight="12.75"/>
  <cols>
    <col min="1" max="1" width="48.140625" bestFit="1" customWidth="1"/>
    <col min="2" max="2" width="3" customWidth="1"/>
    <col min="4" max="4" width="16.7109375" bestFit="1" customWidth="1"/>
    <col min="5" max="5" width="18.5703125" customWidth="1"/>
  </cols>
  <sheetData>
    <row r="1" spans="1:5" ht="15.75">
      <c r="A1" s="358" t="s">
        <v>373</v>
      </c>
      <c r="B1" s="358"/>
      <c r="C1" s="358"/>
      <c r="D1" t="s">
        <v>1440</v>
      </c>
      <c r="E1" s="312"/>
    </row>
    <row r="2" spans="1:5" ht="15.75">
      <c r="A2" s="358" t="s">
        <v>372</v>
      </c>
      <c r="B2" s="358"/>
      <c r="C2" s="358"/>
      <c r="D2" t="s">
        <v>1439</v>
      </c>
      <c r="E2" s="312"/>
    </row>
    <row r="3" spans="1:5" ht="15.75">
      <c r="A3" s="358"/>
      <c r="B3" s="358"/>
      <c r="C3" s="358"/>
      <c r="D3" t="s">
        <v>1439</v>
      </c>
      <c r="E3" s="312"/>
    </row>
    <row r="4" spans="1:5">
      <c r="C4" s="154" t="s">
        <v>375</v>
      </c>
    </row>
    <row r="5" spans="1:5">
      <c r="A5" t="s">
        <v>374</v>
      </c>
      <c r="C5">
        <v>1</v>
      </c>
    </row>
    <row r="6" spans="1:5">
      <c r="A6" t="s">
        <v>376</v>
      </c>
      <c r="C6">
        <v>2</v>
      </c>
    </row>
    <row r="7" spans="1:5">
      <c r="A7" t="s">
        <v>1106</v>
      </c>
      <c r="C7" s="153" t="s">
        <v>1107</v>
      </c>
    </row>
    <row r="8" spans="1:5">
      <c r="A8" t="s">
        <v>1257</v>
      </c>
      <c r="C8" s="153" t="s">
        <v>1258</v>
      </c>
    </row>
    <row r="9" spans="1:5">
      <c r="A9" t="s">
        <v>377</v>
      </c>
      <c r="C9">
        <v>3</v>
      </c>
    </row>
    <row r="10" spans="1:5">
      <c r="A10" t="s">
        <v>378</v>
      </c>
      <c r="C10" s="153" t="s">
        <v>906</v>
      </c>
    </row>
    <row r="11" spans="1:5">
      <c r="A11" t="s">
        <v>379</v>
      </c>
      <c r="C11">
        <v>4</v>
      </c>
    </row>
    <row r="12" spans="1:5">
      <c r="A12" t="s">
        <v>380</v>
      </c>
      <c r="C12">
        <v>5</v>
      </c>
    </row>
    <row r="13" spans="1:5">
      <c r="A13" t="s">
        <v>381</v>
      </c>
      <c r="C13">
        <v>6</v>
      </c>
    </row>
    <row r="14" spans="1:5">
      <c r="A14" t="s">
        <v>382</v>
      </c>
      <c r="C14">
        <v>7</v>
      </c>
    </row>
    <row r="15" spans="1:5">
      <c r="A15" t="s">
        <v>383</v>
      </c>
      <c r="C15">
        <v>8</v>
      </c>
    </row>
    <row r="16" spans="1:5">
      <c r="A16" t="s">
        <v>385</v>
      </c>
      <c r="C16">
        <v>9</v>
      </c>
    </row>
    <row r="17" spans="1:3">
      <c r="A17" t="s">
        <v>384</v>
      </c>
      <c r="C17">
        <v>10</v>
      </c>
    </row>
    <row r="18" spans="1:3">
      <c r="A18" t="s">
        <v>386</v>
      </c>
      <c r="C18">
        <v>11</v>
      </c>
    </row>
    <row r="19" spans="1:3">
      <c r="A19" t="s">
        <v>387</v>
      </c>
      <c r="C19">
        <v>12</v>
      </c>
    </row>
    <row r="20" spans="1:3">
      <c r="A20" t="s">
        <v>389</v>
      </c>
      <c r="C20">
        <v>13</v>
      </c>
    </row>
    <row r="21" spans="1:3">
      <c r="A21" t="s">
        <v>388</v>
      </c>
      <c r="C21">
        <v>14</v>
      </c>
    </row>
    <row r="22" spans="1:3">
      <c r="A22" t="s">
        <v>390</v>
      </c>
      <c r="C22">
        <v>15</v>
      </c>
    </row>
    <row r="23" spans="1:3">
      <c r="A23" t="s">
        <v>391</v>
      </c>
      <c r="C23">
        <v>16</v>
      </c>
    </row>
    <row r="24" spans="1:3">
      <c r="A24" t="s">
        <v>392</v>
      </c>
      <c r="C24">
        <v>17</v>
      </c>
    </row>
    <row r="25" spans="1:3">
      <c r="A25" t="s">
        <v>393</v>
      </c>
      <c r="C25">
        <v>18</v>
      </c>
    </row>
    <row r="26" spans="1:3">
      <c r="A26" t="s">
        <v>394</v>
      </c>
      <c r="C26">
        <v>19</v>
      </c>
    </row>
    <row r="27" spans="1:3">
      <c r="A27" t="s">
        <v>395</v>
      </c>
      <c r="C27">
        <v>20</v>
      </c>
    </row>
    <row r="28" spans="1:3">
      <c r="A28" t="s">
        <v>396</v>
      </c>
      <c r="C28">
        <v>21</v>
      </c>
    </row>
    <row r="29" spans="1:3">
      <c r="A29" t="s">
        <v>397</v>
      </c>
      <c r="C29">
        <v>22</v>
      </c>
    </row>
    <row r="30" spans="1:3">
      <c r="A30" t="s">
        <v>398</v>
      </c>
      <c r="C30">
        <v>23</v>
      </c>
    </row>
    <row r="31" spans="1:3">
      <c r="A31" t="s">
        <v>399</v>
      </c>
      <c r="C31">
        <v>24</v>
      </c>
    </row>
    <row r="32" spans="1:3">
      <c r="A32" t="s">
        <v>400</v>
      </c>
      <c r="C32">
        <v>25</v>
      </c>
    </row>
    <row r="33" spans="1:3">
      <c r="A33" t="s">
        <v>611</v>
      </c>
      <c r="C33">
        <v>26</v>
      </c>
    </row>
    <row r="34" spans="1:3">
      <c r="A34" t="s">
        <v>608</v>
      </c>
      <c r="C34">
        <v>27</v>
      </c>
    </row>
    <row r="35" spans="1:3">
      <c r="A35" t="s">
        <v>401</v>
      </c>
      <c r="C35">
        <v>28</v>
      </c>
    </row>
    <row r="36" spans="1:3">
      <c r="A36" t="s">
        <v>402</v>
      </c>
      <c r="C36">
        <v>29</v>
      </c>
    </row>
    <row r="37" spans="1:3">
      <c r="A37" t="s">
        <v>403</v>
      </c>
      <c r="C37">
        <v>30</v>
      </c>
    </row>
    <row r="39" spans="1:3">
      <c r="A39" s="155" t="s">
        <v>404</v>
      </c>
    </row>
    <row r="40" spans="1:3">
      <c r="A40" t="s">
        <v>380</v>
      </c>
      <c r="C40">
        <v>5</v>
      </c>
    </row>
    <row r="41" spans="1:3">
      <c r="A41" t="s">
        <v>382</v>
      </c>
      <c r="C41">
        <v>7</v>
      </c>
    </row>
    <row r="42" spans="1:3">
      <c r="A42" t="s">
        <v>385</v>
      </c>
      <c r="C42">
        <v>9</v>
      </c>
    </row>
    <row r="43" spans="1:3">
      <c r="A43" t="s">
        <v>386</v>
      </c>
      <c r="C43">
        <v>11</v>
      </c>
    </row>
    <row r="44" spans="1:3">
      <c r="A44" t="s">
        <v>389</v>
      </c>
      <c r="C44">
        <v>13</v>
      </c>
    </row>
    <row r="45" spans="1:3">
      <c r="A45" t="s">
        <v>390</v>
      </c>
      <c r="C45">
        <v>15</v>
      </c>
    </row>
    <row r="46" spans="1:3">
      <c r="A46" t="s">
        <v>392</v>
      </c>
      <c r="C46">
        <v>17</v>
      </c>
    </row>
    <row r="47" spans="1:3">
      <c r="A47" t="s">
        <v>394</v>
      </c>
      <c r="C47">
        <v>19</v>
      </c>
    </row>
    <row r="48" spans="1:3">
      <c r="A48" t="s">
        <v>396</v>
      </c>
      <c r="C48">
        <v>21</v>
      </c>
    </row>
    <row r="50" spans="1:3">
      <c r="A50" s="155" t="s">
        <v>405</v>
      </c>
    </row>
    <row r="51" spans="1:3">
      <c r="A51" t="s">
        <v>382</v>
      </c>
      <c r="C51">
        <v>7</v>
      </c>
    </row>
    <row r="52" spans="1:3">
      <c r="A52" t="s">
        <v>383</v>
      </c>
      <c r="C52">
        <v>8</v>
      </c>
    </row>
    <row r="53" spans="1:3">
      <c r="A53" t="s">
        <v>389</v>
      </c>
      <c r="C53">
        <v>13</v>
      </c>
    </row>
    <row r="54" spans="1:3">
      <c r="A54" t="s">
        <v>388</v>
      </c>
      <c r="C54">
        <v>14</v>
      </c>
    </row>
    <row r="55" spans="1:3">
      <c r="A55" t="s">
        <v>394</v>
      </c>
      <c r="C55">
        <v>19</v>
      </c>
    </row>
    <row r="56" spans="1:3">
      <c r="A56" t="s">
        <v>395</v>
      </c>
      <c r="C56">
        <v>20</v>
      </c>
    </row>
    <row r="57" spans="1:3">
      <c r="A57" t="s">
        <v>398</v>
      </c>
      <c r="C57">
        <v>23</v>
      </c>
    </row>
    <row r="59" spans="1:3">
      <c r="A59" s="155" t="s">
        <v>406</v>
      </c>
    </row>
    <row r="60" spans="1:3">
      <c r="A60" t="s">
        <v>385</v>
      </c>
      <c r="C60">
        <v>9</v>
      </c>
    </row>
    <row r="61" spans="1:3">
      <c r="A61" t="s">
        <v>384</v>
      </c>
      <c r="C61">
        <v>10</v>
      </c>
    </row>
    <row r="62" spans="1:3">
      <c r="A62" t="s">
        <v>390</v>
      </c>
      <c r="C62">
        <v>15</v>
      </c>
    </row>
    <row r="63" spans="1:3">
      <c r="A63" t="s">
        <v>391</v>
      </c>
      <c r="C63">
        <v>16</v>
      </c>
    </row>
    <row r="64" spans="1:3">
      <c r="A64" t="s">
        <v>396</v>
      </c>
      <c r="C64">
        <v>21</v>
      </c>
    </row>
    <row r="65" spans="1:3">
      <c r="A65" t="s">
        <v>397</v>
      </c>
      <c r="C65">
        <v>22</v>
      </c>
    </row>
    <row r="66" spans="1:3">
      <c r="A66" t="s">
        <v>399</v>
      </c>
      <c r="C66">
        <v>24</v>
      </c>
    </row>
    <row r="68" spans="1:3">
      <c r="A68" s="155" t="s">
        <v>407</v>
      </c>
    </row>
    <row r="69" spans="1:3">
      <c r="A69" t="s">
        <v>376</v>
      </c>
      <c r="C69">
        <v>2</v>
      </c>
    </row>
    <row r="70" spans="1:3">
      <c r="A70" t="s">
        <v>402</v>
      </c>
      <c r="C70">
        <v>29</v>
      </c>
    </row>
    <row r="71" spans="1:3">
      <c r="A71" t="s">
        <v>403</v>
      </c>
      <c r="C71">
        <v>30</v>
      </c>
    </row>
  </sheetData>
  <mergeCells count="3">
    <mergeCell ref="A1:C1"/>
    <mergeCell ref="A2:C2"/>
    <mergeCell ref="A3:C3"/>
  </mergeCells>
  <printOptions horizontalCentered="1" verticalCentered="1"/>
  <pageMargins left="0.75" right="0.75" top="0.5" bottom="0.5" header="0.5" footer="0.5"/>
  <pageSetup scale="81" orientation="portrait" r:id="rId1"/>
  <headerFooter alignWithMargins="0"/>
</worksheet>
</file>

<file path=xl/worksheets/sheet5.xml><?xml version="1.0" encoding="utf-8"?>
<worksheet xmlns="http://schemas.openxmlformats.org/spreadsheetml/2006/main" xmlns:r="http://schemas.openxmlformats.org/officeDocument/2006/relationships">
  <sheetPr codeName="Sheet5"/>
  <dimension ref="A1:C1"/>
  <sheetViews>
    <sheetView workbookViewId="0"/>
  </sheetViews>
  <sheetFormatPr defaultColWidth="25.7109375" defaultRowHeight="13.5"/>
  <cols>
    <col min="1" max="16384" width="25.7109375" style="14"/>
  </cols>
  <sheetData>
    <row r="1" spans="1:3">
      <c r="A1" s="14">
        <v>0</v>
      </c>
      <c r="B1" s="14">
        <v>18</v>
      </c>
      <c r="C1" s="14" t="s">
        <v>737</v>
      </c>
    </row>
  </sheetData>
  <customSheetViews>
    <customSheetView guid="{6B74E52F-9552-408A-8775-25AFF24E6639}" state="hidden" showRuler="0">
      <pageMargins left="0.75" right="0.75" top="1" bottom="1" header="0.5" footer="0.5"/>
      <headerFooter alignWithMargins="0"/>
    </customSheetView>
  </customSheetViews>
  <phoneticPr fontId="4" type="noConversion"/>
  <pageMargins left="0.75" right="0.75" top="1" bottom="1" header="0.5" footer="0.5"/>
  <headerFooter alignWithMargins="0"/>
</worksheet>
</file>

<file path=xl/worksheets/sheet50.xml><?xml version="1.0" encoding="utf-8"?>
<worksheet xmlns="http://schemas.openxmlformats.org/spreadsheetml/2006/main" xmlns:r="http://schemas.openxmlformats.org/officeDocument/2006/relationships">
  <sheetPr codeName="Sheet87"/>
  <dimension ref="A1:Y131"/>
  <sheetViews>
    <sheetView zoomScaleNormal="100" workbookViewId="0">
      <selection sqref="A1:P1"/>
    </sheetView>
  </sheetViews>
  <sheetFormatPr defaultRowHeight="12.75"/>
  <cols>
    <col min="1" max="1" width="5" style="32" customWidth="1"/>
    <col min="2" max="2" width="8.140625" style="58" customWidth="1"/>
    <col min="3" max="3" width="29" style="10" customWidth="1"/>
    <col min="4" max="4" width="17.7109375" style="10" customWidth="1"/>
    <col min="5" max="5" width="1.7109375" style="10" customWidth="1"/>
    <col min="6" max="6" width="17.7109375" style="10" customWidth="1"/>
    <col min="7" max="7" width="1.7109375" style="10" customWidth="1"/>
    <col min="8" max="8" width="17.7109375" style="10" customWidth="1"/>
    <col min="9" max="9" width="1.7109375" style="10" customWidth="1"/>
    <col min="10" max="10" width="17.7109375" style="10" customWidth="1"/>
    <col min="11" max="11" width="1.7109375" style="10" customWidth="1"/>
    <col min="12" max="12" width="17.7109375" style="10" customWidth="1"/>
    <col min="13" max="13" width="1.7109375" style="10" customWidth="1"/>
    <col min="14" max="14" width="19.28515625" style="10" customWidth="1"/>
    <col min="15" max="15" width="20.7109375" style="163" customWidth="1"/>
    <col min="16" max="16" width="12.85546875" style="10" bestFit="1" customWidth="1"/>
    <col min="17" max="16384" width="9.140625" style="10"/>
  </cols>
  <sheetData>
    <row r="1" spans="1:25">
      <c r="A1" s="359" t="s">
        <v>134</v>
      </c>
      <c r="B1" s="359"/>
      <c r="C1" s="359"/>
      <c r="D1" s="359"/>
      <c r="E1" s="359"/>
      <c r="F1" s="359"/>
      <c r="G1" s="359"/>
      <c r="H1" s="359"/>
      <c r="I1" s="359"/>
      <c r="J1" s="359"/>
      <c r="K1" s="359"/>
      <c r="L1" s="359"/>
      <c r="M1" s="359"/>
      <c r="N1" s="359"/>
    </row>
    <row r="2" spans="1:25">
      <c r="A2" s="359" t="s">
        <v>1146</v>
      </c>
      <c r="B2" s="359"/>
      <c r="C2" s="359"/>
      <c r="D2" s="359"/>
      <c r="E2" s="359"/>
      <c r="F2" s="359"/>
      <c r="G2" s="359"/>
      <c r="H2" s="359"/>
      <c r="I2" s="359"/>
      <c r="J2" s="359"/>
      <c r="K2" s="359"/>
      <c r="L2" s="359"/>
      <c r="M2" s="359"/>
      <c r="N2" s="359"/>
    </row>
    <row r="3" spans="1:25">
      <c r="A3" s="360" t="s">
        <v>1960</v>
      </c>
      <c r="B3" s="361"/>
      <c r="C3" s="361"/>
      <c r="D3" s="361"/>
      <c r="E3" s="361"/>
      <c r="F3" s="361"/>
      <c r="G3" s="361"/>
      <c r="H3" s="361"/>
      <c r="I3" s="361"/>
      <c r="J3" s="361"/>
      <c r="K3" s="361"/>
      <c r="L3" s="361"/>
      <c r="M3" s="361"/>
      <c r="N3" s="361"/>
    </row>
    <row r="4" spans="1:25">
      <c r="A4" s="31"/>
      <c r="B4" s="57"/>
      <c r="C4" s="9"/>
      <c r="D4" s="9"/>
      <c r="E4" s="9"/>
      <c r="F4" s="9"/>
      <c r="G4" s="9"/>
      <c r="H4" s="9"/>
      <c r="I4" s="9"/>
      <c r="J4" s="9"/>
      <c r="K4" s="9"/>
      <c r="L4" s="9"/>
      <c r="M4" s="9"/>
      <c r="N4" s="9"/>
    </row>
    <row r="5" spans="1:25">
      <c r="A5" s="31"/>
      <c r="B5" s="57"/>
      <c r="C5" s="9"/>
      <c r="D5" s="9"/>
      <c r="E5" s="9"/>
      <c r="F5" s="9"/>
      <c r="G5" s="9"/>
      <c r="H5" s="9"/>
      <c r="I5" s="9"/>
      <c r="J5" s="9"/>
      <c r="K5" s="9"/>
      <c r="L5" s="9"/>
      <c r="M5" s="9"/>
      <c r="N5" s="9"/>
    </row>
    <row r="6" spans="1:25">
      <c r="A6" s="31"/>
      <c r="B6" s="57"/>
      <c r="C6" s="9"/>
      <c r="D6" s="84" t="s">
        <v>25</v>
      </c>
      <c r="E6" s="22"/>
      <c r="F6" s="22"/>
      <c r="G6" s="22"/>
      <c r="H6" s="22"/>
      <c r="I6" s="22"/>
      <c r="J6" s="84" t="s">
        <v>612</v>
      </c>
      <c r="K6" s="22"/>
      <c r="L6" s="22"/>
      <c r="M6" s="22"/>
      <c r="N6" s="84" t="s">
        <v>26</v>
      </c>
    </row>
    <row r="7" spans="1:25" s="12" customFormat="1">
      <c r="A7" s="59"/>
      <c r="D7" s="43" t="s">
        <v>27</v>
      </c>
      <c r="E7" s="23"/>
      <c r="F7" s="43" t="s">
        <v>107</v>
      </c>
      <c r="G7" s="23"/>
      <c r="H7" s="43" t="s">
        <v>108</v>
      </c>
      <c r="I7" s="23"/>
      <c r="J7" s="43" t="s">
        <v>613</v>
      </c>
      <c r="K7" s="23"/>
      <c r="L7" s="43" t="s">
        <v>109</v>
      </c>
      <c r="M7" s="23"/>
      <c r="N7" s="43" t="s">
        <v>27</v>
      </c>
      <c r="O7" s="163"/>
      <c r="P7" s="10"/>
      <c r="Q7" s="10"/>
      <c r="R7" s="10"/>
      <c r="S7" s="10"/>
      <c r="T7" s="10"/>
      <c r="U7" s="10"/>
      <c r="V7" s="10"/>
      <c r="W7" s="10"/>
      <c r="X7" s="10"/>
      <c r="Y7" s="10"/>
    </row>
    <row r="8" spans="1:25">
      <c r="A8" s="32">
        <v>101</v>
      </c>
      <c r="B8" s="12" t="s">
        <v>610</v>
      </c>
    </row>
    <row r="9" spans="1:25">
      <c r="B9" s="58" t="s">
        <v>652</v>
      </c>
    </row>
    <row r="10" spans="1:25">
      <c r="C10" s="10" t="s">
        <v>455</v>
      </c>
      <c r="D10" s="24">
        <f>+'Summary - Cost - PG 1 (Fin)'!D10+'Summary - Cost - PG 1 (PA)'!D10</f>
        <v>93976993.439999998</v>
      </c>
      <c r="E10" s="24"/>
      <c r="F10" s="24">
        <f>+'Summary - Cost - PG 1 (Fin)'!F10+'Summary - Cost - PG 1 (PA)'!F10</f>
        <v>3159995.05</v>
      </c>
      <c r="G10" s="24"/>
      <c r="H10" s="24">
        <f>+'Summary - Cost - PG 1 (Fin)'!H10+'Summary - Cost - PG 1 (PA)'!H10</f>
        <v>-96055.439999999944</v>
      </c>
      <c r="I10" s="24"/>
      <c r="J10" s="24">
        <f>+'Summary - Cost - PG 1 (Fin)'!J10+'Summary - Cost - PG 1 (PA)'!J10</f>
        <v>0</v>
      </c>
      <c r="K10" s="24"/>
      <c r="L10" s="24">
        <f>F10+H10+J10</f>
        <v>3063939.61</v>
      </c>
      <c r="M10" s="24"/>
      <c r="N10" s="24">
        <f>D10+L10</f>
        <v>97040933.049999997</v>
      </c>
      <c r="O10" s="84"/>
    </row>
    <row r="11" spans="1:25">
      <c r="C11" s="10" t="s">
        <v>111</v>
      </c>
      <c r="D11" s="28">
        <f>+'Summary - Cost - PG 1 (Fin)'!D11+'Summary - Cost - PG 1 (PA)'!D11</f>
        <v>49525478.379999995</v>
      </c>
      <c r="E11" s="27"/>
      <c r="F11" s="28">
        <f>+'Summary - Cost - PG 1 (Fin)'!F11+'Summary - Cost - PG 1 (PA)'!F11</f>
        <v>466307.98</v>
      </c>
      <c r="G11" s="27"/>
      <c r="H11" s="28">
        <f>+'Summary - Cost - PG 1 (Fin)'!H11+'Summary - Cost - PG 1 (PA)'!H11</f>
        <v>-400877.43000000005</v>
      </c>
      <c r="I11" s="27"/>
      <c r="J11" s="28">
        <f>+'Summary - Cost - PG 1 (Fin)'!J11+'Summary - Cost - PG 1 (PA)'!J11</f>
        <v>0</v>
      </c>
      <c r="K11" s="27"/>
      <c r="L11" s="28">
        <f>F11+H11+J11</f>
        <v>65430.54999999993</v>
      </c>
      <c r="M11" s="27"/>
      <c r="N11" s="28">
        <f>D11+L11</f>
        <v>49590908.929999992</v>
      </c>
      <c r="O11" s="85"/>
    </row>
    <row r="12" spans="1:25">
      <c r="C12" s="11"/>
      <c r="D12" s="27">
        <f>D10+D11</f>
        <v>143502471.81999999</v>
      </c>
      <c r="E12" s="27"/>
      <c r="F12" s="27">
        <f>F10+F11</f>
        <v>3626303.03</v>
      </c>
      <c r="G12" s="27"/>
      <c r="H12" s="27">
        <f>H10+H11</f>
        <v>-496932.87</v>
      </c>
      <c r="I12" s="27"/>
      <c r="J12" s="27">
        <f>J10+J11</f>
        <v>0</v>
      </c>
      <c r="K12" s="27"/>
      <c r="L12" s="27">
        <f>L10+L11</f>
        <v>3129370.1599999997</v>
      </c>
      <c r="M12" s="27"/>
      <c r="N12" s="27">
        <f>N10+N11</f>
        <v>146631841.97999999</v>
      </c>
      <c r="O12" s="85"/>
    </row>
    <row r="13" spans="1:25">
      <c r="B13" s="12"/>
      <c r="D13" s="27"/>
      <c r="E13" s="27"/>
      <c r="F13" s="27"/>
      <c r="G13" s="27"/>
      <c r="H13" s="27"/>
      <c r="I13" s="27"/>
      <c r="J13" s="27"/>
      <c r="K13" s="27"/>
      <c r="L13" s="27"/>
      <c r="M13" s="27"/>
      <c r="N13" s="27"/>
      <c r="O13" s="85"/>
    </row>
    <row r="14" spans="1:25">
      <c r="B14" s="58" t="s">
        <v>112</v>
      </c>
      <c r="D14" s="27"/>
      <c r="E14" s="27"/>
      <c r="F14" s="27"/>
      <c r="G14" s="27"/>
      <c r="H14" s="27"/>
      <c r="I14" s="27"/>
      <c r="J14" s="27"/>
      <c r="K14" s="27"/>
      <c r="L14" s="27"/>
      <c r="M14" s="27"/>
      <c r="N14" s="27"/>
      <c r="O14" s="85"/>
    </row>
    <row r="15" spans="1:25">
      <c r="C15" s="10" t="s">
        <v>113</v>
      </c>
      <c r="D15" s="27">
        <f>+'Summary - Cost - PG 1 (Fin)'!D15+'Summary - Cost - PG 1 (PA)'!D15</f>
        <v>693033081.33999991</v>
      </c>
      <c r="E15" s="27"/>
      <c r="F15" s="27">
        <f>+'Summary - Cost - PG 1 (Fin)'!F15+'Summary - Cost - PG 1 (PA)'!F15</f>
        <v>20208017.219999999</v>
      </c>
      <c r="G15" s="27"/>
      <c r="H15" s="27">
        <f>+'Summary - Cost - PG 1 (Fin)'!H15+'Summary - Cost - PG 1 (PA)'!H15</f>
        <v>-1212153.9299999997</v>
      </c>
      <c r="I15" s="27"/>
      <c r="J15" s="27">
        <f>+'Summary - Cost - PG 1 (Fin)'!J15+'Summary - Cost - PG 1 (PA)'!J15</f>
        <v>21903.139999999981</v>
      </c>
      <c r="K15" s="27"/>
      <c r="L15" s="27">
        <f t="shared" ref="L15:L21" si="0">F15+H15+J15</f>
        <v>19017766.43</v>
      </c>
      <c r="M15" s="27"/>
      <c r="N15" s="27">
        <f t="shared" ref="N15:N21" si="1">D15+L15</f>
        <v>712050847.76999986</v>
      </c>
      <c r="O15" s="85"/>
    </row>
    <row r="16" spans="1:25">
      <c r="C16" s="10" t="s">
        <v>114</v>
      </c>
      <c r="D16" s="27">
        <f>+'Summary - Cost - PG 1 (Fin)'!D16+'Summary - Cost - PG 1 (PA)'!D16</f>
        <v>5117838.8000000007</v>
      </c>
      <c r="E16" s="27"/>
      <c r="F16" s="27">
        <f>+'Summary - Cost - PG 1 (Fin)'!F16+'Summary - Cost - PG 1 (PA)'!F16</f>
        <v>179252.16</v>
      </c>
      <c r="G16" s="27"/>
      <c r="H16" s="27">
        <f>+'Summary - Cost - PG 1 (Fin)'!H16+'Summary - Cost - PG 1 (PA)'!H16</f>
        <v>0</v>
      </c>
      <c r="I16" s="27"/>
      <c r="J16" s="27">
        <f>+'Summary - Cost - PG 1 (Fin)'!J16+'Summary - Cost - PG 1 (PA)'!J16</f>
        <v>0</v>
      </c>
      <c r="K16" s="27"/>
      <c r="L16" s="27">
        <f t="shared" si="0"/>
        <v>179252.16</v>
      </c>
      <c r="M16" s="27"/>
      <c r="N16" s="27">
        <f t="shared" si="1"/>
        <v>5297090.9600000009</v>
      </c>
      <c r="O16" s="85"/>
    </row>
    <row r="17" spans="2:15">
      <c r="C17" s="10" t="s">
        <v>115</v>
      </c>
      <c r="D17" s="27">
        <f>+'Summary - Cost - PG 1 (Fin)'!D17+'Summary - Cost - PG 1 (PA)'!D17</f>
        <v>33014601.650000002</v>
      </c>
      <c r="E17" s="27"/>
      <c r="F17" s="27">
        <f>+'Summary - Cost - PG 1 (Fin)'!F17+'Summary - Cost - PG 1 (PA)'!F17</f>
        <v>16456.36</v>
      </c>
      <c r="G17" s="27"/>
      <c r="H17" s="27">
        <f>+'Summary - Cost - PG 1 (Fin)'!H17+'Summary - Cost - PG 1 (PA)'!H17</f>
        <v>18.109999999999957</v>
      </c>
      <c r="I17" s="27"/>
      <c r="J17" s="27">
        <f>+'Summary - Cost - PG 1 (Fin)'!J17+'Summary - Cost - PG 1 (PA)'!J17</f>
        <v>0</v>
      </c>
      <c r="K17" s="27"/>
      <c r="L17" s="27">
        <f t="shared" si="0"/>
        <v>16474.47</v>
      </c>
      <c r="M17" s="27"/>
      <c r="N17" s="27">
        <f t="shared" si="1"/>
        <v>33031076.120000001</v>
      </c>
      <c r="O17" s="85"/>
    </row>
    <row r="18" spans="2:15">
      <c r="C18" s="10" t="s">
        <v>116</v>
      </c>
      <c r="D18" s="27">
        <f>+'Summary - Cost - PG 1 (Fin)'!D18+'Summary - Cost - PG 1 (PA)'!D18</f>
        <v>2240.29</v>
      </c>
      <c r="E18" s="27"/>
      <c r="F18" s="27">
        <f>+'Summary - Cost - PG 1 (Fin)'!F18+'Summary - Cost - PG 1 (PA)'!F18</f>
        <v>0</v>
      </c>
      <c r="G18" s="27"/>
      <c r="H18" s="27">
        <f>+'Summary - Cost - PG 1 (Fin)'!H18+'Summary - Cost - PG 1 (PA)'!H18</f>
        <v>0</v>
      </c>
      <c r="I18" s="27"/>
      <c r="J18" s="27">
        <f>+'Summary - Cost - PG 1 (Fin)'!J18+'Summary - Cost - PG 1 (PA)'!J18</f>
        <v>0</v>
      </c>
      <c r="K18" s="27"/>
      <c r="L18" s="27">
        <f t="shared" si="0"/>
        <v>0</v>
      </c>
      <c r="M18" s="27"/>
      <c r="N18" s="27">
        <f t="shared" si="1"/>
        <v>2240.29</v>
      </c>
      <c r="O18" s="85"/>
    </row>
    <row r="19" spans="2:15">
      <c r="C19" s="10" t="s">
        <v>117</v>
      </c>
      <c r="D19" s="27">
        <f>+'Summary - Cost - PG 1 (Fin)'!D19+'Summary - Cost - PG 1 (PA)'!D19</f>
        <v>175602533.09</v>
      </c>
      <c r="E19" s="27"/>
      <c r="F19" s="27">
        <f>+'Summary - Cost - PG 1 (Fin)'!F19+'Summary - Cost - PG 1 (PA)'!F19</f>
        <v>3514154.86</v>
      </c>
      <c r="G19" s="27"/>
      <c r="H19" s="27">
        <f>+'Summary - Cost - PG 1 (Fin)'!H19+'Summary - Cost - PG 1 (PA)'!H19</f>
        <v>-482249.92000000004</v>
      </c>
      <c r="I19" s="27"/>
      <c r="J19" s="27">
        <f>+'Summary - Cost - PG 1 (Fin)'!J19+'Summary - Cost - PG 1 (PA)'!J19</f>
        <v>0</v>
      </c>
      <c r="K19" s="27"/>
      <c r="L19" s="27">
        <f t="shared" si="0"/>
        <v>3031904.94</v>
      </c>
      <c r="M19" s="27"/>
      <c r="N19" s="27">
        <f t="shared" si="1"/>
        <v>178634438.03</v>
      </c>
      <c r="O19" s="85"/>
    </row>
    <row r="20" spans="2:15">
      <c r="C20" s="10" t="s">
        <v>118</v>
      </c>
      <c r="D20" s="27">
        <f>+'Summary - Cost - PG 1 (Fin)'!D20+'Summary - Cost - PG 1 (PA)'!D20</f>
        <v>1106190445.7899995</v>
      </c>
      <c r="E20" s="27"/>
      <c r="F20" s="27">
        <f>+'Summary - Cost - PG 1 (Fin)'!F20+'Summary - Cost - PG 1 (PA)'!F20</f>
        <v>16857073.789999999</v>
      </c>
      <c r="G20" s="27"/>
      <c r="H20" s="27">
        <f>+'Summary - Cost - PG 1 (Fin)'!H20+'Summary - Cost - PG 1 (PA)'!H20</f>
        <v>-1121933.4899999998</v>
      </c>
      <c r="I20" s="27"/>
      <c r="J20" s="27">
        <f>+'Summary - Cost - PG 1 (Fin)'!J20+'Summary - Cost - PG 1 (PA)'!J20</f>
        <v>0</v>
      </c>
      <c r="K20" s="27"/>
      <c r="L20" s="27">
        <f t="shared" si="0"/>
        <v>15735140.299999999</v>
      </c>
      <c r="M20" s="27"/>
      <c r="N20" s="27">
        <f t="shared" si="1"/>
        <v>1121925586.0899994</v>
      </c>
      <c r="O20" s="85"/>
    </row>
    <row r="21" spans="2:15">
      <c r="C21" s="10" t="s">
        <v>119</v>
      </c>
      <c r="D21" s="28">
        <f>+'Summary - Cost - PG 1 (Fin)'!D21+'Summary - Cost - PG 1 (PA)'!D21</f>
        <v>137217982.44</v>
      </c>
      <c r="E21" s="27"/>
      <c r="F21" s="28">
        <f>+'Summary - Cost - PG 1 (Fin)'!F21+'Summary - Cost - PG 1 (PA)'!F21</f>
        <v>5667284.0299999993</v>
      </c>
      <c r="G21" s="27"/>
      <c r="H21" s="28">
        <f>+'Summary - Cost - PG 1 (Fin)'!H21+'Summary - Cost - PG 1 (PA)'!H21</f>
        <v>-456718.33000000007</v>
      </c>
      <c r="I21" s="27"/>
      <c r="J21" s="28">
        <f>+'Summary - Cost - PG 1 (Fin)'!J21+'Summary - Cost - PG 1 (PA)'!J21</f>
        <v>0</v>
      </c>
      <c r="K21" s="27"/>
      <c r="L21" s="28">
        <f t="shared" si="0"/>
        <v>5210565.6999999993</v>
      </c>
      <c r="M21" s="27"/>
      <c r="N21" s="28">
        <f t="shared" si="1"/>
        <v>142428548.13999999</v>
      </c>
      <c r="O21" s="85"/>
    </row>
    <row r="22" spans="2:15">
      <c r="C22" s="11"/>
      <c r="D22" s="27">
        <f>SUM(D15:D21)</f>
        <v>2150178723.3999991</v>
      </c>
      <c r="E22" s="27"/>
      <c r="F22" s="27">
        <f>SUM(F15:F21)</f>
        <v>46442238.420000002</v>
      </c>
      <c r="G22" s="27"/>
      <c r="H22" s="27">
        <f>SUM(H15:H21)</f>
        <v>-3273037.5599999996</v>
      </c>
      <c r="I22" s="27"/>
      <c r="J22" s="27">
        <f>SUM(J15:J21)</f>
        <v>21903.139999999981</v>
      </c>
      <c r="K22" s="27"/>
      <c r="L22" s="27">
        <f>SUM(L15:L21)</f>
        <v>43191104</v>
      </c>
      <c r="M22" s="27"/>
      <c r="N22" s="27">
        <f>SUM(N15:N21)</f>
        <v>2193369827.3999991</v>
      </c>
      <c r="O22" s="85"/>
    </row>
    <row r="23" spans="2:15">
      <c r="B23" s="12"/>
      <c r="D23" s="27"/>
      <c r="E23" s="27"/>
      <c r="F23" s="27"/>
      <c r="G23" s="27"/>
      <c r="H23" s="27"/>
      <c r="I23" s="27"/>
      <c r="J23" s="27"/>
      <c r="K23" s="27"/>
      <c r="L23" s="27"/>
      <c r="M23" s="27"/>
      <c r="N23" s="27"/>
      <c r="O23" s="85"/>
    </row>
    <row r="24" spans="2:15">
      <c r="B24" s="58" t="s">
        <v>120</v>
      </c>
      <c r="D24" s="24"/>
      <c r="E24" s="24"/>
      <c r="F24" s="24"/>
      <c r="G24" s="24"/>
      <c r="H24" s="24"/>
      <c r="I24" s="24"/>
      <c r="J24" s="24"/>
      <c r="K24" s="24"/>
      <c r="L24" s="24"/>
      <c r="M24" s="24"/>
      <c r="N24" s="24"/>
      <c r="O24" s="84"/>
    </row>
    <row r="25" spans="2:15">
      <c r="C25" s="10" t="s">
        <v>121</v>
      </c>
      <c r="D25" s="24">
        <f>+'Summary - Cost - PG 1 (Fin)'!D25+'Summary - Cost - PG 1 (PA)'!D25</f>
        <v>469764074.16000009</v>
      </c>
      <c r="E25" s="24"/>
      <c r="F25" s="24">
        <f>+'Summary - Cost - PG 1 (Fin)'!F25+'Summary - Cost - PG 1 (PA)'!F25</f>
        <v>2781902.86</v>
      </c>
      <c r="G25" s="24"/>
      <c r="H25" s="24">
        <f>+'Summary - Cost - PG 1 (Fin)'!H25+'Summary - Cost - PG 1 (PA)'!H25</f>
        <v>-9131.720000000003</v>
      </c>
      <c r="I25" s="24"/>
      <c r="J25" s="24">
        <f>+'Summary - Cost - PG 1 (Fin)'!J25+'Summary - Cost - PG 1 (PA)'!J25</f>
        <v>-134900.23000000001</v>
      </c>
      <c r="K25" s="24"/>
      <c r="L25" s="24">
        <f>F25+H25+J25</f>
        <v>2637870.9099999997</v>
      </c>
      <c r="M25" s="24"/>
      <c r="N25" s="24">
        <f>D25+L25</f>
        <v>472401945.07000011</v>
      </c>
      <c r="O25" s="84"/>
    </row>
    <row r="26" spans="2:15">
      <c r="C26" s="10" t="s">
        <v>122</v>
      </c>
      <c r="D26" s="24">
        <f>+'Summary - Cost - PG 1 (Fin)'!D26+'Summary - Cost - PG 1 (PA)'!D26</f>
        <v>3491211.1799999988</v>
      </c>
      <c r="E26" s="24"/>
      <c r="F26" s="24">
        <f>+'Summary - Cost - PG 1 (Fin)'!F26+'Summary - Cost - PG 1 (PA)'!F26</f>
        <v>591411.84</v>
      </c>
      <c r="G26" s="24"/>
      <c r="H26" s="24">
        <f>+'Summary - Cost - PG 1 (Fin)'!H26+'Summary - Cost - PG 1 (PA)'!H26</f>
        <v>0</v>
      </c>
      <c r="I26" s="24"/>
      <c r="J26" s="24">
        <f>+'Summary - Cost - PG 1 (Fin)'!J26+'Summary - Cost - PG 1 (PA)'!J26</f>
        <v>0</v>
      </c>
      <c r="K26" s="24"/>
      <c r="L26" s="24">
        <f>F26+H26+J26</f>
        <v>591411.84</v>
      </c>
      <c r="M26" s="24"/>
      <c r="N26" s="24">
        <f>D26+L26</f>
        <v>4082623.0199999986</v>
      </c>
      <c r="O26" s="84"/>
    </row>
    <row r="27" spans="2:15">
      <c r="C27" s="10" t="s">
        <v>123</v>
      </c>
      <c r="D27" s="24">
        <f>+'Summary - Cost - PG 1 (Fin)'!D27+'Summary - Cost - PG 1 (PA)'!D27</f>
        <v>268.33000000000004</v>
      </c>
      <c r="E27" s="24"/>
      <c r="F27" s="24">
        <f>+'Summary - Cost - PG 1 (Fin)'!F27+'Summary - Cost - PG 1 (PA)'!F27</f>
        <v>0</v>
      </c>
      <c r="G27" s="24"/>
      <c r="H27" s="24">
        <f>+'Summary - Cost - PG 1 (Fin)'!H27+'Summary - Cost - PG 1 (PA)'!H27</f>
        <v>0</v>
      </c>
      <c r="I27" s="24"/>
      <c r="J27" s="24">
        <f>+'Summary - Cost - PG 1 (Fin)'!J27+'Summary - Cost - PG 1 (PA)'!J27</f>
        <v>0</v>
      </c>
      <c r="K27" s="24"/>
      <c r="L27" s="24">
        <f>F27+H27+J27</f>
        <v>0</v>
      </c>
      <c r="M27" s="24"/>
      <c r="N27" s="24">
        <f>D27+L27</f>
        <v>268.33000000000004</v>
      </c>
      <c r="O27" s="84"/>
    </row>
    <row r="28" spans="2:15">
      <c r="C28" s="10" t="s">
        <v>124</v>
      </c>
      <c r="D28" s="24">
        <f>+'Summary - Cost - PG 1 (Fin)'!D28+'Summary - Cost - PG 1 (PA)'!D28</f>
        <v>49117556.880000003</v>
      </c>
      <c r="E28" s="24"/>
      <c r="F28" s="24">
        <f>+'Summary - Cost - PG 1 (Fin)'!F28+'Summary - Cost - PG 1 (PA)'!F28</f>
        <v>628184.17999999993</v>
      </c>
      <c r="G28" s="24"/>
      <c r="H28" s="24">
        <f>+'Summary - Cost - PG 1 (Fin)'!H28+'Summary - Cost - PG 1 (PA)'!H28</f>
        <v>-19463.049999999996</v>
      </c>
      <c r="I28" s="24"/>
      <c r="J28" s="24">
        <f>+'Summary - Cost - PG 1 (Fin)'!J28+'Summary - Cost - PG 1 (PA)'!J28</f>
        <v>0</v>
      </c>
      <c r="K28" s="24"/>
      <c r="L28" s="24">
        <f>F28+H28+J28</f>
        <v>608721.12999999989</v>
      </c>
      <c r="M28" s="24"/>
      <c r="N28" s="24">
        <f>D28+L28</f>
        <v>49726278.010000005</v>
      </c>
      <c r="O28" s="84"/>
    </row>
    <row r="29" spans="2:15">
      <c r="C29" s="10" t="s">
        <v>125</v>
      </c>
      <c r="D29" s="28">
        <f>+'Summary - Cost - PG 1 (Fin)'!D29+'Summary - Cost - PG 1 (PA)'!D29</f>
        <v>12115343.220000001</v>
      </c>
      <c r="E29" s="24"/>
      <c r="F29" s="28">
        <f>+'Summary - Cost - PG 1 (Fin)'!F29+'Summary - Cost - PG 1 (PA)'!F29</f>
        <v>882947.47</v>
      </c>
      <c r="G29" s="24"/>
      <c r="H29" s="28">
        <f>+'Summary - Cost - PG 1 (Fin)'!H29+'Summary - Cost - PG 1 (PA)'!H29</f>
        <v>-691.69</v>
      </c>
      <c r="I29" s="24"/>
      <c r="J29" s="28">
        <f>+'Summary - Cost - PG 1 (Fin)'!J29+'Summary - Cost - PG 1 (PA)'!J29</f>
        <v>134900.23000000001</v>
      </c>
      <c r="K29" s="24"/>
      <c r="L29" s="28">
        <f>F29+H29+J29</f>
        <v>1017156.01</v>
      </c>
      <c r="M29" s="24"/>
      <c r="N29" s="28">
        <f>D29+L29</f>
        <v>13132499.23</v>
      </c>
      <c r="O29" s="84"/>
    </row>
    <row r="30" spans="2:15">
      <c r="C30" s="11"/>
      <c r="D30" s="27">
        <f>SUM(D25:D29)</f>
        <v>534488453.7700001</v>
      </c>
      <c r="E30" s="27"/>
      <c r="F30" s="27">
        <f>SUM(F25:F29)</f>
        <v>4884446.3499999996</v>
      </c>
      <c r="G30" s="27"/>
      <c r="H30" s="27">
        <f>SUM(H25:H29)</f>
        <v>-29286.459999999995</v>
      </c>
      <c r="I30" s="27"/>
      <c r="J30" s="27">
        <f>SUM(J25:J29)</f>
        <v>0</v>
      </c>
      <c r="K30" s="27"/>
      <c r="L30" s="27">
        <f>SUM(L25:L29)</f>
        <v>4855159.8899999997</v>
      </c>
      <c r="M30" s="27"/>
      <c r="N30" s="27">
        <f>SUM(N25:N29)</f>
        <v>539343613.66000009</v>
      </c>
      <c r="O30" s="84"/>
    </row>
    <row r="31" spans="2:15">
      <c r="D31" s="24"/>
      <c r="E31" s="24"/>
      <c r="F31" s="24"/>
      <c r="G31" s="24"/>
      <c r="H31" s="24"/>
      <c r="I31" s="24"/>
      <c r="J31" s="24"/>
      <c r="K31" s="24"/>
      <c r="L31" s="24"/>
      <c r="M31" s="24"/>
      <c r="N31" s="24"/>
      <c r="O31" s="84"/>
    </row>
    <row r="32" spans="2:15">
      <c r="C32" s="12" t="s">
        <v>126</v>
      </c>
      <c r="D32" s="25">
        <f>D12+D22+D30</f>
        <v>2828169648.9899993</v>
      </c>
      <c r="E32" s="24"/>
      <c r="F32" s="25">
        <f>F12+F22+F30</f>
        <v>54952987.800000004</v>
      </c>
      <c r="G32" s="24"/>
      <c r="H32" s="25">
        <f>H12+H22+H30</f>
        <v>-3799256.8899999997</v>
      </c>
      <c r="I32" s="24"/>
      <c r="J32" s="25">
        <f>J12+J22+J30</f>
        <v>21903.139999999981</v>
      </c>
      <c r="K32" s="24"/>
      <c r="L32" s="25">
        <f>L12+L22+L30</f>
        <v>51175634.049999997</v>
      </c>
      <c r="M32" s="24"/>
      <c r="N32" s="25">
        <f>N12+N22+N30</f>
        <v>2879345283.039999</v>
      </c>
      <c r="O32" s="84"/>
    </row>
    <row r="33" spans="1:15">
      <c r="C33" s="12"/>
      <c r="D33" s="27"/>
      <c r="E33" s="24"/>
      <c r="F33" s="27"/>
      <c r="G33" s="24"/>
      <c r="H33" s="27"/>
      <c r="I33" s="24"/>
      <c r="J33" s="27"/>
      <c r="K33" s="24"/>
      <c r="L33" s="27"/>
      <c r="M33" s="24"/>
      <c r="N33" s="27"/>
      <c r="O33" s="84"/>
    </row>
    <row r="34" spans="1:15">
      <c r="D34" s="24"/>
      <c r="E34" s="24"/>
      <c r="F34" s="24"/>
      <c r="G34" s="24"/>
      <c r="H34" s="24"/>
      <c r="I34" s="24"/>
      <c r="J34" s="24"/>
      <c r="K34" s="24"/>
      <c r="L34" s="24"/>
      <c r="M34" s="24"/>
      <c r="N34" s="24"/>
      <c r="O34" s="84"/>
    </row>
    <row r="35" spans="1:15">
      <c r="A35" s="32">
        <v>101.1</v>
      </c>
      <c r="B35" s="12" t="s">
        <v>106</v>
      </c>
      <c r="D35" s="24"/>
      <c r="E35" s="24"/>
      <c r="F35" s="24"/>
      <c r="G35" s="24"/>
      <c r="H35" s="24"/>
      <c r="I35" s="24"/>
      <c r="J35" s="24"/>
      <c r="K35" s="24"/>
      <c r="L35" s="24"/>
      <c r="M35" s="24"/>
      <c r="N35" s="24"/>
      <c r="O35" s="84"/>
    </row>
    <row r="36" spans="1:15">
      <c r="B36" s="58" t="s">
        <v>112</v>
      </c>
      <c r="C36" s="10" t="s">
        <v>135</v>
      </c>
      <c r="D36" s="24"/>
      <c r="E36" s="24"/>
      <c r="F36" s="24"/>
      <c r="G36" s="24"/>
      <c r="H36" s="24"/>
      <c r="I36" s="24"/>
      <c r="J36" s="24"/>
      <c r="K36" s="24"/>
      <c r="L36" s="24"/>
      <c r="M36" s="24"/>
      <c r="N36" s="24"/>
      <c r="O36" s="84"/>
    </row>
    <row r="37" spans="1:15">
      <c r="C37" s="10" t="s">
        <v>118</v>
      </c>
      <c r="D37" s="28">
        <f>+'Summary - Cost - PG 1 (Fin)'!D37+'Summary - Cost - PG 1 (PA)'!D37</f>
        <v>0</v>
      </c>
      <c r="E37" s="24"/>
      <c r="F37" s="28">
        <f>+'Summary - Cost - PG 1 (Fin)'!F37+'Summary - Cost - PG 1 (PA)'!F37</f>
        <v>0</v>
      </c>
      <c r="G37" s="24"/>
      <c r="H37" s="28">
        <f>+'Summary - Cost - PG 1 (Fin)'!H37+'Summary - Cost - PG 1 (PA)'!H37</f>
        <v>0</v>
      </c>
      <c r="I37" s="24"/>
      <c r="J37" s="28">
        <f>+'Summary - Cost - PG 1 (Fin)'!J37+'Summary - Cost - PG 1 (PA)'!J37</f>
        <v>0</v>
      </c>
      <c r="K37" s="24"/>
      <c r="L37" s="28">
        <f>F37+H37+J37</f>
        <v>0</v>
      </c>
      <c r="M37" s="24"/>
      <c r="N37" s="28">
        <f>D37+L37</f>
        <v>0</v>
      </c>
      <c r="O37" s="84"/>
    </row>
    <row r="38" spans="1:15">
      <c r="C38" s="11"/>
      <c r="D38" s="27">
        <f>SUM(D37)</f>
        <v>0</v>
      </c>
      <c r="E38" s="27"/>
      <c r="F38" s="27">
        <f>SUM(F37)</f>
        <v>0</v>
      </c>
      <c r="G38" s="27"/>
      <c r="H38" s="27">
        <f>SUM(H37)</f>
        <v>0</v>
      </c>
      <c r="I38" s="27"/>
      <c r="J38" s="27">
        <f>SUM(J37)</f>
        <v>0</v>
      </c>
      <c r="K38" s="27"/>
      <c r="L38" s="27">
        <f>SUM(L37)</f>
        <v>0</v>
      </c>
      <c r="M38" s="27"/>
      <c r="N38" s="27">
        <f>SUM(N37)</f>
        <v>0</v>
      </c>
      <c r="O38" s="84"/>
    </row>
    <row r="39" spans="1:15">
      <c r="D39" s="24"/>
      <c r="E39" s="24"/>
      <c r="F39" s="24"/>
      <c r="G39" s="24"/>
      <c r="H39" s="24"/>
      <c r="I39" s="24"/>
      <c r="J39" s="24"/>
      <c r="K39" s="24"/>
      <c r="L39" s="24"/>
      <c r="M39" s="24"/>
      <c r="N39" s="24"/>
      <c r="O39" s="84"/>
    </row>
    <row r="40" spans="1:15">
      <c r="C40" s="12" t="s">
        <v>127</v>
      </c>
      <c r="D40" s="25">
        <f>D38</f>
        <v>0</v>
      </c>
      <c r="E40" s="24"/>
      <c r="F40" s="25">
        <f>F38</f>
        <v>0</v>
      </c>
      <c r="G40" s="24"/>
      <c r="H40" s="25">
        <f>H38</f>
        <v>0</v>
      </c>
      <c r="I40" s="24"/>
      <c r="J40" s="25">
        <f>J38</f>
        <v>0</v>
      </c>
      <c r="K40" s="24"/>
      <c r="L40" s="25">
        <f>L38</f>
        <v>0</v>
      </c>
      <c r="M40" s="24"/>
      <c r="N40" s="25">
        <f>N38</f>
        <v>0</v>
      </c>
      <c r="O40" s="84"/>
    </row>
    <row r="41" spans="1:15">
      <c r="D41" s="24"/>
      <c r="E41" s="24"/>
      <c r="F41" s="24"/>
      <c r="G41" s="24"/>
      <c r="H41" s="24"/>
      <c r="I41" s="24"/>
      <c r="J41" s="24"/>
      <c r="K41" s="24"/>
      <c r="L41" s="24"/>
      <c r="M41" s="24"/>
      <c r="N41" s="24"/>
      <c r="O41" s="84"/>
    </row>
    <row r="42" spans="1:15">
      <c r="D42" s="24"/>
      <c r="E42" s="24"/>
      <c r="F42" s="24"/>
      <c r="G42" s="24"/>
      <c r="H42" s="24"/>
      <c r="I42" s="24"/>
      <c r="J42" s="24"/>
      <c r="K42" s="24"/>
      <c r="L42" s="24"/>
      <c r="M42" s="24"/>
      <c r="N42" s="24"/>
      <c r="O42" s="84"/>
    </row>
    <row r="43" spans="1:15">
      <c r="A43" s="32">
        <v>102</v>
      </c>
      <c r="B43" s="12" t="s">
        <v>501</v>
      </c>
      <c r="D43" s="24"/>
      <c r="E43" s="24"/>
      <c r="F43" s="24"/>
      <c r="G43" s="24"/>
      <c r="H43" s="24"/>
      <c r="I43" s="24"/>
      <c r="J43" s="24"/>
      <c r="K43" s="24"/>
      <c r="L43" s="24"/>
      <c r="M43" s="24"/>
      <c r="N43" s="24"/>
      <c r="O43" s="84"/>
    </row>
    <row r="44" spans="1:15">
      <c r="B44" s="58" t="s">
        <v>112</v>
      </c>
      <c r="D44" s="24"/>
      <c r="E44" s="24"/>
      <c r="F44" s="24"/>
      <c r="G44" s="24"/>
      <c r="H44" s="24"/>
      <c r="I44" s="24"/>
      <c r="J44" s="24"/>
      <c r="K44" s="24"/>
      <c r="L44" s="24"/>
      <c r="M44" s="24"/>
      <c r="N44" s="24"/>
      <c r="O44" s="84"/>
    </row>
    <row r="45" spans="1:15">
      <c r="C45" s="10" t="s">
        <v>118</v>
      </c>
      <c r="D45" s="28">
        <f>+'Summary - Cost - PG 1 (Fin)'!D45+'Summary - Cost - PG 1 (PA)'!D45</f>
        <v>0</v>
      </c>
      <c r="E45" s="27"/>
      <c r="F45" s="28">
        <f>+'Summary - Cost - PG 1 (Fin)'!F45+'Summary - Cost - PG 1 (PA)'!F45</f>
        <v>0</v>
      </c>
      <c r="G45" s="27"/>
      <c r="H45" s="28">
        <f>+'Summary - Cost - PG 1 (Fin)'!H45+'Summary - Cost - PG 1 (PA)'!H45</f>
        <v>0</v>
      </c>
      <c r="I45" s="27"/>
      <c r="J45" s="28">
        <f>+'Summary - Cost - PG 1 (Fin)'!J45+'Summary - Cost - PG 1 (PA)'!J45</f>
        <v>0</v>
      </c>
      <c r="K45" s="27"/>
      <c r="L45" s="28">
        <f>F45+H45+J45</f>
        <v>0</v>
      </c>
      <c r="M45" s="27"/>
      <c r="N45" s="28">
        <f>D45+L45</f>
        <v>0</v>
      </c>
      <c r="O45" s="84"/>
    </row>
    <row r="46" spans="1:15">
      <c r="C46" s="11"/>
      <c r="D46" s="27">
        <f>SUM(D45:D45)</f>
        <v>0</v>
      </c>
      <c r="E46" s="27"/>
      <c r="F46" s="27">
        <f>SUM(F45)</f>
        <v>0</v>
      </c>
      <c r="G46" s="27"/>
      <c r="H46" s="27">
        <f>SUM(H45)</f>
        <v>0</v>
      </c>
      <c r="I46" s="27"/>
      <c r="J46" s="27">
        <f>SUM(J45)</f>
        <v>0</v>
      </c>
      <c r="K46" s="27"/>
      <c r="L46" s="27">
        <f>SUM(L45)</f>
        <v>0</v>
      </c>
      <c r="M46" s="27"/>
      <c r="N46" s="27">
        <f>SUM(N45:N45)</f>
        <v>0</v>
      </c>
      <c r="O46" s="84"/>
    </row>
    <row r="47" spans="1:15">
      <c r="D47" s="24"/>
      <c r="E47" s="24"/>
      <c r="F47" s="24"/>
      <c r="G47" s="24"/>
      <c r="H47" s="24"/>
      <c r="I47" s="24"/>
      <c r="J47" s="24"/>
      <c r="K47" s="24"/>
      <c r="L47" s="24"/>
      <c r="M47" s="24"/>
      <c r="N47" s="24"/>
      <c r="O47" s="84"/>
    </row>
    <row r="48" spans="1:15">
      <c r="C48" s="12" t="s">
        <v>1261</v>
      </c>
      <c r="D48" s="25">
        <f>D46</f>
        <v>0</v>
      </c>
      <c r="E48" s="24"/>
      <c r="F48" s="25">
        <f>F46</f>
        <v>0</v>
      </c>
      <c r="G48" s="24"/>
      <c r="H48" s="25">
        <f>H46</f>
        <v>0</v>
      </c>
      <c r="I48" s="24"/>
      <c r="J48" s="25">
        <f>J46</f>
        <v>0</v>
      </c>
      <c r="K48" s="24"/>
      <c r="L48" s="25">
        <f>L46</f>
        <v>0</v>
      </c>
      <c r="M48" s="24"/>
      <c r="N48" s="25">
        <f>N46</f>
        <v>0</v>
      </c>
      <c r="O48" s="84"/>
    </row>
    <row r="49" spans="1:15">
      <c r="C49" s="12"/>
      <c r="D49" s="27"/>
      <c r="E49" s="24"/>
      <c r="F49" s="27"/>
      <c r="G49" s="24"/>
      <c r="H49" s="27"/>
      <c r="I49" s="24"/>
      <c r="J49" s="27"/>
      <c r="K49" s="24"/>
      <c r="L49" s="27"/>
      <c r="M49" s="24"/>
      <c r="N49" s="27"/>
      <c r="O49" s="84"/>
    </row>
    <row r="50" spans="1:15">
      <c r="C50" s="12"/>
      <c r="D50" s="27"/>
      <c r="E50" s="24"/>
      <c r="F50" s="27"/>
      <c r="G50" s="24"/>
      <c r="H50" s="27"/>
      <c r="I50" s="24"/>
      <c r="J50" s="27"/>
      <c r="K50" s="24"/>
      <c r="L50" s="27"/>
      <c r="M50" s="24"/>
      <c r="N50" s="27">
        <f>+N32+N45</f>
        <v>2879345283.039999</v>
      </c>
      <c r="O50" s="84"/>
    </row>
    <row r="51" spans="1:15">
      <c r="A51" s="32">
        <v>105</v>
      </c>
      <c r="B51" s="12" t="s">
        <v>611</v>
      </c>
      <c r="D51" s="24"/>
      <c r="E51" s="24"/>
      <c r="F51" s="24"/>
      <c r="G51" s="24"/>
      <c r="H51" s="24"/>
      <c r="I51" s="24"/>
      <c r="J51" s="24"/>
      <c r="K51" s="24"/>
      <c r="L51" s="24"/>
      <c r="M51" s="24"/>
      <c r="N51" s="24"/>
      <c r="O51" s="84"/>
    </row>
    <row r="52" spans="1:15">
      <c r="B52" s="58" t="s">
        <v>112</v>
      </c>
      <c r="D52" s="24"/>
      <c r="E52" s="24"/>
      <c r="F52" s="24"/>
      <c r="G52" s="24"/>
      <c r="H52" s="24"/>
      <c r="I52" s="24"/>
      <c r="J52" s="24"/>
      <c r="K52" s="24"/>
      <c r="L52" s="24"/>
      <c r="M52" s="24"/>
      <c r="N52" s="24"/>
      <c r="O52" s="84"/>
    </row>
    <row r="53" spans="1:15">
      <c r="C53" s="10" t="s">
        <v>113</v>
      </c>
      <c r="D53" s="24">
        <f>+'Summary - Cost - PG 1 (Fin)'!D53+'Summary - Cost - PG 1 (PA)'!D53</f>
        <v>649014.48</v>
      </c>
      <c r="E53" s="24"/>
      <c r="F53" s="24">
        <f>+'Summary - Cost - PG 1 (Fin)'!F53+'Summary - Cost - PG 1 (PA)'!F53</f>
        <v>0</v>
      </c>
      <c r="G53" s="24"/>
      <c r="H53" s="24">
        <f>+'Summary - Cost - PG 1 (Fin)'!H53+'Summary - Cost - PG 1 (PA)'!H53</f>
        <v>0</v>
      </c>
      <c r="I53" s="24"/>
      <c r="J53" s="24">
        <f>+'Summary - Cost - PG 1 (Fin)'!J53+'Summary - Cost - PG 1 (PA)'!J53</f>
        <v>-21926.880000000001</v>
      </c>
      <c r="K53" s="24"/>
      <c r="L53" s="27">
        <f>F53+H53+J53</f>
        <v>-21926.880000000001</v>
      </c>
      <c r="M53" s="24"/>
      <c r="N53" s="27">
        <f>D53+L53</f>
        <v>627087.6</v>
      </c>
      <c r="O53" s="84"/>
    </row>
    <row r="54" spans="1:15">
      <c r="C54" s="10" t="s">
        <v>118</v>
      </c>
      <c r="D54" s="28">
        <f>+'Summary - Cost - PG 1 (Fin)'!D54+'Summary - Cost - PG 1 (PA)'!D54</f>
        <v>0</v>
      </c>
      <c r="E54" s="27"/>
      <c r="F54" s="28">
        <f>+'Summary - Cost - PG 1 (Fin)'!F54+'Summary - Cost - PG 1 (PA)'!F54</f>
        <v>0</v>
      </c>
      <c r="G54" s="27"/>
      <c r="H54" s="28">
        <f>+'Summary - Cost - PG 1 (Fin)'!H54+'Summary - Cost - PG 1 (PA)'!H54</f>
        <v>0</v>
      </c>
      <c r="I54" s="27"/>
      <c r="J54" s="28">
        <f>+'Summary - Cost - PG 1 (Fin)'!J54+'Summary - Cost - PG 1 (PA)'!J54</f>
        <v>0</v>
      </c>
      <c r="K54" s="27"/>
      <c r="L54" s="28">
        <f>F54+H54+J54</f>
        <v>0</v>
      </c>
      <c r="M54" s="27"/>
      <c r="N54" s="28">
        <f>D54+L54</f>
        <v>0</v>
      </c>
      <c r="O54" s="84"/>
    </row>
    <row r="55" spans="1:15">
      <c r="C55" s="11"/>
      <c r="D55" s="27">
        <f>SUM(D53:D54)</f>
        <v>649014.48</v>
      </c>
      <c r="E55" s="27"/>
      <c r="F55" s="27">
        <f>SUM(F53:F54)</f>
        <v>0</v>
      </c>
      <c r="G55" s="27"/>
      <c r="H55" s="27">
        <f>SUM(H53:H54)</f>
        <v>0</v>
      </c>
      <c r="I55" s="27"/>
      <c r="J55" s="27">
        <f>SUM(J53:J54)</f>
        <v>-21926.880000000001</v>
      </c>
      <c r="K55" s="27"/>
      <c r="L55" s="27">
        <f>SUM(L53:L54)</f>
        <v>-21926.880000000001</v>
      </c>
      <c r="M55" s="27"/>
      <c r="N55" s="27">
        <f>SUM(N53:N54)</f>
        <v>627087.6</v>
      </c>
      <c r="O55" s="84"/>
    </row>
    <row r="56" spans="1:15">
      <c r="D56" s="24"/>
      <c r="E56" s="24"/>
      <c r="F56" s="24"/>
      <c r="G56" s="24"/>
      <c r="H56" s="24"/>
      <c r="I56" s="24"/>
      <c r="J56" s="24"/>
      <c r="K56" s="24"/>
      <c r="L56" s="24"/>
      <c r="M56" s="24"/>
      <c r="N56" s="24"/>
      <c r="O56" s="84"/>
    </row>
    <row r="57" spans="1:15">
      <c r="C57" s="12" t="s">
        <v>128</v>
      </c>
      <c r="D57" s="25">
        <f>D55</f>
        <v>649014.48</v>
      </c>
      <c r="E57" s="24"/>
      <c r="F57" s="25">
        <f>F55</f>
        <v>0</v>
      </c>
      <c r="G57" s="24"/>
      <c r="H57" s="25">
        <f>H55</f>
        <v>0</v>
      </c>
      <c r="I57" s="24"/>
      <c r="J57" s="25">
        <f>J55</f>
        <v>-21926.880000000001</v>
      </c>
      <c r="K57" s="24"/>
      <c r="L57" s="25">
        <f>L55</f>
        <v>-21926.880000000001</v>
      </c>
      <c r="M57" s="24"/>
      <c r="N57" s="25">
        <f>N55</f>
        <v>627087.6</v>
      </c>
      <c r="O57" s="84"/>
    </row>
    <row r="58" spans="1:15">
      <c r="D58" s="24"/>
      <c r="E58" s="24"/>
      <c r="F58" s="24"/>
      <c r="G58" s="24"/>
      <c r="H58" s="24"/>
      <c r="I58" s="24"/>
      <c r="J58" s="24"/>
      <c r="K58" s="24"/>
      <c r="L58" s="24"/>
      <c r="M58" s="24"/>
      <c r="N58" s="24"/>
      <c r="O58" s="84"/>
    </row>
    <row r="59" spans="1:15">
      <c r="D59" s="24"/>
      <c r="E59" s="24"/>
      <c r="F59" s="24"/>
      <c r="G59" s="24"/>
      <c r="H59" s="24"/>
      <c r="I59" s="24"/>
      <c r="J59" s="24"/>
      <c r="K59" s="24"/>
      <c r="L59" s="24"/>
      <c r="M59" s="24"/>
      <c r="N59" s="24"/>
      <c r="O59" s="84"/>
    </row>
    <row r="60" spans="1:15">
      <c r="A60" s="32">
        <v>106</v>
      </c>
      <c r="B60" s="12" t="s">
        <v>450</v>
      </c>
      <c r="D60" s="24"/>
      <c r="E60" s="24"/>
      <c r="F60" s="24"/>
      <c r="G60" s="24"/>
      <c r="H60" s="24"/>
      <c r="I60" s="24"/>
      <c r="J60" s="24"/>
      <c r="K60" s="24"/>
      <c r="L60" s="24"/>
      <c r="M60" s="24"/>
      <c r="N60" s="24"/>
      <c r="O60" s="84"/>
    </row>
    <row r="61" spans="1:15">
      <c r="B61" s="58" t="s">
        <v>652</v>
      </c>
      <c r="D61" s="24"/>
      <c r="E61" s="24"/>
      <c r="F61" s="24"/>
      <c r="G61" s="24"/>
      <c r="H61" s="24"/>
      <c r="I61" s="24"/>
      <c r="J61" s="24"/>
      <c r="K61" s="24"/>
      <c r="L61" s="24"/>
      <c r="M61" s="24"/>
      <c r="N61" s="24"/>
      <c r="O61" s="84"/>
    </row>
    <row r="62" spans="1:15">
      <c r="C62" s="10" t="s">
        <v>455</v>
      </c>
      <c r="D62" s="24">
        <f>+'Summary - Cost - PG 1 (Fin)'!D62+'Summary - Cost - PG 1 (PA)'!D62</f>
        <v>2574936.0099999998</v>
      </c>
      <c r="E62" s="24"/>
      <c r="F62" s="24">
        <f>+'Summary - Cost - PG 1 (Fin)'!F62+'Summary - Cost - PG 1 (PA)'!F62</f>
        <v>-1350975.02</v>
      </c>
      <c r="G62" s="24"/>
      <c r="H62" s="24">
        <f>+'Summary - Cost - PG 1 (Fin)'!H62+'Summary - Cost - PG 1 (PA)'!H62</f>
        <v>0</v>
      </c>
      <c r="I62" s="24"/>
      <c r="J62" s="24">
        <f>+'Summary - Cost - PG 1 (Fin)'!J62+'Summary - Cost - PG 1 (PA)'!J62</f>
        <v>0</v>
      </c>
      <c r="K62" s="24"/>
      <c r="L62" s="24">
        <f>F62+H62+J62</f>
        <v>-1350975.02</v>
      </c>
      <c r="M62" s="24"/>
      <c r="N62" s="24">
        <f>D62+L62</f>
        <v>1223960.9899999998</v>
      </c>
      <c r="O62" s="84"/>
    </row>
    <row r="63" spans="1:15">
      <c r="C63" s="10" t="s">
        <v>111</v>
      </c>
      <c r="D63" s="28">
        <f>+'Summary - Cost - PG 1 (Fin)'!D63+'Summary - Cost - PG 1 (PA)'!D63</f>
        <v>2240884.2599999961</v>
      </c>
      <c r="E63" s="27"/>
      <c r="F63" s="28">
        <f>+'Summary - Cost - PG 1 (Fin)'!F63+'Summary - Cost - PG 1 (PA)'!F63</f>
        <v>4066684.07</v>
      </c>
      <c r="G63" s="27"/>
      <c r="H63" s="28">
        <f>+'Summary - Cost - PG 1 (Fin)'!H63+'Summary - Cost - PG 1 (PA)'!H63</f>
        <v>0</v>
      </c>
      <c r="I63" s="27"/>
      <c r="J63" s="28">
        <f>+'Summary - Cost - PG 1 (Fin)'!J63+'Summary - Cost - PG 1 (PA)'!J63</f>
        <v>0</v>
      </c>
      <c r="K63" s="27"/>
      <c r="L63" s="28">
        <f>F63+H63+J63</f>
        <v>4066684.07</v>
      </c>
      <c r="M63" s="27"/>
      <c r="N63" s="28">
        <f>D63+L63</f>
        <v>6307568.3299999963</v>
      </c>
      <c r="O63" s="85"/>
    </row>
    <row r="64" spans="1:15">
      <c r="C64" s="11"/>
      <c r="D64" s="27">
        <f>D62+D63</f>
        <v>4815820.2699999958</v>
      </c>
      <c r="E64" s="27"/>
      <c r="F64" s="27">
        <f>F62+F63</f>
        <v>2715709.05</v>
      </c>
      <c r="G64" s="27"/>
      <c r="H64" s="27">
        <f>H62+H63</f>
        <v>0</v>
      </c>
      <c r="I64" s="27"/>
      <c r="J64" s="27">
        <f>J62+J63</f>
        <v>0</v>
      </c>
      <c r="K64" s="27"/>
      <c r="L64" s="27">
        <f>L62+L63</f>
        <v>2715709.05</v>
      </c>
      <c r="M64" s="27"/>
      <c r="N64" s="27">
        <f>N62+N63</f>
        <v>7531529.3199999966</v>
      </c>
      <c r="O64" s="85"/>
    </row>
    <row r="65" spans="2:15">
      <c r="B65" s="12"/>
      <c r="D65" s="27"/>
      <c r="E65" s="27"/>
      <c r="F65" s="27"/>
      <c r="G65" s="27"/>
      <c r="H65" s="27"/>
      <c r="I65" s="27"/>
      <c r="J65" s="27"/>
      <c r="K65" s="27"/>
      <c r="L65" s="27"/>
      <c r="M65" s="27"/>
      <c r="N65" s="27"/>
      <c r="O65" s="85"/>
    </row>
    <row r="66" spans="2:15">
      <c r="B66" s="58" t="s">
        <v>112</v>
      </c>
      <c r="D66" s="27"/>
      <c r="E66" s="27"/>
      <c r="F66" s="27"/>
      <c r="G66" s="27"/>
      <c r="H66" s="27"/>
      <c r="I66" s="27"/>
      <c r="J66" s="27"/>
      <c r="K66" s="27"/>
      <c r="L66" s="27"/>
      <c r="M66" s="27"/>
      <c r="N66" s="27"/>
      <c r="O66" s="85"/>
    </row>
    <row r="67" spans="2:15">
      <c r="C67" s="10" t="s">
        <v>113</v>
      </c>
      <c r="D67" s="27">
        <f>+'Summary - Cost - PG 1 (Fin)'!D67+'Summary - Cost - PG 1 (PA)'!D67</f>
        <v>23194098.369999997</v>
      </c>
      <c r="E67" s="27"/>
      <c r="F67" s="27">
        <f>+'Summary - Cost - PG 1 (Fin)'!F67+'Summary - Cost - PG 1 (PA)'!F67</f>
        <v>11855536.970000003</v>
      </c>
      <c r="G67" s="27"/>
      <c r="H67" s="27">
        <f>+'Summary - Cost - PG 1 (Fin)'!H67+'Summary - Cost - PG 1 (PA)'!H67</f>
        <v>0</v>
      </c>
      <c r="I67" s="27"/>
      <c r="J67" s="27">
        <f>+'Summary - Cost - PG 1 (Fin)'!J67+'Summary - Cost - PG 1 (PA)'!J67</f>
        <v>0</v>
      </c>
      <c r="K67" s="27"/>
      <c r="L67" s="27">
        <f t="shared" ref="L67:L73" si="2">F67+H67+J67</f>
        <v>11855536.970000003</v>
      </c>
      <c r="M67" s="27"/>
      <c r="N67" s="27">
        <f t="shared" ref="N67:N73" si="3">D67+L67</f>
        <v>35049635.340000004</v>
      </c>
      <c r="O67" s="85"/>
    </row>
    <row r="68" spans="2:15">
      <c r="C68" s="10" t="s">
        <v>114</v>
      </c>
      <c r="D68" s="27">
        <f>+'Summary - Cost - PG 1 (Fin)'!D68+'Summary - Cost - PG 1 (PA)'!D68</f>
        <v>6763.2199999999793</v>
      </c>
      <c r="E68" s="27"/>
      <c r="F68" s="27">
        <f>+'Summary - Cost - PG 1 (Fin)'!F68+'Summary - Cost - PG 1 (PA)'!F68</f>
        <v>63825.04</v>
      </c>
      <c r="G68" s="27"/>
      <c r="H68" s="27">
        <f>+'Summary - Cost - PG 1 (Fin)'!H68+'Summary - Cost - PG 1 (PA)'!H68</f>
        <v>0</v>
      </c>
      <c r="I68" s="27"/>
      <c r="J68" s="27">
        <f>+'Summary - Cost - PG 1 (Fin)'!J68+'Summary - Cost - PG 1 (PA)'!J68</f>
        <v>0</v>
      </c>
      <c r="K68" s="27"/>
      <c r="L68" s="27">
        <f t="shared" si="2"/>
        <v>63825.04</v>
      </c>
      <c r="M68" s="27"/>
      <c r="N68" s="27">
        <f t="shared" si="3"/>
        <v>70588.25999999998</v>
      </c>
      <c r="O68" s="85"/>
    </row>
    <row r="69" spans="2:15">
      <c r="C69" s="10" t="s">
        <v>115</v>
      </c>
      <c r="D69" s="27">
        <f>+'Summary - Cost - PG 1 (Fin)'!D69+'Summary - Cost - PG 1 (PA)'!D69</f>
        <v>16456.360000000033</v>
      </c>
      <c r="E69" s="27"/>
      <c r="F69" s="27">
        <f>+'Summary - Cost - PG 1 (Fin)'!F69+'Summary - Cost - PG 1 (PA)'!F69</f>
        <v>-16456.36</v>
      </c>
      <c r="G69" s="27"/>
      <c r="H69" s="27">
        <f>+'Summary - Cost - PG 1 (Fin)'!H69+'Summary - Cost - PG 1 (PA)'!H69</f>
        <v>0</v>
      </c>
      <c r="I69" s="27"/>
      <c r="J69" s="27">
        <f>+'Summary - Cost - PG 1 (Fin)'!J69+'Summary - Cost - PG 1 (PA)'!J69</f>
        <v>0</v>
      </c>
      <c r="K69" s="27"/>
      <c r="L69" s="27">
        <f t="shared" si="2"/>
        <v>-16456.36</v>
      </c>
      <c r="M69" s="27"/>
      <c r="N69" s="27">
        <f t="shared" si="3"/>
        <v>3.2741809263825417E-11</v>
      </c>
      <c r="O69" s="85"/>
    </row>
    <row r="70" spans="2:15">
      <c r="C70" s="10" t="s">
        <v>116</v>
      </c>
      <c r="D70" s="27">
        <f>+'Summary - Cost - PG 1 (Fin)'!D70+'Summary - Cost - PG 1 (PA)'!D70</f>
        <v>0</v>
      </c>
      <c r="E70" s="27"/>
      <c r="F70" s="27">
        <f>+'Summary - Cost - PG 1 (Fin)'!F70+'Summary - Cost - PG 1 (PA)'!F70</f>
        <v>0</v>
      </c>
      <c r="G70" s="27"/>
      <c r="H70" s="27">
        <f>+'Summary - Cost - PG 1 (Fin)'!H70+'Summary - Cost - PG 1 (PA)'!H70</f>
        <v>0</v>
      </c>
      <c r="I70" s="27"/>
      <c r="J70" s="27">
        <f>+'Summary - Cost - PG 1 (Fin)'!J70+'Summary - Cost - PG 1 (PA)'!J70</f>
        <v>0</v>
      </c>
      <c r="K70" s="27"/>
      <c r="L70" s="27">
        <f t="shared" si="2"/>
        <v>0</v>
      </c>
      <c r="M70" s="27"/>
      <c r="N70" s="27">
        <f t="shared" si="3"/>
        <v>0</v>
      </c>
      <c r="O70" s="85"/>
    </row>
    <row r="71" spans="2:15">
      <c r="C71" s="10" t="s">
        <v>117</v>
      </c>
      <c r="D71" s="27">
        <f>+'Summary - Cost - PG 1 (Fin)'!D71+'Summary - Cost - PG 1 (PA)'!D71</f>
        <v>3535959.74</v>
      </c>
      <c r="E71" s="27"/>
      <c r="F71" s="27">
        <f>+'Summary - Cost - PG 1 (Fin)'!F71+'Summary - Cost - PG 1 (PA)'!F71</f>
        <v>-2930744.84</v>
      </c>
      <c r="G71" s="27"/>
      <c r="H71" s="27">
        <f>+'Summary - Cost - PG 1 (Fin)'!H71+'Summary - Cost - PG 1 (PA)'!H71</f>
        <v>0</v>
      </c>
      <c r="I71" s="27"/>
      <c r="J71" s="27">
        <f>+'Summary - Cost - PG 1 (Fin)'!J71+'Summary - Cost - PG 1 (PA)'!J71</f>
        <v>0</v>
      </c>
      <c r="K71" s="27"/>
      <c r="L71" s="27">
        <f t="shared" si="2"/>
        <v>-2930744.84</v>
      </c>
      <c r="M71" s="27"/>
      <c r="N71" s="27">
        <f t="shared" si="3"/>
        <v>605214.90000000037</v>
      </c>
      <c r="O71" s="85"/>
    </row>
    <row r="72" spans="2:15">
      <c r="C72" s="10" t="s">
        <v>118</v>
      </c>
      <c r="D72" s="27">
        <f>+'Summary - Cost - PG 1 (Fin)'!D72+'Summary - Cost - PG 1 (PA)'!D72</f>
        <v>41206823.190000027</v>
      </c>
      <c r="E72" s="27"/>
      <c r="F72" s="27">
        <f>+'Summary - Cost - PG 1 (Fin)'!F72+'Summary - Cost - PG 1 (PA)'!F72</f>
        <v>-11271234.790000001</v>
      </c>
      <c r="G72" s="27"/>
      <c r="H72" s="27">
        <f>+'Summary - Cost - PG 1 (Fin)'!H72+'Summary - Cost - PG 1 (PA)'!H72</f>
        <v>0</v>
      </c>
      <c r="I72" s="27"/>
      <c r="J72" s="27">
        <f>+'Summary - Cost - PG 1 (Fin)'!J72+'Summary - Cost - PG 1 (PA)'!J72</f>
        <v>0</v>
      </c>
      <c r="K72" s="27"/>
      <c r="L72" s="27">
        <f t="shared" si="2"/>
        <v>-11271234.790000001</v>
      </c>
      <c r="M72" s="27"/>
      <c r="N72" s="27">
        <f t="shared" si="3"/>
        <v>29935588.400000028</v>
      </c>
      <c r="O72" s="85"/>
    </row>
    <row r="73" spans="2:15">
      <c r="C73" s="10" t="s">
        <v>119</v>
      </c>
      <c r="D73" s="28">
        <f>+'Summary - Cost - PG 1 (Fin)'!D73+'Summary - Cost - PG 1 (PA)'!D73</f>
        <v>37523227.350000001</v>
      </c>
      <c r="E73" s="27"/>
      <c r="F73" s="28">
        <f>+'Summary - Cost - PG 1 (Fin)'!F73+'Summary - Cost - PG 1 (PA)'!F73</f>
        <v>1552225.9299999997</v>
      </c>
      <c r="G73" s="27"/>
      <c r="H73" s="28">
        <f>+'Summary - Cost - PG 1 (Fin)'!H73+'Summary - Cost - PG 1 (PA)'!H73</f>
        <v>0</v>
      </c>
      <c r="I73" s="27"/>
      <c r="J73" s="28">
        <f>+'Summary - Cost - PG 1 (Fin)'!J73+'Summary - Cost - PG 1 (PA)'!J73</f>
        <v>0</v>
      </c>
      <c r="K73" s="27"/>
      <c r="L73" s="28">
        <f t="shared" si="2"/>
        <v>1552225.9299999997</v>
      </c>
      <c r="M73" s="27"/>
      <c r="N73" s="28">
        <f t="shared" si="3"/>
        <v>39075453.280000001</v>
      </c>
      <c r="O73" s="85"/>
    </row>
    <row r="74" spans="2:15">
      <c r="C74" s="11"/>
      <c r="D74" s="27">
        <f>SUM(D67:D73)</f>
        <v>105483328.23000002</v>
      </c>
      <c r="E74" s="27"/>
      <c r="F74" s="27">
        <f>SUM(F67:F73)</f>
        <v>-746848.04999999888</v>
      </c>
      <c r="G74" s="27"/>
      <c r="H74" s="27">
        <f>SUM(H67:H73)</f>
        <v>0</v>
      </c>
      <c r="I74" s="27"/>
      <c r="J74" s="27">
        <f>SUM(J67:J73)</f>
        <v>0</v>
      </c>
      <c r="K74" s="27"/>
      <c r="L74" s="27">
        <f>SUM(L67:L73)</f>
        <v>-746848.04999999888</v>
      </c>
      <c r="M74" s="27"/>
      <c r="N74" s="27">
        <f>SUM(N67:N73)</f>
        <v>104736480.18000004</v>
      </c>
      <c r="O74" s="85"/>
    </row>
    <row r="75" spans="2:15">
      <c r="B75" s="12"/>
      <c r="D75" s="27"/>
      <c r="E75" s="27"/>
      <c r="F75" s="27"/>
      <c r="G75" s="27"/>
      <c r="H75" s="27"/>
      <c r="I75" s="27"/>
      <c r="J75" s="27"/>
      <c r="K75" s="27"/>
      <c r="L75" s="27"/>
      <c r="M75" s="27"/>
      <c r="N75" s="27"/>
      <c r="O75" s="85"/>
    </row>
    <row r="76" spans="2:15">
      <c r="B76" s="58" t="s">
        <v>120</v>
      </c>
      <c r="D76" s="27"/>
      <c r="E76" s="27"/>
      <c r="F76" s="27"/>
      <c r="G76" s="27"/>
      <c r="H76" s="27"/>
      <c r="I76" s="27"/>
      <c r="J76" s="27"/>
      <c r="K76" s="27"/>
      <c r="L76" s="27"/>
      <c r="M76" s="27"/>
      <c r="N76" s="27"/>
      <c r="O76" s="85"/>
    </row>
    <row r="77" spans="2:15">
      <c r="C77" s="10" t="s">
        <v>121</v>
      </c>
      <c r="D77" s="24">
        <f>+'Summary - Cost - PG 1 (Fin)'!D77+'Summary - Cost - PG 1 (PA)'!D77</f>
        <v>18857784.149999999</v>
      </c>
      <c r="E77" s="24"/>
      <c r="F77" s="24">
        <f>+'Summary - Cost - PG 1 (Fin)'!F77+'Summary - Cost - PG 1 (PA)'!F77</f>
        <v>12081884.560000001</v>
      </c>
      <c r="G77" s="24"/>
      <c r="H77" s="24">
        <f>+'Summary - Cost - PG 1 (Fin)'!H77+'Summary - Cost - PG 1 (PA)'!H77</f>
        <v>0</v>
      </c>
      <c r="I77" s="24"/>
      <c r="J77" s="24">
        <f>+'Summary - Cost - PG 1 (Fin)'!J77+'Summary - Cost - PG 1 (PA)'!J77</f>
        <v>0</v>
      </c>
      <c r="K77" s="24"/>
      <c r="L77" s="24">
        <f>F77+H77+J77</f>
        <v>12081884.560000001</v>
      </c>
      <c r="M77" s="24"/>
      <c r="N77" s="24">
        <f>D77+L77</f>
        <v>30939668.710000001</v>
      </c>
      <c r="O77" s="84"/>
    </row>
    <row r="78" spans="2:15">
      <c r="C78" s="10" t="s">
        <v>122</v>
      </c>
      <c r="D78" s="24">
        <f>+'Summary - Cost - PG 1 (Fin)'!D78+'Summary - Cost - PG 1 (PA)'!D78</f>
        <v>256953.98000000004</v>
      </c>
      <c r="E78" s="24"/>
      <c r="F78" s="24">
        <f>+'Summary - Cost - PG 1 (Fin)'!F78+'Summary - Cost - PG 1 (PA)'!F78</f>
        <v>-78437.109999999986</v>
      </c>
      <c r="G78" s="24"/>
      <c r="H78" s="24">
        <f>+'Summary - Cost - PG 1 (Fin)'!H78+'Summary - Cost - PG 1 (PA)'!H78</f>
        <v>0</v>
      </c>
      <c r="I78" s="24"/>
      <c r="J78" s="24">
        <f>+'Summary - Cost - PG 1 (Fin)'!J78+'Summary - Cost - PG 1 (PA)'!J78</f>
        <v>0</v>
      </c>
      <c r="K78" s="24"/>
      <c r="L78" s="24">
        <f>F78+H78+J78</f>
        <v>-78437.109999999986</v>
      </c>
      <c r="M78" s="24"/>
      <c r="N78" s="24">
        <f>D78+L78</f>
        <v>178516.87000000005</v>
      </c>
      <c r="O78" s="84"/>
    </row>
    <row r="79" spans="2:15">
      <c r="C79" s="10" t="s">
        <v>123</v>
      </c>
      <c r="D79" s="24">
        <f>+'Summary - Cost - PG 1 (Fin)'!D79+'Summary - Cost - PG 1 (PA)'!D79</f>
        <v>0</v>
      </c>
      <c r="E79" s="24"/>
      <c r="F79" s="24">
        <f>+'Summary - Cost - PG 1 (Fin)'!F79+'Summary - Cost - PG 1 (PA)'!F79</f>
        <v>0</v>
      </c>
      <c r="G79" s="24"/>
      <c r="H79" s="24">
        <f>+'Summary - Cost - PG 1 (Fin)'!H79+'Summary - Cost - PG 1 (PA)'!H79</f>
        <v>0</v>
      </c>
      <c r="I79" s="24"/>
      <c r="J79" s="24">
        <f>+'Summary - Cost - PG 1 (Fin)'!J79+'Summary - Cost - PG 1 (PA)'!J79</f>
        <v>0</v>
      </c>
      <c r="K79" s="24"/>
      <c r="L79" s="24">
        <f>F79+H79+J79</f>
        <v>0</v>
      </c>
      <c r="M79" s="24"/>
      <c r="N79" s="24">
        <f>D79+L79</f>
        <v>0</v>
      </c>
      <c r="O79" s="84"/>
    </row>
    <row r="80" spans="2:15">
      <c r="C80" s="10" t="s">
        <v>124</v>
      </c>
      <c r="D80" s="24">
        <f>+'Summary - Cost - PG 1 (Fin)'!D80+'Summary - Cost - PG 1 (PA)'!D80</f>
        <v>512530.08999999991</v>
      </c>
      <c r="E80" s="24"/>
      <c r="F80" s="24">
        <f>+'Summary - Cost - PG 1 (Fin)'!F80+'Summary - Cost - PG 1 (PA)'!F80</f>
        <v>6294293.1600000001</v>
      </c>
      <c r="G80" s="24"/>
      <c r="H80" s="24">
        <f>+'Summary - Cost - PG 1 (Fin)'!H80+'Summary - Cost - PG 1 (PA)'!H80</f>
        <v>0</v>
      </c>
      <c r="I80" s="24"/>
      <c r="J80" s="24">
        <f>+'Summary - Cost - PG 1 (Fin)'!J80+'Summary - Cost - PG 1 (PA)'!J80</f>
        <v>0</v>
      </c>
      <c r="K80" s="24"/>
      <c r="L80" s="24">
        <f>F80+H80+J80</f>
        <v>6294293.1600000001</v>
      </c>
      <c r="M80" s="24"/>
      <c r="N80" s="24">
        <f>D80+L80</f>
        <v>6806823.25</v>
      </c>
      <c r="O80" s="84"/>
    </row>
    <row r="81" spans="1:15">
      <c r="C81" s="10" t="s">
        <v>125</v>
      </c>
      <c r="D81" s="28">
        <f>+'Summary - Cost - PG 1 (Fin)'!D81+'Summary - Cost - PG 1 (PA)'!D81</f>
        <v>1459528.0299999996</v>
      </c>
      <c r="E81" s="24"/>
      <c r="F81" s="28">
        <f>+'Summary - Cost - PG 1 (Fin)'!F81+'Summary - Cost - PG 1 (PA)'!F81</f>
        <v>-916290.49</v>
      </c>
      <c r="G81" s="24"/>
      <c r="H81" s="28">
        <f>+'Summary - Cost - PG 1 (Fin)'!H81+'Summary - Cost - PG 1 (PA)'!H81</f>
        <v>0</v>
      </c>
      <c r="I81" s="24"/>
      <c r="J81" s="28">
        <f>+'Summary - Cost - PG 1 (Fin)'!J81+'Summary - Cost - PG 1 (PA)'!J81</f>
        <v>0</v>
      </c>
      <c r="K81" s="24"/>
      <c r="L81" s="28">
        <f>F81+H81+J81</f>
        <v>-916290.49</v>
      </c>
      <c r="M81" s="24"/>
      <c r="N81" s="28">
        <f>D81+L81</f>
        <v>543237.53999999957</v>
      </c>
      <c r="O81" s="84"/>
    </row>
    <row r="82" spans="1:15">
      <c r="C82" s="11"/>
      <c r="D82" s="27">
        <f>SUM(D77:D81)</f>
        <v>21086796.25</v>
      </c>
      <c r="E82" s="27"/>
      <c r="F82" s="27">
        <f>SUM(F77:F81)</f>
        <v>17381450.120000001</v>
      </c>
      <c r="G82" s="27"/>
      <c r="H82" s="27">
        <f>SUM(H77:H81)</f>
        <v>0</v>
      </c>
      <c r="I82" s="27"/>
      <c r="J82" s="27">
        <f>SUM(J77:J81)</f>
        <v>0</v>
      </c>
      <c r="K82" s="27"/>
      <c r="L82" s="27">
        <f>SUM(L77:L81)</f>
        <v>17381450.120000001</v>
      </c>
      <c r="M82" s="27"/>
      <c r="N82" s="27">
        <f>SUM(N77:N81)</f>
        <v>38468246.369999997</v>
      </c>
      <c r="O82" s="84"/>
    </row>
    <row r="83" spans="1:15">
      <c r="D83" s="24"/>
      <c r="E83" s="24"/>
      <c r="F83" s="24"/>
      <c r="G83" s="24"/>
      <c r="H83" s="24"/>
      <c r="I83" s="24"/>
      <c r="J83" s="24"/>
      <c r="K83" s="24"/>
      <c r="L83" s="24"/>
      <c r="M83" s="24"/>
      <c r="N83" s="24"/>
      <c r="O83" s="84"/>
    </row>
    <row r="84" spans="1:15">
      <c r="C84" s="12" t="s">
        <v>136</v>
      </c>
      <c r="D84" s="25">
        <f>D64+D74+D82</f>
        <v>131385944.75000001</v>
      </c>
      <c r="E84" s="24"/>
      <c r="F84" s="25">
        <f>F64+F74+F82</f>
        <v>19350311.120000001</v>
      </c>
      <c r="G84" s="24"/>
      <c r="H84" s="25">
        <f>H64+H74+H82</f>
        <v>0</v>
      </c>
      <c r="I84" s="24"/>
      <c r="J84" s="25">
        <f>J64+J74+J82</f>
        <v>0</v>
      </c>
      <c r="K84" s="24"/>
      <c r="L84" s="25">
        <f>L64+L74+L82</f>
        <v>19350311.120000001</v>
      </c>
      <c r="M84" s="24"/>
      <c r="N84" s="25">
        <f>N64+N74+N82</f>
        <v>150736255.87000003</v>
      </c>
      <c r="O84" s="84"/>
    </row>
    <row r="85" spans="1:15">
      <c r="D85" s="24"/>
      <c r="E85" s="24"/>
      <c r="F85" s="24"/>
      <c r="G85" s="24"/>
      <c r="H85" s="24"/>
      <c r="I85" s="24"/>
      <c r="J85" s="24"/>
      <c r="K85" s="24"/>
      <c r="L85" s="24"/>
      <c r="M85" s="24"/>
      <c r="N85" s="24"/>
      <c r="O85" s="84"/>
    </row>
    <row r="86" spans="1:15">
      <c r="D86" s="24"/>
      <c r="E86" s="24"/>
      <c r="F86" s="24"/>
      <c r="G86" s="24"/>
      <c r="H86" s="24"/>
      <c r="I86" s="24"/>
      <c r="J86" s="24"/>
      <c r="K86" s="24"/>
      <c r="L86" s="24"/>
      <c r="M86" s="24"/>
      <c r="N86" s="24">
        <f>+N32+N84</f>
        <v>3030081538.9099989</v>
      </c>
      <c r="O86" s="84"/>
    </row>
    <row r="87" spans="1:15">
      <c r="A87" s="32">
        <v>117</v>
      </c>
      <c r="B87" s="12" t="s">
        <v>453</v>
      </c>
      <c r="D87" s="24"/>
      <c r="E87" s="24"/>
      <c r="F87" s="24"/>
      <c r="G87" s="24"/>
      <c r="H87" s="24"/>
      <c r="I87" s="24"/>
      <c r="J87" s="24"/>
      <c r="K87" s="24"/>
      <c r="L87" s="24"/>
      <c r="M87" s="24"/>
      <c r="N87" s="24"/>
      <c r="O87" s="84"/>
    </row>
    <row r="88" spans="1:15">
      <c r="B88" s="58" t="s">
        <v>120</v>
      </c>
      <c r="D88" s="24"/>
      <c r="E88" s="24"/>
      <c r="F88" s="24"/>
      <c r="G88" s="24"/>
      <c r="H88" s="24"/>
      <c r="I88" s="24"/>
      <c r="J88" s="24"/>
      <c r="K88" s="24"/>
      <c r="L88" s="24"/>
      <c r="M88" s="24"/>
      <c r="N88" s="24"/>
      <c r="O88" s="84"/>
    </row>
    <row r="89" spans="1:15">
      <c r="C89" s="10" t="s">
        <v>129</v>
      </c>
      <c r="D89" s="28">
        <f>+'Summary - Cost - PG 1 (Fin)'!D89+'Summary - Cost - PG 1 (PA)'!D89</f>
        <v>2139990</v>
      </c>
      <c r="E89" s="27"/>
      <c r="F89" s="28">
        <f>+'Summary - Cost - PG 1 (Fin)'!F89+'Summary - Cost - PG 1 (PA)'!F89</f>
        <v>0</v>
      </c>
      <c r="G89" s="27"/>
      <c r="H89" s="28">
        <f>+'Summary - Cost - PG 1 (Fin)'!H89+'Summary - Cost - PG 1 (PA)'!H89</f>
        <v>0</v>
      </c>
      <c r="I89" s="27"/>
      <c r="J89" s="28">
        <f>+'Summary - Cost - PG 1 (Fin)'!J89+'Summary - Cost - PG 1 (PA)'!J89</f>
        <v>0</v>
      </c>
      <c r="K89" s="27"/>
      <c r="L89" s="28">
        <f>F89+H89+J89</f>
        <v>0</v>
      </c>
      <c r="M89" s="27"/>
      <c r="N89" s="28">
        <f>D89+L89</f>
        <v>2139990</v>
      </c>
      <c r="O89" s="84"/>
    </row>
    <row r="90" spans="1:15">
      <c r="C90" s="11"/>
      <c r="D90" s="27">
        <f>SUM(D89)</f>
        <v>2139990</v>
      </c>
      <c r="E90" s="27"/>
      <c r="F90" s="27">
        <f>SUM(F89)</f>
        <v>0</v>
      </c>
      <c r="G90" s="27"/>
      <c r="H90" s="27">
        <f>SUM(H89)</f>
        <v>0</v>
      </c>
      <c r="I90" s="27"/>
      <c r="J90" s="27">
        <f>SUM(J89)</f>
        <v>0</v>
      </c>
      <c r="K90" s="27"/>
      <c r="L90" s="27">
        <f>SUM(L89)</f>
        <v>0</v>
      </c>
      <c r="M90" s="27"/>
      <c r="N90" s="27">
        <f>SUM(N89)</f>
        <v>2139990</v>
      </c>
      <c r="O90" s="84"/>
    </row>
    <row r="91" spans="1:15">
      <c r="D91" s="24"/>
      <c r="E91" s="24"/>
      <c r="F91" s="24"/>
      <c r="G91" s="24"/>
      <c r="H91" s="24"/>
      <c r="I91" s="24"/>
      <c r="J91" s="24"/>
      <c r="K91" s="24"/>
      <c r="L91" s="24"/>
      <c r="M91" s="24"/>
      <c r="N91" s="24"/>
      <c r="O91" s="84"/>
    </row>
    <row r="92" spans="1:15">
      <c r="C92" s="12" t="s">
        <v>130</v>
      </c>
      <c r="D92" s="25">
        <f>D90</f>
        <v>2139990</v>
      </c>
      <c r="E92" s="24"/>
      <c r="F92" s="25">
        <f>F90</f>
        <v>0</v>
      </c>
      <c r="G92" s="24"/>
      <c r="H92" s="25">
        <f>H90</f>
        <v>0</v>
      </c>
      <c r="I92" s="24"/>
      <c r="J92" s="25">
        <f>J90</f>
        <v>0</v>
      </c>
      <c r="K92" s="24"/>
      <c r="L92" s="25">
        <f>L90</f>
        <v>0</v>
      </c>
      <c r="M92" s="24"/>
      <c r="N92" s="25">
        <f>N90</f>
        <v>2139990</v>
      </c>
      <c r="O92" s="84"/>
    </row>
    <row r="93" spans="1:15">
      <c r="D93" s="24"/>
      <c r="E93" s="24"/>
      <c r="F93" s="24"/>
      <c r="G93" s="24"/>
      <c r="H93" s="24"/>
      <c r="I93" s="24"/>
      <c r="J93" s="24"/>
      <c r="K93" s="24"/>
      <c r="L93" s="24"/>
      <c r="M93" s="24"/>
      <c r="N93" s="24"/>
      <c r="O93" s="84"/>
    </row>
    <row r="94" spans="1:15">
      <c r="D94" s="24"/>
      <c r="E94" s="24"/>
      <c r="F94" s="24"/>
      <c r="G94" s="24"/>
      <c r="H94" s="24"/>
      <c r="I94" s="24"/>
      <c r="J94" s="24"/>
      <c r="K94" s="24"/>
      <c r="L94" s="24"/>
      <c r="M94" s="24"/>
      <c r="N94" s="24"/>
      <c r="O94" s="84"/>
    </row>
    <row r="95" spans="1:15">
      <c r="A95" s="32">
        <v>121</v>
      </c>
      <c r="B95" s="12" t="s">
        <v>451</v>
      </c>
      <c r="D95" s="24"/>
      <c r="E95" s="24"/>
      <c r="F95" s="24"/>
      <c r="G95" s="24"/>
      <c r="H95" s="24"/>
      <c r="I95" s="24"/>
      <c r="J95" s="24"/>
      <c r="K95" s="24"/>
      <c r="L95" s="24"/>
      <c r="M95" s="24"/>
      <c r="N95" s="24"/>
      <c r="O95" s="84"/>
    </row>
    <row r="96" spans="1:15">
      <c r="B96" s="58" t="s">
        <v>652</v>
      </c>
      <c r="D96" s="24"/>
      <c r="E96" s="24"/>
      <c r="F96" s="24"/>
      <c r="G96" s="24"/>
      <c r="H96" s="24"/>
      <c r="I96" s="24"/>
      <c r="J96" s="24"/>
      <c r="K96" s="24"/>
      <c r="L96" s="24"/>
      <c r="M96" s="24"/>
      <c r="N96" s="24"/>
      <c r="O96" s="84"/>
    </row>
    <row r="97" spans="1:16">
      <c r="C97" s="10" t="s">
        <v>131</v>
      </c>
      <c r="D97" s="28">
        <f>+'Summary - Cost - PG 1 (Fin)'!D97+'Summary - Cost - PG 1 (PA)'!D97</f>
        <v>11879.199999999997</v>
      </c>
      <c r="E97" s="24"/>
      <c r="F97" s="28">
        <f>+'Summary - Cost - PG 1 (Fin)'!F97+'Summary - Cost - PG 1 (PA)'!F97</f>
        <v>0</v>
      </c>
      <c r="G97" s="24"/>
      <c r="H97" s="28">
        <f>+'Summary - Cost - PG 1 (Fin)'!H97+'Summary - Cost - PG 1 (PA)'!H97</f>
        <v>0</v>
      </c>
      <c r="I97" s="24"/>
      <c r="J97" s="28">
        <f>+'Summary - Cost - PG 1 (Fin)'!J97+'Summary - Cost - PG 1 (PA)'!J97</f>
        <v>0</v>
      </c>
      <c r="K97" s="24"/>
      <c r="L97" s="28">
        <f>F97+H97+J97</f>
        <v>0</v>
      </c>
      <c r="M97" s="24"/>
      <c r="N97" s="28">
        <f>D97+L97</f>
        <v>11879.199999999997</v>
      </c>
      <c r="O97" s="84"/>
    </row>
    <row r="98" spans="1:16">
      <c r="C98" s="11"/>
      <c r="D98" s="27">
        <f>SUM(D97)</f>
        <v>11879.199999999997</v>
      </c>
      <c r="E98" s="27"/>
      <c r="F98" s="27">
        <f>SUM(F97)</f>
        <v>0</v>
      </c>
      <c r="G98" s="27"/>
      <c r="H98" s="27">
        <f>SUM(H97)</f>
        <v>0</v>
      </c>
      <c r="I98" s="27"/>
      <c r="J98" s="27">
        <f>SUM(J97)</f>
        <v>0</v>
      </c>
      <c r="K98" s="27"/>
      <c r="L98" s="27">
        <f>SUM(L97)</f>
        <v>0</v>
      </c>
      <c r="M98" s="27"/>
      <c r="N98" s="27">
        <f>SUM(N97)</f>
        <v>11879.199999999997</v>
      </c>
      <c r="O98" s="84"/>
    </row>
    <row r="99" spans="1:16">
      <c r="D99" s="24"/>
      <c r="E99" s="24"/>
      <c r="F99" s="24"/>
      <c r="G99" s="24"/>
      <c r="H99" s="24"/>
      <c r="I99" s="24"/>
      <c r="J99" s="24"/>
      <c r="K99" s="24"/>
      <c r="L99" s="24"/>
      <c r="M99" s="24"/>
      <c r="N99" s="24"/>
      <c r="O99" s="84"/>
    </row>
    <row r="100" spans="1:16">
      <c r="C100" s="12" t="s">
        <v>132</v>
      </c>
      <c r="D100" s="25">
        <f>D98</f>
        <v>11879.199999999997</v>
      </c>
      <c r="E100" s="24"/>
      <c r="F100" s="25">
        <f>F98</f>
        <v>0</v>
      </c>
      <c r="G100" s="24"/>
      <c r="H100" s="25">
        <f>H98</f>
        <v>0</v>
      </c>
      <c r="I100" s="24"/>
      <c r="J100" s="25">
        <f>J98</f>
        <v>0</v>
      </c>
      <c r="K100" s="24"/>
      <c r="L100" s="25">
        <f>L98</f>
        <v>0</v>
      </c>
      <c r="M100" s="24"/>
      <c r="N100" s="25">
        <f>N98</f>
        <v>11879.199999999997</v>
      </c>
      <c r="O100" s="84"/>
    </row>
    <row r="101" spans="1:16">
      <c r="D101" s="24"/>
      <c r="E101" s="24"/>
      <c r="F101" s="24"/>
      <c r="G101" s="24"/>
      <c r="H101" s="24"/>
      <c r="I101" s="24"/>
      <c r="J101" s="24"/>
      <c r="K101" s="24"/>
      <c r="L101" s="24"/>
      <c r="M101" s="24"/>
      <c r="N101" s="24"/>
      <c r="O101" s="84"/>
    </row>
    <row r="102" spans="1:16">
      <c r="D102" s="24"/>
      <c r="E102" s="24"/>
      <c r="F102" s="24"/>
      <c r="G102" s="24"/>
      <c r="H102" s="24"/>
      <c r="I102" s="24"/>
      <c r="J102" s="24"/>
      <c r="K102" s="24"/>
      <c r="L102" s="24"/>
      <c r="M102" s="24"/>
      <c r="N102" s="24"/>
      <c r="O102" s="84"/>
    </row>
    <row r="103" spans="1:16">
      <c r="A103" s="32">
        <v>107</v>
      </c>
      <c r="B103" s="12" t="s">
        <v>452</v>
      </c>
      <c r="D103" s="24"/>
      <c r="E103" s="24"/>
      <c r="F103" s="24"/>
      <c r="G103" s="24"/>
      <c r="H103" s="24"/>
      <c r="I103" s="24"/>
      <c r="J103" s="24"/>
      <c r="K103" s="24"/>
      <c r="L103" s="24"/>
      <c r="M103" s="24"/>
      <c r="N103" s="24"/>
      <c r="O103" s="84"/>
    </row>
    <row r="104" spans="1:16">
      <c r="B104" s="58" t="s">
        <v>133</v>
      </c>
      <c r="D104" s="24"/>
      <c r="E104" s="24"/>
      <c r="F104" s="24"/>
      <c r="G104" s="24"/>
      <c r="H104" s="24"/>
      <c r="I104" s="24"/>
      <c r="J104" s="24"/>
      <c r="K104" s="24"/>
      <c r="L104" s="24"/>
      <c r="M104" s="24"/>
      <c r="N104" s="24"/>
      <c r="O104" s="84"/>
    </row>
    <row r="105" spans="1:16">
      <c r="D105" s="24"/>
      <c r="E105" s="24"/>
      <c r="F105" s="24"/>
      <c r="G105" s="24"/>
      <c r="H105" s="24"/>
      <c r="I105" s="24"/>
      <c r="J105" s="24"/>
      <c r="K105" s="24"/>
      <c r="L105" s="24"/>
      <c r="M105" s="24"/>
      <c r="N105" s="24"/>
      <c r="O105" s="84"/>
    </row>
    <row r="106" spans="1:16">
      <c r="C106" s="10" t="s">
        <v>652</v>
      </c>
      <c r="D106" s="24">
        <f>+'Summary - Cost - PG 1 (Fin)'!D106+'Summary - Cost - PG 1 (PA)'!D106</f>
        <v>15083939.33</v>
      </c>
      <c r="E106" s="24"/>
      <c r="F106" s="24">
        <f>+'Summary - Cost - PG 1 (Fin)'!F106+'Summary - Cost - PG 1 (PA)'!F106</f>
        <v>-4281425.5500000007</v>
      </c>
      <c r="G106" s="24"/>
      <c r="H106" s="24">
        <f>+'Summary - Cost - PG 1 (Fin)'!H106+'Summary - Cost - PG 1 (PA)'!H106</f>
        <v>0</v>
      </c>
      <c r="I106" s="24"/>
      <c r="J106" s="24">
        <f>+'Summary - Cost - PG 1 (Fin)'!J106+'Summary - Cost - PG 1 (PA)'!J106</f>
        <v>0</v>
      </c>
      <c r="K106" s="24"/>
      <c r="L106" s="24">
        <f>F106+H106+J106</f>
        <v>-4281425.5500000007</v>
      </c>
      <c r="M106" s="24"/>
      <c r="N106" s="24">
        <f>D106+L106</f>
        <v>10802513.779999999</v>
      </c>
      <c r="O106" s="84"/>
      <c r="P106" s="21"/>
    </row>
    <row r="107" spans="1:16">
      <c r="C107" s="10" t="s">
        <v>112</v>
      </c>
      <c r="D107" s="24">
        <f>+'Summary - Cost - PG 1 (Fin)'!D107+'Summary - Cost - PG 1 (PA)'!D107</f>
        <v>152710828.07999998</v>
      </c>
      <c r="E107" s="24"/>
      <c r="F107" s="24">
        <f>+'Summary - Cost - PG 1 (Fin)'!F107+'Summary - Cost - PG 1 (PA)'!F107</f>
        <v>-15568539.199999988</v>
      </c>
      <c r="G107" s="24"/>
      <c r="H107" s="24">
        <f>+'Summary - Cost - PG 1 (Fin)'!H107+'Summary - Cost - PG 1 (PA)'!H107</f>
        <v>0</v>
      </c>
      <c r="I107" s="24"/>
      <c r="J107" s="24">
        <f>+'Summary - Cost - PG 1 (Fin)'!J107+'Summary - Cost - PG 1 (PA)'!J107</f>
        <v>0</v>
      </c>
      <c r="K107" s="24"/>
      <c r="L107" s="24">
        <f>F107+H107+J107</f>
        <v>-15568539.199999988</v>
      </c>
      <c r="M107" s="24"/>
      <c r="N107" s="24">
        <f>D107+L107</f>
        <v>137142288.88</v>
      </c>
      <c r="O107" s="84"/>
      <c r="P107" s="21"/>
    </row>
    <row r="108" spans="1:16">
      <c r="C108" s="10" t="s">
        <v>120</v>
      </c>
      <c r="D108" s="28">
        <f>+'Summary - Cost - PG 1 (Fin)'!D108+'Summary - Cost - PG 1 (PA)'!D108</f>
        <v>47481609.939999998</v>
      </c>
      <c r="E108" s="24"/>
      <c r="F108" s="28">
        <f>+'Summary - Cost - PG 1 (Fin)'!F108+'Summary - Cost - PG 1 (PA)'!F108</f>
        <v>-11297193.25</v>
      </c>
      <c r="G108" s="24"/>
      <c r="H108" s="28">
        <f>+'Summary - Cost - PG 1 (Fin)'!H108+'Summary - Cost - PG 1 (PA)'!H108</f>
        <v>0</v>
      </c>
      <c r="I108" s="24"/>
      <c r="J108" s="28">
        <f>+'Summary - Cost - PG 1 (Fin)'!J108+'Summary - Cost - PG 1 (PA)'!J108</f>
        <v>0</v>
      </c>
      <c r="K108" s="24"/>
      <c r="L108" s="28">
        <f>F108+H108+J108</f>
        <v>-11297193.25</v>
      </c>
      <c r="M108" s="24"/>
      <c r="N108" s="28">
        <f>D108+L108</f>
        <v>36184416.689999998</v>
      </c>
      <c r="O108" s="84"/>
      <c r="P108" s="21"/>
    </row>
    <row r="109" spans="1:16">
      <c r="C109" s="11"/>
      <c r="D109" s="27">
        <f>SUM(D106:D108)</f>
        <v>215276377.34999999</v>
      </c>
      <c r="E109" s="27"/>
      <c r="F109" s="27">
        <f>SUM(F106:F108)</f>
        <v>-31147157.999999989</v>
      </c>
      <c r="G109" s="27"/>
      <c r="H109" s="27">
        <f>SUM(H106:H108)</f>
        <v>0</v>
      </c>
      <c r="I109" s="27"/>
      <c r="J109" s="27">
        <f>SUM(J106:J108)</f>
        <v>0</v>
      </c>
      <c r="K109" s="27"/>
      <c r="L109" s="27">
        <f>SUM(L106:L108)</f>
        <v>-31147157.999999989</v>
      </c>
      <c r="M109" s="27"/>
      <c r="N109" s="27">
        <f>SUM(N106:N108)</f>
        <v>184129219.34999999</v>
      </c>
      <c r="O109" s="84"/>
    </row>
    <row r="110" spans="1:16">
      <c r="C110" s="11"/>
      <c r="D110" s="27"/>
      <c r="E110" s="24"/>
      <c r="F110" s="27"/>
      <c r="G110" s="24"/>
      <c r="H110" s="27"/>
      <c r="I110" s="24"/>
      <c r="J110" s="27"/>
      <c r="K110" s="24"/>
      <c r="L110" s="27"/>
      <c r="M110" s="24"/>
      <c r="N110" s="27"/>
      <c r="O110" s="84"/>
    </row>
    <row r="111" spans="1:16">
      <c r="C111" s="11"/>
      <c r="D111" s="27"/>
      <c r="E111" s="24"/>
      <c r="F111" s="27"/>
      <c r="G111" s="24"/>
      <c r="H111" s="27"/>
      <c r="I111" s="24"/>
      <c r="J111" s="27"/>
      <c r="K111" s="24"/>
      <c r="L111" s="27"/>
      <c r="M111" s="24"/>
      <c r="N111" s="27"/>
      <c r="O111" s="84"/>
    </row>
    <row r="112" spans="1:16">
      <c r="D112" s="24"/>
      <c r="E112" s="24"/>
      <c r="F112" s="24"/>
      <c r="G112" s="24"/>
      <c r="H112" s="24"/>
      <c r="I112" s="24"/>
      <c r="J112" s="24"/>
      <c r="K112" s="24"/>
      <c r="L112" s="24"/>
      <c r="M112" s="24"/>
      <c r="N112" s="24"/>
      <c r="O112" s="84"/>
    </row>
    <row r="113" spans="2:15" ht="13.5" thickBot="1">
      <c r="B113" s="58" t="s">
        <v>408</v>
      </c>
      <c r="D113" s="56">
        <f>D100+D92+D57+D40+D32+D84+D48</f>
        <v>2962356477.4199991</v>
      </c>
      <c r="E113" s="24"/>
      <c r="F113" s="56">
        <f>F100+F92+F57+F40+F32+F84+F48</f>
        <v>74303298.920000002</v>
      </c>
      <c r="G113" s="24"/>
      <c r="H113" s="56">
        <f>H100+H92+H57+H40+H32+H84+H48</f>
        <v>-3799256.8899999997</v>
      </c>
      <c r="I113" s="24"/>
      <c r="J113" s="56">
        <f>J100+J92+J57+J40+J32+J84+J48</f>
        <v>-23.740000000019791</v>
      </c>
      <c r="K113" s="24"/>
      <c r="L113" s="56">
        <f>L100+L92+L57+L40+L32+L84+L48</f>
        <v>70504018.289999992</v>
      </c>
      <c r="M113" s="24"/>
      <c r="N113" s="56">
        <f>N100+N92+N57+N40+N32+N84+N48</f>
        <v>3032860495.7099991</v>
      </c>
      <c r="O113" s="84"/>
    </row>
    <row r="114" spans="2:15" ht="13.5" thickTop="1">
      <c r="D114" s="27"/>
      <c r="E114" s="24"/>
      <c r="F114" s="27"/>
      <c r="G114" s="24"/>
      <c r="H114" s="27"/>
      <c r="I114" s="24"/>
      <c r="J114" s="27"/>
      <c r="K114" s="24"/>
      <c r="L114" s="27"/>
      <c r="M114" s="24"/>
      <c r="N114" s="27"/>
      <c r="O114" s="84"/>
    </row>
    <row r="115" spans="2:15">
      <c r="D115" s="24"/>
      <c r="E115" s="24"/>
      <c r="F115" s="24"/>
      <c r="G115" s="24"/>
      <c r="H115" s="24"/>
      <c r="I115" s="24"/>
      <c r="J115" s="24"/>
      <c r="K115" s="24"/>
      <c r="L115" s="24"/>
      <c r="M115" s="24"/>
      <c r="N115" s="24"/>
      <c r="O115" s="84"/>
    </row>
    <row r="116" spans="2:15" ht="13.5" thickBot="1">
      <c r="B116" s="58" t="s">
        <v>409</v>
      </c>
      <c r="D116" s="56">
        <f>D109+D113</f>
        <v>3177632854.769999</v>
      </c>
      <c r="E116" s="24"/>
      <c r="F116" s="56">
        <f>F109+F113</f>
        <v>43156140.920000017</v>
      </c>
      <c r="G116" s="24"/>
      <c r="H116" s="56">
        <f>H109+H113</f>
        <v>-3799256.8899999997</v>
      </c>
      <c r="I116" s="24"/>
      <c r="J116" s="56">
        <f>J109+J113</f>
        <v>-23.740000000019791</v>
      </c>
      <c r="K116" s="24"/>
      <c r="L116" s="56">
        <f>L109+L113</f>
        <v>39356860.290000007</v>
      </c>
      <c r="M116" s="24"/>
      <c r="N116" s="56">
        <f>D116+L116</f>
        <v>3216989715.059999</v>
      </c>
      <c r="O116" s="84"/>
    </row>
    <row r="117" spans="2:15" ht="13.5" thickTop="1">
      <c r="D117" s="27"/>
      <c r="E117" s="24"/>
      <c r="F117" s="27"/>
      <c r="G117" s="24"/>
      <c r="H117" s="27"/>
      <c r="I117" s="24"/>
      <c r="J117" s="27"/>
      <c r="K117" s="24"/>
      <c r="L117" s="27"/>
      <c r="M117" s="24"/>
      <c r="N117" s="27"/>
      <c r="O117" s="84"/>
    </row>
    <row r="118" spans="2:15">
      <c r="D118" s="27"/>
      <c r="E118" s="24"/>
      <c r="F118" s="27"/>
      <c r="G118" s="24"/>
      <c r="H118" s="27"/>
      <c r="I118" s="24"/>
      <c r="J118" s="27"/>
      <c r="K118" s="24"/>
      <c r="L118" s="27"/>
      <c r="M118" s="24"/>
      <c r="N118" s="27"/>
      <c r="O118" s="84"/>
    </row>
    <row r="119" spans="2:15" ht="13.5" thickBot="1">
      <c r="B119" s="12" t="s">
        <v>454</v>
      </c>
      <c r="D119" s="56">
        <f>D116-D100</f>
        <v>3177620975.5699992</v>
      </c>
      <c r="E119" s="24"/>
      <c r="F119" s="56">
        <f>F116-F100</f>
        <v>43156140.920000017</v>
      </c>
      <c r="G119" s="24"/>
      <c r="H119" s="56">
        <f>H116-H100</f>
        <v>-3799256.8899999997</v>
      </c>
      <c r="I119" s="24"/>
      <c r="J119" s="56">
        <f>J116-J100</f>
        <v>-23.740000000019791</v>
      </c>
      <c r="K119" s="24"/>
      <c r="L119" s="56">
        <f>L116-L100</f>
        <v>39356860.290000007</v>
      </c>
      <c r="M119" s="24"/>
      <c r="N119" s="56">
        <f>N116-N100</f>
        <v>3216977835.8599992</v>
      </c>
      <c r="O119" s="84"/>
    </row>
    <row r="120" spans="2:15" ht="13.5" thickTop="1">
      <c r="D120" s="27"/>
      <c r="E120" s="24"/>
      <c r="F120" s="27"/>
      <c r="G120" s="24"/>
      <c r="H120" s="27"/>
      <c r="I120" s="24"/>
      <c r="J120" s="27"/>
      <c r="K120" s="24"/>
      <c r="L120" s="27"/>
      <c r="M120" s="24"/>
      <c r="N120" s="27"/>
      <c r="O120" s="84"/>
    </row>
    <row r="121" spans="2:15">
      <c r="D121" s="24"/>
      <c r="E121" s="24"/>
      <c r="F121" s="24"/>
      <c r="G121" s="24"/>
      <c r="H121" s="24"/>
      <c r="I121" s="24"/>
      <c r="J121" s="24"/>
      <c r="K121" s="24"/>
      <c r="L121" s="24"/>
      <c r="M121" s="24"/>
      <c r="N121" s="24"/>
      <c r="O121" s="84"/>
    </row>
    <row r="122" spans="2:15" ht="14.25">
      <c r="C122" s="13"/>
      <c r="D122" s="26"/>
      <c r="E122" s="24"/>
      <c r="F122" s="24"/>
      <c r="G122" s="24"/>
      <c r="H122" s="24"/>
      <c r="I122" s="24"/>
      <c r="J122" s="24"/>
      <c r="K122" s="24"/>
      <c r="L122" s="24"/>
      <c r="M122" s="24"/>
      <c r="N122" s="69"/>
      <c r="O122" s="84"/>
    </row>
    <row r="123" spans="2:15">
      <c r="C123" s="13"/>
      <c r="D123" s="26"/>
      <c r="E123" s="24"/>
      <c r="F123" s="24"/>
      <c r="G123" s="24"/>
      <c r="H123" s="24"/>
      <c r="I123" s="24"/>
      <c r="J123" s="24"/>
      <c r="K123" s="24"/>
      <c r="L123" s="24"/>
      <c r="M123" s="24"/>
      <c r="N123" s="24"/>
      <c r="O123" s="84"/>
    </row>
    <row r="124" spans="2:15">
      <c r="C124" s="13"/>
      <c r="D124" s="26"/>
      <c r="E124" s="24"/>
      <c r="F124" s="24"/>
      <c r="G124" s="24"/>
      <c r="H124" s="24"/>
      <c r="I124" s="24"/>
      <c r="J124" s="24"/>
      <c r="K124" s="24"/>
      <c r="L124" s="24"/>
      <c r="M124" s="24"/>
      <c r="N124" s="24"/>
      <c r="O124" s="84"/>
    </row>
    <row r="125" spans="2:15">
      <c r="D125" s="24"/>
      <c r="E125" s="24"/>
      <c r="F125" s="24"/>
      <c r="G125" s="24"/>
      <c r="H125" s="24"/>
      <c r="I125" s="24"/>
      <c r="J125" s="24"/>
      <c r="K125" s="24"/>
      <c r="L125" s="24"/>
      <c r="M125" s="24"/>
      <c r="N125" s="24"/>
      <c r="O125" s="84"/>
    </row>
    <row r="126" spans="2:15">
      <c r="D126" s="24"/>
      <c r="E126" s="24"/>
      <c r="F126" s="24"/>
      <c r="G126" s="24"/>
      <c r="H126" s="24"/>
      <c r="I126" s="24"/>
      <c r="J126" s="24"/>
      <c r="K126" s="24"/>
      <c r="L126" s="24"/>
      <c r="M126" s="24"/>
      <c r="N126" s="24"/>
      <c r="O126" s="84"/>
    </row>
    <row r="127" spans="2:15">
      <c r="D127" s="24"/>
      <c r="E127" s="24"/>
      <c r="F127" s="24"/>
      <c r="G127" s="24"/>
      <c r="H127" s="24"/>
      <c r="I127" s="24"/>
      <c r="J127" s="24"/>
      <c r="K127" s="24"/>
      <c r="L127" s="24"/>
      <c r="M127" s="24"/>
      <c r="N127" s="24"/>
      <c r="O127" s="84"/>
    </row>
    <row r="128" spans="2:15">
      <c r="D128" s="8"/>
      <c r="E128" s="8"/>
      <c r="F128" s="8"/>
      <c r="G128" s="8"/>
      <c r="H128" s="8"/>
      <c r="I128" s="8"/>
      <c r="J128" s="8"/>
      <c r="K128" s="8"/>
      <c r="L128" s="8"/>
      <c r="M128" s="8"/>
      <c r="N128" s="8"/>
    </row>
    <row r="129" spans="4:14">
      <c r="D129" s="8"/>
      <c r="E129" s="8"/>
      <c r="F129" s="8"/>
      <c r="G129" s="8"/>
      <c r="H129" s="8"/>
      <c r="I129" s="8"/>
      <c r="J129" s="8"/>
      <c r="K129" s="8"/>
      <c r="L129" s="8"/>
      <c r="M129" s="8"/>
      <c r="N129" s="8"/>
    </row>
    <row r="130" spans="4:14">
      <c r="D130" s="8"/>
      <c r="E130" s="8"/>
      <c r="F130" s="8"/>
      <c r="G130" s="8"/>
      <c r="H130" s="8"/>
      <c r="I130" s="8"/>
      <c r="J130" s="8"/>
      <c r="K130" s="8"/>
      <c r="L130" s="8"/>
      <c r="M130" s="8"/>
      <c r="N130" s="8"/>
    </row>
    <row r="131" spans="4:14">
      <c r="D131" s="8"/>
      <c r="E131" s="8"/>
      <c r="F131" s="8"/>
      <c r="G131" s="8"/>
      <c r="H131" s="8"/>
      <c r="I131" s="8"/>
      <c r="J131" s="8"/>
      <c r="K131" s="8"/>
      <c r="L131" s="8"/>
      <c r="M131" s="8"/>
      <c r="N131" s="8"/>
    </row>
  </sheetData>
  <mergeCells count="3">
    <mergeCell ref="A1:N1"/>
    <mergeCell ref="A2:N2"/>
    <mergeCell ref="A3:N3"/>
  </mergeCells>
  <pageMargins left="0.75" right="0.75" top="1" bottom="1" header="0.5" footer="0.5"/>
  <pageSetup scale="58" fitToHeight="2" orientation="landscape" r:id="rId1"/>
  <headerFooter alignWithMargins="0">
    <oddFooter>&amp;L&amp;Z
&amp;F&amp;C&amp;A&amp;R1.&amp;P</oddFooter>
  </headerFooter>
  <rowBreaks count="1" manualBreakCount="1">
    <brk id="64" max="13" man="1"/>
  </rowBreaks>
</worksheet>
</file>

<file path=xl/worksheets/sheet51.xml><?xml version="1.0" encoding="utf-8"?>
<worksheet xmlns="http://schemas.openxmlformats.org/spreadsheetml/2006/main" xmlns:r="http://schemas.openxmlformats.org/officeDocument/2006/relationships">
  <sheetPr codeName="Sheet88">
    <pageSetUpPr fitToPage="1"/>
  </sheetPr>
  <dimension ref="A1:AA328"/>
  <sheetViews>
    <sheetView zoomScale="80" zoomScaleNormal="80" workbookViewId="0">
      <pane xSplit="2" ySplit="8" topLeftCell="C9" activePane="bottomRight" state="frozen"/>
      <selection sqref="A1:P1"/>
      <selection pane="topRight" sqref="A1:P1"/>
      <selection pane="bottomLeft" sqref="A1:P1"/>
      <selection pane="bottomRight" sqref="A1:P1"/>
    </sheetView>
  </sheetViews>
  <sheetFormatPr defaultRowHeight="12.75"/>
  <cols>
    <col min="1" max="1" width="8.140625" style="10" customWidth="1"/>
    <col min="2" max="2" width="38.140625" style="10" customWidth="1"/>
    <col min="3" max="3" width="17.7109375" style="10" customWidth="1"/>
    <col min="4" max="4" width="1.7109375" style="10" customWidth="1"/>
    <col min="5" max="5" width="17.7109375" style="10" customWidth="1"/>
    <col min="6" max="6" width="1.7109375" style="10" customWidth="1"/>
    <col min="7" max="7" width="17.7109375" style="10" customWidth="1"/>
    <col min="8" max="8" width="1.7109375" style="10" customWidth="1"/>
    <col min="9" max="9" width="17.7109375" style="10" customWidth="1"/>
    <col min="10" max="10" width="1.7109375" style="10" customWidth="1"/>
    <col min="11" max="11" width="17.7109375" style="10" customWidth="1"/>
    <col min="12" max="12" width="1.7109375" style="10" customWidth="1"/>
    <col min="13" max="13" width="17.7109375" style="10" customWidth="1"/>
    <col min="14" max="14" width="1.7109375" style="10" customWidth="1"/>
    <col min="15" max="15" width="17.7109375" style="10" customWidth="1"/>
    <col min="16" max="16" width="1.7109375" style="10" customWidth="1"/>
    <col min="17" max="17" width="17.7109375" style="10" customWidth="1"/>
    <col min="18" max="18" width="1.7109375" style="10" customWidth="1"/>
    <col min="19" max="19" width="17.7109375" style="10" customWidth="1"/>
    <col min="20" max="20" width="1.7109375" style="10" customWidth="1"/>
    <col min="21" max="21" width="17.7109375" style="10" customWidth="1"/>
    <col min="22" max="22" width="15.5703125" style="10" bestFit="1" customWidth="1"/>
    <col min="23" max="23" width="12.85546875" style="10" bestFit="1" customWidth="1"/>
    <col min="24" max="24" width="14.5703125" style="10" bestFit="1" customWidth="1"/>
    <col min="25" max="25" width="15.5703125" style="10" bestFit="1" customWidth="1"/>
    <col min="26" max="16384" width="9.140625" style="10"/>
  </cols>
  <sheetData>
    <row r="1" spans="1:21">
      <c r="A1" s="359" t="s">
        <v>134</v>
      </c>
      <c r="B1" s="359"/>
      <c r="C1" s="359"/>
      <c r="D1" s="359"/>
      <c r="E1" s="359"/>
      <c r="F1" s="359"/>
      <c r="G1" s="359"/>
      <c r="H1" s="359"/>
      <c r="I1" s="359"/>
      <c r="J1" s="359"/>
      <c r="K1" s="359"/>
      <c r="L1" s="359"/>
      <c r="M1" s="359"/>
      <c r="N1" s="359"/>
      <c r="O1" s="359"/>
      <c r="P1" s="359"/>
      <c r="Q1" s="359"/>
      <c r="R1" s="359"/>
      <c r="S1" s="359"/>
      <c r="T1" s="359"/>
      <c r="U1" s="359"/>
    </row>
    <row r="2" spans="1:21">
      <c r="A2" s="359" t="s">
        <v>1178</v>
      </c>
      <c r="B2" s="359"/>
      <c r="C2" s="359"/>
      <c r="D2" s="359"/>
      <c r="E2" s="359"/>
      <c r="F2" s="359"/>
      <c r="G2" s="359"/>
      <c r="H2" s="359"/>
      <c r="I2" s="359"/>
      <c r="J2" s="359"/>
      <c r="K2" s="359"/>
      <c r="L2" s="359"/>
      <c r="M2" s="359"/>
      <c r="N2" s="359"/>
      <c r="O2" s="359"/>
      <c r="P2" s="359"/>
      <c r="Q2" s="359"/>
      <c r="R2" s="359"/>
      <c r="S2" s="359"/>
      <c r="T2" s="359"/>
      <c r="U2" s="359"/>
    </row>
    <row r="3" spans="1:21">
      <c r="A3" s="361" t="str">
        <f>'Summary - Cost - PG 1 (Tot)'!A3:N3</f>
        <v>MARCH 2012</v>
      </c>
      <c r="B3" s="361"/>
      <c r="C3" s="361"/>
      <c r="D3" s="361"/>
      <c r="E3" s="361"/>
      <c r="F3" s="361"/>
      <c r="G3" s="361"/>
      <c r="H3" s="361"/>
      <c r="I3" s="361"/>
      <c r="J3" s="361"/>
      <c r="K3" s="361"/>
      <c r="L3" s="361"/>
      <c r="M3" s="361"/>
      <c r="N3" s="361"/>
      <c r="O3" s="361"/>
      <c r="P3" s="361"/>
      <c r="Q3" s="361"/>
      <c r="R3" s="361"/>
      <c r="S3" s="361"/>
      <c r="T3" s="361"/>
      <c r="U3" s="361"/>
    </row>
    <row r="4" spans="1:21">
      <c r="A4" s="313"/>
      <c r="B4" s="313"/>
      <c r="C4" s="313"/>
      <c r="D4" s="313"/>
      <c r="E4" s="313"/>
      <c r="F4" s="313"/>
      <c r="G4" s="313"/>
      <c r="H4" s="313"/>
      <c r="I4" s="313"/>
      <c r="J4" s="313"/>
      <c r="K4" s="313"/>
      <c r="L4" s="313"/>
      <c r="M4" s="313"/>
      <c r="N4" s="313"/>
      <c r="O4" s="313"/>
      <c r="P4" s="313"/>
      <c r="Q4" s="313"/>
      <c r="R4" s="313"/>
      <c r="S4" s="313"/>
      <c r="T4" s="313"/>
      <c r="U4" s="313"/>
    </row>
    <row r="6" spans="1:21">
      <c r="C6" s="84" t="s">
        <v>25</v>
      </c>
      <c r="E6" s="24"/>
      <c r="G6" s="24"/>
      <c r="I6" s="84" t="s">
        <v>612</v>
      </c>
      <c r="J6" s="84"/>
      <c r="K6" s="84" t="s">
        <v>1377</v>
      </c>
      <c r="M6" s="84" t="s">
        <v>28</v>
      </c>
      <c r="O6" s="85" t="s">
        <v>37</v>
      </c>
      <c r="Q6" s="84"/>
      <c r="S6" s="84" t="s">
        <v>39</v>
      </c>
      <c r="U6" s="84" t="s">
        <v>26</v>
      </c>
    </row>
    <row r="7" spans="1:21">
      <c r="C7" s="43" t="s">
        <v>27</v>
      </c>
      <c r="E7" s="43" t="s">
        <v>954</v>
      </c>
      <c r="G7" s="43" t="s">
        <v>108</v>
      </c>
      <c r="I7" s="43" t="s">
        <v>613</v>
      </c>
      <c r="J7" s="85"/>
      <c r="K7" s="43" t="s">
        <v>1378</v>
      </c>
      <c r="M7" s="43" t="s">
        <v>29</v>
      </c>
      <c r="O7" s="43" t="s">
        <v>38</v>
      </c>
      <c r="Q7" s="43" t="s">
        <v>955</v>
      </c>
      <c r="S7" s="43" t="s">
        <v>105</v>
      </c>
      <c r="U7" s="43" t="s">
        <v>27</v>
      </c>
    </row>
    <row r="8" spans="1:21">
      <c r="C8" s="85"/>
      <c r="E8" s="85"/>
      <c r="G8" s="85"/>
      <c r="I8" s="85"/>
      <c r="J8" s="85"/>
      <c r="K8" s="85"/>
      <c r="M8" s="85"/>
      <c r="O8" s="85"/>
      <c r="Q8" s="85"/>
      <c r="S8" s="85"/>
      <c r="U8" s="85"/>
    </row>
    <row r="9" spans="1:21">
      <c r="A9" s="12" t="s">
        <v>137</v>
      </c>
      <c r="C9" s="22"/>
      <c r="D9" s="22"/>
      <c r="E9" s="22"/>
      <c r="F9" s="22"/>
      <c r="G9" s="22"/>
      <c r="H9" s="22"/>
      <c r="I9" s="22"/>
      <c r="J9" s="22"/>
      <c r="K9" s="22"/>
      <c r="L9" s="22"/>
      <c r="M9" s="22"/>
      <c r="N9" s="22"/>
      <c r="O9" s="22"/>
      <c r="P9" s="22"/>
      <c r="Q9" s="22"/>
      <c r="R9" s="22"/>
      <c r="S9" s="22"/>
      <c r="T9" s="22"/>
      <c r="U9" s="22"/>
    </row>
    <row r="10" spans="1:21">
      <c r="B10" s="10" t="s">
        <v>455</v>
      </c>
      <c r="C10" s="24">
        <f>+'Summary - Reserve - PG 2 (Fin)'!C10+'Summary - Reserve - PG 2 (PA)'!C10</f>
        <v>-13908691.209999986</v>
      </c>
      <c r="D10" s="24"/>
      <c r="E10" s="24">
        <f>+'Summary - Reserve - PG 2 (Fin)'!E10+'Summary - Reserve - PG 2 (PA)'!E10</f>
        <v>-3031758.62</v>
      </c>
      <c r="F10" s="24"/>
      <c r="G10" s="24">
        <f>+'Summary - Reserve - PG 2 (Fin)'!G10+'Summary - Reserve - PG 2 (PA)'!G10</f>
        <v>96055.439999999944</v>
      </c>
      <c r="H10" s="24"/>
      <c r="I10" s="24">
        <f>+'Summary - Reserve - PG 2 (Fin)'!I10+'Summary - Reserve - PG 2 (PA)'!I10</f>
        <v>0</v>
      </c>
      <c r="J10" s="24"/>
      <c r="K10" s="24">
        <f>+'Summary - Reserve - PG 2 (Fin)'!K10</f>
        <v>0</v>
      </c>
      <c r="L10" s="24"/>
      <c r="M10" s="24">
        <f>+'Summary - Reserve - PG 2 (Fin)'!M10+'Summary - Reserve - PG 2 (PA)'!K10</f>
        <v>0</v>
      </c>
      <c r="N10" s="24"/>
      <c r="O10" s="24">
        <f>+'Summary - Reserve - PG 2 (Fin)'!O10+'Summary - Reserve - PG 2 (PA)'!M10</f>
        <v>0</v>
      </c>
      <c r="P10" s="24"/>
      <c r="Q10" s="24">
        <f>+'Summary - Reserve - PG 2 (Fin)'!Q10+'Summary - Reserve - PG 2 (PA)'!O10</f>
        <v>0</v>
      </c>
      <c r="R10" s="24"/>
      <c r="S10" s="24">
        <f>+'Summary - Reserve - PG 2 (Fin)'!S10+'Summary - Reserve - PG 2 (PA)'!Q10</f>
        <v>0</v>
      </c>
      <c r="T10" s="24"/>
      <c r="U10" s="24">
        <f t="shared" ref="U10:U31" si="0">S10+Q10+O10+M10+I10+G10+E10+C10</f>
        <v>-16844394.389999986</v>
      </c>
    </row>
    <row r="11" spans="1:21">
      <c r="B11" s="10" t="s">
        <v>851</v>
      </c>
      <c r="C11" s="24">
        <f>+'Summary - Reserve - PG 2 (Fin)'!C11+'Summary - Reserve - PG 2 (PA)'!C11</f>
        <v>-2403.5899999999979</v>
      </c>
      <c r="D11" s="24"/>
      <c r="E11" s="24">
        <f>+'Summary - Reserve - PG 2 (Fin)'!E11+'Summary - Reserve - PG 2 (PA)'!E11</f>
        <v>-515.09999999999991</v>
      </c>
      <c r="F11" s="24"/>
      <c r="G11" s="24">
        <f>+'Summary - Reserve - PG 2 (Fin)'!G11+'Summary - Reserve - PG 2 (PA)'!G11</f>
        <v>0</v>
      </c>
      <c r="H11" s="24"/>
      <c r="I11" s="24">
        <f>+'Summary - Reserve - PG 2 (Fin)'!I11+'Summary - Reserve - PG 2 (PA)'!I11</f>
        <v>0</v>
      </c>
      <c r="J11" s="24"/>
      <c r="K11" s="24">
        <f>+'Summary - Reserve - PG 2 (Fin)'!K11</f>
        <v>0</v>
      </c>
      <c r="L11" s="24"/>
      <c r="M11" s="24">
        <f>+'Summary - Reserve - PG 2 (Fin)'!M11+'Summary - Reserve - PG 2 (PA)'!K11</f>
        <v>0</v>
      </c>
      <c r="N11" s="24"/>
      <c r="O11" s="24">
        <f>+'Summary - Reserve - PG 2 (Fin)'!O11+'Summary - Reserve - PG 2 (PA)'!M11</f>
        <v>0</v>
      </c>
      <c r="P11" s="24"/>
      <c r="Q11" s="24">
        <f>+'Summary - Reserve - PG 2 (Fin)'!Q11+'Summary - Reserve - PG 2 (PA)'!O11</f>
        <v>0</v>
      </c>
      <c r="R11" s="24"/>
      <c r="S11" s="24">
        <f>+'Summary - Reserve - PG 2 (Fin)'!S11+'Summary - Reserve - PG 2 (PA)'!Q11</f>
        <v>0</v>
      </c>
      <c r="T11" s="24"/>
      <c r="U11" s="24">
        <f t="shared" si="0"/>
        <v>-2918.6899999999978</v>
      </c>
    </row>
    <row r="12" spans="1:21">
      <c r="B12" s="10" t="s">
        <v>113</v>
      </c>
      <c r="C12" s="24">
        <f>+'Summary - Reserve - PG 2 (Fin)'!C12+'Summary - Reserve - PG 2 (PA)'!C12</f>
        <v>-16168909.800000072</v>
      </c>
      <c r="D12" s="24"/>
      <c r="E12" s="24">
        <f>+'Summary - Reserve - PG 2 (Fin)'!E12+'Summary - Reserve - PG 2 (PA)'!E12</f>
        <v>-4544838.4800000004</v>
      </c>
      <c r="F12" s="24"/>
      <c r="G12" s="24">
        <f>+'Summary - Reserve - PG 2 (Fin)'!G12+'Summary - Reserve - PG 2 (PA)'!G12</f>
        <v>1212153.9299999997</v>
      </c>
      <c r="H12" s="24"/>
      <c r="I12" s="24">
        <f>+'Summary - Reserve - PG 2 (Fin)'!I12+'Summary - Reserve - PG 2 (PA)'!I12</f>
        <v>0</v>
      </c>
      <c r="J12" s="24"/>
      <c r="K12" s="24">
        <f>+'Summary - Reserve - PG 2 (Fin)'!K12</f>
        <v>0</v>
      </c>
      <c r="L12" s="24"/>
      <c r="M12" s="24">
        <f>+'Summary - Reserve - PG 2 (Fin)'!M12+'Summary - Reserve - PG 2 (PA)'!K12</f>
        <v>0</v>
      </c>
      <c r="N12" s="24"/>
      <c r="O12" s="24">
        <f>+'Summary - Reserve - PG 2 (Fin)'!O12+'Summary - Reserve - PG 2 (PA)'!M12</f>
        <v>0</v>
      </c>
      <c r="P12" s="24"/>
      <c r="Q12" s="24">
        <f>+'Summary - Reserve - PG 2 (Fin)'!Q12+'Summary - Reserve - PG 2 (PA)'!O12</f>
        <v>0</v>
      </c>
      <c r="R12" s="24"/>
      <c r="S12" s="24">
        <f>+'Summary - Reserve - PG 2 (Fin)'!S12+'Summary - Reserve - PG 2 (PA)'!Q12</f>
        <v>0</v>
      </c>
      <c r="T12" s="24"/>
      <c r="U12" s="24">
        <f t="shared" si="0"/>
        <v>-19501594.350000072</v>
      </c>
    </row>
    <row r="13" spans="1:21">
      <c r="B13" s="10" t="s">
        <v>852</v>
      </c>
      <c r="C13" s="24">
        <f>+'Summary - Reserve - PG 2 (Fin)'!C13+'Summary - Reserve - PG 2 (PA)'!C13</f>
        <v>-7290.4000000000697</v>
      </c>
      <c r="D13" s="24"/>
      <c r="E13" s="24">
        <f>+'Summary - Reserve - PG 2 (Fin)'!E13+'Summary - Reserve - PG 2 (PA)'!E13</f>
        <v>-2849.7799999999997</v>
      </c>
      <c r="F13" s="24"/>
      <c r="G13" s="24">
        <f>+'Summary - Reserve - PG 2 (Fin)'!G13+'Summary - Reserve - PG 2 (PA)'!G13</f>
        <v>0</v>
      </c>
      <c r="H13" s="24"/>
      <c r="I13" s="24">
        <f>+'Summary - Reserve - PG 2 (Fin)'!I13+'Summary - Reserve - PG 2 (PA)'!I13</f>
        <v>-223.56</v>
      </c>
      <c r="J13" s="24"/>
      <c r="K13" s="24">
        <f>+'Summary - Reserve - PG 2 (Fin)'!K13</f>
        <v>0</v>
      </c>
      <c r="L13" s="24"/>
      <c r="M13" s="24">
        <f>+'Summary - Reserve - PG 2 (Fin)'!M13+'Summary - Reserve - PG 2 (PA)'!K13</f>
        <v>0</v>
      </c>
      <c r="N13" s="24"/>
      <c r="O13" s="24">
        <f>+'Summary - Reserve - PG 2 (Fin)'!O13+'Summary - Reserve - PG 2 (PA)'!M13</f>
        <v>0</v>
      </c>
      <c r="P13" s="24"/>
      <c r="Q13" s="24">
        <f>+'Summary - Reserve - PG 2 (Fin)'!Q13+'Summary - Reserve - PG 2 (PA)'!O13</f>
        <v>0</v>
      </c>
      <c r="R13" s="24"/>
      <c r="S13" s="24">
        <f>+'Summary - Reserve - PG 2 (Fin)'!S13+'Summary - Reserve - PG 2 (PA)'!Q13</f>
        <v>0</v>
      </c>
      <c r="T13" s="24"/>
      <c r="U13" s="24">
        <f t="shared" si="0"/>
        <v>-10363.740000000069</v>
      </c>
    </row>
    <row r="14" spans="1:21">
      <c r="B14" s="10" t="s">
        <v>114</v>
      </c>
      <c r="C14" s="24">
        <f>+'Summary - Reserve - PG 2 (Fin)'!C14+'Summary - Reserve - PG 2 (PA)'!C14</f>
        <v>-479919.43999999762</v>
      </c>
      <c r="D14" s="24"/>
      <c r="E14" s="24">
        <f>+'Summary - Reserve - PG 2 (Fin)'!E14+'Summary - Reserve - PG 2 (PA)'!E14</f>
        <v>-138484.76</v>
      </c>
      <c r="F14" s="24"/>
      <c r="G14" s="314">
        <f>+'Summary - Reserve - PG 2 (Fin)'!G14+'Summary - Reserve - PG 2 (PA)'!G14</f>
        <v>0</v>
      </c>
      <c r="H14" s="24"/>
      <c r="I14" s="24">
        <f>+'Summary - Reserve - PG 2 (Fin)'!I14+'Summary - Reserve - PG 2 (PA)'!I14</f>
        <v>0</v>
      </c>
      <c r="J14" s="24"/>
      <c r="K14" s="24">
        <f>+'Summary - Reserve - PG 2 (Fin)'!K14</f>
        <v>0</v>
      </c>
      <c r="L14" s="24"/>
      <c r="M14" s="24">
        <f>+'Summary - Reserve - PG 2 (Fin)'!M14+'Summary - Reserve - PG 2 (PA)'!K14</f>
        <v>0</v>
      </c>
      <c r="N14" s="24"/>
      <c r="O14" s="24">
        <f>+'Summary - Reserve - PG 2 (Fin)'!O14+'Summary - Reserve - PG 2 (PA)'!M14</f>
        <v>0</v>
      </c>
      <c r="P14" s="24"/>
      <c r="Q14" s="24">
        <f>+'Summary - Reserve - PG 2 (Fin)'!Q14+'Summary - Reserve - PG 2 (PA)'!O14</f>
        <v>0</v>
      </c>
      <c r="R14" s="24"/>
      <c r="S14" s="24">
        <f>+'Summary - Reserve - PG 2 (Fin)'!S14+'Summary - Reserve - PG 2 (PA)'!Q14</f>
        <v>0</v>
      </c>
      <c r="T14" s="24"/>
      <c r="U14" s="24">
        <f t="shared" si="0"/>
        <v>-618404.19999999763</v>
      </c>
    </row>
    <row r="15" spans="1:21">
      <c r="B15" s="10" t="s">
        <v>115</v>
      </c>
      <c r="C15" s="24">
        <f>+'Summary - Reserve - PG 2 (Fin)'!C15+'Summary - Reserve - PG 2 (PA)'!C15</f>
        <v>-530664.77000000142</v>
      </c>
      <c r="D15" s="24"/>
      <c r="E15" s="24">
        <f>+'Summary - Reserve - PG 2 (Fin)'!E15+'Summary - Reserve - PG 2 (PA)'!E15</f>
        <v>-141469.07</v>
      </c>
      <c r="F15" s="24"/>
      <c r="G15" s="24">
        <f>+'Summary - Reserve - PG 2 (Fin)'!G15+'Summary - Reserve - PG 2 (PA)'!G15</f>
        <v>-18.109999999999957</v>
      </c>
      <c r="H15" s="24"/>
      <c r="I15" s="24">
        <f>+'Summary - Reserve - PG 2 (Fin)'!I15+'Summary - Reserve - PG 2 (PA)'!I15</f>
        <v>0</v>
      </c>
      <c r="J15" s="24"/>
      <c r="K15" s="24">
        <f>+'Summary - Reserve - PG 2 (Fin)'!K15</f>
        <v>0</v>
      </c>
      <c r="L15" s="24"/>
      <c r="M15" s="24">
        <f>+'Summary - Reserve - PG 2 (Fin)'!M15+'Summary - Reserve - PG 2 (PA)'!K15</f>
        <v>0</v>
      </c>
      <c r="N15" s="24"/>
      <c r="O15" s="24">
        <f>+'Summary - Reserve - PG 2 (Fin)'!O15+'Summary - Reserve - PG 2 (PA)'!M15</f>
        <v>0</v>
      </c>
      <c r="P15" s="24"/>
      <c r="Q15" s="24">
        <f>+'Summary - Reserve - PG 2 (Fin)'!Q15+'Summary - Reserve - PG 2 (PA)'!O15</f>
        <v>0</v>
      </c>
      <c r="R15" s="24"/>
      <c r="S15" s="24">
        <f>+'Summary - Reserve - PG 2 (Fin)'!S15+'Summary - Reserve - PG 2 (PA)'!Q15</f>
        <v>0</v>
      </c>
      <c r="T15" s="24"/>
      <c r="U15" s="24">
        <f t="shared" si="0"/>
        <v>-672151.95000000135</v>
      </c>
    </row>
    <row r="16" spans="1:21">
      <c r="B16" s="10" t="s">
        <v>853</v>
      </c>
      <c r="C16" s="24">
        <f>+'Summary - Reserve - PG 2 (Fin)'!C16+'Summary - Reserve - PG 2 (PA)'!C16</f>
        <v>-2112.6200000000099</v>
      </c>
      <c r="D16" s="24"/>
      <c r="E16" s="24">
        <f>+'Summary - Reserve - PG 2 (Fin)'!E16+'Summary - Reserve - PG 2 (PA)'!E16</f>
        <v>-437.13</v>
      </c>
      <c r="F16" s="24"/>
      <c r="G16" s="24">
        <f>+'Summary - Reserve - PG 2 (Fin)'!G16+'Summary - Reserve - PG 2 (PA)'!G16</f>
        <v>0</v>
      </c>
      <c r="H16" s="24"/>
      <c r="I16" s="24">
        <f>+'Summary - Reserve - PG 2 (Fin)'!I16+'Summary - Reserve - PG 2 (PA)'!I16</f>
        <v>0</v>
      </c>
      <c r="J16" s="24"/>
      <c r="K16" s="24">
        <f>+'Summary - Reserve - PG 2 (Fin)'!K16</f>
        <v>0</v>
      </c>
      <c r="L16" s="24"/>
      <c r="M16" s="24">
        <f>+'Summary - Reserve - PG 2 (Fin)'!M16+'Summary - Reserve - PG 2 (PA)'!K16</f>
        <v>0</v>
      </c>
      <c r="N16" s="24"/>
      <c r="O16" s="24">
        <f>+'Summary - Reserve - PG 2 (Fin)'!O16+'Summary - Reserve - PG 2 (PA)'!M16</f>
        <v>0</v>
      </c>
      <c r="P16" s="24"/>
      <c r="Q16" s="24">
        <f>+'Summary - Reserve - PG 2 (Fin)'!Q16+'Summary - Reserve - PG 2 (PA)'!O16</f>
        <v>0</v>
      </c>
      <c r="R16" s="24"/>
      <c r="S16" s="24">
        <f>+'Summary - Reserve - PG 2 (Fin)'!S16+'Summary - Reserve - PG 2 (PA)'!Q16</f>
        <v>0</v>
      </c>
      <c r="T16" s="24"/>
      <c r="U16" s="24">
        <f t="shared" si="0"/>
        <v>-2549.75000000001</v>
      </c>
    </row>
    <row r="17" spans="2:21">
      <c r="B17" s="10" t="s">
        <v>117</v>
      </c>
      <c r="C17" s="24">
        <f>+'Summary - Reserve - PG 2 (Fin)'!C17+'Summary - Reserve - PG 2 (PA)'!C17</f>
        <v>-8823709.549999997</v>
      </c>
      <c r="D17" s="24"/>
      <c r="E17" s="24">
        <f>+'Summary - Reserve - PG 2 (Fin)'!E17+'Summary - Reserve - PG 2 (PA)'!E17</f>
        <v>-2095352.7999999998</v>
      </c>
      <c r="F17" s="24"/>
      <c r="G17" s="24">
        <f>+'Summary - Reserve - PG 2 (Fin)'!G17+'Summary - Reserve - PG 2 (PA)'!G17</f>
        <v>482249.92000000004</v>
      </c>
      <c r="H17" s="24"/>
      <c r="I17" s="24">
        <f>+'Summary - Reserve - PG 2 (Fin)'!I17+'Summary - Reserve - PG 2 (PA)'!I17</f>
        <v>0</v>
      </c>
      <c r="J17" s="24"/>
      <c r="K17" s="24">
        <f>+'Summary - Reserve - PG 2 (Fin)'!K17</f>
        <v>0</v>
      </c>
      <c r="L17" s="24"/>
      <c r="M17" s="24">
        <f>+'Summary - Reserve - PG 2 (Fin)'!M17+'Summary - Reserve - PG 2 (PA)'!K17</f>
        <v>0</v>
      </c>
      <c r="N17" s="24"/>
      <c r="O17" s="24">
        <f>+'Summary - Reserve - PG 2 (Fin)'!O17+'Summary - Reserve - PG 2 (PA)'!M17</f>
        <v>0</v>
      </c>
      <c r="P17" s="24"/>
      <c r="Q17" s="24">
        <f>+'Summary - Reserve - PG 2 (Fin)'!Q17+'Summary - Reserve - PG 2 (PA)'!O17</f>
        <v>0</v>
      </c>
      <c r="R17" s="24"/>
      <c r="S17" s="24">
        <f>+'Summary - Reserve - PG 2 (Fin)'!S17+'Summary - Reserve - PG 2 (PA)'!Q17</f>
        <v>0</v>
      </c>
      <c r="T17" s="24"/>
      <c r="U17" s="24">
        <f t="shared" si="0"/>
        <v>-10436812.429999996</v>
      </c>
    </row>
    <row r="18" spans="2:21">
      <c r="B18" s="10" t="s">
        <v>953</v>
      </c>
      <c r="C18" s="24">
        <f>+'Summary - Reserve - PG 2 (Fin)'!C18+'Summary - Reserve - PG 2 (PA)'!C18</f>
        <v>-1302.8200000001236</v>
      </c>
      <c r="D18" s="24"/>
      <c r="E18" s="24">
        <f>+'Summary - Reserve - PG 2 (Fin)'!E18+'Summary - Reserve - PG 2 (PA)'!E18</f>
        <v>-289.68</v>
      </c>
      <c r="F18" s="24"/>
      <c r="G18" s="24">
        <f>+'Summary - Reserve - PG 2 (Fin)'!G18+'Summary - Reserve - PG 2 (PA)'!G18</f>
        <v>0</v>
      </c>
      <c r="H18" s="24"/>
      <c r="I18" s="24">
        <f>+'Summary - Reserve - PG 2 (Fin)'!I18+'Summary - Reserve - PG 2 (PA)'!I18</f>
        <v>0</v>
      </c>
      <c r="J18" s="24"/>
      <c r="K18" s="24">
        <f>+'Summary - Reserve - PG 2 (Fin)'!K18</f>
        <v>0</v>
      </c>
      <c r="L18" s="24"/>
      <c r="M18" s="24">
        <f>+'Summary - Reserve - PG 2 (Fin)'!M18+'Summary - Reserve - PG 2 (PA)'!K18</f>
        <v>0</v>
      </c>
      <c r="N18" s="24"/>
      <c r="O18" s="24">
        <f>+'Summary - Reserve - PG 2 (Fin)'!O18+'Summary - Reserve - PG 2 (PA)'!M18</f>
        <v>0</v>
      </c>
      <c r="P18" s="24"/>
      <c r="Q18" s="24">
        <f>+'Summary - Reserve - PG 2 (Fin)'!Q18+'Summary - Reserve - PG 2 (PA)'!O18</f>
        <v>0</v>
      </c>
      <c r="R18" s="24"/>
      <c r="S18" s="24">
        <f>+'Summary - Reserve - PG 2 (Fin)'!S18+'Summary - Reserve - PG 2 (PA)'!Q18</f>
        <v>0</v>
      </c>
      <c r="T18" s="24"/>
      <c r="U18" s="24">
        <f>S18+Q18+O18+M18+I18+G18+E18+C18</f>
        <v>-1592.5000000001237</v>
      </c>
    </row>
    <row r="19" spans="2:21">
      <c r="B19" s="10" t="s">
        <v>118</v>
      </c>
      <c r="C19" s="24">
        <f>+'Summary - Reserve - PG 2 (Fin)'!C19+'Summary - Reserve - PG 2 (PA)'!C19</f>
        <v>-52257477.750000119</v>
      </c>
      <c r="D19" s="24"/>
      <c r="E19" s="24">
        <f>+'Summary - Reserve - PG 2 (Fin)'!E19+'Summary - Reserve - PG 2 (PA)'!E19</f>
        <v>-14361072.620000001</v>
      </c>
      <c r="F19" s="24"/>
      <c r="G19" s="24">
        <f>+'Summary - Reserve - PG 2 (Fin)'!G19+'Summary - Reserve - PG 2 (PA)'!G19</f>
        <v>1121933.4899999998</v>
      </c>
      <c r="H19" s="24"/>
      <c r="I19" s="24">
        <f>+'Summary - Reserve - PG 2 (Fin)'!I19+'Summary - Reserve - PG 2 (PA)'!I19</f>
        <v>0</v>
      </c>
      <c r="J19" s="24"/>
      <c r="K19" s="24">
        <f>+'Summary - Reserve - PG 2 (Fin)'!K19</f>
        <v>0</v>
      </c>
      <c r="L19" s="24"/>
      <c r="M19" s="24">
        <f>+'Summary - Reserve - PG 2 (Fin)'!M19+'Summary - Reserve - PG 2 (PA)'!K19</f>
        <v>0</v>
      </c>
      <c r="N19" s="24"/>
      <c r="O19" s="24">
        <f>+'Summary - Reserve - PG 2 (Fin)'!O19+'Summary - Reserve - PG 2 (PA)'!M19</f>
        <v>0</v>
      </c>
      <c r="P19" s="24"/>
      <c r="Q19" s="24">
        <f>+'Summary - Reserve - PG 2 (Fin)'!Q19+'Summary - Reserve - PG 2 (PA)'!O19</f>
        <v>0</v>
      </c>
      <c r="R19" s="24"/>
      <c r="S19" s="24">
        <f>+'Summary - Reserve - PG 2 (Fin)'!S19+'Summary - Reserve - PG 2 (PA)'!Q19</f>
        <v>0</v>
      </c>
      <c r="T19" s="24"/>
      <c r="U19" s="24">
        <f t="shared" si="0"/>
        <v>-65496616.880000122</v>
      </c>
    </row>
    <row r="20" spans="2:21">
      <c r="B20" s="10" t="s">
        <v>949</v>
      </c>
      <c r="C20" s="24">
        <f>+'Summary - Reserve - PG 2 (Fin)'!C20+'Summary - Reserve - PG 2 (PA)'!C20</f>
        <v>-1402047.92</v>
      </c>
      <c r="D20" s="24"/>
      <c r="E20" s="24">
        <f>+'Summary - Reserve - PG 2 (Fin)'!E20+'Summary - Reserve - PG 2 (PA)'!E20</f>
        <v>-448236.04999999993</v>
      </c>
      <c r="F20" s="24"/>
      <c r="G20" s="24">
        <f>+'Summary - Reserve - PG 2 (Fin)'!G20+'Summary - Reserve - PG 2 (PA)'!G20</f>
        <v>0</v>
      </c>
      <c r="H20" s="24"/>
      <c r="I20" s="24">
        <f>+'Summary - Reserve - PG 2 (Fin)'!I20+'Summary - Reserve - PG 2 (PA)'!I20</f>
        <v>0</v>
      </c>
      <c r="J20" s="24"/>
      <c r="K20" s="24">
        <f>+'Summary - Reserve - PG 2 (Fin)'!K20</f>
        <v>0</v>
      </c>
      <c r="L20" s="24"/>
      <c r="M20" s="24">
        <f>+'Summary - Reserve - PG 2 (Fin)'!M20+'Summary - Reserve - PG 2 (PA)'!K20</f>
        <v>0</v>
      </c>
      <c r="N20" s="24"/>
      <c r="O20" s="24">
        <f>+'Summary - Reserve - PG 2 (Fin)'!O20+'Summary - Reserve - PG 2 (PA)'!M20</f>
        <v>0</v>
      </c>
      <c r="P20" s="24"/>
      <c r="Q20" s="24">
        <f>+'Summary - Reserve - PG 2 (Fin)'!Q20+'Summary - Reserve - PG 2 (PA)'!O20</f>
        <v>0</v>
      </c>
      <c r="R20" s="24"/>
      <c r="S20" s="24">
        <f>+'Summary - Reserve - PG 2 (Fin)'!S20+'Summary - Reserve - PG 2 (PA)'!Q20</f>
        <v>0</v>
      </c>
      <c r="T20" s="24"/>
      <c r="U20" s="24">
        <f t="shared" si="0"/>
        <v>-1850283.9699999997</v>
      </c>
    </row>
    <row r="21" spans="2:21">
      <c r="B21" s="10" t="s">
        <v>119</v>
      </c>
      <c r="C21" s="24">
        <f>+'Summary - Reserve - PG 2 (Fin)'!C21+'Summary - Reserve - PG 2 (PA)'!C21</f>
        <v>-4410990.1799999923</v>
      </c>
      <c r="D21" s="24"/>
      <c r="E21" s="24">
        <f>+'Summary - Reserve - PG 2 (Fin)'!E21+'Summary - Reserve - PG 2 (PA)'!E21</f>
        <v>-1131896.19</v>
      </c>
      <c r="F21" s="24"/>
      <c r="G21" s="24">
        <f>+'Summary - Reserve - PG 2 (Fin)'!G21+'Summary - Reserve - PG 2 (PA)'!G21</f>
        <v>456718.33000000007</v>
      </c>
      <c r="H21" s="24"/>
      <c r="I21" s="24">
        <f>+'Summary - Reserve - PG 2 (Fin)'!I21+'Summary - Reserve - PG 2 (PA)'!I21</f>
        <v>0</v>
      </c>
      <c r="J21" s="24"/>
      <c r="K21" s="24">
        <f>+'Summary - Reserve - PG 2 (Fin)'!K21</f>
        <v>0</v>
      </c>
      <c r="L21" s="24"/>
      <c r="M21" s="24">
        <f>+'Summary - Reserve - PG 2 (Fin)'!M21+'Summary - Reserve - PG 2 (PA)'!K21</f>
        <v>0</v>
      </c>
      <c r="N21" s="24"/>
      <c r="O21" s="24">
        <f>+'Summary - Reserve - PG 2 (Fin)'!O21+'Summary - Reserve - PG 2 (PA)'!M21</f>
        <v>0</v>
      </c>
      <c r="P21" s="24"/>
      <c r="Q21" s="24">
        <f>+'Summary - Reserve - PG 2 (Fin)'!Q21+'Summary - Reserve - PG 2 (PA)'!O21</f>
        <v>0</v>
      </c>
      <c r="R21" s="24"/>
      <c r="S21" s="24">
        <f>+'Summary - Reserve - PG 2 (Fin)'!S21+'Summary - Reserve - PG 2 (PA)'!Q21</f>
        <v>0</v>
      </c>
      <c r="T21" s="24"/>
      <c r="U21" s="24">
        <f t="shared" si="0"/>
        <v>-5086168.0399999917</v>
      </c>
    </row>
    <row r="22" spans="2:21">
      <c r="B22" s="10" t="s">
        <v>950</v>
      </c>
      <c r="C22" s="24">
        <f>+'Summary - Reserve - PG 2 (Fin)'!C22+'Summary - Reserve - PG 2 (PA)'!C22</f>
        <v>-903.27999999999975</v>
      </c>
      <c r="D22" s="24"/>
      <c r="E22" s="24">
        <f>+'Summary - Reserve - PG 2 (Fin)'!E22+'Summary - Reserve - PG 2 (PA)'!E22</f>
        <v>-2038.83</v>
      </c>
      <c r="F22" s="24"/>
      <c r="G22" s="24">
        <f>+'Summary - Reserve - PG 2 (Fin)'!G22+'Summary - Reserve - PG 2 (PA)'!G22</f>
        <v>0</v>
      </c>
      <c r="H22" s="24"/>
      <c r="I22" s="24">
        <f>+'Summary - Reserve - PG 2 (Fin)'!I22+'Summary - Reserve - PG 2 (PA)'!I22</f>
        <v>0</v>
      </c>
      <c r="J22" s="24"/>
      <c r="K22" s="24">
        <f>+'Summary - Reserve - PG 2 (Fin)'!K22</f>
        <v>0</v>
      </c>
      <c r="L22" s="24"/>
      <c r="M22" s="24">
        <f>+'Summary - Reserve - PG 2 (Fin)'!M22+'Summary - Reserve - PG 2 (PA)'!K22</f>
        <v>0</v>
      </c>
      <c r="N22" s="24"/>
      <c r="O22" s="24">
        <f>+'Summary - Reserve - PG 2 (Fin)'!O22+'Summary - Reserve - PG 2 (PA)'!M22</f>
        <v>0</v>
      </c>
      <c r="P22" s="24"/>
      <c r="Q22" s="24">
        <f>+'Summary - Reserve - PG 2 (Fin)'!Q22+'Summary - Reserve - PG 2 (PA)'!O22</f>
        <v>0</v>
      </c>
      <c r="R22" s="24"/>
      <c r="S22" s="24">
        <f>+'Summary - Reserve - PG 2 (Fin)'!S22+'Summary - Reserve - PG 2 (PA)'!Q22</f>
        <v>0</v>
      </c>
      <c r="T22" s="24"/>
      <c r="U22" s="24">
        <f t="shared" si="0"/>
        <v>-2942.1099999999997</v>
      </c>
    </row>
    <row r="23" spans="2:21">
      <c r="B23" s="10" t="s">
        <v>121</v>
      </c>
      <c r="C23" s="24">
        <f>+'Summary - Reserve - PG 2 (Fin)'!C23+'Summary - Reserve - PG 2 (PA)'!C23</f>
        <v>-8640643.2799999863</v>
      </c>
      <c r="D23" s="24"/>
      <c r="E23" s="24">
        <f>+'Summary - Reserve - PG 2 (Fin)'!E23+'Summary - Reserve - PG 2 (PA)'!E23</f>
        <v>-3045800.2800000003</v>
      </c>
      <c r="F23" s="24"/>
      <c r="G23" s="24">
        <f>+'Summary - Reserve - PG 2 (Fin)'!G23+'Summary - Reserve - PG 2 (PA)'!G23</f>
        <v>9131.720000000003</v>
      </c>
      <c r="H23" s="24"/>
      <c r="I23" s="24">
        <f>+'Summary - Reserve - PG 2 (Fin)'!I23+'Summary - Reserve - PG 2 (PA)'!I23</f>
        <v>1037.44</v>
      </c>
      <c r="J23" s="24"/>
      <c r="K23" s="24">
        <f>+'Summary - Reserve - PG 2 (Fin)'!K23</f>
        <v>0</v>
      </c>
      <c r="L23" s="24"/>
      <c r="M23" s="24">
        <f>+'Summary - Reserve - PG 2 (Fin)'!M23+'Summary - Reserve - PG 2 (PA)'!K23</f>
        <v>0</v>
      </c>
      <c r="N23" s="24"/>
      <c r="O23" s="24">
        <f>+'Summary - Reserve - PG 2 (Fin)'!O23+'Summary - Reserve - PG 2 (PA)'!M23</f>
        <v>0</v>
      </c>
      <c r="P23" s="24"/>
      <c r="Q23" s="24">
        <f>+'Summary - Reserve - PG 2 (Fin)'!Q23+'Summary - Reserve - PG 2 (PA)'!O23</f>
        <v>0</v>
      </c>
      <c r="R23" s="24"/>
      <c r="S23" s="24">
        <f>+'Summary - Reserve - PG 2 (Fin)'!S23+'Summary - Reserve - PG 2 (PA)'!Q23</f>
        <v>0</v>
      </c>
      <c r="T23" s="24"/>
      <c r="U23" s="24">
        <f t="shared" si="0"/>
        <v>-11676274.399999987</v>
      </c>
    </row>
    <row r="24" spans="2:21">
      <c r="B24" s="10" t="s">
        <v>951</v>
      </c>
      <c r="C24" s="24">
        <f>+'Summary - Reserve - PG 2 (Fin)'!C24+'Summary - Reserve - PG 2 (PA)'!C24</f>
        <v>-346237.50999999919</v>
      </c>
      <c r="D24" s="24"/>
      <c r="E24" s="24">
        <f>+'Summary - Reserve - PG 2 (Fin)'!E24+'Summary - Reserve - PG 2 (PA)'!E24</f>
        <v>-74185.929999999993</v>
      </c>
      <c r="F24" s="24"/>
      <c r="G24" s="24">
        <f>+'Summary - Reserve - PG 2 (Fin)'!G24+'Summary - Reserve - PG 2 (PA)'!G24</f>
        <v>0</v>
      </c>
      <c r="H24" s="24"/>
      <c r="I24" s="24">
        <f>+'Summary - Reserve - PG 2 (Fin)'!I24+'Summary - Reserve - PG 2 (PA)'!I24</f>
        <v>0</v>
      </c>
      <c r="J24" s="24"/>
      <c r="K24" s="24">
        <f>+'Summary - Reserve - PG 2 (Fin)'!K24</f>
        <v>0</v>
      </c>
      <c r="L24" s="24"/>
      <c r="M24" s="24">
        <f>+'Summary - Reserve - PG 2 (Fin)'!M24+'Summary - Reserve - PG 2 (PA)'!K24</f>
        <v>0</v>
      </c>
      <c r="N24" s="24"/>
      <c r="O24" s="24">
        <f>+'Summary - Reserve - PG 2 (Fin)'!O24+'Summary - Reserve - PG 2 (PA)'!M24</f>
        <v>0</v>
      </c>
      <c r="P24" s="24"/>
      <c r="Q24" s="24">
        <f>+'Summary - Reserve - PG 2 (Fin)'!Q24+'Summary - Reserve - PG 2 (PA)'!O24</f>
        <v>0</v>
      </c>
      <c r="R24" s="24"/>
      <c r="S24" s="24">
        <f>+'Summary - Reserve - PG 2 (Fin)'!S24+'Summary - Reserve - PG 2 (PA)'!Q24</f>
        <v>0</v>
      </c>
      <c r="T24" s="24"/>
      <c r="U24" s="24">
        <f t="shared" si="0"/>
        <v>-420423.43999999919</v>
      </c>
    </row>
    <row r="25" spans="2:21">
      <c r="B25" s="10" t="s">
        <v>122</v>
      </c>
      <c r="C25" s="24">
        <f>+'Summary - Reserve - PG 2 (Fin)'!C25+'Summary - Reserve - PG 2 (PA)'!C25</f>
        <v>-329885.63999999966</v>
      </c>
      <c r="D25" s="24"/>
      <c r="E25" s="24">
        <f>+'Summary - Reserve - PG 2 (Fin)'!E25+'Summary - Reserve - PG 2 (PA)'!E25</f>
        <v>-93208.87000000001</v>
      </c>
      <c r="F25" s="24"/>
      <c r="G25" s="314">
        <f>+'Summary - Reserve - PG 2 (Fin)'!G25+'Summary - Reserve - PG 2 (PA)'!G25</f>
        <v>0</v>
      </c>
      <c r="H25" s="24"/>
      <c r="I25" s="24">
        <f>+'Summary - Reserve - PG 2 (Fin)'!I25+'Summary - Reserve - PG 2 (PA)'!I25</f>
        <v>0</v>
      </c>
      <c r="J25" s="24"/>
      <c r="K25" s="24">
        <f>+'Summary - Reserve - PG 2 (Fin)'!K25</f>
        <v>0</v>
      </c>
      <c r="L25" s="24"/>
      <c r="M25" s="24">
        <f>+'Summary - Reserve - PG 2 (Fin)'!M25+'Summary - Reserve - PG 2 (PA)'!K25</f>
        <v>0</v>
      </c>
      <c r="N25" s="24"/>
      <c r="O25" s="24">
        <f>+'Summary - Reserve - PG 2 (Fin)'!O25+'Summary - Reserve - PG 2 (PA)'!M25</f>
        <v>0</v>
      </c>
      <c r="P25" s="24"/>
      <c r="Q25" s="24">
        <f>+'Summary - Reserve - PG 2 (Fin)'!Q25+'Summary - Reserve - PG 2 (PA)'!O25</f>
        <v>0</v>
      </c>
      <c r="R25" s="24"/>
      <c r="S25" s="24">
        <f>+'Summary - Reserve - PG 2 (Fin)'!S25+'Summary - Reserve - PG 2 (PA)'!Q25</f>
        <v>0</v>
      </c>
      <c r="T25" s="24"/>
      <c r="U25" s="24">
        <f t="shared" si="0"/>
        <v>-423094.50999999966</v>
      </c>
    </row>
    <row r="26" spans="2:21">
      <c r="B26" s="10" t="s">
        <v>124</v>
      </c>
      <c r="C26" s="24">
        <f>+'Summary - Reserve - PG 2 (Fin)'!C26+'Summary - Reserve - PG 2 (PA)'!C26</f>
        <v>397670.12999999523</v>
      </c>
      <c r="D26" s="24"/>
      <c r="E26" s="24">
        <f>+'Summary - Reserve - PG 2 (Fin)'!E26+'Summary - Reserve - PG 2 (PA)'!E26</f>
        <v>-304911.95999999996</v>
      </c>
      <c r="F26" s="24"/>
      <c r="G26" s="24">
        <f>+'Summary - Reserve - PG 2 (Fin)'!G26+'Summary - Reserve - PG 2 (PA)'!G26</f>
        <v>19463.049999999996</v>
      </c>
      <c r="H26" s="24"/>
      <c r="I26" s="24">
        <f>+'Summary - Reserve - PG 2 (Fin)'!I26+'Summary - Reserve - PG 2 (PA)'!I26</f>
        <v>0</v>
      </c>
      <c r="J26" s="24"/>
      <c r="K26" s="24">
        <f>+'Summary - Reserve - PG 2 (Fin)'!K26</f>
        <v>0</v>
      </c>
      <c r="L26" s="24"/>
      <c r="M26" s="24">
        <f>+'Summary - Reserve - PG 2 (Fin)'!M26+'Summary - Reserve - PG 2 (PA)'!K26</f>
        <v>0</v>
      </c>
      <c r="N26" s="24"/>
      <c r="O26" s="24">
        <f>+'Summary - Reserve - PG 2 (Fin)'!O26+'Summary - Reserve - PG 2 (PA)'!M26</f>
        <v>0</v>
      </c>
      <c r="P26" s="24"/>
      <c r="Q26" s="24">
        <f>+'Summary - Reserve - PG 2 (Fin)'!Q26+'Summary - Reserve - PG 2 (PA)'!O26</f>
        <v>0</v>
      </c>
      <c r="R26" s="24"/>
      <c r="S26" s="24">
        <f>+'Summary - Reserve - PG 2 (Fin)'!S26+'Summary - Reserve - PG 2 (PA)'!Q26</f>
        <v>0</v>
      </c>
      <c r="T26" s="24"/>
      <c r="U26" s="24">
        <f t="shared" si="0"/>
        <v>112221.21999999526</v>
      </c>
    </row>
    <row r="27" spans="2:21">
      <c r="B27" s="10" t="s">
        <v>952</v>
      </c>
      <c r="C27" s="24">
        <f>+'Summary - Reserve - PG 2 (Fin)'!C27+'Summary - Reserve - PG 2 (PA)'!C27</f>
        <v>-257551.23999999993</v>
      </c>
      <c r="D27" s="24"/>
      <c r="E27" s="24">
        <f>+'Summary - Reserve - PG 2 (Fin)'!E27+'Summary - Reserve - PG 2 (PA)'!E27</f>
        <v>-55045.34</v>
      </c>
      <c r="F27" s="24"/>
      <c r="G27" s="24">
        <f>+'Summary - Reserve - PG 2 (Fin)'!G27+'Summary - Reserve - PG 2 (PA)'!G27</f>
        <v>0</v>
      </c>
      <c r="H27" s="24"/>
      <c r="I27" s="24">
        <f>+'Summary - Reserve - PG 2 (Fin)'!I27+'Summary - Reserve - PG 2 (PA)'!I27</f>
        <v>0</v>
      </c>
      <c r="J27" s="24"/>
      <c r="K27" s="24">
        <f>+'Summary - Reserve - PG 2 (Fin)'!K27</f>
        <v>0</v>
      </c>
      <c r="L27" s="24"/>
      <c r="M27" s="24">
        <f>+'Summary - Reserve - PG 2 (Fin)'!M27+'Summary - Reserve - PG 2 (PA)'!K27</f>
        <v>0</v>
      </c>
      <c r="N27" s="24"/>
      <c r="O27" s="24">
        <f>+'Summary - Reserve - PG 2 (Fin)'!O27+'Summary - Reserve - PG 2 (PA)'!M27</f>
        <v>0</v>
      </c>
      <c r="P27" s="24"/>
      <c r="Q27" s="24">
        <f>+'Summary - Reserve - PG 2 (Fin)'!Q27+'Summary - Reserve - PG 2 (PA)'!O27</f>
        <v>0</v>
      </c>
      <c r="R27" s="24"/>
      <c r="S27" s="24">
        <f>+'Summary - Reserve - PG 2 (Fin)'!S27+'Summary - Reserve - PG 2 (PA)'!Q27</f>
        <v>0</v>
      </c>
      <c r="T27" s="24"/>
      <c r="U27" s="24">
        <f t="shared" si="0"/>
        <v>-312596.57999999996</v>
      </c>
    </row>
    <row r="28" spans="2:21">
      <c r="B28" s="10" t="s">
        <v>129</v>
      </c>
      <c r="C28" s="24">
        <f>+'Summary - Reserve - PG 2 (Fin)'!C28+'Summary - Reserve - PG 2 (PA)'!C28</f>
        <v>0</v>
      </c>
      <c r="D28" s="24"/>
      <c r="E28" s="24">
        <f>+'Summary - Reserve - PG 2 (Fin)'!E28+'Summary - Reserve - PG 2 (PA)'!E28</f>
        <v>0</v>
      </c>
      <c r="F28" s="24"/>
      <c r="G28" s="24">
        <f>+'Summary - Reserve - PG 2 (Fin)'!G28+'Summary - Reserve - PG 2 (PA)'!G28</f>
        <v>0</v>
      </c>
      <c r="H28" s="24"/>
      <c r="I28" s="24">
        <f>+'Summary - Reserve - PG 2 (Fin)'!I28+'Summary - Reserve - PG 2 (PA)'!I28</f>
        <v>0</v>
      </c>
      <c r="J28" s="24"/>
      <c r="K28" s="24">
        <f>+'Summary - Reserve - PG 2 (Fin)'!K28</f>
        <v>0</v>
      </c>
      <c r="L28" s="24"/>
      <c r="M28" s="24">
        <f>+'Summary - Reserve - PG 2 (Fin)'!M28+'Summary - Reserve - PG 2 (PA)'!K28</f>
        <v>0</v>
      </c>
      <c r="N28" s="24"/>
      <c r="O28" s="24">
        <f>+'Summary - Reserve - PG 2 (Fin)'!O28+'Summary - Reserve - PG 2 (PA)'!M28</f>
        <v>0</v>
      </c>
      <c r="P28" s="24"/>
      <c r="Q28" s="24">
        <f>+'Summary - Reserve - PG 2 (Fin)'!Q28+'Summary - Reserve - PG 2 (PA)'!O28</f>
        <v>0</v>
      </c>
      <c r="R28" s="24"/>
      <c r="S28" s="24">
        <f>+'Summary - Reserve - PG 2 (Fin)'!S28+'Summary - Reserve - PG 2 (PA)'!Q28</f>
        <v>0</v>
      </c>
      <c r="T28" s="24"/>
      <c r="U28" s="24">
        <f t="shared" si="0"/>
        <v>0</v>
      </c>
    </row>
    <row r="29" spans="2:21">
      <c r="B29" s="10" t="s">
        <v>125</v>
      </c>
      <c r="C29" s="27">
        <f>+'Summary - Reserve - PG 2 (Fin)'!C29+'Summary - Reserve - PG 2 (PA)'!C29</f>
        <v>-59742.240000003949</v>
      </c>
      <c r="D29" s="27"/>
      <c r="E29" s="27">
        <f>+'Summary - Reserve - PG 2 (Fin)'!E29+'Summary - Reserve - PG 2 (PA)'!E29</f>
        <v>-15224.29</v>
      </c>
      <c r="F29" s="27"/>
      <c r="G29" s="27">
        <f>+'Summary - Reserve - PG 2 (Fin)'!G29+'Summary - Reserve - PG 2 (PA)'!G29</f>
        <v>691.69</v>
      </c>
      <c r="H29" s="27"/>
      <c r="I29" s="27">
        <f>+'Summary - Reserve - PG 2 (Fin)'!I29+'Summary - Reserve - PG 2 (PA)'!I29</f>
        <v>-1037.44</v>
      </c>
      <c r="J29" s="27"/>
      <c r="K29" s="24">
        <f>+'Summary - Reserve - PG 2 (Fin)'!K29</f>
        <v>0</v>
      </c>
      <c r="L29" s="27"/>
      <c r="M29" s="27">
        <f>+'Summary - Reserve - PG 2 (Fin)'!M29+'Summary - Reserve - PG 2 (PA)'!K29</f>
        <v>0</v>
      </c>
      <c r="N29" s="27"/>
      <c r="O29" s="27">
        <f>+'Summary - Reserve - PG 2 (Fin)'!O29+'Summary - Reserve - PG 2 (PA)'!M29</f>
        <v>0</v>
      </c>
      <c r="P29" s="27"/>
      <c r="Q29" s="27">
        <f>+'Summary - Reserve - PG 2 (Fin)'!Q29+'Summary - Reserve - PG 2 (PA)'!O29</f>
        <v>0</v>
      </c>
      <c r="R29" s="27"/>
      <c r="S29" s="27">
        <f>+'Summary - Reserve - PG 2 (Fin)'!S29+'Summary - Reserve - PG 2 (PA)'!Q29</f>
        <v>0</v>
      </c>
      <c r="T29" s="27"/>
      <c r="U29" s="27">
        <f t="shared" si="0"/>
        <v>-75312.280000003957</v>
      </c>
    </row>
    <row r="30" spans="2:21">
      <c r="B30" s="10" t="s">
        <v>1443</v>
      </c>
      <c r="C30" s="27">
        <f>+'Summary - Reserve - PG 2 (Fin)'!C30+'Summary - Reserve - PG 2 (PA)'!C30</f>
        <v>-35270.86</v>
      </c>
      <c r="D30" s="27"/>
      <c r="E30" s="27">
        <f>+'Summary - Reserve - PG 2 (Fin)'!E30+'Summary - Reserve - PG 2 (PA)'!E30</f>
        <v>-26453.13</v>
      </c>
      <c r="F30" s="27"/>
      <c r="G30" s="27">
        <f>+'Summary - Reserve - PG 2 (Fin)'!G30+'Summary - Reserve - PG 2 (PA)'!G30</f>
        <v>0</v>
      </c>
      <c r="H30" s="27"/>
      <c r="I30" s="27">
        <f>+'Summary - Reserve - PG 2 (Fin)'!I30+'Summary - Reserve - PG 2 (PA)'!I30</f>
        <v>0</v>
      </c>
      <c r="J30" s="27"/>
      <c r="K30" s="24">
        <f>+'Summary - Reserve - PG 2 (Fin)'!K30</f>
        <v>0</v>
      </c>
      <c r="L30" s="27"/>
      <c r="M30" s="27">
        <f>+'Summary - Reserve - PG 2 (Fin)'!M30+'Summary - Reserve - PG 2 (PA)'!K30</f>
        <v>0</v>
      </c>
      <c r="N30" s="27"/>
      <c r="O30" s="27">
        <f>+'Summary - Reserve - PG 2 (Fin)'!O30+'Summary - Reserve - PG 2 (PA)'!M30</f>
        <v>0</v>
      </c>
      <c r="P30" s="27"/>
      <c r="Q30" s="27">
        <f>+'Summary - Reserve - PG 2 (Fin)'!Q30+'Summary - Reserve - PG 2 (PA)'!O30</f>
        <v>0</v>
      </c>
      <c r="R30" s="27"/>
      <c r="S30" s="27">
        <f>+'Summary - Reserve - PG 2 (Fin)'!S30+'Summary - Reserve - PG 2 (PA)'!Q30</f>
        <v>0</v>
      </c>
      <c r="T30" s="27"/>
      <c r="U30" s="27">
        <f t="shared" ref="U30" si="1">S30+Q30+O30+M30+I30+G30+E30+C30</f>
        <v>-61723.990000000005</v>
      </c>
    </row>
    <row r="31" spans="2:21">
      <c r="B31" s="10" t="s">
        <v>131</v>
      </c>
      <c r="C31" s="28">
        <f>+'Summary - Reserve - PG 2 (Fin)'!C31+'Summary - Reserve - PG 2 (PA)'!C31</f>
        <v>0</v>
      </c>
      <c r="D31" s="27"/>
      <c r="E31" s="28">
        <f>+'Summary - Reserve - PG 2 (Fin)'!E31+'Summary - Reserve - PG 2 (PA)'!E31</f>
        <v>0</v>
      </c>
      <c r="F31" s="27"/>
      <c r="G31" s="28">
        <f>+'Summary - Reserve - PG 2 (Fin)'!G31+'Summary - Reserve - PG 2 (PA)'!G31</f>
        <v>0</v>
      </c>
      <c r="H31" s="27"/>
      <c r="I31" s="28">
        <f>+'Summary - Reserve - PG 2 (Fin)'!I31+'Summary - Reserve - PG 2 (PA)'!I31</f>
        <v>0</v>
      </c>
      <c r="J31" s="27"/>
      <c r="K31" s="28">
        <f>+'Summary - Reserve - PG 2 (Fin)'!K31</f>
        <v>0</v>
      </c>
      <c r="L31" s="27"/>
      <c r="M31" s="28">
        <f>+'Summary - Reserve - PG 2 (Fin)'!M31+'Summary - Reserve - PG 2 (PA)'!K31</f>
        <v>0</v>
      </c>
      <c r="N31" s="27"/>
      <c r="O31" s="28">
        <f>+'Summary - Reserve - PG 2 (Fin)'!O31+'Summary - Reserve - PG 2 (PA)'!M31</f>
        <v>0</v>
      </c>
      <c r="P31" s="27"/>
      <c r="Q31" s="28">
        <f>+'Summary - Reserve - PG 2 (Fin)'!Q31+'Summary - Reserve - PG 2 (PA)'!O31</f>
        <v>0</v>
      </c>
      <c r="R31" s="27"/>
      <c r="S31" s="28">
        <f>+'Summary - Reserve - PG 2 (Fin)'!S31+'Summary - Reserve - PG 2 (PA)'!Q31</f>
        <v>0</v>
      </c>
      <c r="T31" s="27"/>
      <c r="U31" s="28">
        <f t="shared" si="0"/>
        <v>0</v>
      </c>
    </row>
    <row r="32" spans="2:21">
      <c r="B32" s="11"/>
      <c r="C32" s="27">
        <f>SUM(C10:C31)</f>
        <v>-107268083.97000016</v>
      </c>
      <c r="D32" s="27"/>
      <c r="E32" s="27">
        <f>SUM(E10:E31)</f>
        <v>-29514068.910000004</v>
      </c>
      <c r="F32" s="27"/>
      <c r="G32" s="27">
        <f>SUM(G10:G31)</f>
        <v>3398379.4599999995</v>
      </c>
      <c r="H32" s="27"/>
      <c r="I32" s="27">
        <f>SUM(I10:I31)</f>
        <v>-223.55999999999995</v>
      </c>
      <c r="J32" s="27"/>
      <c r="K32" s="27">
        <f>SUM(K10:K31)</f>
        <v>0</v>
      </c>
      <c r="L32" s="27"/>
      <c r="M32" s="27">
        <f>SUM(M10:M31)</f>
        <v>0</v>
      </c>
      <c r="N32" s="27"/>
      <c r="O32" s="27">
        <f>SUM(O10:O31)</f>
        <v>0</v>
      </c>
      <c r="P32" s="27"/>
      <c r="Q32" s="27">
        <f>SUM(Q10:Q31)</f>
        <v>0</v>
      </c>
      <c r="R32" s="27"/>
      <c r="S32" s="27">
        <f>SUM(S10:S31)</f>
        <v>0</v>
      </c>
      <c r="T32" s="27"/>
      <c r="U32" s="27">
        <f>SUM(U10:U31)</f>
        <v>-133383996.98000015</v>
      </c>
    </row>
    <row r="33" spans="1:21">
      <c r="C33" s="71"/>
      <c r="D33" s="71"/>
      <c r="E33" s="71"/>
      <c r="F33" s="71"/>
      <c r="G33" s="71"/>
      <c r="H33" s="71"/>
      <c r="I33" s="86"/>
      <c r="J33" s="71"/>
      <c r="K33" s="86"/>
      <c r="L33" s="71"/>
      <c r="M33" s="71"/>
      <c r="N33" s="71"/>
      <c r="O33" s="71"/>
      <c r="P33" s="71"/>
      <c r="Q33" s="71"/>
      <c r="R33" s="71"/>
      <c r="S33" s="71"/>
      <c r="T33" s="71"/>
      <c r="U33" s="71"/>
    </row>
    <row r="34" spans="1:21" ht="15">
      <c r="A34" s="12" t="s">
        <v>653</v>
      </c>
      <c r="C34" s="87"/>
      <c r="D34" s="74"/>
      <c r="E34" s="87"/>
      <c r="F34" s="74"/>
      <c r="G34" s="87"/>
      <c r="H34" s="74"/>
      <c r="I34" s="87"/>
      <c r="J34" s="74"/>
      <c r="K34" s="87"/>
      <c r="L34" s="74"/>
      <c r="M34" s="87"/>
      <c r="N34" s="74"/>
      <c r="O34" s="87"/>
      <c r="P34" s="74"/>
      <c r="Q34" s="87"/>
      <c r="R34" s="74"/>
      <c r="S34" s="87"/>
      <c r="T34" s="74"/>
      <c r="U34" s="87"/>
    </row>
    <row r="35" spans="1:21">
      <c r="B35" s="10" t="s">
        <v>455</v>
      </c>
      <c r="C35" s="27">
        <f>+'Summary - Reserve - PG 2 (Fin)'!C35+'Summary - Reserve - PG 2 (PA)'!C35</f>
        <v>-637762.44000000006</v>
      </c>
      <c r="D35" s="27"/>
      <c r="E35" s="27">
        <f>+'Summary - Reserve - PG 2 (Fin)'!E35+'Summary - Reserve - PG 2 (PA)'!E35</f>
        <v>-72227.920000000013</v>
      </c>
      <c r="F35" s="27"/>
      <c r="G35" s="27">
        <f>+'Summary - Reserve - PG 2 (Fin)'!G35+'Summary - Reserve - PG 2 (PA)'!G35</f>
        <v>0</v>
      </c>
      <c r="H35" s="27"/>
      <c r="I35" s="27">
        <f>+'Summary - Reserve - PG 2 (Fin)'!I35+'Summary - Reserve - PG 2 (PA)'!I35</f>
        <v>0</v>
      </c>
      <c r="J35" s="27"/>
      <c r="K35" s="27">
        <f>+'Summary - Reserve - PG 2 (Fin)'!K35</f>
        <v>0</v>
      </c>
      <c r="L35" s="27"/>
      <c r="M35" s="27">
        <f>+'Summary - Reserve - PG 2 (Fin)'!M35+'Summary - Reserve - PG 2 (PA)'!K35</f>
        <v>0</v>
      </c>
      <c r="N35" s="27"/>
      <c r="O35" s="27">
        <f>+'Summary - Reserve - PG 2 (Fin)'!O35+'Summary - Reserve - PG 2 (PA)'!M35</f>
        <v>16557.84</v>
      </c>
      <c r="P35" s="27"/>
      <c r="Q35" s="27">
        <f>+'Summary - Reserve - PG 2 (Fin)'!Q35+'Summary - Reserve - PG 2 (PA)'!O35</f>
        <v>0</v>
      </c>
      <c r="R35" s="27"/>
      <c r="S35" s="27">
        <f>+'Summary - Reserve - PG 2 (Fin)'!S35+'Summary - Reserve - PG 2 (PA)'!Q35</f>
        <v>0</v>
      </c>
      <c r="T35" s="27"/>
      <c r="U35" s="27">
        <f t="shared" ref="U35:U47" si="2">S35+Q35+O35+M35+I35+G35+E35+C35</f>
        <v>-693432.52</v>
      </c>
    </row>
    <row r="36" spans="1:21">
      <c r="B36" s="10" t="s">
        <v>113</v>
      </c>
      <c r="C36" s="27">
        <f>+'Summary - Reserve - PG 2 (Fin)'!C36+'Summary - Reserve - PG 2 (PA)'!C36</f>
        <v>-148949763.17000002</v>
      </c>
      <c r="D36" s="27"/>
      <c r="E36" s="27">
        <f>+'Summary - Reserve - PG 2 (Fin)'!E36+'Summary - Reserve - PG 2 (PA)'!E36</f>
        <v>-1805735.27</v>
      </c>
      <c r="F36" s="27"/>
      <c r="G36" s="27">
        <f>+'Summary - Reserve - PG 2 (Fin)'!G36+'Summary - Reserve - PG 2 (PA)'!G36</f>
        <v>0</v>
      </c>
      <c r="H36" s="27"/>
      <c r="I36" s="27">
        <f>+'Summary - Reserve - PG 2 (Fin)'!I36+'Summary - Reserve - PG 2 (PA)'!I36</f>
        <v>0</v>
      </c>
      <c r="J36" s="27"/>
      <c r="K36" s="27">
        <f>+'Summary - Reserve - PG 2 (Fin)'!K36</f>
        <v>0</v>
      </c>
      <c r="L36" s="27"/>
      <c r="M36" s="27">
        <f>+'Summary - Reserve - PG 2 (Fin)'!M36+'Summary - Reserve - PG 2 (PA)'!K36</f>
        <v>0</v>
      </c>
      <c r="N36" s="27"/>
      <c r="O36" s="27">
        <f>+'Summary - Reserve - PG 2 (Fin)'!O36+'Summary - Reserve - PG 2 (PA)'!M36</f>
        <v>2613761.9900000002</v>
      </c>
      <c r="P36" s="27"/>
      <c r="Q36" s="27">
        <f>+'Summary - Reserve - PG 2 (Fin)'!Q36+'Summary - Reserve - PG 2 (PA)'!O36</f>
        <v>0</v>
      </c>
      <c r="R36" s="27"/>
      <c r="S36" s="27">
        <f>+'Summary - Reserve - PG 2 (Fin)'!S36+'Summary - Reserve - PG 2 (PA)'!Q36</f>
        <v>0</v>
      </c>
      <c r="T36" s="27"/>
      <c r="U36" s="27">
        <f t="shared" si="2"/>
        <v>-148141736.45000002</v>
      </c>
    </row>
    <row r="37" spans="1:21">
      <c r="B37" s="10" t="s">
        <v>114</v>
      </c>
      <c r="C37" s="27">
        <f>+'Summary - Reserve - PG 2 (Fin)'!C37+'Summary - Reserve - PG 2 (PA)'!C37</f>
        <v>3866.64</v>
      </c>
      <c r="D37" s="27"/>
      <c r="E37" s="27">
        <f>+'Summary - Reserve - PG 2 (Fin)'!E37+'Summary - Reserve - PG 2 (PA)'!E37</f>
        <v>0</v>
      </c>
      <c r="F37" s="27"/>
      <c r="G37" s="27">
        <f>+'Summary - Reserve - PG 2 (Fin)'!G37+'Summary - Reserve - PG 2 (PA)'!G37</f>
        <v>0</v>
      </c>
      <c r="H37" s="27"/>
      <c r="I37" s="27">
        <f>+'Summary - Reserve - PG 2 (Fin)'!I37+'Summary - Reserve - PG 2 (PA)'!I37</f>
        <v>0</v>
      </c>
      <c r="J37" s="27"/>
      <c r="K37" s="27">
        <f>+'Summary - Reserve - PG 2 (Fin)'!K37</f>
        <v>0</v>
      </c>
      <c r="L37" s="27"/>
      <c r="M37" s="27">
        <f>+'Summary - Reserve - PG 2 (Fin)'!M37+'Summary - Reserve - PG 2 (PA)'!K37</f>
        <v>0</v>
      </c>
      <c r="N37" s="27"/>
      <c r="O37" s="27">
        <f>+'Summary - Reserve - PG 2 (Fin)'!O37+'Summary - Reserve - PG 2 (PA)'!M37</f>
        <v>0</v>
      </c>
      <c r="P37" s="27"/>
      <c r="Q37" s="27">
        <f>+'Summary - Reserve - PG 2 (Fin)'!Q37+'Summary - Reserve - PG 2 (PA)'!O37</f>
        <v>0</v>
      </c>
      <c r="R37" s="27"/>
      <c r="S37" s="27">
        <f>+'Summary - Reserve - PG 2 (Fin)'!S37+'Summary - Reserve - PG 2 (PA)'!Q37</f>
        <v>0</v>
      </c>
      <c r="T37" s="27"/>
      <c r="U37" s="27">
        <f t="shared" si="2"/>
        <v>3866.64</v>
      </c>
    </row>
    <row r="38" spans="1:21">
      <c r="B38" s="10" t="s">
        <v>115</v>
      </c>
      <c r="C38" s="27">
        <f>+'Summary - Reserve - PG 2 (Fin)'!C38+'Summary - Reserve - PG 2 (PA)'!C38</f>
        <v>732455.1100000001</v>
      </c>
      <c r="D38" s="27"/>
      <c r="E38" s="27">
        <f>+'Summary - Reserve - PG 2 (Fin)'!E38+'Summary - Reserve - PG 2 (PA)'!E38</f>
        <v>-10738.08</v>
      </c>
      <c r="F38" s="27"/>
      <c r="G38" s="27">
        <f>+'Summary - Reserve - PG 2 (Fin)'!G38+'Summary - Reserve - PG 2 (PA)'!G38</f>
        <v>0</v>
      </c>
      <c r="H38" s="27"/>
      <c r="I38" s="27">
        <f>+'Summary - Reserve - PG 2 (Fin)'!I38+'Summary - Reserve - PG 2 (PA)'!I38</f>
        <v>0</v>
      </c>
      <c r="J38" s="27"/>
      <c r="K38" s="27">
        <f>+'Summary - Reserve - PG 2 (Fin)'!K38</f>
        <v>0</v>
      </c>
      <c r="L38" s="27"/>
      <c r="M38" s="27">
        <f>+'Summary - Reserve - PG 2 (Fin)'!M38+'Summary - Reserve - PG 2 (PA)'!K38</f>
        <v>0</v>
      </c>
      <c r="N38" s="27"/>
      <c r="O38" s="27">
        <f>+'Summary - Reserve - PG 2 (Fin)'!O38+'Summary - Reserve - PG 2 (PA)'!M38</f>
        <v>1017.4</v>
      </c>
      <c r="P38" s="27"/>
      <c r="Q38" s="27">
        <f>+'Summary - Reserve - PG 2 (Fin)'!Q38+'Summary - Reserve - PG 2 (PA)'!O38</f>
        <v>0</v>
      </c>
      <c r="R38" s="27"/>
      <c r="S38" s="27">
        <f>+'Summary - Reserve - PG 2 (Fin)'!S38+'Summary - Reserve - PG 2 (PA)'!Q38</f>
        <v>0</v>
      </c>
      <c r="T38" s="27"/>
      <c r="U38" s="27">
        <f t="shared" si="2"/>
        <v>722734.43</v>
      </c>
    </row>
    <row r="39" spans="1:21">
      <c r="B39" s="10" t="s">
        <v>117</v>
      </c>
      <c r="C39" s="27">
        <f>+'Summary - Reserve - PG 2 (Fin)'!C39+'Summary - Reserve - PG 2 (PA)'!C39</f>
        <v>-2535958.7100000004</v>
      </c>
      <c r="D39" s="27"/>
      <c r="E39" s="27">
        <f>+'Summary - Reserve - PG 2 (Fin)'!E39+'Summary - Reserve - PG 2 (PA)'!E39</f>
        <v>-89811.36</v>
      </c>
      <c r="F39" s="27"/>
      <c r="G39" s="27">
        <f>+'Summary - Reserve - PG 2 (Fin)'!G39+'Summary - Reserve - PG 2 (PA)'!G39</f>
        <v>0</v>
      </c>
      <c r="H39" s="27"/>
      <c r="I39" s="27">
        <f>+'Summary - Reserve - PG 2 (Fin)'!I39+'Summary - Reserve - PG 2 (PA)'!I39</f>
        <v>0</v>
      </c>
      <c r="J39" s="27"/>
      <c r="K39" s="27">
        <f>+'Summary - Reserve - PG 2 (Fin)'!K39</f>
        <v>0</v>
      </c>
      <c r="L39" s="27"/>
      <c r="M39" s="27">
        <f>+'Summary - Reserve - PG 2 (Fin)'!M39+'Summary - Reserve - PG 2 (PA)'!K39</f>
        <v>0</v>
      </c>
      <c r="N39" s="27"/>
      <c r="O39" s="27">
        <f>+'Summary - Reserve - PG 2 (Fin)'!O39+'Summary - Reserve - PG 2 (PA)'!M39</f>
        <v>170979.16</v>
      </c>
      <c r="P39" s="27"/>
      <c r="Q39" s="27">
        <f>+'Summary - Reserve - PG 2 (Fin)'!Q39+'Summary - Reserve - PG 2 (PA)'!O39</f>
        <v>0</v>
      </c>
      <c r="R39" s="27"/>
      <c r="S39" s="27">
        <f>+'Summary - Reserve - PG 2 (Fin)'!S39+'Summary - Reserve - PG 2 (PA)'!Q39</f>
        <v>0</v>
      </c>
      <c r="T39" s="27"/>
      <c r="U39" s="27">
        <f t="shared" si="2"/>
        <v>-2454790.9100000006</v>
      </c>
    </row>
    <row r="40" spans="1:21">
      <c r="B40" s="10" t="s">
        <v>118</v>
      </c>
      <c r="C40" s="27">
        <f>+'Summary - Reserve - PG 2 (Fin)'!C40+'Summary - Reserve - PG 2 (PA)'!C40</f>
        <v>-108291391.5</v>
      </c>
      <c r="D40" s="27"/>
      <c r="E40" s="27">
        <f>+'Summary - Reserve - PG 2 (Fin)'!E40+'Summary - Reserve - PG 2 (PA)'!E40</f>
        <v>-4302848.84</v>
      </c>
      <c r="F40" s="27"/>
      <c r="G40" s="27">
        <f>+'Summary - Reserve - PG 2 (Fin)'!G40+'Summary - Reserve - PG 2 (PA)'!G40</f>
        <v>0</v>
      </c>
      <c r="H40" s="27"/>
      <c r="I40" s="27">
        <f>+'Summary - Reserve - PG 2 (Fin)'!I40+'Summary - Reserve - PG 2 (PA)'!I40</f>
        <v>0</v>
      </c>
      <c r="J40" s="27"/>
      <c r="K40" s="27">
        <f>+'Summary - Reserve - PG 2 (Fin)'!K40</f>
        <v>0</v>
      </c>
      <c r="L40" s="27"/>
      <c r="M40" s="27">
        <f>+'Summary - Reserve - PG 2 (Fin)'!M40+'Summary - Reserve - PG 2 (PA)'!K40</f>
        <v>0</v>
      </c>
      <c r="N40" s="27"/>
      <c r="O40" s="27">
        <f>+'Summary - Reserve - PG 2 (Fin)'!O40+'Summary - Reserve - PG 2 (PA)'!M40</f>
        <v>1387859.46</v>
      </c>
      <c r="P40" s="27"/>
      <c r="Q40" s="27">
        <f>+'Summary - Reserve - PG 2 (Fin)'!Q40+'Summary - Reserve - PG 2 (PA)'!O40</f>
        <v>0</v>
      </c>
      <c r="R40" s="27"/>
      <c r="S40" s="27">
        <f>+'Summary - Reserve - PG 2 (Fin)'!S40+'Summary - Reserve - PG 2 (PA)'!Q40</f>
        <v>0</v>
      </c>
      <c r="T40" s="27"/>
      <c r="U40" s="27">
        <f t="shared" si="2"/>
        <v>-111206380.88</v>
      </c>
    </row>
    <row r="41" spans="1:21">
      <c r="B41" s="10" t="s">
        <v>119</v>
      </c>
      <c r="C41" s="27">
        <f>+'Summary - Reserve - PG 2 (Fin)'!C41+'Summary - Reserve - PG 2 (PA)'!C41</f>
        <v>-25759724.870000001</v>
      </c>
      <c r="D41" s="27"/>
      <c r="E41" s="27">
        <f>+'Summary - Reserve - PG 2 (Fin)'!E41+'Summary - Reserve - PG 2 (PA)'!E41</f>
        <v>-362863.86</v>
      </c>
      <c r="F41" s="27"/>
      <c r="G41" s="27">
        <f>+'Summary - Reserve - PG 2 (Fin)'!G41+'Summary - Reserve - PG 2 (PA)'!G41</f>
        <v>0</v>
      </c>
      <c r="H41" s="27"/>
      <c r="I41" s="27">
        <f>+'Summary - Reserve - PG 2 (Fin)'!I41+'Summary - Reserve - PG 2 (PA)'!I41</f>
        <v>0</v>
      </c>
      <c r="J41" s="27"/>
      <c r="K41" s="27">
        <f>+'Summary - Reserve - PG 2 (Fin)'!K41</f>
        <v>0</v>
      </c>
      <c r="L41" s="27"/>
      <c r="M41" s="27">
        <f>+'Summary - Reserve - PG 2 (Fin)'!M41+'Summary - Reserve - PG 2 (PA)'!K41</f>
        <v>0</v>
      </c>
      <c r="N41" s="27"/>
      <c r="O41" s="27">
        <f>+'Summary - Reserve - PG 2 (Fin)'!O41+'Summary - Reserve - PG 2 (PA)'!M41</f>
        <v>404164.79</v>
      </c>
      <c r="P41" s="27"/>
      <c r="Q41" s="27">
        <f>+'Summary - Reserve - PG 2 (Fin)'!Q41+'Summary - Reserve - PG 2 (PA)'!O41</f>
        <v>0</v>
      </c>
      <c r="R41" s="27"/>
      <c r="S41" s="27">
        <f>+'Summary - Reserve - PG 2 (Fin)'!S41+'Summary - Reserve - PG 2 (PA)'!Q41</f>
        <v>0</v>
      </c>
      <c r="T41" s="27"/>
      <c r="U41" s="27">
        <f t="shared" si="2"/>
        <v>-25718423.940000001</v>
      </c>
    </row>
    <row r="42" spans="1:21">
      <c r="B42" s="10" t="s">
        <v>121</v>
      </c>
      <c r="C42" s="27">
        <f>+'Summary - Reserve - PG 2 (Fin)'!C42+'Summary - Reserve - PG 2 (PA)'!C42</f>
        <v>-62001399.829999998</v>
      </c>
      <c r="D42" s="27"/>
      <c r="E42" s="27">
        <f>+'Summary - Reserve - PG 2 (Fin)'!E42+'Summary - Reserve - PG 2 (PA)'!E42</f>
        <v>-858648.40999999992</v>
      </c>
      <c r="F42" s="27"/>
      <c r="G42" s="27">
        <f>+'Summary - Reserve - PG 2 (Fin)'!G42+'Summary - Reserve - PG 2 (PA)'!G42</f>
        <v>0</v>
      </c>
      <c r="H42" s="27"/>
      <c r="I42" s="27">
        <f>+'Summary - Reserve - PG 2 (Fin)'!I42+'Summary - Reserve - PG 2 (PA)'!I42</f>
        <v>300.39</v>
      </c>
      <c r="J42" s="27"/>
      <c r="K42" s="27">
        <f>+'Summary - Reserve - PG 2 (Fin)'!K42</f>
        <v>0</v>
      </c>
      <c r="L42" s="27"/>
      <c r="M42" s="27">
        <f>+'Summary - Reserve - PG 2 (Fin)'!M42+'Summary - Reserve - PG 2 (PA)'!K42</f>
        <v>0</v>
      </c>
      <c r="N42" s="27"/>
      <c r="O42" s="27">
        <f>+'Summary - Reserve - PG 2 (Fin)'!O42+'Summary - Reserve - PG 2 (PA)'!M42</f>
        <v>60363.729999999996</v>
      </c>
      <c r="P42" s="27"/>
      <c r="Q42" s="27">
        <f>+'Summary - Reserve - PG 2 (Fin)'!Q42+'Summary - Reserve - PG 2 (PA)'!O42</f>
        <v>0</v>
      </c>
      <c r="R42" s="27"/>
      <c r="S42" s="27">
        <f>+'Summary - Reserve - PG 2 (Fin)'!S42+'Summary - Reserve - PG 2 (PA)'!Q42</f>
        <v>0</v>
      </c>
      <c r="T42" s="27"/>
      <c r="U42" s="27">
        <f t="shared" si="2"/>
        <v>-62799384.119999997</v>
      </c>
    </row>
    <row r="43" spans="1:21">
      <c r="B43" s="10" t="s">
        <v>122</v>
      </c>
      <c r="C43" s="27">
        <f>+'Summary - Reserve - PG 2 (Fin)'!C43+'Summary - Reserve - PG 2 (PA)'!C43</f>
        <v>-0.02</v>
      </c>
      <c r="D43" s="27"/>
      <c r="E43" s="27">
        <f>+'Summary - Reserve - PG 2 (Fin)'!E43+'Summary - Reserve - PG 2 (PA)'!E43</f>
        <v>0</v>
      </c>
      <c r="F43" s="27"/>
      <c r="G43" s="27">
        <f>+'Summary - Reserve - PG 2 (Fin)'!G43+'Summary - Reserve - PG 2 (PA)'!G43</f>
        <v>0</v>
      </c>
      <c r="H43" s="27"/>
      <c r="I43" s="27">
        <f>+'Summary - Reserve - PG 2 (Fin)'!I43+'Summary - Reserve - PG 2 (PA)'!I43</f>
        <v>0</v>
      </c>
      <c r="J43" s="27"/>
      <c r="K43" s="27">
        <f>+'Summary - Reserve - PG 2 (Fin)'!K43</f>
        <v>0</v>
      </c>
      <c r="L43" s="27"/>
      <c r="M43" s="27">
        <f>+'Summary - Reserve - PG 2 (Fin)'!M43+'Summary - Reserve - PG 2 (PA)'!K43</f>
        <v>0</v>
      </c>
      <c r="N43" s="27"/>
      <c r="O43" s="27">
        <f>+'Summary - Reserve - PG 2 (Fin)'!O43+'Summary - Reserve - PG 2 (PA)'!M43</f>
        <v>0</v>
      </c>
      <c r="P43" s="27"/>
      <c r="Q43" s="27">
        <f>+'Summary - Reserve - PG 2 (Fin)'!Q43+'Summary - Reserve - PG 2 (PA)'!O43</f>
        <v>0</v>
      </c>
      <c r="R43" s="27"/>
      <c r="S43" s="27">
        <f>+'Summary - Reserve - PG 2 (Fin)'!S43+'Summary - Reserve - PG 2 (PA)'!Q43</f>
        <v>0</v>
      </c>
      <c r="T43" s="27"/>
      <c r="U43" s="27">
        <f t="shared" si="2"/>
        <v>-0.02</v>
      </c>
    </row>
    <row r="44" spans="1:21">
      <c r="B44" s="10" t="s">
        <v>124</v>
      </c>
      <c r="C44" s="27">
        <f>+'Summary - Reserve - PG 2 (Fin)'!C44+'Summary - Reserve - PG 2 (PA)'!C44</f>
        <v>262470.53999999992</v>
      </c>
      <c r="D44" s="27"/>
      <c r="E44" s="27">
        <f>+'Summary - Reserve - PG 2 (Fin)'!E44+'Summary - Reserve - PG 2 (PA)'!E44</f>
        <v>-39237.25</v>
      </c>
      <c r="F44" s="27"/>
      <c r="G44" s="27">
        <f>+'Summary - Reserve - PG 2 (Fin)'!G44+'Summary - Reserve - PG 2 (PA)'!G44</f>
        <v>0</v>
      </c>
      <c r="H44" s="27"/>
      <c r="I44" s="27">
        <f>+'Summary - Reserve - PG 2 (Fin)'!I44+'Summary - Reserve - PG 2 (PA)'!I44</f>
        <v>0</v>
      </c>
      <c r="J44" s="27"/>
      <c r="K44" s="27">
        <f>+'Summary - Reserve - PG 2 (Fin)'!K44</f>
        <v>0</v>
      </c>
      <c r="L44" s="27"/>
      <c r="M44" s="27">
        <f>+'Summary - Reserve - PG 2 (Fin)'!M44+'Summary - Reserve - PG 2 (PA)'!K44</f>
        <v>0</v>
      </c>
      <c r="N44" s="27"/>
      <c r="O44" s="27">
        <f>+'Summary - Reserve - PG 2 (Fin)'!O44+'Summary - Reserve - PG 2 (PA)'!M44</f>
        <v>0</v>
      </c>
      <c r="P44" s="27"/>
      <c r="Q44" s="27">
        <f>+'Summary - Reserve - PG 2 (Fin)'!Q44+'Summary - Reserve - PG 2 (PA)'!O44</f>
        <v>0</v>
      </c>
      <c r="R44" s="27"/>
      <c r="S44" s="27">
        <f>+'Summary - Reserve - PG 2 (Fin)'!S44+'Summary - Reserve - PG 2 (PA)'!Q44</f>
        <v>0</v>
      </c>
      <c r="T44" s="27"/>
      <c r="U44" s="27">
        <f t="shared" si="2"/>
        <v>223233.28999999992</v>
      </c>
    </row>
    <row r="45" spans="1:21">
      <c r="B45" s="10" t="s">
        <v>129</v>
      </c>
      <c r="C45" s="27">
        <f>+'Summary - Reserve - PG 2 (Fin)'!C45+'Summary - Reserve - PG 2 (PA)'!C45</f>
        <v>0</v>
      </c>
      <c r="D45" s="27"/>
      <c r="E45" s="27">
        <f>+'Summary - Reserve - PG 2 (Fin)'!E45+'Summary - Reserve - PG 2 (PA)'!E45</f>
        <v>0</v>
      </c>
      <c r="F45" s="27"/>
      <c r="G45" s="27">
        <f>+'Summary - Reserve - PG 2 (Fin)'!G45+'Summary - Reserve - PG 2 (PA)'!G45</f>
        <v>0</v>
      </c>
      <c r="H45" s="27"/>
      <c r="I45" s="27">
        <f>+'Summary - Reserve - PG 2 (Fin)'!I45+'Summary - Reserve - PG 2 (PA)'!I45</f>
        <v>0</v>
      </c>
      <c r="J45" s="27"/>
      <c r="K45" s="27">
        <f>+'Summary - Reserve - PG 2 (Fin)'!K45</f>
        <v>0</v>
      </c>
      <c r="L45" s="27"/>
      <c r="M45" s="27">
        <f>+'Summary - Reserve - PG 2 (Fin)'!M45+'Summary - Reserve - PG 2 (PA)'!K45</f>
        <v>0</v>
      </c>
      <c r="N45" s="27"/>
      <c r="O45" s="27">
        <f>+'Summary - Reserve - PG 2 (Fin)'!O45+'Summary - Reserve - PG 2 (PA)'!M45</f>
        <v>0</v>
      </c>
      <c r="P45" s="27"/>
      <c r="Q45" s="27">
        <f>+'Summary - Reserve - PG 2 (Fin)'!Q45+'Summary - Reserve - PG 2 (PA)'!O45</f>
        <v>0</v>
      </c>
      <c r="R45" s="27"/>
      <c r="S45" s="27">
        <f>+'Summary - Reserve - PG 2 (Fin)'!S45+'Summary - Reserve - PG 2 (PA)'!Q45</f>
        <v>0</v>
      </c>
      <c r="T45" s="27"/>
      <c r="U45" s="27">
        <f t="shared" si="2"/>
        <v>0</v>
      </c>
    </row>
    <row r="46" spans="1:21">
      <c r="B46" s="10" t="s">
        <v>125</v>
      </c>
      <c r="C46" s="27">
        <f>+'Summary - Reserve - PG 2 (Fin)'!C46+'Summary - Reserve - PG 2 (PA)'!C46</f>
        <v>-2984857.77</v>
      </c>
      <c r="D46" s="27"/>
      <c r="E46" s="27">
        <f>+'Summary - Reserve - PG 2 (Fin)'!E46+'Summary - Reserve - PG 2 (PA)'!E46</f>
        <v>-3768.83</v>
      </c>
      <c r="F46" s="27"/>
      <c r="G46" s="27">
        <f>+'Summary - Reserve - PG 2 (Fin)'!G46+'Summary - Reserve - PG 2 (PA)'!G46</f>
        <v>0</v>
      </c>
      <c r="H46" s="27"/>
      <c r="I46" s="27">
        <f>+'Summary - Reserve - PG 2 (Fin)'!I46+'Summary - Reserve - PG 2 (PA)'!I46</f>
        <v>-300.39</v>
      </c>
      <c r="J46" s="27"/>
      <c r="K46" s="27">
        <f>+'Summary - Reserve - PG 2 (Fin)'!K46</f>
        <v>0</v>
      </c>
      <c r="L46" s="27"/>
      <c r="M46" s="27">
        <f>+'Summary - Reserve - PG 2 (Fin)'!M46+'Summary - Reserve - PG 2 (PA)'!K46</f>
        <v>0</v>
      </c>
      <c r="N46" s="27"/>
      <c r="O46" s="27">
        <f>+'Summary - Reserve - PG 2 (Fin)'!O46+'Summary - Reserve - PG 2 (PA)'!M46</f>
        <v>21090.05</v>
      </c>
      <c r="P46" s="27"/>
      <c r="Q46" s="27">
        <f>+'Summary - Reserve - PG 2 (Fin)'!Q46+'Summary - Reserve - PG 2 (PA)'!O46</f>
        <v>0</v>
      </c>
      <c r="R46" s="27"/>
      <c r="S46" s="27">
        <f>+'Summary - Reserve - PG 2 (Fin)'!S46+'Summary - Reserve - PG 2 (PA)'!Q46</f>
        <v>0</v>
      </c>
      <c r="T46" s="27"/>
      <c r="U46" s="27">
        <f t="shared" si="2"/>
        <v>-2967836.94</v>
      </c>
    </row>
    <row r="47" spans="1:21">
      <c r="B47" s="10" t="s">
        <v>131</v>
      </c>
      <c r="C47" s="28">
        <f>+'Summary - Reserve - PG 2 (Fin)'!C47+'Summary - Reserve - PG 2 (PA)'!C47</f>
        <v>0</v>
      </c>
      <c r="D47" s="27"/>
      <c r="E47" s="28">
        <f>+'Summary - Reserve - PG 2 (Fin)'!E47+'Summary - Reserve - PG 2 (PA)'!E47</f>
        <v>0</v>
      </c>
      <c r="F47" s="27"/>
      <c r="G47" s="28">
        <f>+'Summary - Reserve - PG 2 (Fin)'!G47+'Summary - Reserve - PG 2 (PA)'!G47</f>
        <v>0</v>
      </c>
      <c r="H47" s="27"/>
      <c r="I47" s="28">
        <f>+'Summary - Reserve - PG 2 (Fin)'!I47+'Summary - Reserve - PG 2 (PA)'!I47</f>
        <v>0</v>
      </c>
      <c r="J47" s="27"/>
      <c r="K47" s="28">
        <f>+'Summary - Reserve - PG 2 (Fin)'!K47</f>
        <v>0</v>
      </c>
      <c r="L47" s="27"/>
      <c r="M47" s="28">
        <f>+'Summary - Reserve - PG 2 (Fin)'!M47+'Summary - Reserve - PG 2 (PA)'!K47</f>
        <v>0</v>
      </c>
      <c r="N47" s="27"/>
      <c r="O47" s="28">
        <f>+'Summary - Reserve - PG 2 (Fin)'!O47+'Summary - Reserve - PG 2 (PA)'!M47</f>
        <v>0</v>
      </c>
      <c r="P47" s="27"/>
      <c r="Q47" s="28">
        <f>+'Summary - Reserve - PG 2 (Fin)'!Q47+'Summary - Reserve - PG 2 (PA)'!O47</f>
        <v>0</v>
      </c>
      <c r="R47" s="27"/>
      <c r="S47" s="28">
        <f>+'Summary - Reserve - PG 2 (Fin)'!S47+'Summary - Reserve - PG 2 (PA)'!Q47</f>
        <v>0</v>
      </c>
      <c r="T47" s="27"/>
      <c r="U47" s="28">
        <f t="shared" si="2"/>
        <v>0</v>
      </c>
    </row>
    <row r="48" spans="1:21">
      <c r="B48" s="11"/>
      <c r="C48" s="27">
        <f>SUM(C35:C47)</f>
        <v>-350162066.01999992</v>
      </c>
      <c r="D48" s="27"/>
      <c r="E48" s="27">
        <f>SUM(E35:E47)</f>
        <v>-7545879.8200000003</v>
      </c>
      <c r="F48" s="27"/>
      <c r="G48" s="27">
        <f>SUM(G35:G47)</f>
        <v>0</v>
      </c>
      <c r="H48" s="27"/>
      <c r="I48" s="27">
        <f>SUM(I35:I47)</f>
        <v>0</v>
      </c>
      <c r="J48" s="27"/>
      <c r="K48" s="27">
        <f>SUM(K35:K47)</f>
        <v>0</v>
      </c>
      <c r="L48" s="27"/>
      <c r="M48" s="27">
        <f>SUM(M35:M47)</f>
        <v>0</v>
      </c>
      <c r="N48" s="27"/>
      <c r="O48" s="27">
        <f>SUM(O35:O47)</f>
        <v>4675794.42</v>
      </c>
      <c r="P48" s="27"/>
      <c r="Q48" s="27">
        <f>SUM(Q35:Q47)</f>
        <v>0</v>
      </c>
      <c r="R48" s="27"/>
      <c r="S48" s="27">
        <f>SUM(S35:S47)</f>
        <v>0</v>
      </c>
      <c r="T48" s="27"/>
      <c r="U48" s="27">
        <f>SUM(U35:U47)</f>
        <v>-353032151.42000002</v>
      </c>
    </row>
    <row r="49" spans="1:21">
      <c r="C49" s="71"/>
      <c r="D49" s="71"/>
      <c r="E49" s="71"/>
      <c r="F49" s="71"/>
      <c r="G49" s="71"/>
      <c r="H49" s="71"/>
      <c r="I49" s="86"/>
      <c r="J49" s="71"/>
      <c r="K49" s="86"/>
      <c r="L49" s="71"/>
      <c r="M49" s="71"/>
      <c r="N49" s="71"/>
      <c r="O49" s="71"/>
      <c r="P49" s="71"/>
      <c r="Q49" s="71"/>
      <c r="R49" s="71"/>
      <c r="S49" s="71"/>
      <c r="T49" s="71"/>
      <c r="U49" s="71"/>
    </row>
    <row r="50" spans="1:21" ht="15">
      <c r="A50" s="12" t="s">
        <v>654</v>
      </c>
      <c r="C50" s="87"/>
      <c r="D50" s="74"/>
      <c r="E50" s="87"/>
      <c r="F50" s="74"/>
      <c r="G50" s="87"/>
      <c r="H50" s="74"/>
      <c r="I50" s="87"/>
      <c r="J50" s="74"/>
      <c r="K50" s="87"/>
      <c r="L50" s="74"/>
      <c r="M50" s="87"/>
      <c r="N50" s="74"/>
      <c r="O50" s="87"/>
      <c r="P50" s="74"/>
      <c r="Q50" s="87"/>
      <c r="R50" s="74"/>
      <c r="S50" s="87"/>
      <c r="T50" s="74"/>
      <c r="U50" s="87"/>
    </row>
    <row r="51" spans="1:21">
      <c r="B51" s="10" t="s">
        <v>455</v>
      </c>
      <c r="C51" s="27">
        <f>+'Summary - Reserve - PG 2 (Fin)'!C51+'Summary - Reserve - PG 2 (PA)'!C51</f>
        <v>278457.83</v>
      </c>
      <c r="D51" s="27"/>
      <c r="E51" s="27">
        <f>+'Summary - Reserve - PG 2 (Fin)'!E51+'Summary - Reserve - PG 2 (PA)'!E51</f>
        <v>95.820000000000007</v>
      </c>
      <c r="F51" s="27"/>
      <c r="G51" s="27">
        <f>+'Summary - Reserve - PG 2 (Fin)'!G51+'Summary - Reserve - PG 2 (PA)'!G51</f>
        <v>0</v>
      </c>
      <c r="H51" s="27"/>
      <c r="I51" s="27">
        <f>+'Summary - Reserve - PG 2 (Fin)'!I51+'Summary - Reserve - PG 2 (PA)'!I51</f>
        <v>0</v>
      </c>
      <c r="J51" s="27"/>
      <c r="K51" s="27">
        <f>+'Summary - Reserve - PG 2 (Fin)'!K51</f>
        <v>0</v>
      </c>
      <c r="L51" s="27"/>
      <c r="M51" s="27">
        <f>+'Summary - Reserve - PG 2 (Fin)'!M51+'Summary - Reserve - PG 2 (PA)'!K51</f>
        <v>0</v>
      </c>
      <c r="N51" s="27"/>
      <c r="O51" s="27">
        <f>+'Summary - Reserve - PG 2 (Fin)'!O51+'Summary - Reserve - PG 2 (PA)'!M51</f>
        <v>0</v>
      </c>
      <c r="P51" s="27"/>
      <c r="Q51" s="27">
        <f>+'Summary - Reserve - PG 2 (Fin)'!Q51+'Summary - Reserve - PG 2 (PA)'!O51</f>
        <v>-3000</v>
      </c>
      <c r="R51" s="27"/>
      <c r="S51" s="27">
        <f>+'Summary - Reserve - PG 2 (Fin)'!S51+'Summary - Reserve - PG 2 (PA)'!Q51</f>
        <v>0</v>
      </c>
      <c r="T51" s="27"/>
      <c r="U51" s="27">
        <f t="shared" ref="U51:U63" si="3">S51+Q51+O51+M51+I51+G51+E51+C51</f>
        <v>275553.65000000002</v>
      </c>
    </row>
    <row r="52" spans="1:21">
      <c r="B52" s="10" t="s">
        <v>113</v>
      </c>
      <c r="C52" s="27">
        <f>+'Summary - Reserve - PG 2 (Fin)'!C52+'Summary - Reserve - PG 2 (PA)'!C52</f>
        <v>18531222.48</v>
      </c>
      <c r="D52" s="27"/>
      <c r="E52" s="27">
        <f>+'Summary - Reserve - PG 2 (Fin)'!E52+'Summary - Reserve - PG 2 (PA)'!E52</f>
        <v>368163.38</v>
      </c>
      <c r="F52" s="27"/>
      <c r="G52" s="27">
        <f>+'Summary - Reserve - PG 2 (Fin)'!G52+'Summary - Reserve - PG 2 (PA)'!G52</f>
        <v>0</v>
      </c>
      <c r="H52" s="27"/>
      <c r="I52" s="27">
        <f>+'Summary - Reserve - PG 2 (Fin)'!I52+'Summary - Reserve - PG 2 (PA)'!I52</f>
        <v>0</v>
      </c>
      <c r="J52" s="27"/>
      <c r="K52" s="27">
        <f>+'Summary - Reserve - PG 2 (Fin)'!K52</f>
        <v>0</v>
      </c>
      <c r="L52" s="27"/>
      <c r="M52" s="27">
        <f>+'Summary - Reserve - PG 2 (Fin)'!M52+'Summary - Reserve - PG 2 (PA)'!K52</f>
        <v>0</v>
      </c>
      <c r="N52" s="27"/>
      <c r="O52" s="27">
        <f>+'Summary - Reserve - PG 2 (Fin)'!O52+'Summary - Reserve - PG 2 (PA)'!M52</f>
        <v>0</v>
      </c>
      <c r="P52" s="27"/>
      <c r="Q52" s="27">
        <f>+'Summary - Reserve - PG 2 (Fin)'!Q52+'Summary - Reserve - PG 2 (PA)'!O52</f>
        <v>-54967.23</v>
      </c>
      <c r="R52" s="27"/>
      <c r="S52" s="27">
        <f>+'Summary - Reserve - PG 2 (Fin)'!S52+'Summary - Reserve - PG 2 (PA)'!Q52</f>
        <v>0</v>
      </c>
      <c r="T52" s="27"/>
      <c r="U52" s="27">
        <f t="shared" si="3"/>
        <v>18844418.629999999</v>
      </c>
    </row>
    <row r="53" spans="1:21">
      <c r="B53" s="10" t="s">
        <v>114</v>
      </c>
      <c r="C53" s="27">
        <f>+'Summary - Reserve - PG 2 (Fin)'!C53+'Summary - Reserve - PG 2 (PA)'!C53</f>
        <v>140589.22</v>
      </c>
      <c r="D53" s="27"/>
      <c r="E53" s="27">
        <f>+'Summary - Reserve - PG 2 (Fin)'!E53+'Summary - Reserve - PG 2 (PA)'!E53</f>
        <v>596.79</v>
      </c>
      <c r="F53" s="27"/>
      <c r="G53" s="27">
        <f>+'Summary - Reserve - PG 2 (Fin)'!G53+'Summary - Reserve - PG 2 (PA)'!G53</f>
        <v>0</v>
      </c>
      <c r="H53" s="27"/>
      <c r="I53" s="27">
        <f>+'Summary - Reserve - PG 2 (Fin)'!I53+'Summary - Reserve - PG 2 (PA)'!I53</f>
        <v>0</v>
      </c>
      <c r="J53" s="27"/>
      <c r="K53" s="27">
        <f>+'Summary - Reserve - PG 2 (Fin)'!K53</f>
        <v>0</v>
      </c>
      <c r="L53" s="27"/>
      <c r="M53" s="27">
        <f>+'Summary - Reserve - PG 2 (Fin)'!M53+'Summary - Reserve - PG 2 (PA)'!K53</f>
        <v>0</v>
      </c>
      <c r="N53" s="27"/>
      <c r="O53" s="27">
        <f>+'Summary - Reserve - PG 2 (Fin)'!O53+'Summary - Reserve - PG 2 (PA)'!M53</f>
        <v>0</v>
      </c>
      <c r="P53" s="27"/>
      <c r="Q53" s="27">
        <f>+'Summary - Reserve - PG 2 (Fin)'!Q53+'Summary - Reserve - PG 2 (PA)'!O53</f>
        <v>0</v>
      </c>
      <c r="R53" s="27"/>
      <c r="S53" s="27">
        <f>+'Summary - Reserve - PG 2 (Fin)'!S53+'Summary - Reserve - PG 2 (PA)'!Q53</f>
        <v>0</v>
      </c>
      <c r="T53" s="27"/>
      <c r="U53" s="27">
        <f t="shared" si="3"/>
        <v>141186.01</v>
      </c>
    </row>
    <row r="54" spans="1:21">
      <c r="B54" s="10" t="s">
        <v>115</v>
      </c>
      <c r="C54" s="27">
        <f>+'Summary - Reserve - PG 2 (Fin)'!C54+'Summary - Reserve - PG 2 (PA)'!C54</f>
        <v>376638.17</v>
      </c>
      <c r="D54" s="27"/>
      <c r="E54" s="27">
        <f>+'Summary - Reserve - PG 2 (Fin)'!E54+'Summary - Reserve - PG 2 (PA)'!E54</f>
        <v>0</v>
      </c>
      <c r="F54" s="27"/>
      <c r="G54" s="27">
        <f>+'Summary - Reserve - PG 2 (Fin)'!G54+'Summary - Reserve - PG 2 (PA)'!G54</f>
        <v>0</v>
      </c>
      <c r="H54" s="27"/>
      <c r="I54" s="27">
        <f>+'Summary - Reserve - PG 2 (Fin)'!I54+'Summary - Reserve - PG 2 (PA)'!I54</f>
        <v>0</v>
      </c>
      <c r="J54" s="27"/>
      <c r="K54" s="27">
        <f>+'Summary - Reserve - PG 2 (Fin)'!K54</f>
        <v>0</v>
      </c>
      <c r="L54" s="27"/>
      <c r="M54" s="27">
        <f>+'Summary - Reserve - PG 2 (Fin)'!M54+'Summary - Reserve - PG 2 (PA)'!K54</f>
        <v>0</v>
      </c>
      <c r="N54" s="27"/>
      <c r="O54" s="27">
        <f>+'Summary - Reserve - PG 2 (Fin)'!O54+'Summary - Reserve - PG 2 (PA)'!M54</f>
        <v>0</v>
      </c>
      <c r="P54" s="27"/>
      <c r="Q54" s="27">
        <f>+'Summary - Reserve - PG 2 (Fin)'!Q54+'Summary - Reserve - PG 2 (PA)'!O54</f>
        <v>0</v>
      </c>
      <c r="R54" s="27"/>
      <c r="S54" s="27">
        <f>+'Summary - Reserve - PG 2 (Fin)'!S54+'Summary - Reserve - PG 2 (PA)'!Q54</f>
        <v>0</v>
      </c>
      <c r="T54" s="27"/>
      <c r="U54" s="27">
        <f t="shared" si="3"/>
        <v>376638.17</v>
      </c>
    </row>
    <row r="55" spans="1:21">
      <c r="B55" s="10" t="s">
        <v>117</v>
      </c>
      <c r="C55" s="27">
        <f>+'Summary - Reserve - PG 2 (Fin)'!C55+'Summary - Reserve - PG 2 (PA)'!C55</f>
        <v>-18998.669999999998</v>
      </c>
      <c r="D55" s="27"/>
      <c r="E55" s="27">
        <f>+'Summary - Reserve - PG 2 (Fin)'!E55+'Summary - Reserve - PG 2 (PA)'!E55</f>
        <v>0</v>
      </c>
      <c r="F55" s="27"/>
      <c r="G55" s="27">
        <f>+'Summary - Reserve - PG 2 (Fin)'!G55+'Summary - Reserve - PG 2 (PA)'!G55</f>
        <v>0</v>
      </c>
      <c r="H55" s="27"/>
      <c r="I55" s="27">
        <f>+'Summary - Reserve - PG 2 (Fin)'!I55+'Summary - Reserve - PG 2 (PA)'!I55</f>
        <v>0</v>
      </c>
      <c r="J55" s="27"/>
      <c r="K55" s="27">
        <f>+'Summary - Reserve - PG 2 (Fin)'!K55</f>
        <v>0</v>
      </c>
      <c r="L55" s="27"/>
      <c r="M55" s="27">
        <f>+'Summary - Reserve - PG 2 (Fin)'!M55+'Summary - Reserve - PG 2 (PA)'!K55</f>
        <v>0</v>
      </c>
      <c r="N55" s="27"/>
      <c r="O55" s="27">
        <f>+'Summary - Reserve - PG 2 (Fin)'!O55+'Summary - Reserve - PG 2 (PA)'!M55</f>
        <v>0</v>
      </c>
      <c r="P55" s="27"/>
      <c r="Q55" s="27">
        <f>+'Summary - Reserve - PG 2 (Fin)'!Q55+'Summary - Reserve - PG 2 (PA)'!O55</f>
        <v>0</v>
      </c>
      <c r="R55" s="27"/>
      <c r="S55" s="27">
        <f>+'Summary - Reserve - PG 2 (Fin)'!S55+'Summary - Reserve - PG 2 (PA)'!Q55</f>
        <v>0</v>
      </c>
      <c r="T55" s="27"/>
      <c r="U55" s="27">
        <f t="shared" si="3"/>
        <v>-18998.669999999998</v>
      </c>
    </row>
    <row r="56" spans="1:21">
      <c r="B56" s="10" t="s">
        <v>118</v>
      </c>
      <c r="C56" s="27">
        <f>+'Summary - Reserve - PG 2 (Fin)'!C56+'Summary - Reserve - PG 2 (PA)'!C56</f>
        <v>24020678.649999999</v>
      </c>
      <c r="D56" s="27"/>
      <c r="E56" s="27">
        <f>+'Summary - Reserve - PG 2 (Fin)'!E56+'Summary - Reserve - PG 2 (PA)'!E56</f>
        <v>512183.75</v>
      </c>
      <c r="F56" s="27"/>
      <c r="G56" s="27">
        <f>+'Summary - Reserve - PG 2 (Fin)'!G56+'Summary - Reserve - PG 2 (PA)'!G56</f>
        <v>0</v>
      </c>
      <c r="H56" s="27"/>
      <c r="I56" s="27">
        <f>+'Summary - Reserve - PG 2 (Fin)'!I56+'Summary - Reserve - PG 2 (PA)'!I56</f>
        <v>0</v>
      </c>
      <c r="J56" s="27"/>
      <c r="K56" s="27">
        <f>+'Summary - Reserve - PG 2 (Fin)'!K56</f>
        <v>0</v>
      </c>
      <c r="L56" s="27"/>
      <c r="M56" s="27">
        <f>+'Summary - Reserve - PG 2 (Fin)'!M56+'Summary - Reserve - PG 2 (PA)'!K56</f>
        <v>0</v>
      </c>
      <c r="N56" s="27"/>
      <c r="O56" s="27">
        <f>+'Summary - Reserve - PG 2 (Fin)'!O56+'Summary - Reserve - PG 2 (PA)'!M56</f>
        <v>0</v>
      </c>
      <c r="P56" s="27"/>
      <c r="Q56" s="27">
        <f>+'Summary - Reserve - PG 2 (Fin)'!Q56+'Summary - Reserve - PG 2 (PA)'!O56</f>
        <v>-126226.16</v>
      </c>
      <c r="R56" s="27"/>
      <c r="S56" s="27">
        <f>+'Summary - Reserve - PG 2 (Fin)'!S56+'Summary - Reserve - PG 2 (PA)'!Q56</f>
        <v>0</v>
      </c>
      <c r="T56" s="27"/>
      <c r="U56" s="27">
        <f t="shared" si="3"/>
        <v>24406636.239999998</v>
      </c>
    </row>
    <row r="57" spans="1:21">
      <c r="B57" s="10" t="s">
        <v>119</v>
      </c>
      <c r="C57" s="27">
        <f>+'Summary - Reserve - PG 2 (Fin)'!C57+'Summary - Reserve - PG 2 (PA)'!C57</f>
        <v>6511015.7699999996</v>
      </c>
      <c r="D57" s="27"/>
      <c r="E57" s="27">
        <f>+'Summary - Reserve - PG 2 (Fin)'!E57+'Summary - Reserve - PG 2 (PA)'!E57</f>
        <v>66958.760000000009</v>
      </c>
      <c r="F57" s="27"/>
      <c r="G57" s="27">
        <f>+'Summary - Reserve - PG 2 (Fin)'!G57+'Summary - Reserve - PG 2 (PA)'!G57</f>
        <v>0</v>
      </c>
      <c r="H57" s="27"/>
      <c r="I57" s="27">
        <f>+'Summary - Reserve - PG 2 (Fin)'!I57+'Summary - Reserve - PG 2 (PA)'!I57</f>
        <v>0</v>
      </c>
      <c r="J57" s="27"/>
      <c r="K57" s="27">
        <f>+'Summary - Reserve - PG 2 (Fin)'!K57</f>
        <v>0</v>
      </c>
      <c r="L57" s="27"/>
      <c r="M57" s="27">
        <f>+'Summary - Reserve - PG 2 (Fin)'!M57+'Summary - Reserve - PG 2 (PA)'!K57</f>
        <v>0</v>
      </c>
      <c r="N57" s="27"/>
      <c r="O57" s="27">
        <f>+'Summary - Reserve - PG 2 (Fin)'!O57+'Summary - Reserve - PG 2 (PA)'!M57</f>
        <v>0</v>
      </c>
      <c r="P57" s="27"/>
      <c r="Q57" s="27">
        <f>+'Summary - Reserve - PG 2 (Fin)'!Q57+'Summary - Reserve - PG 2 (PA)'!O57</f>
        <v>-357106.44</v>
      </c>
      <c r="R57" s="27"/>
      <c r="S57" s="27">
        <f>+'Summary - Reserve - PG 2 (Fin)'!S57+'Summary - Reserve - PG 2 (PA)'!Q57</f>
        <v>0</v>
      </c>
      <c r="T57" s="27"/>
      <c r="U57" s="27">
        <f t="shared" si="3"/>
        <v>6220868.0899999999</v>
      </c>
    </row>
    <row r="58" spans="1:21">
      <c r="B58" s="10" t="s">
        <v>121</v>
      </c>
      <c r="C58" s="27">
        <f>+'Summary - Reserve - PG 2 (Fin)'!C58+'Summary - Reserve - PG 2 (PA)'!C58</f>
        <v>3791455.11</v>
      </c>
      <c r="D58" s="27"/>
      <c r="E58" s="27">
        <f>+'Summary - Reserve - PG 2 (Fin)'!E58+'Summary - Reserve - PG 2 (PA)'!E58</f>
        <v>51510.74</v>
      </c>
      <c r="F58" s="27"/>
      <c r="G58" s="27">
        <f>+'Summary - Reserve - PG 2 (Fin)'!G58+'Summary - Reserve - PG 2 (PA)'!G58</f>
        <v>0</v>
      </c>
      <c r="H58" s="27"/>
      <c r="I58" s="27">
        <f>+'Summary - Reserve - PG 2 (Fin)'!I58+'Summary - Reserve - PG 2 (PA)'!I58</f>
        <v>0</v>
      </c>
      <c r="J58" s="27"/>
      <c r="K58" s="27">
        <f>+'Summary - Reserve - PG 2 (Fin)'!K58</f>
        <v>0</v>
      </c>
      <c r="L58" s="27"/>
      <c r="M58" s="27">
        <f>+'Summary - Reserve - PG 2 (Fin)'!M58+'Summary - Reserve - PG 2 (PA)'!K58</f>
        <v>0</v>
      </c>
      <c r="N58" s="27"/>
      <c r="O58" s="27">
        <f>+'Summary - Reserve - PG 2 (Fin)'!O58+'Summary - Reserve - PG 2 (PA)'!M58</f>
        <v>0</v>
      </c>
      <c r="P58" s="27"/>
      <c r="Q58" s="27">
        <f>+'Summary - Reserve - PG 2 (Fin)'!Q58+'Summary - Reserve - PG 2 (PA)'!O58</f>
        <v>0</v>
      </c>
      <c r="R58" s="27"/>
      <c r="S58" s="27">
        <f>+'Summary - Reserve - PG 2 (Fin)'!S58+'Summary - Reserve - PG 2 (PA)'!Q58</f>
        <v>0</v>
      </c>
      <c r="T58" s="27"/>
      <c r="U58" s="27">
        <f t="shared" si="3"/>
        <v>3842965.85</v>
      </c>
    </row>
    <row r="59" spans="1:21">
      <c r="B59" s="10" t="s">
        <v>122</v>
      </c>
      <c r="C59" s="27">
        <f>+'Summary - Reserve - PG 2 (Fin)'!C59+'Summary - Reserve - PG 2 (PA)'!C59</f>
        <v>228159.61000000002</v>
      </c>
      <c r="D59" s="27"/>
      <c r="E59" s="27">
        <f>+'Summary - Reserve - PG 2 (Fin)'!E59+'Summary - Reserve - PG 2 (PA)'!E59</f>
        <v>727.46</v>
      </c>
      <c r="F59" s="27"/>
      <c r="G59" s="27">
        <f>+'Summary - Reserve - PG 2 (Fin)'!G59+'Summary - Reserve - PG 2 (PA)'!G59</f>
        <v>0</v>
      </c>
      <c r="H59" s="27"/>
      <c r="I59" s="27">
        <f>+'Summary - Reserve - PG 2 (Fin)'!I59+'Summary - Reserve - PG 2 (PA)'!I59</f>
        <v>0</v>
      </c>
      <c r="J59" s="27"/>
      <c r="K59" s="27">
        <f>+'Summary - Reserve - PG 2 (Fin)'!K59</f>
        <v>0</v>
      </c>
      <c r="L59" s="27"/>
      <c r="M59" s="27">
        <f>+'Summary - Reserve - PG 2 (Fin)'!M59+'Summary - Reserve - PG 2 (PA)'!K59</f>
        <v>0</v>
      </c>
      <c r="N59" s="27"/>
      <c r="O59" s="27">
        <f>+'Summary - Reserve - PG 2 (Fin)'!O59+'Summary - Reserve - PG 2 (PA)'!M59</f>
        <v>0</v>
      </c>
      <c r="P59" s="27"/>
      <c r="Q59" s="27">
        <f>+'Summary - Reserve - PG 2 (Fin)'!Q59+'Summary - Reserve - PG 2 (PA)'!O59</f>
        <v>0</v>
      </c>
      <c r="R59" s="27"/>
      <c r="S59" s="27">
        <f>+'Summary - Reserve - PG 2 (Fin)'!S59+'Summary - Reserve - PG 2 (PA)'!Q59</f>
        <v>0</v>
      </c>
      <c r="T59" s="27"/>
      <c r="U59" s="27">
        <f t="shared" si="3"/>
        <v>228887.07</v>
      </c>
    </row>
    <row r="60" spans="1:21">
      <c r="B60" s="10" t="s">
        <v>124</v>
      </c>
      <c r="C60" s="27">
        <f>+'Summary - Reserve - PG 2 (Fin)'!C60+'Summary - Reserve - PG 2 (PA)'!C60</f>
        <v>287152.20999999996</v>
      </c>
      <c r="D60" s="27"/>
      <c r="E60" s="27">
        <f>+'Summary - Reserve - PG 2 (Fin)'!E60+'Summary - Reserve - PG 2 (PA)'!E60</f>
        <v>4482.2800000000007</v>
      </c>
      <c r="F60" s="27"/>
      <c r="G60" s="27">
        <f>+'Summary - Reserve - PG 2 (Fin)'!G60+'Summary - Reserve - PG 2 (PA)'!G60</f>
        <v>0</v>
      </c>
      <c r="H60" s="27"/>
      <c r="I60" s="27">
        <f>+'Summary - Reserve - PG 2 (Fin)'!I60+'Summary - Reserve - PG 2 (PA)'!I60</f>
        <v>0</v>
      </c>
      <c r="J60" s="27"/>
      <c r="K60" s="27">
        <f>+'Summary - Reserve - PG 2 (Fin)'!K60</f>
        <v>0</v>
      </c>
      <c r="L60" s="27"/>
      <c r="M60" s="27">
        <f>+'Summary - Reserve - PG 2 (Fin)'!M60+'Summary - Reserve - PG 2 (PA)'!K60</f>
        <v>0</v>
      </c>
      <c r="N60" s="27"/>
      <c r="O60" s="27">
        <f>+'Summary - Reserve - PG 2 (Fin)'!O60+'Summary - Reserve - PG 2 (PA)'!M60</f>
        <v>0</v>
      </c>
      <c r="P60" s="27"/>
      <c r="Q60" s="27">
        <f>+'Summary - Reserve - PG 2 (Fin)'!Q60+'Summary - Reserve - PG 2 (PA)'!O60</f>
        <v>0</v>
      </c>
      <c r="R60" s="27"/>
      <c r="S60" s="27">
        <f>+'Summary - Reserve - PG 2 (Fin)'!S60+'Summary - Reserve - PG 2 (PA)'!Q60</f>
        <v>0</v>
      </c>
      <c r="T60" s="27"/>
      <c r="U60" s="27">
        <f t="shared" si="3"/>
        <v>291634.49</v>
      </c>
    </row>
    <row r="61" spans="1:21">
      <c r="B61" s="10" t="s">
        <v>129</v>
      </c>
      <c r="C61" s="27">
        <f>+'Summary - Reserve - PG 2 (Fin)'!C61+'Summary - Reserve - PG 2 (PA)'!C61</f>
        <v>0</v>
      </c>
      <c r="D61" s="27"/>
      <c r="E61" s="27">
        <f>+'Summary - Reserve - PG 2 (Fin)'!E61+'Summary - Reserve - PG 2 (PA)'!E61</f>
        <v>0</v>
      </c>
      <c r="F61" s="27"/>
      <c r="G61" s="27">
        <f>+'Summary - Reserve - PG 2 (Fin)'!G61+'Summary - Reserve - PG 2 (PA)'!G61</f>
        <v>0</v>
      </c>
      <c r="H61" s="27"/>
      <c r="I61" s="27">
        <f>+'Summary - Reserve - PG 2 (Fin)'!I61+'Summary - Reserve - PG 2 (PA)'!I61</f>
        <v>0</v>
      </c>
      <c r="J61" s="27"/>
      <c r="K61" s="27">
        <f>+'Summary - Reserve - PG 2 (Fin)'!K61</f>
        <v>0</v>
      </c>
      <c r="L61" s="27"/>
      <c r="M61" s="27">
        <f>+'Summary - Reserve - PG 2 (Fin)'!M61+'Summary - Reserve - PG 2 (PA)'!K61</f>
        <v>0</v>
      </c>
      <c r="N61" s="27"/>
      <c r="O61" s="27">
        <f>+'Summary - Reserve - PG 2 (Fin)'!O61+'Summary - Reserve - PG 2 (PA)'!M61</f>
        <v>0</v>
      </c>
      <c r="P61" s="27"/>
      <c r="Q61" s="27">
        <f>+'Summary - Reserve - PG 2 (Fin)'!Q61+'Summary - Reserve - PG 2 (PA)'!O61</f>
        <v>0</v>
      </c>
      <c r="R61" s="27"/>
      <c r="S61" s="27">
        <f>+'Summary - Reserve - PG 2 (Fin)'!S61+'Summary - Reserve - PG 2 (PA)'!Q61</f>
        <v>0</v>
      </c>
      <c r="T61" s="27"/>
      <c r="U61" s="27">
        <f t="shared" si="3"/>
        <v>0</v>
      </c>
    </row>
    <row r="62" spans="1:21">
      <c r="B62" s="10" t="s">
        <v>125</v>
      </c>
      <c r="C62" s="27">
        <f>+'Summary - Reserve - PG 2 (Fin)'!C62+'Summary - Reserve - PG 2 (PA)'!C62</f>
        <v>223309.53000000003</v>
      </c>
      <c r="D62" s="27"/>
      <c r="E62" s="27">
        <f>+'Summary - Reserve - PG 2 (Fin)'!E62+'Summary - Reserve - PG 2 (PA)'!E62</f>
        <v>1413.32</v>
      </c>
      <c r="F62" s="27"/>
      <c r="G62" s="27">
        <f>+'Summary - Reserve - PG 2 (Fin)'!G62+'Summary - Reserve - PG 2 (PA)'!G62</f>
        <v>0</v>
      </c>
      <c r="H62" s="27"/>
      <c r="I62" s="27">
        <f>+'Summary - Reserve - PG 2 (Fin)'!I62+'Summary - Reserve - PG 2 (PA)'!I62</f>
        <v>0</v>
      </c>
      <c r="J62" s="27"/>
      <c r="K62" s="27">
        <f>+'Summary - Reserve - PG 2 (Fin)'!K62</f>
        <v>0</v>
      </c>
      <c r="L62" s="27"/>
      <c r="M62" s="27">
        <f>+'Summary - Reserve - PG 2 (Fin)'!M62+'Summary - Reserve - PG 2 (PA)'!K62</f>
        <v>0</v>
      </c>
      <c r="N62" s="27"/>
      <c r="O62" s="27">
        <f>+'Summary - Reserve - PG 2 (Fin)'!O62+'Summary - Reserve - PG 2 (PA)'!M62</f>
        <v>0</v>
      </c>
      <c r="P62" s="27"/>
      <c r="Q62" s="27">
        <f>+'Summary - Reserve - PG 2 (Fin)'!Q62+'Summary - Reserve - PG 2 (PA)'!O62</f>
        <v>0</v>
      </c>
      <c r="R62" s="27"/>
      <c r="S62" s="27">
        <f>+'Summary - Reserve - PG 2 (Fin)'!S62+'Summary - Reserve - PG 2 (PA)'!Q62</f>
        <v>0</v>
      </c>
      <c r="T62" s="27"/>
      <c r="U62" s="27">
        <f t="shared" si="3"/>
        <v>224722.85000000003</v>
      </c>
    </row>
    <row r="63" spans="1:21">
      <c r="B63" s="10" t="s">
        <v>131</v>
      </c>
      <c r="C63" s="28">
        <f>+'Summary - Reserve - PG 2 (Fin)'!C63+'Summary - Reserve - PG 2 (PA)'!C63</f>
        <v>0</v>
      </c>
      <c r="D63" s="27"/>
      <c r="E63" s="28">
        <f>+'Summary - Reserve - PG 2 (Fin)'!E63+'Summary - Reserve - PG 2 (PA)'!E63</f>
        <v>0</v>
      </c>
      <c r="F63" s="27"/>
      <c r="G63" s="28">
        <f>+'Summary - Reserve - PG 2 (Fin)'!G63+'Summary - Reserve - PG 2 (PA)'!G63</f>
        <v>0</v>
      </c>
      <c r="H63" s="27"/>
      <c r="I63" s="28">
        <f>+'Summary - Reserve - PG 2 (Fin)'!I63+'Summary - Reserve - PG 2 (PA)'!I63</f>
        <v>0</v>
      </c>
      <c r="J63" s="27"/>
      <c r="K63" s="28">
        <f>+'Summary - Reserve - PG 2 (Fin)'!K63</f>
        <v>0</v>
      </c>
      <c r="L63" s="27"/>
      <c r="M63" s="28">
        <f>+'Summary - Reserve - PG 2 (Fin)'!M63+'Summary - Reserve - PG 2 (PA)'!K63</f>
        <v>0</v>
      </c>
      <c r="N63" s="27"/>
      <c r="O63" s="28">
        <f>+'Summary - Reserve - PG 2 (Fin)'!O63+'Summary - Reserve - PG 2 (PA)'!M63</f>
        <v>0</v>
      </c>
      <c r="P63" s="27"/>
      <c r="Q63" s="28">
        <f>+'Summary - Reserve - PG 2 (Fin)'!Q63+'Summary - Reserve - PG 2 (PA)'!O63</f>
        <v>0</v>
      </c>
      <c r="R63" s="27"/>
      <c r="S63" s="28">
        <f>+'Summary - Reserve - PG 2 (Fin)'!S63+'Summary - Reserve - PG 2 (PA)'!Q63</f>
        <v>0</v>
      </c>
      <c r="T63" s="27"/>
      <c r="U63" s="28">
        <f t="shared" si="3"/>
        <v>0</v>
      </c>
    </row>
    <row r="64" spans="1:21">
      <c r="B64" s="11"/>
      <c r="C64" s="27">
        <f>SUM(C51:C63)</f>
        <v>54369679.909999989</v>
      </c>
      <c r="D64" s="27"/>
      <c r="E64" s="27">
        <f>SUM(E51:E63)</f>
        <v>1006132.2999999999</v>
      </c>
      <c r="F64" s="27"/>
      <c r="G64" s="27">
        <f>SUM(G51:G63)</f>
        <v>0</v>
      </c>
      <c r="H64" s="27"/>
      <c r="I64" s="27">
        <f>SUM(I51:I63)</f>
        <v>0</v>
      </c>
      <c r="J64" s="27"/>
      <c r="K64" s="27">
        <f>SUM(K51:K63)</f>
        <v>0</v>
      </c>
      <c r="L64" s="27"/>
      <c r="M64" s="27">
        <f>SUM(M51:M63)</f>
        <v>0</v>
      </c>
      <c r="N64" s="27"/>
      <c r="O64" s="27">
        <f>SUM(O51:O63)</f>
        <v>0</v>
      </c>
      <c r="P64" s="27"/>
      <c r="Q64" s="27">
        <f>SUM(Q51:Q63)</f>
        <v>-541299.83000000007</v>
      </c>
      <c r="R64" s="27"/>
      <c r="S64" s="27">
        <f>SUM(S51:S63)</f>
        <v>0</v>
      </c>
      <c r="T64" s="27"/>
      <c r="U64" s="27">
        <f>SUM(U51:U63)</f>
        <v>54834512.38000001</v>
      </c>
    </row>
    <row r="65" spans="1:27">
      <c r="C65" s="27"/>
      <c r="D65" s="27"/>
      <c r="E65" s="27"/>
      <c r="F65" s="27"/>
      <c r="G65" s="27"/>
      <c r="H65" s="27"/>
      <c r="I65" s="27"/>
      <c r="J65" s="27"/>
      <c r="K65" s="27"/>
      <c r="L65" s="27"/>
      <c r="M65" s="27"/>
      <c r="N65" s="27"/>
      <c r="O65" s="27"/>
      <c r="P65" s="27"/>
      <c r="Q65" s="27"/>
      <c r="R65" s="27"/>
      <c r="S65" s="27"/>
      <c r="T65" s="27"/>
      <c r="U65" s="27"/>
    </row>
    <row r="66" spans="1:27">
      <c r="A66" s="12" t="s">
        <v>655</v>
      </c>
      <c r="C66" s="24"/>
      <c r="D66" s="24"/>
      <c r="E66" s="24"/>
      <c r="F66" s="24"/>
      <c r="G66" s="24"/>
      <c r="H66" s="24"/>
      <c r="I66" s="24"/>
      <c r="J66" s="24"/>
      <c r="K66" s="24"/>
      <c r="L66" s="24"/>
      <c r="M66" s="24"/>
      <c r="N66" s="24"/>
      <c r="O66" s="24"/>
      <c r="P66" s="24"/>
      <c r="Q66" s="24"/>
      <c r="R66" s="24"/>
      <c r="S66" s="24"/>
      <c r="T66" s="24"/>
      <c r="U66" s="24"/>
    </row>
    <row r="67" spans="1:27">
      <c r="B67" s="10" t="s">
        <v>652</v>
      </c>
      <c r="C67" s="24">
        <f>C51+C35+C10+C11+C63+C47+C31</f>
        <v>-14270399.409999985</v>
      </c>
      <c r="D67" s="24"/>
      <c r="E67" s="24">
        <f>E51+E35+E10+E11+E63+E47+E31</f>
        <v>-3104405.8200000003</v>
      </c>
      <c r="F67" s="24"/>
      <c r="G67" s="24">
        <f>G51+G35+G10+G11+G63+G47+G31</f>
        <v>96055.439999999944</v>
      </c>
      <c r="H67" s="24"/>
      <c r="I67" s="24">
        <f>I51+I35+I10+I11+I63+I47+I31</f>
        <v>0</v>
      </c>
      <c r="J67" s="24"/>
      <c r="K67" s="24">
        <f>K51+K35+K10+K11+K63+K47+K31</f>
        <v>0</v>
      </c>
      <c r="L67" s="24"/>
      <c r="M67" s="24">
        <f>M51+M35+M10+M11+M63+M47+M31</f>
        <v>0</v>
      </c>
      <c r="N67" s="24"/>
      <c r="O67" s="24">
        <f>O51+O35+O10+O11+O63+O47+O31</f>
        <v>16557.84</v>
      </c>
      <c r="P67" s="24"/>
      <c r="Q67" s="24">
        <f>Q51+Q35+Q10+Q11+Q63+Q47+Q31</f>
        <v>-3000</v>
      </c>
      <c r="R67" s="24"/>
      <c r="S67" s="24">
        <f>S51+S35+S10+S11+S63+S47+S31</f>
        <v>0</v>
      </c>
      <c r="T67" s="24"/>
      <c r="U67" s="24">
        <f>U51+U35+U10+U11+U63+U47+U31</f>
        <v>-17265191.949999988</v>
      </c>
    </row>
    <row r="68" spans="1:27">
      <c r="B68" s="10" t="s">
        <v>112</v>
      </c>
      <c r="C68" s="27">
        <f>C52+C53+C54+C55+C56+C57+C36+C37+C38+C39+C40+C41+C12+C13+C14+C15+C16+C17+C18+C19+C20+C21+C22</f>
        <v>-319324699.41000021</v>
      </c>
      <c r="D68" s="27"/>
      <c r="E68" s="27">
        <f>E52+E53+E54+E55+E56+E57+E36+E37+E38+E39+E40+E41+E12+E13+E14+E15+E16+E17+E18+E19+E20+E21+E22</f>
        <v>-28491060.120000001</v>
      </c>
      <c r="F68" s="27"/>
      <c r="G68" s="27">
        <f>G52+G53+G54+G55+G56+G57+G36+G37+G38+G39+G40+G41+G12+G13+G14+G15+G16+G17+G18+G19+G20+G21+G22</f>
        <v>3273037.5599999996</v>
      </c>
      <c r="H68" s="27"/>
      <c r="I68" s="27">
        <f>I52+I53+I54+I55+I56+I57+I36+I37+I38+I39+I40+I41+I12+I13+I14+I15+I16+I17+I18+I19+I20+I21+I22</f>
        <v>-223.56</v>
      </c>
      <c r="J68" s="27"/>
      <c r="K68" s="27">
        <f>K52+K53+K54+K55+K56+K57+K36+K37+K38+K39+K40+K41+K12+K13+K14+K15+K16+K17+K18+K19+K20+K21+K22</f>
        <v>0</v>
      </c>
      <c r="L68" s="27"/>
      <c r="M68" s="27">
        <f>M52+M53+M54+M55+M56+M57+M36+M37+M38+M39+M40+M41+M12+M13+M14+M15+M16+M17+M18+M19+M20+M21+M22</f>
        <v>0</v>
      </c>
      <c r="N68" s="27"/>
      <c r="O68" s="27">
        <f>O52+O53+O54+O55+O56+O57+O36+O37+O38+O39+O40+O41+O12+O13+O14+O15+O16+O17+O18+O19+O20+O21+O22</f>
        <v>4577782.8</v>
      </c>
      <c r="P68" s="27"/>
      <c r="Q68" s="27">
        <f>Q52+Q53+Q54+Q55+Q56+Q57+Q36+Q37+Q38+Q39+Q40+Q41+Q12+Q13+Q14+Q15+Q16+Q17+Q18+Q19+Q20+Q21+Q22</f>
        <v>-538299.83000000007</v>
      </c>
      <c r="R68" s="27"/>
      <c r="S68" s="27">
        <f>S52+S53+S54+S55+S56+S57+S36+S37+S38+S39+S40+S41+S12+S13+S14+S15+S16+S17+S18+S19+S20+S21+S22</f>
        <v>0</v>
      </c>
      <c r="T68" s="27"/>
      <c r="U68" s="27">
        <f>U52+U53+U54+U55+U56+U57+U36+U37+U38+U39+U40+U41+U12+U13+U14+U15+U16+U17+U18+U19+U20+U21+U22</f>
        <v>-340503462.56000018</v>
      </c>
    </row>
    <row r="69" spans="1:27">
      <c r="B69" s="10" t="s">
        <v>120</v>
      </c>
      <c r="C69" s="28">
        <f>C58+C59+C60+C61+C62+C42+C43+C44+C45+C46+C23+C24+C25+C26+C27+C28+C29+C30</f>
        <v>-69465371.260000005</v>
      </c>
      <c r="D69" s="27"/>
      <c r="E69" s="28">
        <f>E58+E59+E60+E61+E62+E42+E43+E44+E45+E46+E23+E24+E25+E26+E27+E28+E29+E30</f>
        <v>-4458350.49</v>
      </c>
      <c r="F69" s="27"/>
      <c r="G69" s="28">
        <f>G58+G59+G60+G61+G62+G42+G43+G44+G45+G46+G23+G24+G25+G26+G27+G28+G29+G30</f>
        <v>29286.459999999995</v>
      </c>
      <c r="H69" s="27"/>
      <c r="I69" s="28">
        <f>I58+I59+I60+I61+I62+I42+I43+I44+I45+I46+I23+I24+I25+I26+I27+I28+I29+I30</f>
        <v>0</v>
      </c>
      <c r="J69" s="27"/>
      <c r="K69" s="28">
        <f>K58+K59+K60+K61+K62+K42+K43+K44+K45+K46+K23+K24+K25+K26+K27+K28+K29+K30</f>
        <v>0</v>
      </c>
      <c r="L69" s="27"/>
      <c r="M69" s="28">
        <f>M58+M59+M60+M61+M62+M42+M43+M44+M45+M46+M23+M24+M25+M26+M27+M28+M29+M30</f>
        <v>0</v>
      </c>
      <c r="N69" s="27"/>
      <c r="O69" s="28">
        <f>O58+O59+O60+O61+O62+O42+O43+O44+O45+O46+O23+O24+O25+O26+O27+O28+O29+O30</f>
        <v>81453.78</v>
      </c>
      <c r="P69" s="27"/>
      <c r="Q69" s="28">
        <f>Q58+Q59+Q60+Q61+Q62+Q42+Q43+Q44+Q45+Q46+Q23+Q24+Q25+Q26+Q27+Q28+Q29+Q30</f>
        <v>0</v>
      </c>
      <c r="R69" s="27"/>
      <c r="S69" s="28">
        <f>S58+S59+S60+S61+S62+S42+S43+S44+S45+S46+S23+S24+S25+S26+S27+S28+S29+S30</f>
        <v>0</v>
      </c>
      <c r="T69" s="27"/>
      <c r="U69" s="28">
        <f>U58+U59+U60+U61+U62+U42+U43+U44+U45+U46+U23+U24+U25+U26+U27+U28+U29+U30</f>
        <v>-73812981.50999999</v>
      </c>
      <c r="V69" s="71"/>
      <c r="W69" s="71"/>
      <c r="X69" s="71"/>
      <c r="Y69" s="71"/>
      <c r="Z69" s="71"/>
      <c r="AA69" s="71"/>
    </row>
    <row r="70" spans="1:27">
      <c r="B70" s="11"/>
      <c r="C70" s="27">
        <f>SUM(C67:C69)</f>
        <v>-403060470.08000016</v>
      </c>
      <c r="D70" s="27"/>
      <c r="E70" s="27">
        <f>SUM(E67:E69)</f>
        <v>-36053816.43</v>
      </c>
      <c r="F70" s="27"/>
      <c r="G70" s="27">
        <f>SUM(G67:G69)</f>
        <v>3398379.4599999995</v>
      </c>
      <c r="H70" s="27"/>
      <c r="I70" s="27">
        <f>SUM(I67:I69)</f>
        <v>-223.56</v>
      </c>
      <c r="J70" s="27"/>
      <c r="K70" s="27">
        <f>SUM(K67:K69)</f>
        <v>0</v>
      </c>
      <c r="L70" s="27"/>
      <c r="M70" s="27">
        <f>SUM(M67:M69)</f>
        <v>0</v>
      </c>
      <c r="N70" s="27"/>
      <c r="O70" s="27">
        <f>SUM(O67:O69)</f>
        <v>4675794.42</v>
      </c>
      <c r="P70" s="27"/>
      <c r="Q70" s="27">
        <f>SUM(Q67:Q69)</f>
        <v>-541299.83000000007</v>
      </c>
      <c r="R70" s="27"/>
      <c r="S70" s="27">
        <f>SUM(S67:S69)</f>
        <v>0</v>
      </c>
      <c r="T70" s="27"/>
      <c r="U70" s="27">
        <f>SUM(U67:U69)</f>
        <v>-431581636.02000016</v>
      </c>
      <c r="V70" s="71"/>
      <c r="W70" s="71"/>
      <c r="X70" s="71"/>
      <c r="Y70" s="71"/>
      <c r="Z70" s="71"/>
      <c r="AA70" s="71"/>
    </row>
    <row r="71" spans="1:27">
      <c r="C71" s="27"/>
      <c r="D71" s="27"/>
      <c r="E71" s="27"/>
      <c r="F71" s="27"/>
      <c r="G71" s="27"/>
      <c r="H71" s="27"/>
      <c r="I71" s="27"/>
      <c r="J71" s="27"/>
      <c r="K71" s="27"/>
      <c r="L71" s="27"/>
      <c r="M71" s="27"/>
      <c r="N71" s="27"/>
      <c r="O71" s="27"/>
      <c r="P71" s="27"/>
      <c r="Q71" s="27"/>
      <c r="R71" s="27"/>
      <c r="S71" s="27"/>
      <c r="T71" s="27"/>
      <c r="U71" s="27"/>
      <c r="V71" s="71"/>
      <c r="W71" s="71"/>
      <c r="X71" s="71"/>
      <c r="Y71" s="71"/>
      <c r="Z71" s="71"/>
      <c r="AA71" s="71"/>
    </row>
    <row r="72" spans="1:27">
      <c r="A72" s="12" t="s">
        <v>656</v>
      </c>
      <c r="C72" s="24"/>
      <c r="D72" s="24"/>
      <c r="E72" s="24"/>
      <c r="F72" s="24"/>
      <c r="G72" s="24"/>
      <c r="H72" s="24"/>
      <c r="I72" s="24"/>
      <c r="J72" s="24"/>
      <c r="K72" s="24"/>
      <c r="L72" s="24"/>
      <c r="M72" s="24"/>
      <c r="N72" s="24"/>
      <c r="O72" s="24"/>
      <c r="P72" s="24"/>
      <c r="Q72" s="24"/>
      <c r="R72" s="24"/>
      <c r="S72" s="24"/>
      <c r="T72" s="24"/>
      <c r="U72" s="24"/>
      <c r="V72" s="71"/>
      <c r="W72" s="71"/>
      <c r="X72" s="71"/>
      <c r="Y72" s="71"/>
      <c r="Z72" s="71"/>
      <c r="AA72" s="71"/>
    </row>
    <row r="73" spans="1:27">
      <c r="B73" s="10" t="s">
        <v>652</v>
      </c>
      <c r="C73" s="24">
        <f>+'Summary - Reserve - PG 2 (Fin)'!C73+'Summary - Reserve - PG 2 (PA)'!C73</f>
        <v>149762.35</v>
      </c>
      <c r="D73" s="24"/>
      <c r="E73" s="24">
        <f>+'Summary - Reserve - PG 2 (Fin)'!E73+'Summary - Reserve - PG 2 (PA)'!E73</f>
        <v>0</v>
      </c>
      <c r="F73" s="24"/>
      <c r="G73" s="24">
        <f>+'Summary - Reserve - PG 2 (Fin)'!G73+'Summary - Reserve - PG 2 (PA)'!G73</f>
        <v>0</v>
      </c>
      <c r="H73" s="24"/>
      <c r="I73" s="24">
        <f>+'Summary - Reserve - PG 2 (Fin)'!I73+'Summary - Reserve - PG 2 (PA)'!I73</f>
        <v>0</v>
      </c>
      <c r="J73" s="24"/>
      <c r="K73" s="24">
        <f>+'Summary - Reserve - PG 2 (Fin)'!K73</f>
        <v>0</v>
      </c>
      <c r="L73" s="24"/>
      <c r="M73" s="24">
        <f>+'Summary - Reserve - PG 2 (Fin)'!M73+'Summary - Reserve - PG 2 (PA)'!K73</f>
        <v>-13557.84</v>
      </c>
      <c r="N73" s="24"/>
      <c r="O73" s="24">
        <f>+'Summary - Reserve - PG 2 (Fin)'!O73+'Summary - Reserve - PG 2 (PA)'!M73</f>
        <v>-17161.189999999999</v>
      </c>
      <c r="P73" s="24"/>
      <c r="Q73" s="24">
        <f>+'Summary - Reserve - PG 2 (Fin)'!Q73+'Summary - Reserve - PG 2 (PA)'!O73</f>
        <v>-10496.95</v>
      </c>
      <c r="R73" s="24"/>
      <c r="S73" s="24">
        <f>+'Summary - Reserve - PG 2 (Fin)'!S73+'Summary - Reserve - PG 2 (PA)'!Q73</f>
        <v>0</v>
      </c>
      <c r="T73" s="24"/>
      <c r="U73" s="24">
        <f>S73+Q73+O73+M73+I73+G73+E73+C73+K73</f>
        <v>108546.37000000001</v>
      </c>
      <c r="V73" s="82"/>
      <c r="W73" s="71"/>
      <c r="X73" s="82"/>
      <c r="Y73" s="82"/>
      <c r="Z73" s="71"/>
      <c r="AA73" s="71"/>
    </row>
    <row r="74" spans="1:27">
      <c r="B74" s="10" t="s">
        <v>112</v>
      </c>
      <c r="C74" s="24">
        <f>+'Summary - Reserve - PG 2 (Fin)'!C74+'Summary - Reserve - PG 2 (PA)'!C74</f>
        <v>11924715.030000003</v>
      </c>
      <c r="D74" s="24"/>
      <c r="E74" s="24">
        <f>+'Summary - Reserve - PG 2 (Fin)'!E74+'Summary - Reserve - PG 2 (PA)'!E74</f>
        <v>0</v>
      </c>
      <c r="F74" s="24"/>
      <c r="G74" s="24">
        <f>+'Summary - Reserve - PG 2 (Fin)'!G74+'Summary - Reserve - PG 2 (PA)'!G74</f>
        <v>0</v>
      </c>
      <c r="H74" s="24"/>
      <c r="I74" s="24">
        <f>+'Summary - Reserve - PG 2 (Fin)'!I74+'Summary - Reserve - PG 2 (PA)'!I74</f>
        <v>-14615.87</v>
      </c>
      <c r="J74" s="24"/>
      <c r="K74" s="24">
        <f>+'Summary - Reserve - PG 2 (Fin)'!K74</f>
        <v>0</v>
      </c>
      <c r="L74" s="24"/>
      <c r="M74" s="24">
        <f>+'Summary - Reserve - PG 2 (Fin)'!M74+'Summary - Reserve - PG 2 (PA)'!K74</f>
        <v>-4039482.9699999997</v>
      </c>
      <c r="N74" s="24"/>
      <c r="O74" s="24">
        <f>+'Summary - Reserve - PG 2 (Fin)'!O74+'Summary - Reserve - PG 2 (PA)'!M74</f>
        <v>5226585.53</v>
      </c>
      <c r="P74" s="24"/>
      <c r="Q74" s="24">
        <f>+'Summary - Reserve - PG 2 (Fin)'!Q74+'Summary - Reserve - PG 2 (PA)'!O74</f>
        <v>-301510.06</v>
      </c>
      <c r="R74" s="24"/>
      <c r="S74" s="24">
        <f>+'Summary - Reserve - PG 2 (Fin)'!S74+'Summary - Reserve - PG 2 (PA)'!Q74</f>
        <v>-83094.73</v>
      </c>
      <c r="T74" s="24"/>
      <c r="U74" s="24">
        <f>S74+Q74+O74+M74+I74+G74+E74+C74+K74</f>
        <v>12712596.930000003</v>
      </c>
      <c r="V74" s="82"/>
      <c r="W74" s="71"/>
      <c r="X74" s="82"/>
      <c r="Y74" s="82"/>
      <c r="Z74" s="71"/>
      <c r="AA74" s="71"/>
    </row>
    <row r="75" spans="1:27">
      <c r="B75" s="10" t="s">
        <v>120</v>
      </c>
      <c r="C75" s="24">
        <f>+'Summary - Reserve - PG 2 (Fin)'!C75+'Summary - Reserve - PG 2 (PA)'!C75</f>
        <v>1590687.7799999993</v>
      </c>
      <c r="D75" s="24"/>
      <c r="E75" s="24">
        <f>+'Summary - Reserve - PG 2 (Fin)'!E75+'Summary - Reserve - PG 2 (PA)'!E75</f>
        <v>0</v>
      </c>
      <c r="F75" s="24"/>
      <c r="G75" s="24">
        <f>+'Summary - Reserve - PG 2 (Fin)'!G75+'Summary - Reserve - PG 2 (PA)'!G75</f>
        <v>0</v>
      </c>
      <c r="H75" s="24"/>
      <c r="I75" s="24">
        <f>+'Summary - Reserve - PG 2 (Fin)'!I75+'Summary - Reserve - PG 2 (PA)'!I75</f>
        <v>14615.87</v>
      </c>
      <c r="J75" s="24"/>
      <c r="K75" s="24">
        <f>+'Summary - Reserve - PG 2 (Fin)'!K75</f>
        <v>0</v>
      </c>
      <c r="L75" s="24"/>
      <c r="M75" s="24">
        <f>+'Summary - Reserve - PG 2 (Fin)'!M75+'Summary - Reserve - PG 2 (PA)'!K75</f>
        <v>-81453.78</v>
      </c>
      <c r="N75" s="24"/>
      <c r="O75" s="24">
        <f>+'Summary - Reserve - PG 2 (Fin)'!O75+'Summary - Reserve - PG 2 (PA)'!M75</f>
        <v>284819.84999999998</v>
      </c>
      <c r="P75" s="24"/>
      <c r="Q75" s="24">
        <f>+'Summary - Reserve - PG 2 (Fin)'!Q75+'Summary - Reserve - PG 2 (PA)'!O75</f>
        <v>-1181.0900000000001</v>
      </c>
      <c r="R75" s="24"/>
      <c r="S75" s="24">
        <f>+'Summary - Reserve - PG 2 (Fin)'!S75+'Summary - Reserve - PG 2 (PA)'!Q75</f>
        <v>0</v>
      </c>
      <c r="T75" s="24"/>
      <c r="U75" s="24">
        <f>S75+Q75+O75+M75+I75+G75+E75+C75+K75</f>
        <v>1807488.6299999992</v>
      </c>
      <c r="V75" s="82"/>
      <c r="W75" s="71"/>
      <c r="X75" s="82"/>
      <c r="Y75" s="82"/>
      <c r="Z75" s="71"/>
      <c r="AA75" s="71"/>
    </row>
    <row r="76" spans="1:27">
      <c r="B76" s="11"/>
      <c r="C76" s="25">
        <f>SUM(C73:C75)</f>
        <v>13665165.160000002</v>
      </c>
      <c r="D76" s="24"/>
      <c r="E76" s="25">
        <f>SUM(E73:E75)</f>
        <v>0</v>
      </c>
      <c r="F76" s="24"/>
      <c r="G76" s="25">
        <f>SUM(G73:G75)</f>
        <v>0</v>
      </c>
      <c r="H76" s="24"/>
      <c r="I76" s="25">
        <f>SUM(I73:I75)</f>
        <v>0</v>
      </c>
      <c r="J76" s="24"/>
      <c r="K76" s="25">
        <f>SUM(K73:K75)</f>
        <v>0</v>
      </c>
      <c r="L76" s="24"/>
      <c r="M76" s="25">
        <f>SUM(M73:M75)</f>
        <v>-4134494.5899999994</v>
      </c>
      <c r="N76" s="24"/>
      <c r="O76" s="25">
        <f>SUM(O73:O75)</f>
        <v>5494244.1899999995</v>
      </c>
      <c r="P76" s="24"/>
      <c r="Q76" s="25">
        <f>SUM(Q73:Q75)</f>
        <v>-313188.10000000003</v>
      </c>
      <c r="R76" s="24"/>
      <c r="S76" s="25">
        <f>SUM(S73:S75)</f>
        <v>-83094.73</v>
      </c>
      <c r="T76" s="24"/>
      <c r="U76" s="25">
        <f>SUM(U73:U75)</f>
        <v>14628631.930000002</v>
      </c>
      <c r="V76" s="27"/>
      <c r="W76" s="27"/>
      <c r="X76" s="82"/>
      <c r="Y76" s="118"/>
      <c r="Z76" s="71"/>
      <c r="AA76" s="71"/>
    </row>
    <row r="77" spans="1:27">
      <c r="C77" s="24"/>
      <c r="D77" s="24"/>
      <c r="E77" s="24"/>
      <c r="F77" s="24"/>
      <c r="G77" s="24"/>
      <c r="H77" s="24"/>
      <c r="I77" s="24"/>
      <c r="J77" s="24"/>
      <c r="K77" s="24"/>
      <c r="L77" s="24"/>
      <c r="M77" s="24"/>
      <c r="N77" s="24"/>
      <c r="O77" s="24"/>
      <c r="P77" s="24"/>
      <c r="Q77" s="24"/>
      <c r="R77" s="24"/>
      <c r="S77" s="24"/>
      <c r="T77" s="24"/>
      <c r="U77" s="24"/>
      <c r="V77" s="82"/>
      <c r="W77" s="71"/>
      <c r="X77" s="71"/>
      <c r="Y77" s="71"/>
      <c r="Z77" s="71"/>
      <c r="AA77" s="71"/>
    </row>
    <row r="78" spans="1:27">
      <c r="B78" s="11" t="s">
        <v>657</v>
      </c>
      <c r="C78" s="28">
        <f>C70+C76</f>
        <v>-389395304.92000014</v>
      </c>
      <c r="D78" s="24"/>
      <c r="E78" s="28">
        <f>E70+E76</f>
        <v>-36053816.43</v>
      </c>
      <c r="F78" s="24"/>
      <c r="G78" s="28">
        <f>G70+G76</f>
        <v>3398379.4599999995</v>
      </c>
      <c r="H78" s="24"/>
      <c r="I78" s="28">
        <f>I70+I76</f>
        <v>-223.56</v>
      </c>
      <c r="J78" s="24"/>
      <c r="K78" s="28">
        <f>K70+K76</f>
        <v>0</v>
      </c>
      <c r="L78" s="24"/>
      <c r="M78" s="28">
        <f>M70+M76</f>
        <v>-4134494.5899999994</v>
      </c>
      <c r="N78" s="24"/>
      <c r="O78" s="28">
        <f>O70+O76</f>
        <v>10170038.609999999</v>
      </c>
      <c r="P78" s="24"/>
      <c r="Q78" s="28">
        <f>Q70+Q76</f>
        <v>-854487.93000000017</v>
      </c>
      <c r="R78" s="24"/>
      <c r="S78" s="28">
        <f>S70+S76</f>
        <v>-83094.73</v>
      </c>
      <c r="T78" s="24"/>
      <c r="U78" s="28">
        <f>U70+U76</f>
        <v>-416953004.09000015</v>
      </c>
      <c r="V78" s="21"/>
    </row>
    <row r="79" spans="1:27">
      <c r="C79" s="24"/>
      <c r="D79" s="24"/>
      <c r="E79" s="24"/>
      <c r="F79" s="24"/>
      <c r="G79" s="24"/>
      <c r="H79" s="24"/>
      <c r="I79" s="24"/>
      <c r="J79" s="24"/>
      <c r="K79" s="24"/>
      <c r="L79" s="24"/>
      <c r="M79" s="24"/>
      <c r="N79" s="24"/>
      <c r="O79" s="24"/>
      <c r="P79" s="24"/>
      <c r="Q79" s="24"/>
      <c r="R79" s="24"/>
      <c r="S79" s="24"/>
      <c r="T79" s="24"/>
      <c r="U79" s="24"/>
      <c r="V79" s="21"/>
    </row>
    <row r="80" spans="1:27">
      <c r="A80" s="12" t="s">
        <v>658</v>
      </c>
      <c r="C80" s="24"/>
      <c r="D80" s="24"/>
      <c r="E80" s="24"/>
      <c r="F80" s="24"/>
      <c r="G80" s="24"/>
      <c r="H80" s="24"/>
      <c r="I80" s="24"/>
      <c r="J80" s="24"/>
      <c r="K80" s="24"/>
      <c r="L80" s="24"/>
      <c r="M80" s="24"/>
      <c r="N80" s="24"/>
      <c r="O80" s="24"/>
      <c r="P80" s="24"/>
      <c r="Q80" s="24"/>
      <c r="R80" s="24"/>
      <c r="S80" s="24"/>
      <c r="T80" s="24"/>
      <c r="U80" s="24"/>
      <c r="V80" s="21"/>
    </row>
    <row r="81" spans="1:25">
      <c r="B81" s="10" t="s">
        <v>652</v>
      </c>
      <c r="C81" s="24">
        <f>+'Summary - Reserve - PG 2 (Fin)'!C81+'Summary - Reserve - PG 2 (PA)'!C81</f>
        <v>-8803310.8000000045</v>
      </c>
      <c r="D81" s="24"/>
      <c r="E81" s="24">
        <f>+'Summary - Reserve - PG 2 (Fin)'!E81+'Summary - Reserve - PG 2 (PA)'!E81</f>
        <v>-2177175.2999999998</v>
      </c>
      <c r="F81" s="24"/>
      <c r="G81" s="24">
        <f>+'Summary - Reserve - PG 2 (Fin)'!G81+'Summary - Reserve - PG 2 (PA)'!G81</f>
        <v>400877.43000000005</v>
      </c>
      <c r="H81" s="24"/>
      <c r="I81" s="24">
        <f>+'Summary - Reserve - PG 2 (Fin)'!I81+'Summary - Reserve - PG 2 (PA)'!I81</f>
        <v>0</v>
      </c>
      <c r="J81" s="24"/>
      <c r="K81" s="24">
        <f>+'Summary - Reserve - PG 2 (Fin)'!K81</f>
        <v>0</v>
      </c>
      <c r="L81" s="24"/>
      <c r="M81" s="24">
        <f>+'Summary - Reserve - PG 2 (Fin)'!M81+'Summary - Reserve - PG 2 (PA)'!K81</f>
        <v>0</v>
      </c>
      <c r="N81" s="24"/>
      <c r="O81" s="24">
        <f>+'Summary - Reserve - PG 2 (Fin)'!O81+'Summary - Reserve - PG 2 (PA)'!M81</f>
        <v>0</v>
      </c>
      <c r="P81" s="24"/>
      <c r="Q81" s="24">
        <f>+'Summary - Reserve - PG 2 (Fin)'!Q81+'Summary - Reserve - PG 2 (PA)'!O81</f>
        <v>0</v>
      </c>
      <c r="R81" s="24"/>
      <c r="S81" s="24">
        <f>+'Summary - Reserve - PG 2 (Fin)'!S81+'Summary - Reserve - PG 2 (PA)'!Q81</f>
        <v>0</v>
      </c>
      <c r="T81" s="24"/>
      <c r="U81" s="24">
        <f>S81+Q81+O81+M81+I81+G81+E81+C81</f>
        <v>-10579608.670000004</v>
      </c>
      <c r="V81" s="21"/>
    </row>
    <row r="82" spans="1:25">
      <c r="B82" s="10" t="s">
        <v>112</v>
      </c>
      <c r="C82" s="24">
        <f>+'Summary - Reserve - PG 2 (Fin)'!C82+'Summary - Reserve - PG 2 (PA)'!C82</f>
        <v>0</v>
      </c>
      <c r="D82" s="24"/>
      <c r="E82" s="24">
        <f>+'Summary - Reserve - PG 2 (Fin)'!E82+'Summary - Reserve - PG 2 (PA)'!E82</f>
        <v>0</v>
      </c>
      <c r="F82" s="24"/>
      <c r="G82" s="24">
        <f>+'Summary - Reserve - PG 2 (Fin)'!G82+'Summary - Reserve - PG 2 (PA)'!G82</f>
        <v>0</v>
      </c>
      <c r="H82" s="24"/>
      <c r="I82" s="24">
        <f>+'Summary - Reserve - PG 2 (Fin)'!I82+'Summary - Reserve - PG 2 (PA)'!I82</f>
        <v>0</v>
      </c>
      <c r="J82" s="24"/>
      <c r="K82" s="24">
        <f>+'Summary - Reserve - PG 2 (Fin)'!K82</f>
        <v>0</v>
      </c>
      <c r="L82" s="24"/>
      <c r="M82" s="24">
        <f>+'Summary - Reserve - PG 2 (Fin)'!M82+'Summary - Reserve - PG 2 (PA)'!K82</f>
        <v>0</v>
      </c>
      <c r="N82" s="24"/>
      <c r="O82" s="24">
        <f>+'Summary - Reserve - PG 2 (Fin)'!O82+'Summary - Reserve - PG 2 (PA)'!M82</f>
        <v>0</v>
      </c>
      <c r="P82" s="24"/>
      <c r="Q82" s="24">
        <f>+'Summary - Reserve - PG 2 (Fin)'!Q82+'Summary - Reserve - PG 2 (PA)'!O82</f>
        <v>0</v>
      </c>
      <c r="R82" s="24"/>
      <c r="S82" s="24">
        <f>+'Summary - Reserve - PG 2 (Fin)'!S82+'Summary - Reserve - PG 2 (PA)'!Q82</f>
        <v>0</v>
      </c>
      <c r="T82" s="24"/>
      <c r="U82" s="24">
        <f>S82+Q82+O82+M82+I82+G82+E82+C82</f>
        <v>0</v>
      </c>
      <c r="V82" s="21"/>
      <c r="Y82" s="72"/>
    </row>
    <row r="83" spans="1:25">
      <c r="B83" s="10" t="s">
        <v>120</v>
      </c>
      <c r="C83" s="28">
        <f>+'Summary - Reserve - PG 2 (Fin)'!C83+'Summary - Reserve - PG 2 (PA)'!C83</f>
        <v>119.15999999999997</v>
      </c>
      <c r="D83" s="24"/>
      <c r="E83" s="28">
        <f>+'Summary - Reserve - PG 2 (Fin)'!E83+'Summary - Reserve - PG 2 (PA)'!E83</f>
        <v>0</v>
      </c>
      <c r="F83" s="24"/>
      <c r="G83" s="28">
        <f>+'Summary - Reserve - PG 2 (Fin)'!G83+'Summary - Reserve - PG 2 (PA)'!G83</f>
        <v>0</v>
      </c>
      <c r="H83" s="24"/>
      <c r="I83" s="28">
        <f>+'Summary - Reserve - PG 2 (Fin)'!I83+'Summary - Reserve - PG 2 (PA)'!I83</f>
        <v>0</v>
      </c>
      <c r="J83" s="24"/>
      <c r="K83" s="28">
        <f>+'Summary - Reserve - PG 2 (Fin)'!K83</f>
        <v>0</v>
      </c>
      <c r="L83" s="24"/>
      <c r="M83" s="28">
        <f>+'Summary - Reserve - PG 2 (Fin)'!M83+'Summary - Reserve - PG 2 (PA)'!K83</f>
        <v>0</v>
      </c>
      <c r="N83" s="24"/>
      <c r="O83" s="28">
        <f>+'Summary - Reserve - PG 2 (Fin)'!O83+'Summary - Reserve - PG 2 (PA)'!M83</f>
        <v>0</v>
      </c>
      <c r="P83" s="24"/>
      <c r="Q83" s="28">
        <f>+'Summary - Reserve - PG 2 (Fin)'!Q83+'Summary - Reserve - PG 2 (PA)'!O83</f>
        <v>0</v>
      </c>
      <c r="R83" s="24"/>
      <c r="S83" s="28">
        <f>+'Summary - Reserve - PG 2 (Fin)'!S83+'Summary - Reserve - PG 2 (PA)'!Q83</f>
        <v>0</v>
      </c>
      <c r="T83" s="24"/>
      <c r="U83" s="28">
        <f>S83+Q83+O83+M83+I83+G83+E83+C83</f>
        <v>119.15999999999997</v>
      </c>
      <c r="V83" s="21"/>
    </row>
    <row r="84" spans="1:25">
      <c r="B84" s="11" t="s">
        <v>659</v>
      </c>
      <c r="C84" s="27">
        <f>SUM(C81:C83)</f>
        <v>-8803191.6400000043</v>
      </c>
      <c r="D84" s="27"/>
      <c r="E84" s="27">
        <f>SUM(E81:E83)</f>
        <v>-2177175.2999999998</v>
      </c>
      <c r="F84" s="27"/>
      <c r="G84" s="27">
        <f>SUM(G81:G83)</f>
        <v>400877.43000000005</v>
      </c>
      <c r="H84" s="27"/>
      <c r="I84" s="27">
        <f>SUM(I81:I83)</f>
        <v>0</v>
      </c>
      <c r="J84" s="27"/>
      <c r="K84" s="27">
        <f>SUM(K81:K83)</f>
        <v>0</v>
      </c>
      <c r="L84" s="27"/>
      <c r="M84" s="27">
        <f>SUM(M81:M83)</f>
        <v>0</v>
      </c>
      <c r="N84" s="27"/>
      <c r="O84" s="27">
        <f>SUM(O81:O83)</f>
        <v>0</v>
      </c>
      <c r="P84" s="27"/>
      <c r="Q84" s="27">
        <f>SUM(Q81:Q83)</f>
        <v>0</v>
      </c>
      <c r="R84" s="27"/>
      <c r="S84" s="27">
        <f>SUM(S81:S83)</f>
        <v>0</v>
      </c>
      <c r="T84" s="27"/>
      <c r="U84" s="27">
        <f>SUM(U81:U83)</f>
        <v>-10579489.510000004</v>
      </c>
      <c r="V84" s="82"/>
    </row>
    <row r="85" spans="1:25">
      <c r="B85" s="11"/>
      <c r="C85" s="27"/>
      <c r="D85" s="24"/>
      <c r="E85" s="27"/>
      <c r="F85" s="24"/>
      <c r="G85" s="27"/>
      <c r="H85" s="24"/>
      <c r="I85" s="27"/>
      <c r="J85" s="24"/>
      <c r="K85" s="27"/>
      <c r="L85" s="24"/>
      <c r="M85" s="27"/>
      <c r="N85" s="24"/>
      <c r="O85" s="27"/>
      <c r="P85" s="24"/>
      <c r="Q85" s="27"/>
      <c r="R85" s="24"/>
      <c r="S85" s="27"/>
      <c r="T85" s="24"/>
      <c r="U85" s="27"/>
      <c r="V85" s="21"/>
    </row>
    <row r="86" spans="1:25">
      <c r="C86" s="24"/>
      <c r="D86" s="24"/>
      <c r="E86" s="24"/>
      <c r="F86" s="24"/>
      <c r="G86" s="24"/>
      <c r="H86" s="24"/>
      <c r="I86" s="24"/>
      <c r="J86" s="24"/>
      <c r="K86" s="24"/>
      <c r="L86" s="24"/>
      <c r="M86" s="24"/>
      <c r="N86" s="24"/>
      <c r="O86" s="24"/>
      <c r="P86" s="24"/>
      <c r="Q86" s="24"/>
      <c r="R86" s="24"/>
      <c r="S86" s="24"/>
      <c r="T86" s="24"/>
      <c r="U86" s="24"/>
      <c r="V86" s="21"/>
    </row>
    <row r="87" spans="1:25" ht="13.5" thickBot="1">
      <c r="B87" s="11" t="s">
        <v>660</v>
      </c>
      <c r="C87" s="73">
        <f>C78+C84</f>
        <v>-398198496.56000012</v>
      </c>
      <c r="D87" s="24"/>
      <c r="E87" s="73">
        <f>E78+E84</f>
        <v>-38230991.729999997</v>
      </c>
      <c r="F87" s="24"/>
      <c r="G87" s="73">
        <f>G78+G84</f>
        <v>3799256.8899999997</v>
      </c>
      <c r="H87" s="24"/>
      <c r="I87" s="73">
        <f>I78+I84</f>
        <v>-223.56</v>
      </c>
      <c r="J87" s="24"/>
      <c r="K87" s="73">
        <f>K78+K84</f>
        <v>0</v>
      </c>
      <c r="L87" s="24"/>
      <c r="M87" s="73">
        <f>M78+M84</f>
        <v>-4134494.5899999994</v>
      </c>
      <c r="N87" s="24"/>
      <c r="O87" s="73">
        <f>O78+O84</f>
        <v>10170038.609999999</v>
      </c>
      <c r="P87" s="24"/>
      <c r="Q87" s="73">
        <f>Q78+Q84</f>
        <v>-854487.93000000017</v>
      </c>
      <c r="R87" s="24"/>
      <c r="S87" s="73">
        <f>S78+S84</f>
        <v>-83094.73</v>
      </c>
      <c r="T87" s="24"/>
      <c r="U87" s="73">
        <f>U78+U84</f>
        <v>-427532493.60000014</v>
      </c>
      <c r="V87" s="21"/>
    </row>
    <row r="88" spans="1:25" ht="13.5" thickTop="1">
      <c r="B88" s="11"/>
      <c r="C88" s="27"/>
      <c r="D88" s="24"/>
      <c r="E88" s="27"/>
      <c r="F88" s="24"/>
      <c r="G88" s="27"/>
      <c r="H88" s="24"/>
      <c r="I88" s="27"/>
      <c r="J88" s="27"/>
      <c r="K88" s="27"/>
      <c r="L88" s="24"/>
      <c r="M88" s="27"/>
      <c r="N88" s="24"/>
      <c r="O88" s="27"/>
      <c r="P88" s="24"/>
      <c r="Q88" s="27"/>
      <c r="R88" s="24"/>
      <c r="S88" s="27"/>
      <c r="T88" s="24"/>
      <c r="U88" s="27"/>
      <c r="V88" s="21"/>
    </row>
    <row r="89" spans="1:25" ht="13.5" thickBot="1">
      <c r="B89" s="11" t="s">
        <v>974</v>
      </c>
      <c r="C89" s="27"/>
      <c r="D89" s="24"/>
      <c r="E89" s="27"/>
      <c r="F89" s="24"/>
      <c r="G89" s="27"/>
      <c r="H89" s="24"/>
      <c r="I89" s="27"/>
      <c r="J89" s="27"/>
      <c r="K89" s="27"/>
      <c r="L89" s="24"/>
      <c r="M89" s="27"/>
      <c r="N89" s="24"/>
      <c r="O89" s="27"/>
      <c r="P89" s="24"/>
      <c r="Q89" s="27"/>
      <c r="R89" s="24"/>
      <c r="S89" s="27"/>
      <c r="T89" s="24"/>
      <c r="U89" s="56">
        <f>U87-U31</f>
        <v>-427532493.60000014</v>
      </c>
      <c r="V89" s="21"/>
    </row>
    <row r="90" spans="1:25" ht="13.5" thickTop="1">
      <c r="C90" s="24"/>
      <c r="D90" s="24"/>
      <c r="E90" s="24"/>
      <c r="F90" s="24"/>
      <c r="G90" s="24"/>
      <c r="H90" s="24"/>
      <c r="I90" s="24"/>
      <c r="J90" s="24"/>
      <c r="K90" s="24"/>
      <c r="L90" s="24"/>
      <c r="M90" s="24"/>
      <c r="N90" s="24"/>
      <c r="O90" s="24"/>
      <c r="P90" s="24"/>
      <c r="Q90" s="24"/>
      <c r="R90" s="24"/>
      <c r="S90" s="24"/>
      <c r="T90" s="24"/>
      <c r="U90" s="24"/>
      <c r="V90" s="21"/>
    </row>
    <row r="91" spans="1:25">
      <c r="A91" s="12" t="s">
        <v>614</v>
      </c>
      <c r="C91" s="24"/>
      <c r="D91" s="24"/>
      <c r="E91" s="24"/>
      <c r="F91" s="24"/>
      <c r="G91" s="24"/>
      <c r="H91" s="24"/>
      <c r="I91" s="24"/>
      <c r="J91" s="24"/>
      <c r="K91" s="24"/>
      <c r="L91" s="24"/>
      <c r="M91" s="24"/>
      <c r="N91" s="24"/>
      <c r="O91" s="24"/>
      <c r="P91" s="24"/>
      <c r="Q91" s="24"/>
      <c r="R91" s="24"/>
      <c r="S91" s="24"/>
      <c r="T91" s="24"/>
      <c r="U91" s="24"/>
      <c r="V91" s="21"/>
    </row>
    <row r="92" spans="1:25" ht="13.5" thickBot="1">
      <c r="A92" s="12" t="s">
        <v>615</v>
      </c>
      <c r="C92" s="73">
        <f>'Summary - Cost - PG 1 (Tot)'!D119+C87-C31</f>
        <v>2779422479.0099993</v>
      </c>
      <c r="D92" s="24"/>
      <c r="E92" s="24"/>
      <c r="F92" s="24"/>
      <c r="G92" s="24"/>
      <c r="H92" s="24"/>
      <c r="I92" s="24"/>
      <c r="J92" s="24"/>
      <c r="K92" s="24"/>
      <c r="L92" s="24"/>
      <c r="M92" s="24"/>
      <c r="N92" s="24"/>
      <c r="O92" s="24"/>
      <c r="P92" s="24"/>
      <c r="Q92" s="24"/>
      <c r="R92" s="24"/>
      <c r="S92" s="24"/>
      <c r="T92" s="24"/>
      <c r="U92" s="73">
        <f>'Summary - Cost - PG 1 (Tot)'!N119+'Summary - Reserve - PG 2 (Tot)'!U87-U31</f>
        <v>2789445342.2599993</v>
      </c>
      <c r="V92" s="21"/>
    </row>
    <row r="93" spans="1:25" ht="13.5" thickTop="1">
      <c r="C93" s="24"/>
      <c r="D93" s="24"/>
      <c r="E93" s="24"/>
      <c r="F93" s="24"/>
      <c r="G93" s="24"/>
      <c r="H93" s="24"/>
      <c r="I93" s="24"/>
      <c r="J93" s="24"/>
      <c r="K93" s="24"/>
      <c r="L93" s="24"/>
      <c r="N93" s="24"/>
      <c r="O93" s="24"/>
      <c r="P93" s="24"/>
      <c r="Q93" s="24"/>
      <c r="R93" s="24"/>
      <c r="S93" s="24"/>
      <c r="T93" s="24"/>
      <c r="U93" s="24"/>
      <c r="V93" s="21"/>
    </row>
    <row r="94" spans="1:25">
      <c r="C94" s="24"/>
      <c r="D94" s="24"/>
      <c r="E94" s="24"/>
      <c r="F94" s="24"/>
      <c r="G94" s="24"/>
      <c r="H94" s="24"/>
      <c r="I94" s="24"/>
      <c r="J94" s="24"/>
      <c r="K94" s="24"/>
      <c r="L94" s="24"/>
      <c r="M94" s="24"/>
      <c r="N94" s="24"/>
      <c r="O94" s="24"/>
      <c r="P94" s="24"/>
      <c r="Q94" s="24"/>
      <c r="R94" s="24"/>
      <c r="S94" s="24"/>
      <c r="T94" s="24"/>
      <c r="U94" s="24"/>
      <c r="V94" s="21"/>
    </row>
    <row r="95" spans="1:25">
      <c r="C95" s="24"/>
      <c r="D95" s="24"/>
      <c r="E95" s="24"/>
      <c r="F95" s="24"/>
      <c r="G95" s="24"/>
      <c r="H95" s="24"/>
      <c r="I95" s="24"/>
      <c r="J95" s="24"/>
      <c r="K95" s="24"/>
      <c r="L95" s="24"/>
      <c r="M95" s="24"/>
      <c r="N95" s="24"/>
      <c r="O95" s="24"/>
      <c r="P95" s="24"/>
      <c r="Q95" s="24"/>
      <c r="R95" s="24"/>
      <c r="S95" s="24"/>
      <c r="T95" s="24"/>
      <c r="U95" s="24"/>
      <c r="V95" s="21"/>
    </row>
    <row r="96" spans="1:25">
      <c r="C96" s="24"/>
      <c r="D96" s="24"/>
      <c r="E96" s="24"/>
      <c r="F96" s="24"/>
      <c r="G96" s="24"/>
      <c r="H96" s="24"/>
      <c r="I96" s="24"/>
      <c r="J96" s="24"/>
      <c r="K96" s="24"/>
      <c r="L96" s="24"/>
      <c r="M96" s="24"/>
      <c r="N96" s="24"/>
      <c r="O96" s="24"/>
      <c r="P96" s="24"/>
      <c r="Q96" s="24"/>
      <c r="R96" s="24"/>
      <c r="S96" s="24"/>
      <c r="T96" s="24"/>
      <c r="U96" s="24"/>
      <c r="V96" s="21"/>
    </row>
    <row r="97" spans="3:22">
      <c r="C97" s="24"/>
      <c r="D97" s="24"/>
      <c r="E97" s="24"/>
      <c r="F97" s="24"/>
      <c r="G97" s="24"/>
      <c r="H97" s="24"/>
      <c r="I97" s="24"/>
      <c r="J97" s="24"/>
      <c r="K97" s="24"/>
      <c r="L97" s="24"/>
      <c r="M97" s="24"/>
      <c r="N97" s="24"/>
      <c r="O97" s="24"/>
      <c r="P97" s="24"/>
      <c r="Q97" s="24"/>
      <c r="R97" s="24"/>
      <c r="S97" s="24"/>
      <c r="T97" s="24"/>
      <c r="U97" s="24"/>
      <c r="V97" s="21"/>
    </row>
    <row r="98" spans="3:22">
      <c r="C98" s="24"/>
      <c r="D98" s="24"/>
      <c r="E98" s="24"/>
      <c r="F98" s="24"/>
      <c r="G98" s="24"/>
      <c r="H98" s="24"/>
      <c r="I98" s="24"/>
      <c r="J98" s="24"/>
      <c r="K98" s="24"/>
      <c r="L98" s="24"/>
      <c r="M98" s="24"/>
      <c r="N98" s="24"/>
      <c r="O98" s="24"/>
      <c r="P98" s="24"/>
      <c r="Q98" s="24"/>
      <c r="R98" s="24"/>
      <c r="S98" s="24"/>
      <c r="T98" s="24"/>
      <c r="U98" s="24"/>
      <c r="V98" s="21"/>
    </row>
    <row r="99" spans="3:22">
      <c r="C99" s="24"/>
      <c r="D99" s="24"/>
      <c r="E99" s="24"/>
      <c r="F99" s="24"/>
      <c r="G99" s="24"/>
      <c r="H99" s="24"/>
      <c r="I99" s="24"/>
      <c r="J99" s="24"/>
      <c r="K99" s="24"/>
      <c r="L99" s="24"/>
      <c r="M99" s="24"/>
      <c r="N99" s="24"/>
      <c r="O99" s="24"/>
      <c r="P99" s="24"/>
      <c r="Q99" s="24"/>
      <c r="R99" s="24"/>
      <c r="S99" s="24"/>
      <c r="T99" s="24"/>
      <c r="U99" s="24"/>
      <c r="V99" s="21"/>
    </row>
    <row r="100" spans="3:22">
      <c r="C100" s="21"/>
      <c r="D100" s="21"/>
      <c r="E100" s="21"/>
      <c r="F100" s="21"/>
      <c r="G100" s="21"/>
      <c r="H100" s="21"/>
      <c r="I100" s="21"/>
      <c r="J100" s="21"/>
      <c r="K100" s="21"/>
      <c r="L100" s="21"/>
      <c r="M100" s="21"/>
      <c r="N100" s="21"/>
      <c r="O100" s="21"/>
      <c r="P100" s="21"/>
      <c r="Q100" s="21"/>
      <c r="R100" s="21"/>
      <c r="S100" s="21"/>
      <c r="T100" s="21"/>
      <c r="U100" s="21"/>
      <c r="V100" s="21"/>
    </row>
    <row r="101" spans="3:22">
      <c r="C101" s="21"/>
      <c r="D101" s="21"/>
      <c r="E101" s="21"/>
      <c r="F101" s="21"/>
      <c r="G101" s="21"/>
      <c r="H101" s="21"/>
      <c r="I101" s="21"/>
      <c r="J101" s="21"/>
      <c r="K101" s="21"/>
      <c r="L101" s="21"/>
      <c r="M101" s="21"/>
      <c r="N101" s="21"/>
      <c r="O101" s="21"/>
      <c r="P101" s="21"/>
      <c r="Q101" s="21"/>
      <c r="R101" s="21"/>
      <c r="S101" s="21"/>
      <c r="T101" s="21"/>
      <c r="U101" s="21"/>
      <c r="V101" s="21"/>
    </row>
    <row r="102" spans="3:22">
      <c r="C102" s="21"/>
      <c r="D102" s="21"/>
      <c r="E102" s="21"/>
      <c r="F102" s="21"/>
      <c r="G102" s="21"/>
      <c r="H102" s="21"/>
      <c r="I102" s="21"/>
      <c r="J102" s="21"/>
      <c r="K102" s="21"/>
      <c r="L102" s="21"/>
      <c r="M102" s="21"/>
      <c r="N102" s="21"/>
      <c r="O102" s="21"/>
      <c r="P102" s="21"/>
      <c r="Q102" s="21"/>
      <c r="R102" s="21"/>
      <c r="S102" s="21"/>
      <c r="T102" s="21"/>
      <c r="U102" s="21"/>
      <c r="V102" s="21"/>
    </row>
    <row r="103" spans="3:22">
      <c r="C103" s="21"/>
      <c r="D103" s="21"/>
      <c r="E103" s="21"/>
      <c r="F103" s="21"/>
      <c r="G103" s="21"/>
      <c r="H103" s="21"/>
      <c r="I103" s="21"/>
      <c r="J103" s="21"/>
      <c r="K103" s="21"/>
      <c r="L103" s="21"/>
      <c r="M103" s="21"/>
      <c r="N103" s="21"/>
      <c r="O103" s="21"/>
      <c r="P103" s="21"/>
      <c r="Q103" s="21"/>
      <c r="R103" s="21"/>
      <c r="S103" s="21"/>
      <c r="T103" s="21"/>
      <c r="U103" s="21"/>
      <c r="V103" s="21"/>
    </row>
    <row r="104" spans="3:22">
      <c r="C104" s="21"/>
      <c r="D104" s="21"/>
      <c r="E104" s="21"/>
      <c r="F104" s="21"/>
      <c r="G104" s="21"/>
      <c r="H104" s="21"/>
      <c r="I104" s="21"/>
      <c r="J104" s="21"/>
      <c r="K104" s="21"/>
      <c r="L104" s="21"/>
      <c r="M104" s="21"/>
      <c r="N104" s="21"/>
      <c r="O104" s="21"/>
      <c r="P104" s="21"/>
      <c r="Q104" s="21"/>
      <c r="R104" s="21"/>
      <c r="S104" s="21"/>
      <c r="T104" s="21"/>
      <c r="U104" s="21"/>
      <c r="V104" s="21"/>
    </row>
    <row r="105" spans="3:22">
      <c r="C105" s="21"/>
      <c r="D105" s="21"/>
      <c r="E105" s="21"/>
      <c r="F105" s="21"/>
      <c r="G105" s="21"/>
      <c r="H105" s="21"/>
      <c r="I105" s="21"/>
      <c r="J105" s="21"/>
      <c r="K105" s="21"/>
      <c r="L105" s="21"/>
      <c r="M105" s="21"/>
      <c r="N105" s="21"/>
      <c r="O105" s="21"/>
      <c r="P105" s="21"/>
      <c r="Q105" s="21"/>
      <c r="R105" s="21"/>
      <c r="S105" s="21"/>
      <c r="T105" s="21"/>
      <c r="U105" s="21"/>
      <c r="V105" s="21"/>
    </row>
    <row r="106" spans="3:22">
      <c r="C106" s="21"/>
      <c r="D106" s="21"/>
      <c r="E106" s="21"/>
      <c r="F106" s="21"/>
      <c r="G106" s="21"/>
      <c r="H106" s="21"/>
      <c r="I106" s="21"/>
      <c r="J106" s="21"/>
      <c r="K106" s="21"/>
      <c r="L106" s="21"/>
      <c r="M106" s="21"/>
      <c r="N106" s="21"/>
      <c r="O106" s="21"/>
      <c r="P106" s="21"/>
      <c r="Q106" s="21"/>
      <c r="R106" s="21"/>
      <c r="S106" s="21"/>
      <c r="T106" s="21"/>
      <c r="U106" s="21"/>
      <c r="V106" s="21"/>
    </row>
    <row r="107" spans="3:22">
      <c r="C107" s="21"/>
      <c r="D107" s="21"/>
      <c r="E107" s="21"/>
      <c r="F107" s="21"/>
      <c r="G107" s="21"/>
      <c r="H107" s="21"/>
      <c r="I107" s="21"/>
      <c r="J107" s="21"/>
      <c r="K107" s="21"/>
      <c r="L107" s="21"/>
      <c r="M107" s="21"/>
      <c r="N107" s="21"/>
      <c r="O107" s="21"/>
      <c r="P107" s="21"/>
      <c r="Q107" s="21"/>
      <c r="R107" s="21"/>
      <c r="S107" s="21"/>
      <c r="T107" s="21"/>
      <c r="U107" s="21"/>
      <c r="V107" s="21"/>
    </row>
    <row r="108" spans="3:22">
      <c r="C108" s="21"/>
      <c r="D108" s="21"/>
      <c r="E108" s="21"/>
      <c r="F108" s="21"/>
      <c r="G108" s="21"/>
      <c r="H108" s="21"/>
      <c r="I108" s="21"/>
      <c r="J108" s="21"/>
      <c r="K108" s="21"/>
      <c r="L108" s="21"/>
      <c r="M108" s="21"/>
      <c r="N108" s="21"/>
      <c r="O108" s="21"/>
      <c r="P108" s="21"/>
      <c r="Q108" s="21"/>
      <c r="R108" s="21"/>
      <c r="S108" s="21"/>
      <c r="T108" s="21"/>
      <c r="U108" s="21"/>
      <c r="V108" s="21"/>
    </row>
    <row r="109" spans="3:22">
      <c r="C109" s="21"/>
      <c r="D109" s="21"/>
      <c r="E109" s="21"/>
      <c r="F109" s="21"/>
      <c r="G109" s="21"/>
      <c r="H109" s="21"/>
      <c r="I109" s="21"/>
      <c r="J109" s="21"/>
      <c r="K109" s="21"/>
      <c r="L109" s="21"/>
      <c r="M109" s="21"/>
      <c r="N109" s="21"/>
      <c r="O109" s="21"/>
      <c r="P109" s="21"/>
      <c r="Q109" s="21"/>
      <c r="R109" s="21"/>
      <c r="S109" s="21"/>
      <c r="T109" s="21"/>
      <c r="U109" s="21"/>
      <c r="V109" s="21"/>
    </row>
    <row r="110" spans="3:22">
      <c r="C110" s="21"/>
      <c r="D110" s="21"/>
      <c r="E110" s="21"/>
      <c r="F110" s="21"/>
      <c r="G110" s="21"/>
      <c r="H110" s="21"/>
      <c r="I110" s="21"/>
      <c r="J110" s="21"/>
      <c r="K110" s="21"/>
      <c r="L110" s="21"/>
      <c r="M110" s="21"/>
      <c r="N110" s="21"/>
      <c r="O110" s="21"/>
      <c r="P110" s="21"/>
      <c r="Q110" s="21"/>
      <c r="R110" s="21"/>
      <c r="S110" s="21"/>
      <c r="T110" s="21"/>
      <c r="U110" s="21"/>
      <c r="V110" s="21"/>
    </row>
    <row r="111" spans="3:22">
      <c r="C111" s="21"/>
      <c r="D111" s="21"/>
      <c r="E111" s="21"/>
      <c r="F111" s="21"/>
      <c r="G111" s="21"/>
      <c r="H111" s="21"/>
      <c r="I111" s="21"/>
      <c r="J111" s="21"/>
      <c r="K111" s="21"/>
      <c r="L111" s="21"/>
      <c r="M111" s="21"/>
      <c r="N111" s="21"/>
      <c r="O111" s="21"/>
      <c r="P111" s="21"/>
      <c r="Q111" s="21"/>
      <c r="R111" s="21"/>
      <c r="S111" s="21"/>
      <c r="T111" s="21"/>
      <c r="U111" s="21"/>
      <c r="V111" s="21"/>
    </row>
    <row r="112" spans="3:22">
      <c r="C112" s="21"/>
      <c r="D112" s="21"/>
      <c r="E112" s="21"/>
      <c r="F112" s="21"/>
      <c r="G112" s="21"/>
      <c r="H112" s="21"/>
      <c r="I112" s="21"/>
      <c r="J112" s="21"/>
      <c r="K112" s="21"/>
      <c r="L112" s="21"/>
      <c r="M112" s="21"/>
      <c r="N112" s="21"/>
      <c r="O112" s="21"/>
      <c r="P112" s="21"/>
      <c r="Q112" s="21"/>
      <c r="R112" s="21"/>
      <c r="S112" s="21"/>
      <c r="T112" s="21"/>
      <c r="U112" s="21"/>
      <c r="V112" s="21"/>
    </row>
    <row r="113" spans="3:22">
      <c r="C113" s="21"/>
      <c r="D113" s="21"/>
      <c r="E113" s="21"/>
      <c r="F113" s="21"/>
      <c r="G113" s="21"/>
      <c r="H113" s="21"/>
      <c r="I113" s="21"/>
      <c r="J113" s="21"/>
      <c r="K113" s="21"/>
      <c r="L113" s="21"/>
      <c r="M113" s="21"/>
      <c r="N113" s="21"/>
      <c r="O113" s="21"/>
      <c r="P113" s="21"/>
      <c r="Q113" s="21"/>
      <c r="R113" s="21"/>
      <c r="S113" s="21"/>
      <c r="T113" s="21"/>
      <c r="U113" s="21"/>
      <c r="V113" s="21"/>
    </row>
    <row r="114" spans="3:22">
      <c r="C114" s="21"/>
      <c r="D114" s="21"/>
      <c r="E114" s="21"/>
      <c r="F114" s="21"/>
      <c r="G114" s="21"/>
      <c r="H114" s="21"/>
      <c r="I114" s="21"/>
      <c r="J114" s="21"/>
      <c r="K114" s="21"/>
      <c r="L114" s="21"/>
      <c r="M114" s="21"/>
      <c r="N114" s="21"/>
      <c r="O114" s="21"/>
      <c r="P114" s="21"/>
      <c r="Q114" s="21"/>
      <c r="R114" s="21"/>
      <c r="S114" s="21"/>
      <c r="T114" s="21"/>
      <c r="U114" s="21"/>
      <c r="V114" s="21"/>
    </row>
    <row r="115" spans="3:22">
      <c r="C115" s="21"/>
      <c r="D115" s="21"/>
      <c r="E115" s="21"/>
      <c r="F115" s="21"/>
      <c r="G115" s="21"/>
      <c r="H115" s="21"/>
      <c r="I115" s="21"/>
      <c r="J115" s="21"/>
      <c r="K115" s="21"/>
      <c r="L115" s="21"/>
      <c r="M115" s="21"/>
      <c r="N115" s="21"/>
      <c r="O115" s="21"/>
      <c r="P115" s="21"/>
      <c r="Q115" s="21"/>
      <c r="R115" s="21"/>
      <c r="S115" s="21"/>
      <c r="T115" s="21"/>
      <c r="U115" s="21"/>
      <c r="V115" s="21"/>
    </row>
    <row r="116" spans="3:22">
      <c r="C116" s="21"/>
      <c r="D116" s="21"/>
      <c r="E116" s="21"/>
      <c r="F116" s="21"/>
      <c r="G116" s="21"/>
      <c r="H116" s="21"/>
      <c r="I116" s="21"/>
      <c r="J116" s="21"/>
      <c r="K116" s="21"/>
      <c r="L116" s="21"/>
      <c r="M116" s="21"/>
      <c r="N116" s="21"/>
      <c r="O116" s="21"/>
      <c r="P116" s="21"/>
      <c r="Q116" s="21"/>
      <c r="R116" s="21"/>
      <c r="S116" s="21"/>
      <c r="T116" s="21"/>
      <c r="U116" s="21"/>
      <c r="V116" s="21"/>
    </row>
    <row r="117" spans="3:22">
      <c r="C117" s="21"/>
      <c r="D117" s="21"/>
      <c r="E117" s="21"/>
      <c r="F117" s="21"/>
      <c r="G117" s="21"/>
      <c r="H117" s="21"/>
      <c r="I117" s="21"/>
      <c r="J117" s="21"/>
      <c r="K117" s="21"/>
      <c r="L117" s="21"/>
      <c r="M117" s="21"/>
      <c r="N117" s="21"/>
      <c r="O117" s="21"/>
      <c r="P117" s="21"/>
      <c r="Q117" s="21"/>
      <c r="R117" s="21"/>
      <c r="S117" s="21"/>
      <c r="T117" s="21"/>
      <c r="U117" s="21"/>
      <c r="V117" s="21"/>
    </row>
    <row r="118" spans="3:22">
      <c r="C118" s="21"/>
      <c r="D118" s="21"/>
      <c r="E118" s="21"/>
      <c r="F118" s="21"/>
      <c r="G118" s="21"/>
      <c r="H118" s="21"/>
      <c r="I118" s="21"/>
      <c r="J118" s="21"/>
      <c r="K118" s="21"/>
      <c r="L118" s="21"/>
      <c r="M118" s="21"/>
      <c r="N118" s="21"/>
      <c r="O118" s="21"/>
      <c r="P118" s="21"/>
      <c r="Q118" s="21"/>
      <c r="R118" s="21"/>
      <c r="S118" s="21"/>
      <c r="T118" s="21"/>
      <c r="U118" s="21"/>
      <c r="V118" s="21"/>
    </row>
    <row r="119" spans="3:22">
      <c r="C119" s="21"/>
      <c r="D119" s="21"/>
      <c r="E119" s="21"/>
      <c r="F119" s="21"/>
      <c r="G119" s="21"/>
      <c r="H119" s="21"/>
      <c r="I119" s="21"/>
      <c r="J119" s="21"/>
      <c r="K119" s="21"/>
      <c r="L119" s="21"/>
      <c r="M119" s="21"/>
      <c r="N119" s="21"/>
      <c r="O119" s="21"/>
      <c r="P119" s="21"/>
      <c r="Q119" s="21"/>
      <c r="R119" s="21"/>
      <c r="S119" s="21"/>
      <c r="T119" s="21"/>
      <c r="U119" s="21"/>
      <c r="V119" s="21"/>
    </row>
    <row r="120" spans="3:22">
      <c r="C120" s="21"/>
      <c r="D120" s="21"/>
      <c r="E120" s="21"/>
      <c r="F120" s="21"/>
      <c r="G120" s="21"/>
      <c r="H120" s="21"/>
      <c r="I120" s="21"/>
      <c r="J120" s="21"/>
      <c r="K120" s="21"/>
      <c r="L120" s="21"/>
      <c r="M120" s="21"/>
      <c r="N120" s="21"/>
      <c r="O120" s="21"/>
      <c r="P120" s="21"/>
      <c r="Q120" s="21"/>
      <c r="R120" s="21"/>
      <c r="S120" s="21"/>
      <c r="T120" s="21"/>
      <c r="U120" s="21"/>
      <c r="V120" s="21"/>
    </row>
    <row r="121" spans="3:22">
      <c r="C121" s="21"/>
      <c r="D121" s="21"/>
      <c r="E121" s="21"/>
      <c r="F121" s="21"/>
      <c r="G121" s="21"/>
      <c r="H121" s="21"/>
      <c r="I121" s="21"/>
      <c r="J121" s="21"/>
      <c r="K121" s="21"/>
      <c r="L121" s="21"/>
      <c r="M121" s="21"/>
      <c r="N121" s="21"/>
      <c r="O121" s="21"/>
      <c r="P121" s="21"/>
      <c r="Q121" s="21"/>
      <c r="R121" s="21"/>
      <c r="S121" s="21"/>
      <c r="T121" s="21"/>
      <c r="U121" s="21"/>
      <c r="V121" s="21"/>
    </row>
    <row r="122" spans="3:22">
      <c r="C122" s="21"/>
      <c r="D122" s="21"/>
      <c r="E122" s="21"/>
      <c r="F122" s="21"/>
      <c r="G122" s="21"/>
      <c r="H122" s="21"/>
      <c r="I122" s="21"/>
      <c r="J122" s="21"/>
      <c r="K122" s="21"/>
      <c r="L122" s="21"/>
      <c r="M122" s="21"/>
      <c r="N122" s="21"/>
      <c r="O122" s="21"/>
      <c r="P122" s="21"/>
      <c r="Q122" s="21"/>
      <c r="R122" s="21"/>
      <c r="S122" s="21"/>
      <c r="T122" s="21"/>
      <c r="U122" s="21"/>
      <c r="V122" s="21"/>
    </row>
    <row r="123" spans="3:22">
      <c r="C123" s="21"/>
      <c r="D123" s="21"/>
      <c r="E123" s="21"/>
      <c r="F123" s="21"/>
      <c r="G123" s="21"/>
      <c r="H123" s="21"/>
      <c r="I123" s="21"/>
      <c r="J123" s="21"/>
      <c r="K123" s="21"/>
      <c r="L123" s="21"/>
      <c r="M123" s="21"/>
      <c r="N123" s="21"/>
      <c r="O123" s="21"/>
      <c r="P123" s="21"/>
      <c r="Q123" s="21"/>
      <c r="R123" s="21"/>
      <c r="S123" s="21"/>
      <c r="T123" s="21"/>
      <c r="U123" s="21"/>
      <c r="V123" s="21"/>
    </row>
    <row r="124" spans="3:22">
      <c r="C124" s="21"/>
      <c r="D124" s="21"/>
      <c r="E124" s="21"/>
      <c r="F124" s="21"/>
      <c r="G124" s="21"/>
      <c r="H124" s="21"/>
      <c r="I124" s="21"/>
      <c r="J124" s="21"/>
      <c r="K124" s="21"/>
      <c r="L124" s="21"/>
      <c r="M124" s="21"/>
      <c r="N124" s="21"/>
      <c r="O124" s="21"/>
      <c r="P124" s="21"/>
      <c r="Q124" s="21"/>
      <c r="R124" s="21"/>
      <c r="S124" s="21"/>
      <c r="T124" s="21"/>
      <c r="U124" s="21"/>
      <c r="V124" s="21"/>
    </row>
    <row r="125" spans="3:22">
      <c r="C125" s="21"/>
      <c r="D125" s="21"/>
      <c r="E125" s="21"/>
      <c r="F125" s="21"/>
      <c r="G125" s="21"/>
      <c r="H125" s="21"/>
      <c r="I125" s="21"/>
      <c r="J125" s="21"/>
      <c r="K125" s="21"/>
      <c r="L125" s="21"/>
      <c r="M125" s="21"/>
      <c r="N125" s="21"/>
      <c r="O125" s="21"/>
      <c r="P125" s="21"/>
      <c r="Q125" s="21"/>
      <c r="R125" s="21"/>
      <c r="S125" s="21"/>
      <c r="T125" s="21"/>
      <c r="U125" s="21"/>
      <c r="V125" s="21"/>
    </row>
    <row r="126" spans="3:22">
      <c r="C126" s="21"/>
      <c r="D126" s="21"/>
      <c r="E126" s="21"/>
      <c r="F126" s="21"/>
      <c r="G126" s="21"/>
      <c r="H126" s="21"/>
      <c r="I126" s="21"/>
      <c r="J126" s="21"/>
      <c r="K126" s="21"/>
      <c r="L126" s="21"/>
      <c r="M126" s="21"/>
      <c r="N126" s="21"/>
      <c r="O126" s="21"/>
      <c r="P126" s="21"/>
      <c r="Q126" s="21"/>
      <c r="R126" s="21"/>
      <c r="S126" s="21"/>
      <c r="T126" s="21"/>
      <c r="U126" s="21"/>
      <c r="V126" s="21"/>
    </row>
    <row r="127" spans="3:22">
      <c r="C127" s="21"/>
      <c r="D127" s="21"/>
      <c r="E127" s="21"/>
      <c r="F127" s="21"/>
      <c r="G127" s="21"/>
      <c r="H127" s="21"/>
      <c r="I127" s="21"/>
      <c r="J127" s="21"/>
      <c r="K127" s="21"/>
      <c r="L127" s="21"/>
      <c r="M127" s="21"/>
      <c r="N127" s="21"/>
      <c r="O127" s="21"/>
      <c r="P127" s="21"/>
      <c r="Q127" s="21"/>
      <c r="R127" s="21"/>
      <c r="S127" s="21"/>
      <c r="T127" s="21"/>
      <c r="U127" s="21"/>
      <c r="V127" s="21"/>
    </row>
    <row r="128" spans="3:22">
      <c r="C128" s="21"/>
      <c r="D128" s="21"/>
      <c r="E128" s="21"/>
      <c r="F128" s="21"/>
      <c r="G128" s="21"/>
      <c r="H128" s="21"/>
      <c r="I128" s="21"/>
      <c r="J128" s="21"/>
      <c r="K128" s="21"/>
      <c r="L128" s="21"/>
      <c r="M128" s="21"/>
      <c r="N128" s="21"/>
      <c r="O128" s="21"/>
      <c r="P128" s="21"/>
      <c r="Q128" s="21"/>
      <c r="R128" s="21"/>
      <c r="S128" s="21"/>
      <c r="T128" s="21"/>
      <c r="U128" s="21"/>
      <c r="V128" s="21"/>
    </row>
    <row r="129" spans="3:22">
      <c r="C129" s="21"/>
      <c r="D129" s="21"/>
      <c r="E129" s="21"/>
      <c r="F129" s="21"/>
      <c r="G129" s="21"/>
      <c r="H129" s="21"/>
      <c r="I129" s="21"/>
      <c r="J129" s="21"/>
      <c r="K129" s="21"/>
      <c r="L129" s="21"/>
      <c r="M129" s="21"/>
      <c r="N129" s="21"/>
      <c r="O129" s="21"/>
      <c r="P129" s="21"/>
      <c r="Q129" s="21"/>
      <c r="R129" s="21"/>
      <c r="S129" s="21"/>
      <c r="T129" s="21"/>
      <c r="U129" s="21"/>
      <c r="V129" s="21"/>
    </row>
    <row r="130" spans="3:22">
      <c r="C130" s="21"/>
      <c r="D130" s="21"/>
      <c r="E130" s="21"/>
      <c r="F130" s="21"/>
      <c r="G130" s="21"/>
      <c r="H130" s="21"/>
      <c r="I130" s="21"/>
      <c r="J130" s="21"/>
      <c r="K130" s="21"/>
      <c r="L130" s="21"/>
      <c r="M130" s="21"/>
      <c r="N130" s="21"/>
      <c r="O130" s="21"/>
      <c r="P130" s="21"/>
      <c r="Q130" s="21"/>
      <c r="R130" s="21"/>
      <c r="S130" s="21"/>
      <c r="T130" s="21"/>
      <c r="U130" s="21"/>
      <c r="V130" s="21"/>
    </row>
    <row r="131" spans="3:22">
      <c r="C131" s="21"/>
      <c r="D131" s="21"/>
      <c r="E131" s="21"/>
      <c r="F131" s="21"/>
      <c r="G131" s="21"/>
      <c r="H131" s="21"/>
      <c r="I131" s="21"/>
      <c r="J131" s="21"/>
      <c r="K131" s="21"/>
      <c r="L131" s="21"/>
      <c r="M131" s="21"/>
      <c r="N131" s="21"/>
      <c r="O131" s="21"/>
      <c r="P131" s="21"/>
      <c r="Q131" s="21"/>
      <c r="R131" s="21"/>
      <c r="S131" s="21"/>
      <c r="T131" s="21"/>
      <c r="U131" s="21"/>
      <c r="V131" s="21"/>
    </row>
    <row r="132" spans="3:22">
      <c r="C132" s="21"/>
      <c r="D132" s="21"/>
      <c r="E132" s="21"/>
      <c r="F132" s="21"/>
      <c r="G132" s="21"/>
      <c r="H132" s="21"/>
      <c r="I132" s="21"/>
      <c r="J132" s="21"/>
      <c r="K132" s="21"/>
      <c r="L132" s="21"/>
      <c r="M132" s="21"/>
      <c r="N132" s="21"/>
      <c r="O132" s="21"/>
      <c r="P132" s="21"/>
      <c r="Q132" s="21"/>
      <c r="R132" s="21"/>
      <c r="S132" s="21"/>
      <c r="T132" s="21"/>
      <c r="U132" s="21"/>
      <c r="V132" s="21"/>
    </row>
    <row r="133" spans="3:22">
      <c r="C133" s="21"/>
      <c r="D133" s="21"/>
      <c r="E133" s="21"/>
      <c r="F133" s="21"/>
      <c r="G133" s="21"/>
      <c r="H133" s="21"/>
      <c r="I133" s="21"/>
      <c r="J133" s="21"/>
      <c r="K133" s="21"/>
      <c r="L133" s="21"/>
      <c r="M133" s="21"/>
      <c r="N133" s="21"/>
      <c r="O133" s="21"/>
      <c r="P133" s="21"/>
      <c r="Q133" s="21"/>
      <c r="R133" s="21"/>
      <c r="S133" s="21"/>
      <c r="T133" s="21"/>
      <c r="U133" s="21"/>
      <c r="V133" s="21"/>
    </row>
    <row r="134" spans="3:22">
      <c r="C134" s="21"/>
      <c r="D134" s="21"/>
      <c r="E134" s="21"/>
      <c r="F134" s="21"/>
      <c r="G134" s="21"/>
      <c r="H134" s="21"/>
      <c r="I134" s="21"/>
      <c r="J134" s="21"/>
      <c r="K134" s="21"/>
      <c r="L134" s="21"/>
      <c r="M134" s="21"/>
      <c r="N134" s="21"/>
      <c r="O134" s="21"/>
      <c r="P134" s="21"/>
      <c r="Q134" s="21"/>
      <c r="R134" s="21"/>
      <c r="S134" s="21"/>
      <c r="T134" s="21"/>
      <c r="U134" s="21"/>
      <c r="V134" s="21"/>
    </row>
    <row r="135" spans="3:22">
      <c r="C135" s="21"/>
      <c r="D135" s="21"/>
      <c r="E135" s="21"/>
      <c r="F135" s="21"/>
      <c r="G135" s="21"/>
      <c r="H135" s="21"/>
      <c r="I135" s="21"/>
      <c r="J135" s="21"/>
      <c r="K135" s="21"/>
      <c r="L135" s="21"/>
      <c r="M135" s="21"/>
      <c r="N135" s="21"/>
      <c r="O135" s="21"/>
      <c r="P135" s="21"/>
      <c r="Q135" s="21"/>
      <c r="R135" s="21"/>
      <c r="S135" s="21"/>
      <c r="T135" s="21"/>
      <c r="U135" s="21"/>
      <c r="V135" s="21"/>
    </row>
    <row r="136" spans="3:22">
      <c r="C136" s="21"/>
      <c r="D136" s="21"/>
      <c r="E136" s="21"/>
      <c r="F136" s="21"/>
      <c r="G136" s="21"/>
      <c r="H136" s="21"/>
      <c r="I136" s="21"/>
      <c r="J136" s="21"/>
      <c r="K136" s="21"/>
      <c r="L136" s="21"/>
      <c r="M136" s="21"/>
      <c r="N136" s="21"/>
      <c r="O136" s="21"/>
      <c r="P136" s="21"/>
      <c r="Q136" s="21"/>
      <c r="R136" s="21"/>
      <c r="S136" s="21"/>
      <c r="T136" s="21"/>
      <c r="U136" s="21"/>
      <c r="V136" s="21"/>
    </row>
    <row r="137" spans="3:22">
      <c r="C137" s="21"/>
      <c r="D137" s="21"/>
      <c r="E137" s="21"/>
      <c r="F137" s="21"/>
      <c r="G137" s="21"/>
      <c r="H137" s="21"/>
      <c r="I137" s="21"/>
      <c r="J137" s="21"/>
      <c r="K137" s="21"/>
      <c r="L137" s="21"/>
      <c r="M137" s="21"/>
      <c r="N137" s="21"/>
      <c r="O137" s="21"/>
      <c r="P137" s="21"/>
      <c r="Q137" s="21"/>
      <c r="R137" s="21"/>
      <c r="S137" s="21"/>
      <c r="T137" s="21"/>
      <c r="U137" s="21"/>
      <c r="V137" s="21"/>
    </row>
    <row r="138" spans="3:22">
      <c r="C138" s="21"/>
      <c r="D138" s="21"/>
      <c r="E138" s="21"/>
      <c r="F138" s="21"/>
      <c r="G138" s="21"/>
      <c r="H138" s="21"/>
      <c r="I138" s="21"/>
      <c r="J138" s="21"/>
      <c r="K138" s="21"/>
      <c r="L138" s="21"/>
      <c r="M138" s="21"/>
      <c r="N138" s="21"/>
      <c r="O138" s="21"/>
      <c r="P138" s="21"/>
      <c r="Q138" s="21"/>
      <c r="R138" s="21"/>
      <c r="S138" s="21"/>
      <c r="T138" s="21"/>
      <c r="U138" s="21"/>
      <c r="V138" s="21"/>
    </row>
    <row r="139" spans="3:22">
      <c r="C139" s="21"/>
      <c r="D139" s="21"/>
      <c r="E139" s="21"/>
      <c r="F139" s="21"/>
      <c r="G139" s="21"/>
      <c r="H139" s="21"/>
      <c r="I139" s="21"/>
      <c r="J139" s="21"/>
      <c r="K139" s="21"/>
      <c r="L139" s="21"/>
      <c r="M139" s="21"/>
      <c r="N139" s="21"/>
      <c r="O139" s="21"/>
      <c r="P139" s="21"/>
      <c r="Q139" s="21"/>
      <c r="R139" s="21"/>
      <c r="S139" s="21"/>
      <c r="T139" s="21"/>
      <c r="U139" s="21"/>
      <c r="V139" s="21"/>
    </row>
    <row r="140" spans="3:22">
      <c r="C140" s="21"/>
      <c r="D140" s="21"/>
      <c r="E140" s="21"/>
      <c r="F140" s="21"/>
      <c r="G140" s="21"/>
      <c r="H140" s="21"/>
      <c r="I140" s="21"/>
      <c r="J140" s="21"/>
      <c r="K140" s="21"/>
      <c r="L140" s="21"/>
      <c r="M140" s="21"/>
      <c r="N140" s="21"/>
      <c r="O140" s="21"/>
      <c r="P140" s="21"/>
      <c r="Q140" s="21"/>
      <c r="R140" s="21"/>
      <c r="S140" s="21"/>
      <c r="T140" s="21"/>
      <c r="U140" s="21"/>
      <c r="V140" s="21"/>
    </row>
    <row r="141" spans="3:22">
      <c r="C141" s="21"/>
      <c r="D141" s="21"/>
      <c r="E141" s="21"/>
      <c r="F141" s="21"/>
      <c r="G141" s="21"/>
      <c r="H141" s="21"/>
      <c r="I141" s="21"/>
      <c r="J141" s="21"/>
      <c r="K141" s="21"/>
      <c r="L141" s="21"/>
      <c r="M141" s="21"/>
      <c r="N141" s="21"/>
      <c r="O141" s="21"/>
      <c r="P141" s="21"/>
      <c r="Q141" s="21"/>
      <c r="R141" s="21"/>
      <c r="S141" s="21"/>
      <c r="T141" s="21"/>
      <c r="U141" s="21"/>
      <c r="V141" s="21"/>
    </row>
    <row r="142" spans="3:22">
      <c r="C142" s="21"/>
      <c r="D142" s="21"/>
      <c r="E142" s="21"/>
      <c r="F142" s="21"/>
      <c r="G142" s="21"/>
      <c r="H142" s="21"/>
      <c r="I142" s="21"/>
      <c r="J142" s="21"/>
      <c r="K142" s="21"/>
      <c r="L142" s="21"/>
      <c r="M142" s="21"/>
      <c r="N142" s="21"/>
      <c r="O142" s="21"/>
      <c r="P142" s="21"/>
      <c r="Q142" s="21"/>
      <c r="R142" s="21"/>
      <c r="S142" s="21"/>
      <c r="T142" s="21"/>
      <c r="U142" s="21"/>
      <c r="V142" s="21"/>
    </row>
    <row r="143" spans="3:22">
      <c r="C143" s="21"/>
      <c r="D143" s="21"/>
      <c r="E143" s="21"/>
      <c r="F143" s="21"/>
      <c r="G143" s="21"/>
      <c r="H143" s="21"/>
      <c r="I143" s="21"/>
      <c r="J143" s="21"/>
      <c r="K143" s="21"/>
      <c r="L143" s="21"/>
      <c r="M143" s="21"/>
      <c r="N143" s="21"/>
      <c r="O143" s="21"/>
      <c r="P143" s="21"/>
      <c r="Q143" s="21"/>
      <c r="R143" s="21"/>
      <c r="S143" s="21"/>
      <c r="T143" s="21"/>
      <c r="U143" s="21"/>
      <c r="V143" s="21"/>
    </row>
    <row r="144" spans="3:22">
      <c r="C144" s="21"/>
      <c r="D144" s="21"/>
      <c r="E144" s="21"/>
      <c r="F144" s="21"/>
      <c r="G144" s="21"/>
      <c r="H144" s="21"/>
      <c r="I144" s="21"/>
      <c r="J144" s="21"/>
      <c r="K144" s="21"/>
      <c r="L144" s="21"/>
      <c r="M144" s="21"/>
      <c r="N144" s="21"/>
      <c r="O144" s="21"/>
      <c r="P144" s="21"/>
      <c r="Q144" s="21"/>
      <c r="R144" s="21"/>
      <c r="S144" s="21"/>
      <c r="T144" s="21"/>
      <c r="U144" s="21"/>
      <c r="V144" s="21"/>
    </row>
    <row r="145" spans="3:22">
      <c r="C145" s="21"/>
      <c r="D145" s="21"/>
      <c r="E145" s="21"/>
      <c r="F145" s="21"/>
      <c r="G145" s="21"/>
      <c r="H145" s="21"/>
      <c r="I145" s="21"/>
      <c r="J145" s="21"/>
      <c r="K145" s="21"/>
      <c r="L145" s="21"/>
      <c r="M145" s="21"/>
      <c r="N145" s="21"/>
      <c r="O145" s="21"/>
      <c r="P145" s="21"/>
      <c r="Q145" s="21"/>
      <c r="R145" s="21"/>
      <c r="S145" s="21"/>
      <c r="T145" s="21"/>
      <c r="U145" s="21"/>
      <c r="V145" s="21"/>
    </row>
    <row r="146" spans="3:22">
      <c r="C146" s="21"/>
      <c r="D146" s="21"/>
      <c r="E146" s="21"/>
      <c r="F146" s="21"/>
      <c r="G146" s="21"/>
      <c r="H146" s="21"/>
      <c r="I146" s="21"/>
      <c r="J146" s="21"/>
      <c r="K146" s="21"/>
      <c r="L146" s="21"/>
      <c r="M146" s="21"/>
      <c r="N146" s="21"/>
      <c r="O146" s="21"/>
      <c r="P146" s="21"/>
      <c r="Q146" s="21"/>
      <c r="R146" s="21"/>
      <c r="S146" s="21"/>
      <c r="T146" s="21"/>
      <c r="U146" s="21"/>
      <c r="V146" s="21"/>
    </row>
    <row r="147" spans="3:22">
      <c r="C147" s="21"/>
      <c r="D147" s="21"/>
      <c r="E147" s="21"/>
      <c r="F147" s="21"/>
      <c r="G147" s="21"/>
      <c r="H147" s="21"/>
      <c r="I147" s="21"/>
      <c r="J147" s="21"/>
      <c r="K147" s="21"/>
      <c r="L147" s="21"/>
      <c r="M147" s="21"/>
      <c r="N147" s="21"/>
      <c r="O147" s="21"/>
      <c r="P147" s="21"/>
      <c r="Q147" s="21"/>
      <c r="R147" s="21"/>
      <c r="S147" s="21"/>
      <c r="T147" s="21"/>
      <c r="U147" s="21"/>
      <c r="V147" s="21"/>
    </row>
    <row r="148" spans="3:22">
      <c r="C148" s="21"/>
      <c r="D148" s="21"/>
      <c r="E148" s="21"/>
      <c r="F148" s="21"/>
      <c r="G148" s="21"/>
      <c r="H148" s="21"/>
      <c r="I148" s="21"/>
      <c r="J148" s="21"/>
      <c r="K148" s="21"/>
      <c r="L148" s="21"/>
      <c r="M148" s="21"/>
      <c r="N148" s="21"/>
      <c r="O148" s="21"/>
      <c r="P148" s="21"/>
      <c r="Q148" s="21"/>
      <c r="R148" s="21"/>
      <c r="S148" s="21"/>
      <c r="T148" s="21"/>
      <c r="U148" s="21"/>
      <c r="V148" s="21"/>
    </row>
    <row r="149" spans="3:22">
      <c r="C149" s="21"/>
      <c r="D149" s="21"/>
      <c r="E149" s="21"/>
      <c r="F149" s="21"/>
      <c r="G149" s="21"/>
      <c r="H149" s="21"/>
      <c r="I149" s="21"/>
      <c r="J149" s="21"/>
      <c r="K149" s="21"/>
      <c r="L149" s="21"/>
      <c r="M149" s="21"/>
      <c r="N149" s="21"/>
      <c r="O149" s="21"/>
      <c r="P149" s="21"/>
      <c r="Q149" s="21"/>
      <c r="R149" s="21"/>
      <c r="S149" s="21"/>
      <c r="T149" s="21"/>
      <c r="U149" s="21"/>
      <c r="V149" s="21"/>
    </row>
    <row r="150" spans="3:22">
      <c r="C150" s="21"/>
      <c r="D150" s="21"/>
      <c r="E150" s="21"/>
      <c r="F150" s="21"/>
      <c r="G150" s="21"/>
      <c r="H150" s="21"/>
      <c r="I150" s="21"/>
      <c r="J150" s="21"/>
      <c r="K150" s="21"/>
      <c r="L150" s="21"/>
      <c r="M150" s="21"/>
      <c r="N150" s="21"/>
      <c r="O150" s="21"/>
      <c r="P150" s="21"/>
      <c r="Q150" s="21"/>
      <c r="R150" s="21"/>
      <c r="S150" s="21"/>
      <c r="T150" s="21"/>
      <c r="U150" s="21"/>
      <c r="V150" s="21"/>
    </row>
    <row r="151" spans="3:22">
      <c r="C151" s="21"/>
      <c r="D151" s="21"/>
      <c r="E151" s="21"/>
      <c r="F151" s="21"/>
      <c r="G151" s="21"/>
      <c r="H151" s="21"/>
      <c r="I151" s="21"/>
      <c r="J151" s="21"/>
      <c r="K151" s="21"/>
      <c r="L151" s="21"/>
      <c r="M151" s="21"/>
      <c r="N151" s="21"/>
      <c r="O151" s="21"/>
      <c r="P151" s="21"/>
      <c r="Q151" s="21"/>
      <c r="R151" s="21"/>
      <c r="S151" s="21"/>
      <c r="T151" s="21"/>
      <c r="U151" s="21"/>
      <c r="V151" s="21"/>
    </row>
    <row r="152" spans="3:22">
      <c r="C152" s="21"/>
      <c r="D152" s="21"/>
      <c r="E152" s="21"/>
      <c r="F152" s="21"/>
      <c r="G152" s="21"/>
      <c r="H152" s="21"/>
      <c r="I152" s="21"/>
      <c r="J152" s="21"/>
      <c r="K152" s="21"/>
      <c r="L152" s="21"/>
      <c r="M152" s="21"/>
      <c r="N152" s="21"/>
      <c r="O152" s="21"/>
      <c r="P152" s="21"/>
      <c r="Q152" s="21"/>
      <c r="R152" s="21"/>
      <c r="S152" s="21"/>
      <c r="T152" s="21"/>
      <c r="U152" s="21"/>
      <c r="V152" s="21"/>
    </row>
    <row r="153" spans="3:22">
      <c r="C153" s="21"/>
      <c r="D153" s="21"/>
      <c r="E153" s="21"/>
      <c r="F153" s="21"/>
      <c r="G153" s="21"/>
      <c r="H153" s="21"/>
      <c r="I153" s="21"/>
      <c r="J153" s="21"/>
      <c r="K153" s="21"/>
      <c r="L153" s="21"/>
      <c r="M153" s="21"/>
      <c r="N153" s="21"/>
      <c r="O153" s="21"/>
      <c r="P153" s="21"/>
      <c r="Q153" s="21"/>
      <c r="R153" s="21"/>
      <c r="S153" s="21"/>
      <c r="T153" s="21"/>
      <c r="U153" s="21"/>
      <c r="V153" s="21"/>
    </row>
    <row r="154" spans="3:22">
      <c r="C154" s="21"/>
      <c r="D154" s="21"/>
      <c r="E154" s="21"/>
      <c r="F154" s="21"/>
      <c r="G154" s="21"/>
      <c r="H154" s="21"/>
      <c r="I154" s="21"/>
      <c r="J154" s="21"/>
      <c r="K154" s="21"/>
      <c r="L154" s="21"/>
      <c r="M154" s="21"/>
      <c r="N154" s="21"/>
      <c r="O154" s="21"/>
      <c r="P154" s="21"/>
      <c r="Q154" s="21"/>
      <c r="R154" s="21"/>
      <c r="S154" s="21"/>
      <c r="T154" s="21"/>
      <c r="U154" s="21"/>
      <c r="V154" s="21"/>
    </row>
    <row r="155" spans="3:22">
      <c r="C155" s="21"/>
      <c r="D155" s="21"/>
      <c r="E155" s="21"/>
      <c r="F155" s="21"/>
      <c r="G155" s="21"/>
      <c r="H155" s="21"/>
      <c r="I155" s="21"/>
      <c r="J155" s="21"/>
      <c r="K155" s="21"/>
      <c r="L155" s="21"/>
      <c r="M155" s="21"/>
      <c r="N155" s="21"/>
      <c r="O155" s="21"/>
      <c r="P155" s="21"/>
      <c r="Q155" s="21"/>
      <c r="R155" s="21"/>
      <c r="S155" s="21"/>
      <c r="T155" s="21"/>
      <c r="U155" s="21"/>
      <c r="V155" s="21"/>
    </row>
    <row r="156" spans="3:22">
      <c r="C156" s="21"/>
      <c r="D156" s="21"/>
      <c r="E156" s="21"/>
      <c r="F156" s="21"/>
      <c r="G156" s="21"/>
      <c r="H156" s="21"/>
      <c r="I156" s="21"/>
      <c r="J156" s="21"/>
      <c r="K156" s="21"/>
      <c r="L156" s="21"/>
      <c r="M156" s="21"/>
      <c r="N156" s="21"/>
      <c r="O156" s="21"/>
      <c r="P156" s="21"/>
      <c r="Q156" s="21"/>
      <c r="R156" s="21"/>
      <c r="S156" s="21"/>
      <c r="T156" s="21"/>
      <c r="U156" s="21"/>
      <c r="V156" s="21"/>
    </row>
    <row r="157" spans="3:22">
      <c r="C157" s="21"/>
      <c r="D157" s="21"/>
      <c r="E157" s="21"/>
      <c r="F157" s="21"/>
      <c r="G157" s="21"/>
      <c r="H157" s="21"/>
      <c r="I157" s="21"/>
      <c r="J157" s="21"/>
      <c r="K157" s="21"/>
      <c r="L157" s="21"/>
      <c r="M157" s="21"/>
      <c r="N157" s="21"/>
      <c r="O157" s="21"/>
      <c r="P157" s="21"/>
      <c r="Q157" s="21"/>
      <c r="R157" s="21"/>
      <c r="S157" s="21"/>
      <c r="T157" s="21"/>
      <c r="U157" s="21"/>
      <c r="V157" s="21"/>
    </row>
    <row r="158" spans="3:22">
      <c r="C158" s="21"/>
      <c r="D158" s="21"/>
      <c r="E158" s="21"/>
      <c r="F158" s="21"/>
      <c r="G158" s="21"/>
      <c r="H158" s="21"/>
      <c r="I158" s="21"/>
      <c r="J158" s="21"/>
      <c r="K158" s="21"/>
      <c r="L158" s="21"/>
      <c r="M158" s="21"/>
      <c r="N158" s="21"/>
      <c r="O158" s="21"/>
      <c r="P158" s="21"/>
      <c r="Q158" s="21"/>
      <c r="R158" s="21"/>
      <c r="S158" s="21"/>
      <c r="T158" s="21"/>
      <c r="U158" s="21"/>
      <c r="V158" s="21"/>
    </row>
    <row r="159" spans="3:22">
      <c r="C159" s="21"/>
      <c r="D159" s="21"/>
      <c r="E159" s="21"/>
      <c r="F159" s="21"/>
      <c r="G159" s="21"/>
      <c r="H159" s="21"/>
      <c r="I159" s="21"/>
      <c r="J159" s="21"/>
      <c r="K159" s="21"/>
      <c r="L159" s="21"/>
      <c r="M159" s="21"/>
      <c r="N159" s="21"/>
      <c r="O159" s="21"/>
      <c r="P159" s="21"/>
      <c r="Q159" s="21"/>
      <c r="R159" s="21"/>
      <c r="S159" s="21"/>
      <c r="T159" s="21"/>
      <c r="U159" s="21"/>
      <c r="V159" s="21"/>
    </row>
    <row r="160" spans="3:22">
      <c r="C160" s="21"/>
      <c r="D160" s="21"/>
      <c r="E160" s="21"/>
      <c r="F160" s="21"/>
      <c r="G160" s="21"/>
      <c r="H160" s="21"/>
      <c r="I160" s="21"/>
      <c r="J160" s="21"/>
      <c r="K160" s="21"/>
      <c r="L160" s="21"/>
      <c r="M160" s="21"/>
      <c r="N160" s="21"/>
      <c r="O160" s="21"/>
      <c r="P160" s="21"/>
      <c r="Q160" s="21"/>
      <c r="R160" s="21"/>
      <c r="S160" s="21"/>
      <c r="T160" s="21"/>
      <c r="U160" s="21"/>
      <c r="V160" s="21"/>
    </row>
    <row r="161" spans="3:22">
      <c r="C161" s="21"/>
      <c r="D161" s="21"/>
      <c r="E161" s="21"/>
      <c r="F161" s="21"/>
      <c r="G161" s="21"/>
      <c r="H161" s="21"/>
      <c r="I161" s="21"/>
      <c r="J161" s="21"/>
      <c r="K161" s="21"/>
      <c r="L161" s="21"/>
      <c r="M161" s="21"/>
      <c r="N161" s="21"/>
      <c r="O161" s="21"/>
      <c r="P161" s="21"/>
      <c r="Q161" s="21"/>
      <c r="R161" s="21"/>
      <c r="S161" s="21"/>
      <c r="T161" s="21"/>
      <c r="U161" s="21"/>
      <c r="V161" s="21"/>
    </row>
    <row r="162" spans="3:22">
      <c r="C162" s="21"/>
      <c r="D162" s="21"/>
      <c r="E162" s="21"/>
      <c r="F162" s="21"/>
      <c r="G162" s="21"/>
      <c r="H162" s="21"/>
      <c r="I162" s="21"/>
      <c r="J162" s="21"/>
      <c r="K162" s="21"/>
      <c r="L162" s="21"/>
      <c r="M162" s="21"/>
      <c r="N162" s="21"/>
      <c r="O162" s="21"/>
      <c r="P162" s="21"/>
      <c r="Q162" s="21"/>
      <c r="R162" s="21"/>
      <c r="S162" s="21"/>
      <c r="T162" s="21"/>
      <c r="U162" s="21"/>
      <c r="V162" s="21"/>
    </row>
    <row r="163" spans="3:22">
      <c r="C163" s="21"/>
      <c r="D163" s="21"/>
      <c r="E163" s="21"/>
      <c r="F163" s="21"/>
      <c r="G163" s="21"/>
      <c r="H163" s="21"/>
      <c r="I163" s="21"/>
      <c r="J163" s="21"/>
      <c r="K163" s="21"/>
      <c r="L163" s="21"/>
      <c r="M163" s="21"/>
      <c r="N163" s="21"/>
      <c r="O163" s="21"/>
      <c r="P163" s="21"/>
      <c r="Q163" s="21"/>
      <c r="R163" s="21"/>
      <c r="S163" s="21"/>
      <c r="T163" s="21"/>
      <c r="U163" s="21"/>
      <c r="V163" s="21"/>
    </row>
    <row r="164" spans="3:22">
      <c r="C164" s="21"/>
      <c r="D164" s="21"/>
      <c r="E164" s="21"/>
      <c r="F164" s="21"/>
      <c r="G164" s="21"/>
      <c r="H164" s="21"/>
      <c r="I164" s="21"/>
      <c r="J164" s="21"/>
      <c r="K164" s="21"/>
      <c r="L164" s="21"/>
      <c r="M164" s="21"/>
      <c r="N164" s="21"/>
      <c r="O164" s="21"/>
      <c r="P164" s="21"/>
      <c r="Q164" s="21"/>
      <c r="R164" s="21"/>
      <c r="S164" s="21"/>
      <c r="T164" s="21"/>
      <c r="U164" s="21"/>
      <c r="V164" s="21"/>
    </row>
    <row r="165" spans="3:22">
      <c r="C165" s="21"/>
      <c r="D165" s="21"/>
      <c r="E165" s="21"/>
      <c r="F165" s="21"/>
      <c r="G165" s="21"/>
      <c r="H165" s="21"/>
      <c r="I165" s="21"/>
      <c r="J165" s="21"/>
      <c r="K165" s="21"/>
      <c r="L165" s="21"/>
      <c r="M165" s="21"/>
      <c r="N165" s="21"/>
      <c r="O165" s="21"/>
      <c r="P165" s="21"/>
      <c r="Q165" s="21"/>
      <c r="R165" s="21"/>
      <c r="S165" s="21"/>
      <c r="T165" s="21"/>
      <c r="U165" s="21"/>
      <c r="V165" s="21"/>
    </row>
    <row r="166" spans="3:22">
      <c r="C166" s="21"/>
      <c r="D166" s="21"/>
      <c r="E166" s="21"/>
      <c r="F166" s="21"/>
      <c r="G166" s="21"/>
      <c r="H166" s="21"/>
      <c r="I166" s="21"/>
      <c r="J166" s="21"/>
      <c r="K166" s="21"/>
      <c r="L166" s="21"/>
      <c r="M166" s="21"/>
      <c r="N166" s="21"/>
      <c r="O166" s="21"/>
      <c r="P166" s="21"/>
      <c r="Q166" s="21"/>
      <c r="R166" s="21"/>
      <c r="S166" s="21"/>
      <c r="T166" s="21"/>
      <c r="U166" s="21"/>
      <c r="V166" s="21"/>
    </row>
    <row r="167" spans="3:22">
      <c r="C167" s="21"/>
      <c r="D167" s="21"/>
      <c r="E167" s="21"/>
      <c r="F167" s="21"/>
      <c r="G167" s="21"/>
      <c r="H167" s="21"/>
      <c r="I167" s="21"/>
      <c r="J167" s="21"/>
      <c r="K167" s="21"/>
      <c r="L167" s="21"/>
      <c r="M167" s="21"/>
      <c r="N167" s="21"/>
      <c r="O167" s="21"/>
      <c r="P167" s="21"/>
      <c r="Q167" s="21"/>
      <c r="R167" s="21"/>
      <c r="S167" s="21"/>
      <c r="T167" s="21"/>
      <c r="U167" s="21"/>
      <c r="V167" s="21"/>
    </row>
    <row r="168" spans="3:22">
      <c r="C168" s="21"/>
      <c r="D168" s="21"/>
      <c r="E168" s="21"/>
      <c r="F168" s="21"/>
      <c r="G168" s="21"/>
      <c r="H168" s="21"/>
      <c r="I168" s="21"/>
      <c r="J168" s="21"/>
      <c r="K168" s="21"/>
      <c r="L168" s="21"/>
      <c r="M168" s="21"/>
      <c r="N168" s="21"/>
      <c r="O168" s="21"/>
      <c r="P168" s="21"/>
      <c r="Q168" s="21"/>
      <c r="R168" s="21"/>
      <c r="S168" s="21"/>
      <c r="T168" s="21"/>
      <c r="U168" s="21"/>
      <c r="V168" s="21"/>
    </row>
    <row r="169" spans="3:22">
      <c r="C169" s="21"/>
      <c r="D169" s="21"/>
      <c r="E169" s="21"/>
      <c r="F169" s="21"/>
      <c r="G169" s="21"/>
      <c r="H169" s="21"/>
      <c r="I169" s="21"/>
      <c r="J169" s="21"/>
      <c r="K169" s="21"/>
      <c r="L169" s="21"/>
      <c r="M169" s="21"/>
      <c r="N169" s="21"/>
      <c r="O169" s="21"/>
      <c r="P169" s="21"/>
      <c r="Q169" s="21"/>
      <c r="R169" s="21"/>
      <c r="S169" s="21"/>
      <c r="T169" s="21"/>
      <c r="U169" s="21"/>
      <c r="V169" s="21"/>
    </row>
    <row r="170" spans="3:22">
      <c r="C170" s="21"/>
      <c r="D170" s="21"/>
      <c r="E170" s="21"/>
      <c r="F170" s="21"/>
      <c r="G170" s="21"/>
      <c r="H170" s="21"/>
      <c r="I170" s="21"/>
      <c r="J170" s="21"/>
      <c r="K170" s="21"/>
      <c r="L170" s="21"/>
      <c r="M170" s="21"/>
      <c r="N170" s="21"/>
      <c r="O170" s="21"/>
      <c r="P170" s="21"/>
      <c r="Q170" s="21"/>
      <c r="R170" s="21"/>
      <c r="S170" s="21"/>
      <c r="T170" s="21"/>
      <c r="U170" s="21"/>
      <c r="V170" s="21"/>
    </row>
    <row r="171" spans="3:22">
      <c r="C171" s="21"/>
      <c r="D171" s="21"/>
      <c r="E171" s="21"/>
      <c r="F171" s="21"/>
      <c r="G171" s="21"/>
      <c r="H171" s="21"/>
      <c r="I171" s="21"/>
      <c r="J171" s="21"/>
      <c r="K171" s="21"/>
      <c r="L171" s="21"/>
      <c r="M171" s="21"/>
      <c r="N171" s="21"/>
      <c r="O171" s="21"/>
      <c r="P171" s="21"/>
      <c r="Q171" s="21"/>
      <c r="R171" s="21"/>
      <c r="S171" s="21"/>
      <c r="T171" s="21"/>
      <c r="U171" s="21"/>
      <c r="V171" s="21"/>
    </row>
    <row r="172" spans="3:22">
      <c r="C172" s="21"/>
      <c r="D172" s="21"/>
      <c r="E172" s="21"/>
      <c r="F172" s="21"/>
      <c r="G172" s="21"/>
      <c r="H172" s="21"/>
      <c r="I172" s="21"/>
      <c r="J172" s="21"/>
      <c r="K172" s="21"/>
      <c r="L172" s="21"/>
      <c r="M172" s="21"/>
      <c r="N172" s="21"/>
      <c r="O172" s="21"/>
      <c r="P172" s="21"/>
      <c r="Q172" s="21"/>
      <c r="R172" s="21"/>
      <c r="S172" s="21"/>
      <c r="T172" s="21"/>
      <c r="U172" s="21"/>
      <c r="V172" s="21"/>
    </row>
    <row r="173" spans="3:22">
      <c r="C173" s="21"/>
      <c r="D173" s="21"/>
      <c r="E173" s="21"/>
      <c r="F173" s="21"/>
      <c r="G173" s="21"/>
      <c r="H173" s="21"/>
      <c r="I173" s="21"/>
      <c r="J173" s="21"/>
      <c r="K173" s="21"/>
      <c r="L173" s="21"/>
      <c r="M173" s="21"/>
      <c r="N173" s="21"/>
      <c r="O173" s="21"/>
      <c r="P173" s="21"/>
      <c r="Q173" s="21"/>
      <c r="R173" s="21"/>
      <c r="S173" s="21"/>
      <c r="T173" s="21"/>
      <c r="U173" s="21"/>
      <c r="V173" s="21"/>
    </row>
    <row r="174" spans="3:22">
      <c r="C174" s="21"/>
      <c r="D174" s="21"/>
      <c r="E174" s="21"/>
      <c r="F174" s="21"/>
      <c r="G174" s="21"/>
      <c r="H174" s="21"/>
      <c r="I174" s="21"/>
      <c r="J174" s="21"/>
      <c r="K174" s="21"/>
      <c r="L174" s="21"/>
      <c r="M174" s="21"/>
      <c r="N174" s="21"/>
      <c r="O174" s="21"/>
      <c r="P174" s="21"/>
      <c r="Q174" s="21"/>
      <c r="R174" s="21"/>
      <c r="S174" s="21"/>
      <c r="T174" s="21"/>
      <c r="U174" s="21"/>
      <c r="V174" s="21"/>
    </row>
    <row r="175" spans="3:22">
      <c r="C175" s="21"/>
      <c r="D175" s="21"/>
      <c r="E175" s="21"/>
      <c r="F175" s="21"/>
      <c r="G175" s="21"/>
      <c r="H175" s="21"/>
      <c r="I175" s="21"/>
      <c r="J175" s="21"/>
      <c r="K175" s="21"/>
      <c r="L175" s="21"/>
      <c r="M175" s="21"/>
      <c r="N175" s="21"/>
      <c r="O175" s="21"/>
      <c r="P175" s="21"/>
      <c r="Q175" s="21"/>
      <c r="R175" s="21"/>
      <c r="S175" s="21"/>
      <c r="T175" s="21"/>
      <c r="U175" s="21"/>
      <c r="V175" s="21"/>
    </row>
    <row r="176" spans="3:22">
      <c r="C176" s="21"/>
      <c r="D176" s="21"/>
      <c r="E176" s="21"/>
      <c r="F176" s="21"/>
      <c r="G176" s="21"/>
      <c r="H176" s="21"/>
      <c r="I176" s="21"/>
      <c r="J176" s="21"/>
      <c r="K176" s="21"/>
      <c r="L176" s="21"/>
      <c r="M176" s="21"/>
      <c r="N176" s="21"/>
      <c r="O176" s="21"/>
      <c r="P176" s="21"/>
      <c r="Q176" s="21"/>
      <c r="R176" s="21"/>
      <c r="S176" s="21"/>
      <c r="T176" s="21"/>
      <c r="U176" s="21"/>
      <c r="V176" s="21"/>
    </row>
    <row r="177" spans="3:22">
      <c r="C177" s="21"/>
      <c r="D177" s="21"/>
      <c r="E177" s="21"/>
      <c r="F177" s="21"/>
      <c r="G177" s="21"/>
      <c r="H177" s="21"/>
      <c r="I177" s="21"/>
      <c r="J177" s="21"/>
      <c r="K177" s="21"/>
      <c r="L177" s="21"/>
      <c r="M177" s="21"/>
      <c r="N177" s="21"/>
      <c r="O177" s="21"/>
      <c r="P177" s="21"/>
      <c r="Q177" s="21"/>
      <c r="R177" s="21"/>
      <c r="S177" s="21"/>
      <c r="T177" s="21"/>
      <c r="U177" s="21"/>
      <c r="V177" s="21"/>
    </row>
    <row r="178" spans="3:22">
      <c r="C178" s="21"/>
      <c r="D178" s="21"/>
      <c r="E178" s="21"/>
      <c r="F178" s="21"/>
      <c r="G178" s="21"/>
      <c r="H178" s="21"/>
      <c r="I178" s="21"/>
      <c r="J178" s="21"/>
      <c r="K178" s="21"/>
      <c r="L178" s="21"/>
      <c r="M178" s="21"/>
      <c r="N178" s="21"/>
      <c r="O178" s="21"/>
      <c r="P178" s="21"/>
      <c r="Q178" s="21"/>
      <c r="R178" s="21"/>
      <c r="S178" s="21"/>
      <c r="T178" s="21"/>
      <c r="U178" s="21"/>
      <c r="V178" s="21"/>
    </row>
    <row r="179" spans="3:22">
      <c r="C179" s="21"/>
      <c r="D179" s="21"/>
      <c r="E179" s="21"/>
      <c r="F179" s="21"/>
      <c r="G179" s="21"/>
      <c r="H179" s="21"/>
      <c r="I179" s="21"/>
      <c r="J179" s="21"/>
      <c r="K179" s="21"/>
      <c r="L179" s="21"/>
      <c r="M179" s="21"/>
      <c r="N179" s="21"/>
      <c r="O179" s="21"/>
      <c r="P179" s="21"/>
      <c r="Q179" s="21"/>
      <c r="R179" s="21"/>
      <c r="S179" s="21"/>
      <c r="T179" s="21"/>
      <c r="U179" s="21"/>
      <c r="V179" s="21"/>
    </row>
    <row r="180" spans="3:22">
      <c r="C180" s="21"/>
      <c r="D180" s="21"/>
      <c r="E180" s="21"/>
      <c r="F180" s="21"/>
      <c r="G180" s="21"/>
      <c r="H180" s="21"/>
      <c r="I180" s="21"/>
      <c r="J180" s="21"/>
      <c r="K180" s="21"/>
      <c r="L180" s="21"/>
      <c r="M180" s="21"/>
      <c r="N180" s="21"/>
      <c r="O180" s="21"/>
      <c r="P180" s="21"/>
      <c r="Q180" s="21"/>
      <c r="R180" s="21"/>
      <c r="S180" s="21"/>
      <c r="T180" s="21"/>
      <c r="U180" s="21"/>
      <c r="V180" s="21"/>
    </row>
    <row r="181" spans="3:22">
      <c r="C181" s="21"/>
      <c r="D181" s="21"/>
      <c r="E181" s="21"/>
      <c r="F181" s="21"/>
      <c r="G181" s="21"/>
      <c r="H181" s="21"/>
      <c r="I181" s="21"/>
      <c r="J181" s="21"/>
      <c r="K181" s="21"/>
      <c r="L181" s="21"/>
      <c r="M181" s="21"/>
      <c r="N181" s="21"/>
      <c r="O181" s="21"/>
      <c r="P181" s="21"/>
      <c r="Q181" s="21"/>
      <c r="R181" s="21"/>
      <c r="S181" s="21"/>
      <c r="T181" s="21"/>
      <c r="U181" s="21"/>
      <c r="V181" s="21"/>
    </row>
    <row r="182" spans="3:22">
      <c r="C182" s="21"/>
      <c r="D182" s="21"/>
      <c r="E182" s="21"/>
      <c r="F182" s="21"/>
      <c r="G182" s="21"/>
      <c r="H182" s="21"/>
      <c r="I182" s="21"/>
      <c r="J182" s="21"/>
      <c r="K182" s="21"/>
      <c r="L182" s="21"/>
      <c r="M182" s="21"/>
      <c r="N182" s="21"/>
      <c r="O182" s="21"/>
      <c r="P182" s="21"/>
      <c r="Q182" s="21"/>
      <c r="R182" s="21"/>
      <c r="S182" s="21"/>
      <c r="T182" s="21"/>
      <c r="U182" s="21"/>
      <c r="V182" s="21"/>
    </row>
    <row r="183" spans="3:22">
      <c r="C183" s="21"/>
      <c r="D183" s="21"/>
      <c r="E183" s="21"/>
      <c r="F183" s="21"/>
      <c r="G183" s="21"/>
      <c r="H183" s="21"/>
      <c r="I183" s="21"/>
      <c r="J183" s="21"/>
      <c r="K183" s="21"/>
      <c r="L183" s="21"/>
      <c r="M183" s="21"/>
      <c r="N183" s="21"/>
      <c r="O183" s="21"/>
      <c r="P183" s="21"/>
      <c r="Q183" s="21"/>
      <c r="R183" s="21"/>
      <c r="S183" s="21"/>
      <c r="T183" s="21"/>
      <c r="U183" s="21"/>
      <c r="V183" s="21"/>
    </row>
    <row r="184" spans="3:22">
      <c r="C184" s="21"/>
      <c r="D184" s="21"/>
      <c r="E184" s="21"/>
      <c r="F184" s="21"/>
      <c r="G184" s="21"/>
      <c r="H184" s="21"/>
      <c r="I184" s="21"/>
      <c r="J184" s="21"/>
      <c r="K184" s="21"/>
      <c r="L184" s="21"/>
      <c r="M184" s="21"/>
      <c r="N184" s="21"/>
      <c r="O184" s="21"/>
      <c r="P184" s="21"/>
      <c r="Q184" s="21"/>
      <c r="R184" s="21"/>
      <c r="S184" s="21"/>
      <c r="T184" s="21"/>
      <c r="U184" s="21"/>
      <c r="V184" s="21"/>
    </row>
    <row r="185" spans="3:22">
      <c r="C185" s="21"/>
      <c r="D185" s="21"/>
      <c r="E185" s="21"/>
      <c r="F185" s="21"/>
      <c r="G185" s="21"/>
      <c r="H185" s="21"/>
      <c r="I185" s="21"/>
      <c r="J185" s="21"/>
      <c r="K185" s="21"/>
      <c r="L185" s="21"/>
      <c r="M185" s="21"/>
      <c r="N185" s="21"/>
      <c r="O185" s="21"/>
      <c r="P185" s="21"/>
      <c r="Q185" s="21"/>
      <c r="R185" s="21"/>
      <c r="S185" s="21"/>
      <c r="T185" s="21"/>
      <c r="U185" s="21"/>
      <c r="V185" s="21"/>
    </row>
    <row r="186" spans="3:22">
      <c r="C186" s="21"/>
      <c r="D186" s="21"/>
      <c r="E186" s="21"/>
      <c r="F186" s="21"/>
      <c r="G186" s="21"/>
      <c r="H186" s="21"/>
      <c r="I186" s="21"/>
      <c r="J186" s="21"/>
      <c r="K186" s="21"/>
      <c r="L186" s="21"/>
      <c r="M186" s="21"/>
      <c r="N186" s="21"/>
      <c r="O186" s="21"/>
      <c r="P186" s="21"/>
      <c r="Q186" s="21"/>
      <c r="R186" s="21"/>
      <c r="S186" s="21"/>
      <c r="T186" s="21"/>
      <c r="U186" s="21"/>
      <c r="V186" s="21"/>
    </row>
    <row r="187" spans="3:22">
      <c r="C187" s="21"/>
      <c r="D187" s="21"/>
      <c r="E187" s="21"/>
      <c r="F187" s="21"/>
      <c r="G187" s="21"/>
      <c r="H187" s="21"/>
      <c r="I187" s="21"/>
      <c r="J187" s="21"/>
      <c r="K187" s="21"/>
      <c r="L187" s="21"/>
      <c r="M187" s="21"/>
      <c r="N187" s="21"/>
      <c r="O187" s="21"/>
      <c r="P187" s="21"/>
      <c r="Q187" s="21"/>
      <c r="R187" s="21"/>
      <c r="S187" s="21"/>
      <c r="T187" s="21"/>
      <c r="U187" s="21"/>
      <c r="V187" s="21"/>
    </row>
    <row r="188" spans="3:22">
      <c r="C188" s="21"/>
      <c r="D188" s="21"/>
      <c r="E188" s="21"/>
      <c r="F188" s="21"/>
      <c r="G188" s="21"/>
      <c r="H188" s="21"/>
      <c r="I188" s="21"/>
      <c r="J188" s="21"/>
      <c r="K188" s="21"/>
      <c r="L188" s="21"/>
      <c r="M188" s="21"/>
      <c r="N188" s="21"/>
      <c r="O188" s="21"/>
      <c r="P188" s="21"/>
      <c r="Q188" s="21"/>
      <c r="R188" s="21"/>
      <c r="S188" s="21"/>
      <c r="T188" s="21"/>
      <c r="U188" s="21"/>
      <c r="V188" s="21"/>
    </row>
    <row r="189" spans="3:22">
      <c r="C189" s="21"/>
      <c r="D189" s="21"/>
      <c r="E189" s="21"/>
      <c r="F189" s="21"/>
      <c r="G189" s="21"/>
      <c r="H189" s="21"/>
      <c r="I189" s="21"/>
      <c r="J189" s="21"/>
      <c r="K189" s="21"/>
      <c r="L189" s="21"/>
      <c r="M189" s="21"/>
      <c r="N189" s="21"/>
      <c r="O189" s="21"/>
      <c r="P189" s="21"/>
      <c r="Q189" s="21"/>
      <c r="R189" s="21"/>
      <c r="S189" s="21"/>
      <c r="T189" s="21"/>
      <c r="U189" s="21"/>
      <c r="V189" s="21"/>
    </row>
    <row r="190" spans="3:22">
      <c r="C190" s="21"/>
      <c r="D190" s="21"/>
      <c r="E190" s="21"/>
      <c r="F190" s="21"/>
      <c r="G190" s="21"/>
      <c r="H190" s="21"/>
      <c r="I190" s="21"/>
      <c r="J190" s="21"/>
      <c r="K190" s="21"/>
      <c r="L190" s="21"/>
      <c r="M190" s="21"/>
      <c r="N190" s="21"/>
      <c r="O190" s="21"/>
      <c r="P190" s="21"/>
      <c r="Q190" s="21"/>
      <c r="R190" s="21"/>
      <c r="S190" s="21"/>
      <c r="T190" s="21"/>
      <c r="U190" s="21"/>
      <c r="V190" s="21"/>
    </row>
    <row r="191" spans="3:22">
      <c r="C191" s="21"/>
      <c r="D191" s="21"/>
      <c r="E191" s="21"/>
      <c r="F191" s="21"/>
      <c r="G191" s="21"/>
      <c r="H191" s="21"/>
      <c r="I191" s="21"/>
      <c r="J191" s="21"/>
      <c r="K191" s="21"/>
      <c r="L191" s="21"/>
      <c r="M191" s="21"/>
      <c r="N191" s="21"/>
      <c r="O191" s="21"/>
      <c r="P191" s="21"/>
      <c r="Q191" s="21"/>
      <c r="R191" s="21"/>
      <c r="S191" s="21"/>
      <c r="T191" s="21"/>
      <c r="U191" s="21"/>
      <c r="V191" s="21"/>
    </row>
    <row r="192" spans="3:22">
      <c r="C192" s="21"/>
      <c r="D192" s="21"/>
      <c r="E192" s="21"/>
      <c r="F192" s="21"/>
      <c r="G192" s="21"/>
      <c r="H192" s="21"/>
      <c r="I192" s="21"/>
      <c r="J192" s="21"/>
      <c r="K192" s="21"/>
      <c r="L192" s="21"/>
      <c r="M192" s="21"/>
      <c r="N192" s="21"/>
      <c r="O192" s="21"/>
      <c r="P192" s="21"/>
      <c r="Q192" s="21"/>
      <c r="R192" s="21"/>
      <c r="S192" s="21"/>
      <c r="T192" s="21"/>
      <c r="U192" s="21"/>
      <c r="V192" s="21"/>
    </row>
    <row r="193" spans="3:22">
      <c r="C193" s="21"/>
      <c r="D193" s="21"/>
      <c r="E193" s="21"/>
      <c r="F193" s="21"/>
      <c r="G193" s="21"/>
      <c r="H193" s="21"/>
      <c r="I193" s="21"/>
      <c r="J193" s="21"/>
      <c r="K193" s="21"/>
      <c r="L193" s="21"/>
      <c r="M193" s="21"/>
      <c r="N193" s="21"/>
      <c r="O193" s="21"/>
      <c r="P193" s="21"/>
      <c r="Q193" s="21"/>
      <c r="R193" s="21"/>
      <c r="S193" s="21"/>
      <c r="T193" s="21"/>
      <c r="U193" s="21"/>
      <c r="V193" s="21"/>
    </row>
    <row r="194" spans="3:22">
      <c r="C194" s="21"/>
      <c r="D194" s="21"/>
      <c r="E194" s="21"/>
      <c r="F194" s="21"/>
      <c r="G194" s="21"/>
      <c r="H194" s="21"/>
      <c r="I194" s="21"/>
      <c r="J194" s="21"/>
      <c r="K194" s="21"/>
      <c r="L194" s="21"/>
      <c r="M194" s="21"/>
      <c r="N194" s="21"/>
      <c r="O194" s="21"/>
      <c r="P194" s="21"/>
      <c r="Q194" s="21"/>
      <c r="R194" s="21"/>
      <c r="S194" s="21"/>
      <c r="T194" s="21"/>
      <c r="U194" s="21"/>
      <c r="V194" s="21"/>
    </row>
    <row r="195" spans="3:22">
      <c r="C195" s="21"/>
      <c r="D195" s="21"/>
      <c r="E195" s="21"/>
      <c r="F195" s="21"/>
      <c r="G195" s="21"/>
      <c r="H195" s="21"/>
      <c r="I195" s="21"/>
      <c r="J195" s="21"/>
      <c r="K195" s="21"/>
      <c r="L195" s="21"/>
      <c r="M195" s="21"/>
      <c r="N195" s="21"/>
      <c r="O195" s="21"/>
      <c r="P195" s="21"/>
      <c r="Q195" s="21"/>
      <c r="R195" s="21"/>
      <c r="S195" s="21"/>
      <c r="T195" s="21"/>
      <c r="U195" s="21"/>
      <c r="V195" s="21"/>
    </row>
    <row r="196" spans="3:22">
      <c r="C196" s="21"/>
      <c r="D196" s="21"/>
      <c r="E196" s="21"/>
      <c r="F196" s="21"/>
      <c r="G196" s="21"/>
      <c r="H196" s="21"/>
      <c r="I196" s="21"/>
      <c r="J196" s="21"/>
      <c r="K196" s="21"/>
      <c r="L196" s="21"/>
      <c r="M196" s="21"/>
      <c r="N196" s="21"/>
      <c r="O196" s="21"/>
      <c r="P196" s="21"/>
      <c r="Q196" s="21"/>
      <c r="R196" s="21"/>
      <c r="S196" s="21"/>
      <c r="T196" s="21"/>
      <c r="U196" s="21"/>
      <c r="V196" s="21"/>
    </row>
    <row r="197" spans="3:22">
      <c r="C197" s="21"/>
      <c r="D197" s="21"/>
      <c r="E197" s="21"/>
      <c r="F197" s="21"/>
      <c r="G197" s="21"/>
      <c r="H197" s="21"/>
      <c r="I197" s="21"/>
      <c r="J197" s="21"/>
      <c r="K197" s="21"/>
      <c r="L197" s="21"/>
      <c r="M197" s="21"/>
      <c r="N197" s="21"/>
      <c r="O197" s="21"/>
      <c r="P197" s="21"/>
      <c r="Q197" s="21"/>
      <c r="R197" s="21"/>
      <c r="S197" s="21"/>
      <c r="T197" s="21"/>
      <c r="U197" s="21"/>
      <c r="V197" s="21"/>
    </row>
    <row r="198" spans="3:22">
      <c r="C198" s="21"/>
      <c r="D198" s="21"/>
      <c r="E198" s="21"/>
      <c r="F198" s="21"/>
      <c r="G198" s="21"/>
      <c r="H198" s="21"/>
      <c r="I198" s="21"/>
      <c r="J198" s="21"/>
      <c r="K198" s="21"/>
      <c r="L198" s="21"/>
      <c r="M198" s="21"/>
      <c r="N198" s="21"/>
      <c r="O198" s="21"/>
      <c r="P198" s="21"/>
      <c r="Q198" s="21"/>
      <c r="R198" s="21"/>
      <c r="S198" s="21"/>
      <c r="T198" s="21"/>
      <c r="U198" s="21"/>
      <c r="V198" s="21"/>
    </row>
    <row r="199" spans="3:22">
      <c r="C199" s="21"/>
      <c r="D199" s="21"/>
      <c r="E199" s="21"/>
      <c r="F199" s="21"/>
      <c r="G199" s="21"/>
      <c r="H199" s="21"/>
      <c r="I199" s="21"/>
      <c r="J199" s="21"/>
      <c r="K199" s="21"/>
      <c r="L199" s="21"/>
      <c r="M199" s="21"/>
      <c r="N199" s="21"/>
      <c r="O199" s="21"/>
      <c r="P199" s="21"/>
      <c r="Q199" s="21"/>
      <c r="R199" s="21"/>
      <c r="S199" s="21"/>
      <c r="T199" s="21"/>
      <c r="U199" s="21"/>
      <c r="V199" s="21"/>
    </row>
    <row r="200" spans="3:22">
      <c r="C200" s="21"/>
      <c r="D200" s="21"/>
      <c r="E200" s="21"/>
      <c r="F200" s="21"/>
      <c r="G200" s="21"/>
      <c r="H200" s="21"/>
      <c r="I200" s="21"/>
      <c r="J200" s="21"/>
      <c r="K200" s="21"/>
      <c r="L200" s="21"/>
      <c r="M200" s="21"/>
      <c r="N200" s="21"/>
      <c r="O200" s="21"/>
      <c r="P200" s="21"/>
      <c r="Q200" s="21"/>
      <c r="R200" s="21"/>
      <c r="S200" s="21"/>
      <c r="T200" s="21"/>
      <c r="U200" s="21"/>
      <c r="V200" s="21"/>
    </row>
    <row r="201" spans="3:22">
      <c r="C201" s="21"/>
      <c r="D201" s="21"/>
      <c r="E201" s="21"/>
      <c r="F201" s="21"/>
      <c r="G201" s="21"/>
      <c r="H201" s="21"/>
      <c r="I201" s="21"/>
      <c r="J201" s="21"/>
      <c r="K201" s="21"/>
      <c r="L201" s="21"/>
      <c r="M201" s="21"/>
      <c r="N201" s="21"/>
      <c r="O201" s="21"/>
      <c r="P201" s="21"/>
      <c r="Q201" s="21"/>
      <c r="R201" s="21"/>
      <c r="S201" s="21"/>
      <c r="T201" s="21"/>
      <c r="U201" s="21"/>
      <c r="V201" s="21"/>
    </row>
    <row r="202" spans="3:22">
      <c r="C202" s="21"/>
      <c r="D202" s="21"/>
      <c r="E202" s="21"/>
      <c r="F202" s="21"/>
      <c r="G202" s="21"/>
      <c r="H202" s="21"/>
      <c r="I202" s="21"/>
      <c r="J202" s="21"/>
      <c r="K202" s="21"/>
      <c r="L202" s="21"/>
      <c r="M202" s="21"/>
      <c r="N202" s="21"/>
      <c r="O202" s="21"/>
      <c r="P202" s="21"/>
      <c r="Q202" s="21"/>
      <c r="R202" s="21"/>
      <c r="S202" s="21"/>
      <c r="T202" s="21"/>
      <c r="U202" s="21"/>
      <c r="V202" s="21"/>
    </row>
    <row r="203" spans="3:22">
      <c r="C203" s="21"/>
      <c r="D203" s="21"/>
      <c r="E203" s="21"/>
      <c r="F203" s="21"/>
      <c r="G203" s="21"/>
      <c r="H203" s="21"/>
      <c r="I203" s="21"/>
      <c r="J203" s="21"/>
      <c r="K203" s="21"/>
      <c r="L203" s="21"/>
      <c r="M203" s="21"/>
      <c r="N203" s="21"/>
      <c r="O203" s="21"/>
      <c r="P203" s="21"/>
      <c r="Q203" s="21"/>
      <c r="R203" s="21"/>
      <c r="S203" s="21"/>
      <c r="T203" s="21"/>
      <c r="U203" s="21"/>
      <c r="V203" s="21"/>
    </row>
    <row r="204" spans="3:22">
      <c r="C204" s="21"/>
      <c r="D204" s="21"/>
      <c r="E204" s="21"/>
      <c r="F204" s="21"/>
      <c r="G204" s="21"/>
      <c r="H204" s="21"/>
      <c r="I204" s="21"/>
      <c r="J204" s="21"/>
      <c r="K204" s="21"/>
      <c r="L204" s="21"/>
      <c r="M204" s="21"/>
      <c r="N204" s="21"/>
      <c r="O204" s="21"/>
      <c r="P204" s="21"/>
      <c r="Q204" s="21"/>
      <c r="R204" s="21"/>
      <c r="S204" s="21"/>
      <c r="T204" s="21"/>
      <c r="U204" s="21"/>
      <c r="V204" s="21"/>
    </row>
    <row r="205" spans="3:22">
      <c r="C205" s="21"/>
      <c r="D205" s="21"/>
      <c r="E205" s="21"/>
      <c r="F205" s="21"/>
      <c r="G205" s="21"/>
      <c r="H205" s="21"/>
      <c r="I205" s="21"/>
      <c r="J205" s="21"/>
      <c r="K205" s="21"/>
      <c r="L205" s="21"/>
      <c r="M205" s="21"/>
      <c r="N205" s="21"/>
      <c r="O205" s="21"/>
      <c r="P205" s="21"/>
      <c r="Q205" s="21"/>
      <c r="R205" s="21"/>
      <c r="S205" s="21"/>
      <c r="T205" s="21"/>
      <c r="U205" s="21"/>
      <c r="V205" s="21"/>
    </row>
    <row r="206" spans="3:22">
      <c r="C206" s="21"/>
      <c r="D206" s="21"/>
      <c r="E206" s="21"/>
      <c r="F206" s="21"/>
      <c r="G206" s="21"/>
      <c r="H206" s="21"/>
      <c r="I206" s="21"/>
      <c r="J206" s="21"/>
      <c r="K206" s="21"/>
      <c r="L206" s="21"/>
      <c r="M206" s="21"/>
      <c r="N206" s="21"/>
      <c r="O206" s="21"/>
      <c r="P206" s="21"/>
      <c r="Q206" s="21"/>
      <c r="R206" s="21"/>
      <c r="S206" s="21"/>
      <c r="T206" s="21"/>
      <c r="U206" s="21"/>
      <c r="V206" s="21"/>
    </row>
    <row r="207" spans="3:22">
      <c r="C207" s="21"/>
      <c r="D207" s="21"/>
      <c r="E207" s="21"/>
      <c r="F207" s="21"/>
      <c r="G207" s="21"/>
      <c r="H207" s="21"/>
      <c r="I207" s="21"/>
      <c r="J207" s="21"/>
      <c r="K207" s="21"/>
      <c r="L207" s="21"/>
      <c r="M207" s="21"/>
      <c r="N207" s="21"/>
      <c r="O207" s="21"/>
      <c r="P207" s="21"/>
      <c r="Q207" s="21"/>
      <c r="R207" s="21"/>
      <c r="S207" s="21"/>
      <c r="T207" s="21"/>
      <c r="U207" s="21"/>
      <c r="V207" s="21"/>
    </row>
    <row r="208" spans="3:22">
      <c r="C208" s="21"/>
      <c r="D208" s="21"/>
      <c r="E208" s="21"/>
      <c r="F208" s="21"/>
      <c r="G208" s="21"/>
      <c r="H208" s="21"/>
      <c r="I208" s="21"/>
      <c r="J208" s="21"/>
      <c r="K208" s="21"/>
      <c r="L208" s="21"/>
      <c r="M208" s="21"/>
      <c r="N208" s="21"/>
      <c r="O208" s="21"/>
      <c r="P208" s="21"/>
      <c r="Q208" s="21"/>
      <c r="R208" s="21"/>
      <c r="S208" s="21"/>
      <c r="T208" s="21"/>
      <c r="U208" s="21"/>
      <c r="V208" s="21"/>
    </row>
    <row r="209" spans="3:22">
      <c r="C209" s="21"/>
      <c r="D209" s="21"/>
      <c r="E209" s="21"/>
      <c r="F209" s="21"/>
      <c r="G209" s="21"/>
      <c r="H209" s="21"/>
      <c r="I209" s="21"/>
      <c r="J209" s="21"/>
      <c r="K209" s="21"/>
      <c r="L209" s="21"/>
      <c r="M209" s="21"/>
      <c r="N209" s="21"/>
      <c r="O209" s="21"/>
      <c r="P209" s="21"/>
      <c r="Q209" s="21"/>
      <c r="R209" s="21"/>
      <c r="S209" s="21"/>
      <c r="T209" s="21"/>
      <c r="U209" s="21"/>
      <c r="V209" s="21"/>
    </row>
    <row r="210" spans="3:22">
      <c r="C210" s="21"/>
      <c r="D210" s="21"/>
      <c r="E210" s="21"/>
      <c r="F210" s="21"/>
      <c r="G210" s="21"/>
      <c r="H210" s="21"/>
      <c r="I210" s="21"/>
      <c r="J210" s="21"/>
      <c r="K210" s="21"/>
      <c r="L210" s="21"/>
      <c r="M210" s="21"/>
      <c r="N210" s="21"/>
      <c r="O210" s="21"/>
      <c r="P210" s="21"/>
      <c r="Q210" s="21"/>
      <c r="R210" s="21"/>
      <c r="S210" s="21"/>
      <c r="T210" s="21"/>
      <c r="U210" s="21"/>
      <c r="V210" s="21"/>
    </row>
    <row r="211" spans="3:22">
      <c r="C211" s="21"/>
      <c r="D211" s="21"/>
      <c r="E211" s="21"/>
      <c r="F211" s="21"/>
      <c r="G211" s="21"/>
      <c r="H211" s="21"/>
      <c r="I211" s="21"/>
      <c r="J211" s="21"/>
      <c r="K211" s="21"/>
      <c r="L211" s="21"/>
      <c r="M211" s="21"/>
      <c r="N211" s="21"/>
      <c r="O211" s="21"/>
      <c r="P211" s="21"/>
      <c r="Q211" s="21"/>
      <c r="R211" s="21"/>
      <c r="S211" s="21"/>
      <c r="T211" s="21"/>
      <c r="U211" s="21"/>
      <c r="V211" s="21"/>
    </row>
    <row r="212" spans="3:22">
      <c r="C212" s="21"/>
      <c r="D212" s="21"/>
      <c r="E212" s="21"/>
      <c r="F212" s="21"/>
      <c r="G212" s="21"/>
      <c r="H212" s="21"/>
      <c r="I212" s="21"/>
      <c r="J212" s="21"/>
      <c r="K212" s="21"/>
      <c r="L212" s="21"/>
      <c r="M212" s="21"/>
      <c r="N212" s="21"/>
      <c r="O212" s="21"/>
      <c r="P212" s="21"/>
      <c r="Q212" s="21"/>
      <c r="R212" s="21"/>
      <c r="S212" s="21"/>
      <c r="T212" s="21"/>
      <c r="U212" s="21"/>
      <c r="V212" s="21"/>
    </row>
    <row r="213" spans="3:22">
      <c r="C213" s="21"/>
      <c r="D213" s="21"/>
      <c r="E213" s="21"/>
      <c r="F213" s="21"/>
      <c r="G213" s="21"/>
      <c r="H213" s="21"/>
      <c r="I213" s="21"/>
      <c r="J213" s="21"/>
      <c r="K213" s="21"/>
      <c r="L213" s="21"/>
      <c r="M213" s="21"/>
      <c r="N213" s="21"/>
      <c r="O213" s="21"/>
      <c r="P213" s="21"/>
      <c r="Q213" s="21"/>
      <c r="R213" s="21"/>
      <c r="S213" s="21"/>
      <c r="T213" s="21"/>
      <c r="U213" s="21"/>
      <c r="V213" s="21"/>
    </row>
    <row r="214" spans="3:22">
      <c r="C214" s="21"/>
      <c r="D214" s="21"/>
      <c r="E214" s="21"/>
      <c r="F214" s="21"/>
      <c r="G214" s="21"/>
      <c r="H214" s="21"/>
      <c r="I214" s="21"/>
      <c r="J214" s="21"/>
      <c r="K214" s="21"/>
      <c r="L214" s="21"/>
      <c r="M214" s="21"/>
      <c r="N214" s="21"/>
      <c r="O214" s="21"/>
      <c r="P214" s="21"/>
      <c r="Q214" s="21"/>
      <c r="R214" s="21"/>
      <c r="S214" s="21"/>
      <c r="T214" s="21"/>
      <c r="U214" s="21"/>
      <c r="V214" s="21"/>
    </row>
    <row r="215" spans="3:22">
      <c r="C215" s="21"/>
      <c r="D215" s="21"/>
      <c r="E215" s="21"/>
      <c r="F215" s="21"/>
      <c r="G215" s="21"/>
      <c r="H215" s="21"/>
      <c r="I215" s="21"/>
      <c r="J215" s="21"/>
      <c r="K215" s="21"/>
      <c r="L215" s="21"/>
      <c r="M215" s="21"/>
      <c r="N215" s="21"/>
      <c r="O215" s="21"/>
      <c r="P215" s="21"/>
      <c r="Q215" s="21"/>
      <c r="R215" s="21"/>
      <c r="S215" s="21"/>
      <c r="T215" s="21"/>
      <c r="U215" s="21"/>
      <c r="V215" s="21"/>
    </row>
    <row r="216" spans="3:22">
      <c r="C216" s="21"/>
      <c r="D216" s="21"/>
      <c r="E216" s="21"/>
      <c r="F216" s="21"/>
      <c r="G216" s="21"/>
      <c r="H216" s="21"/>
      <c r="I216" s="21"/>
      <c r="J216" s="21"/>
      <c r="K216" s="21"/>
      <c r="L216" s="21"/>
      <c r="M216" s="21"/>
      <c r="N216" s="21"/>
      <c r="O216" s="21"/>
      <c r="P216" s="21"/>
      <c r="Q216" s="21"/>
      <c r="R216" s="21"/>
      <c r="S216" s="21"/>
      <c r="T216" s="21"/>
      <c r="U216" s="21"/>
      <c r="V216" s="21"/>
    </row>
    <row r="217" spans="3:22">
      <c r="C217" s="21"/>
      <c r="D217" s="21"/>
      <c r="E217" s="21"/>
      <c r="F217" s="21"/>
      <c r="G217" s="21"/>
      <c r="H217" s="21"/>
      <c r="I217" s="21"/>
      <c r="J217" s="21"/>
      <c r="K217" s="21"/>
      <c r="L217" s="21"/>
      <c r="M217" s="21"/>
      <c r="N217" s="21"/>
      <c r="O217" s="21"/>
      <c r="P217" s="21"/>
      <c r="Q217" s="21"/>
      <c r="R217" s="21"/>
      <c r="S217" s="21"/>
      <c r="T217" s="21"/>
      <c r="U217" s="21"/>
      <c r="V217" s="21"/>
    </row>
    <row r="218" spans="3:22">
      <c r="C218" s="21"/>
      <c r="D218" s="21"/>
      <c r="E218" s="21"/>
      <c r="F218" s="21"/>
      <c r="G218" s="21"/>
      <c r="H218" s="21"/>
      <c r="I218" s="21"/>
      <c r="J218" s="21"/>
      <c r="K218" s="21"/>
      <c r="L218" s="21"/>
      <c r="M218" s="21"/>
      <c r="N218" s="21"/>
      <c r="O218" s="21"/>
      <c r="P218" s="21"/>
      <c r="Q218" s="21"/>
      <c r="R218" s="21"/>
      <c r="S218" s="21"/>
      <c r="T218" s="21"/>
      <c r="U218" s="21"/>
      <c r="V218" s="21"/>
    </row>
    <row r="219" spans="3:22">
      <c r="C219" s="21"/>
      <c r="D219" s="21"/>
      <c r="E219" s="21"/>
      <c r="F219" s="21"/>
      <c r="G219" s="21"/>
      <c r="H219" s="21"/>
      <c r="I219" s="21"/>
      <c r="J219" s="21"/>
      <c r="K219" s="21"/>
      <c r="L219" s="21"/>
      <c r="M219" s="21"/>
      <c r="N219" s="21"/>
      <c r="O219" s="21"/>
      <c r="P219" s="21"/>
      <c r="Q219" s="21"/>
      <c r="R219" s="21"/>
      <c r="S219" s="21"/>
      <c r="T219" s="21"/>
      <c r="U219" s="21"/>
      <c r="V219" s="21"/>
    </row>
    <row r="220" spans="3:22">
      <c r="C220" s="21"/>
      <c r="D220" s="21"/>
      <c r="E220" s="21"/>
      <c r="F220" s="21"/>
      <c r="G220" s="21"/>
      <c r="H220" s="21"/>
      <c r="I220" s="21"/>
      <c r="J220" s="21"/>
      <c r="K220" s="21"/>
      <c r="L220" s="21"/>
      <c r="M220" s="21"/>
      <c r="N220" s="21"/>
      <c r="O220" s="21"/>
      <c r="P220" s="21"/>
      <c r="Q220" s="21"/>
      <c r="R220" s="21"/>
      <c r="S220" s="21"/>
      <c r="T220" s="21"/>
      <c r="U220" s="21"/>
      <c r="V220" s="21"/>
    </row>
    <row r="221" spans="3:22">
      <c r="C221" s="21"/>
      <c r="D221" s="21"/>
      <c r="E221" s="21"/>
      <c r="F221" s="21"/>
      <c r="G221" s="21"/>
      <c r="H221" s="21"/>
      <c r="I221" s="21"/>
      <c r="J221" s="21"/>
      <c r="K221" s="21"/>
      <c r="L221" s="21"/>
      <c r="M221" s="21"/>
      <c r="N221" s="21"/>
      <c r="O221" s="21"/>
      <c r="P221" s="21"/>
      <c r="Q221" s="21"/>
      <c r="R221" s="21"/>
      <c r="S221" s="21"/>
      <c r="T221" s="21"/>
      <c r="U221" s="21"/>
      <c r="V221" s="21"/>
    </row>
    <row r="222" spans="3:22">
      <c r="C222" s="21"/>
      <c r="D222" s="21"/>
      <c r="E222" s="21"/>
      <c r="F222" s="21"/>
      <c r="G222" s="21"/>
      <c r="H222" s="21"/>
      <c r="I222" s="21"/>
      <c r="J222" s="21"/>
      <c r="K222" s="21"/>
      <c r="L222" s="21"/>
      <c r="M222" s="21"/>
      <c r="N222" s="21"/>
      <c r="O222" s="21"/>
      <c r="P222" s="21"/>
      <c r="Q222" s="21"/>
      <c r="R222" s="21"/>
      <c r="S222" s="21"/>
      <c r="T222" s="21"/>
      <c r="U222" s="21"/>
      <c r="V222" s="21"/>
    </row>
    <row r="223" spans="3:22">
      <c r="C223" s="21"/>
      <c r="D223" s="21"/>
      <c r="E223" s="21"/>
      <c r="F223" s="21"/>
      <c r="G223" s="21"/>
      <c r="H223" s="21"/>
      <c r="I223" s="21"/>
      <c r="J223" s="21"/>
      <c r="K223" s="21"/>
      <c r="L223" s="21"/>
      <c r="M223" s="21"/>
      <c r="N223" s="21"/>
      <c r="O223" s="21"/>
      <c r="P223" s="21"/>
      <c r="Q223" s="21"/>
      <c r="R223" s="21"/>
      <c r="S223" s="21"/>
      <c r="T223" s="21"/>
      <c r="U223" s="21"/>
      <c r="V223" s="21"/>
    </row>
    <row r="224" spans="3:22">
      <c r="C224" s="21"/>
      <c r="D224" s="21"/>
      <c r="E224" s="21"/>
      <c r="F224" s="21"/>
      <c r="G224" s="21"/>
      <c r="H224" s="21"/>
      <c r="I224" s="21"/>
      <c r="J224" s="21"/>
      <c r="K224" s="21"/>
      <c r="L224" s="21"/>
      <c r="M224" s="21"/>
      <c r="N224" s="21"/>
      <c r="O224" s="21"/>
      <c r="P224" s="21"/>
      <c r="Q224" s="21"/>
      <c r="R224" s="21"/>
      <c r="S224" s="21"/>
      <c r="T224" s="21"/>
      <c r="U224" s="21"/>
      <c r="V224" s="21"/>
    </row>
    <row r="225" spans="3:22">
      <c r="C225" s="21"/>
      <c r="D225" s="21"/>
      <c r="E225" s="21"/>
      <c r="F225" s="21"/>
      <c r="G225" s="21"/>
      <c r="H225" s="21"/>
      <c r="I225" s="21"/>
      <c r="J225" s="21"/>
      <c r="K225" s="21"/>
      <c r="L225" s="21"/>
      <c r="M225" s="21"/>
      <c r="N225" s="21"/>
      <c r="O225" s="21"/>
      <c r="P225" s="21"/>
      <c r="Q225" s="21"/>
      <c r="R225" s="21"/>
      <c r="S225" s="21"/>
      <c r="T225" s="21"/>
      <c r="U225" s="21"/>
      <c r="V225" s="21"/>
    </row>
    <row r="226" spans="3:22">
      <c r="C226" s="21"/>
      <c r="D226" s="21"/>
      <c r="E226" s="21"/>
      <c r="F226" s="21"/>
      <c r="G226" s="21"/>
      <c r="H226" s="21"/>
      <c r="I226" s="21"/>
      <c r="J226" s="21"/>
      <c r="K226" s="21"/>
      <c r="L226" s="21"/>
      <c r="M226" s="21"/>
      <c r="N226" s="21"/>
      <c r="O226" s="21"/>
      <c r="P226" s="21"/>
      <c r="Q226" s="21"/>
      <c r="R226" s="21"/>
      <c r="S226" s="21"/>
      <c r="T226" s="21"/>
      <c r="U226" s="21"/>
      <c r="V226" s="21"/>
    </row>
    <row r="227" spans="3:22">
      <c r="C227" s="21"/>
      <c r="D227" s="21"/>
      <c r="E227" s="21"/>
      <c r="F227" s="21"/>
      <c r="G227" s="21"/>
      <c r="H227" s="21"/>
      <c r="I227" s="21"/>
      <c r="J227" s="21"/>
      <c r="K227" s="21"/>
      <c r="L227" s="21"/>
      <c r="M227" s="21"/>
      <c r="N227" s="21"/>
      <c r="O227" s="21"/>
      <c r="P227" s="21"/>
      <c r="Q227" s="21"/>
      <c r="R227" s="21"/>
      <c r="S227" s="21"/>
      <c r="T227" s="21"/>
      <c r="U227" s="21"/>
      <c r="V227" s="21"/>
    </row>
    <row r="228" spans="3:22">
      <c r="C228" s="21"/>
      <c r="D228" s="21"/>
      <c r="E228" s="21"/>
      <c r="F228" s="21"/>
      <c r="G228" s="21"/>
      <c r="H228" s="21"/>
      <c r="I228" s="21"/>
      <c r="J228" s="21"/>
      <c r="K228" s="21"/>
      <c r="L228" s="21"/>
      <c r="M228" s="21"/>
      <c r="N228" s="21"/>
      <c r="O228" s="21"/>
      <c r="P228" s="21"/>
      <c r="Q228" s="21"/>
      <c r="R228" s="21"/>
      <c r="S228" s="21"/>
      <c r="T228" s="21"/>
      <c r="U228" s="21"/>
      <c r="V228" s="21"/>
    </row>
    <row r="229" spans="3:22">
      <c r="C229" s="21"/>
      <c r="D229" s="21"/>
      <c r="E229" s="21"/>
      <c r="F229" s="21"/>
      <c r="G229" s="21"/>
      <c r="H229" s="21"/>
      <c r="I229" s="21"/>
      <c r="J229" s="21"/>
      <c r="K229" s="21"/>
      <c r="L229" s="21"/>
      <c r="M229" s="21"/>
      <c r="N229" s="21"/>
      <c r="O229" s="21"/>
      <c r="P229" s="21"/>
      <c r="Q229" s="21"/>
      <c r="R229" s="21"/>
      <c r="S229" s="21"/>
      <c r="T229" s="21"/>
      <c r="U229" s="21"/>
      <c r="V229" s="21"/>
    </row>
    <row r="230" spans="3:22">
      <c r="C230" s="21"/>
      <c r="D230" s="21"/>
      <c r="E230" s="21"/>
      <c r="F230" s="21"/>
      <c r="G230" s="21"/>
      <c r="H230" s="21"/>
      <c r="I230" s="21"/>
      <c r="J230" s="21"/>
      <c r="K230" s="21"/>
      <c r="L230" s="21"/>
      <c r="M230" s="21"/>
      <c r="N230" s="21"/>
      <c r="O230" s="21"/>
      <c r="P230" s="21"/>
      <c r="Q230" s="21"/>
      <c r="R230" s="21"/>
      <c r="S230" s="21"/>
      <c r="T230" s="21"/>
      <c r="U230" s="21"/>
      <c r="V230" s="21"/>
    </row>
    <row r="231" spans="3:22">
      <c r="C231" s="21"/>
      <c r="D231" s="21"/>
      <c r="E231" s="21"/>
      <c r="F231" s="21"/>
      <c r="G231" s="21"/>
      <c r="H231" s="21"/>
      <c r="I231" s="21"/>
      <c r="J231" s="21"/>
      <c r="K231" s="21"/>
      <c r="L231" s="21"/>
      <c r="M231" s="21"/>
      <c r="N231" s="21"/>
      <c r="O231" s="21"/>
      <c r="P231" s="21"/>
      <c r="Q231" s="21"/>
      <c r="R231" s="21"/>
      <c r="S231" s="21"/>
      <c r="T231" s="21"/>
      <c r="U231" s="21"/>
      <c r="V231" s="21"/>
    </row>
    <row r="232" spans="3:22">
      <c r="C232" s="21"/>
      <c r="D232" s="21"/>
      <c r="E232" s="21"/>
      <c r="F232" s="21"/>
      <c r="G232" s="21"/>
      <c r="H232" s="21"/>
      <c r="I232" s="21"/>
      <c r="J232" s="21"/>
      <c r="K232" s="21"/>
      <c r="L232" s="21"/>
      <c r="M232" s="21"/>
      <c r="N232" s="21"/>
      <c r="O232" s="21"/>
      <c r="P232" s="21"/>
      <c r="Q232" s="21"/>
      <c r="R232" s="21"/>
      <c r="S232" s="21"/>
      <c r="T232" s="21"/>
      <c r="U232" s="21"/>
      <c r="V232" s="21"/>
    </row>
    <row r="233" spans="3:22">
      <c r="C233" s="21"/>
      <c r="D233" s="21"/>
      <c r="E233" s="21"/>
      <c r="F233" s="21"/>
      <c r="G233" s="21"/>
      <c r="H233" s="21"/>
      <c r="I233" s="21"/>
      <c r="J233" s="21"/>
      <c r="K233" s="21"/>
      <c r="L233" s="21"/>
      <c r="M233" s="21"/>
      <c r="N233" s="21"/>
      <c r="O233" s="21"/>
      <c r="P233" s="21"/>
      <c r="Q233" s="21"/>
      <c r="R233" s="21"/>
      <c r="S233" s="21"/>
      <c r="T233" s="21"/>
      <c r="U233" s="21"/>
      <c r="V233" s="21"/>
    </row>
    <row r="234" spans="3:22">
      <c r="C234" s="21"/>
      <c r="D234" s="21"/>
      <c r="E234" s="21"/>
      <c r="F234" s="21"/>
      <c r="G234" s="21"/>
      <c r="H234" s="21"/>
      <c r="I234" s="21"/>
      <c r="J234" s="21"/>
      <c r="K234" s="21"/>
      <c r="L234" s="21"/>
      <c r="M234" s="21"/>
      <c r="N234" s="21"/>
      <c r="O234" s="21"/>
      <c r="P234" s="21"/>
      <c r="Q234" s="21"/>
      <c r="R234" s="21"/>
      <c r="S234" s="21"/>
      <c r="T234" s="21"/>
      <c r="U234" s="21"/>
      <c r="V234" s="21"/>
    </row>
    <row r="235" spans="3:22">
      <c r="C235" s="21"/>
      <c r="D235" s="21"/>
      <c r="E235" s="21"/>
      <c r="F235" s="21"/>
      <c r="G235" s="21"/>
      <c r="H235" s="21"/>
      <c r="I235" s="21"/>
      <c r="J235" s="21"/>
      <c r="K235" s="21"/>
      <c r="L235" s="21"/>
      <c r="M235" s="21"/>
      <c r="N235" s="21"/>
      <c r="O235" s="21"/>
      <c r="P235" s="21"/>
      <c r="Q235" s="21"/>
      <c r="R235" s="21"/>
      <c r="S235" s="21"/>
      <c r="T235" s="21"/>
      <c r="U235" s="21"/>
      <c r="V235" s="21"/>
    </row>
    <row r="236" spans="3:22">
      <c r="C236" s="21"/>
      <c r="D236" s="21"/>
      <c r="E236" s="21"/>
      <c r="F236" s="21"/>
      <c r="G236" s="21"/>
      <c r="H236" s="21"/>
      <c r="I236" s="21"/>
      <c r="J236" s="21"/>
      <c r="K236" s="21"/>
      <c r="L236" s="21"/>
      <c r="M236" s="21"/>
      <c r="N236" s="21"/>
      <c r="O236" s="21"/>
      <c r="P236" s="21"/>
      <c r="Q236" s="21"/>
      <c r="R236" s="21"/>
      <c r="S236" s="21"/>
      <c r="T236" s="21"/>
      <c r="U236" s="21"/>
      <c r="V236" s="21"/>
    </row>
    <row r="237" spans="3:22">
      <c r="C237" s="21"/>
      <c r="D237" s="21"/>
      <c r="E237" s="21"/>
      <c r="F237" s="21"/>
      <c r="G237" s="21"/>
      <c r="H237" s="21"/>
      <c r="I237" s="21"/>
      <c r="J237" s="21"/>
      <c r="K237" s="21"/>
      <c r="L237" s="21"/>
      <c r="M237" s="21"/>
      <c r="N237" s="21"/>
      <c r="O237" s="21"/>
      <c r="P237" s="21"/>
      <c r="Q237" s="21"/>
      <c r="R237" s="21"/>
      <c r="S237" s="21"/>
      <c r="T237" s="21"/>
      <c r="U237" s="21"/>
      <c r="V237" s="21"/>
    </row>
    <row r="238" spans="3:22">
      <c r="C238" s="21"/>
      <c r="D238" s="21"/>
      <c r="E238" s="21"/>
      <c r="F238" s="21"/>
      <c r="G238" s="21"/>
      <c r="H238" s="21"/>
      <c r="I238" s="21"/>
      <c r="J238" s="21"/>
      <c r="K238" s="21"/>
      <c r="L238" s="21"/>
      <c r="M238" s="21"/>
      <c r="N238" s="21"/>
      <c r="O238" s="21"/>
      <c r="P238" s="21"/>
      <c r="Q238" s="21"/>
      <c r="R238" s="21"/>
      <c r="S238" s="21"/>
      <c r="T238" s="21"/>
      <c r="U238" s="21"/>
      <c r="V238" s="21"/>
    </row>
    <row r="239" spans="3:22">
      <c r="C239" s="21"/>
      <c r="D239" s="21"/>
      <c r="E239" s="21"/>
      <c r="F239" s="21"/>
      <c r="G239" s="21"/>
      <c r="H239" s="21"/>
      <c r="I239" s="21"/>
      <c r="J239" s="21"/>
      <c r="K239" s="21"/>
      <c r="L239" s="21"/>
      <c r="M239" s="21"/>
      <c r="N239" s="21"/>
      <c r="O239" s="21"/>
      <c r="P239" s="21"/>
      <c r="Q239" s="21"/>
      <c r="R239" s="21"/>
      <c r="S239" s="21"/>
      <c r="T239" s="21"/>
      <c r="U239" s="21"/>
      <c r="V239" s="21"/>
    </row>
    <row r="240" spans="3:22">
      <c r="C240" s="21"/>
      <c r="D240" s="21"/>
      <c r="E240" s="21"/>
      <c r="F240" s="21"/>
      <c r="G240" s="21"/>
      <c r="H240" s="21"/>
      <c r="I240" s="21"/>
      <c r="J240" s="21"/>
      <c r="K240" s="21"/>
      <c r="L240" s="21"/>
      <c r="M240" s="21"/>
      <c r="N240" s="21"/>
      <c r="O240" s="21"/>
      <c r="P240" s="21"/>
      <c r="Q240" s="21"/>
      <c r="R240" s="21"/>
      <c r="S240" s="21"/>
      <c r="T240" s="21"/>
      <c r="U240" s="21"/>
      <c r="V240" s="21"/>
    </row>
    <row r="241" spans="3:22">
      <c r="C241" s="21"/>
      <c r="D241" s="21"/>
      <c r="E241" s="21"/>
      <c r="F241" s="21"/>
      <c r="G241" s="21"/>
      <c r="H241" s="21"/>
      <c r="I241" s="21"/>
      <c r="J241" s="21"/>
      <c r="K241" s="21"/>
      <c r="L241" s="21"/>
      <c r="M241" s="21"/>
      <c r="N241" s="21"/>
      <c r="O241" s="21"/>
      <c r="P241" s="21"/>
      <c r="Q241" s="21"/>
      <c r="R241" s="21"/>
      <c r="S241" s="21"/>
      <c r="T241" s="21"/>
      <c r="U241" s="21"/>
      <c r="V241" s="21"/>
    </row>
    <row r="242" spans="3:22">
      <c r="C242" s="21"/>
      <c r="D242" s="21"/>
      <c r="E242" s="21"/>
      <c r="F242" s="21"/>
      <c r="G242" s="21"/>
      <c r="H242" s="21"/>
      <c r="I242" s="21"/>
      <c r="J242" s="21"/>
      <c r="K242" s="21"/>
      <c r="L242" s="21"/>
      <c r="M242" s="21"/>
      <c r="N242" s="21"/>
      <c r="O242" s="21"/>
      <c r="P242" s="21"/>
      <c r="Q242" s="21"/>
      <c r="R242" s="21"/>
      <c r="S242" s="21"/>
      <c r="T242" s="21"/>
      <c r="U242" s="21"/>
      <c r="V242" s="21"/>
    </row>
    <row r="243" spans="3:22">
      <c r="C243" s="21"/>
      <c r="D243" s="21"/>
      <c r="E243" s="21"/>
      <c r="F243" s="21"/>
      <c r="G243" s="21"/>
      <c r="H243" s="21"/>
      <c r="I243" s="21"/>
      <c r="J243" s="21"/>
      <c r="K243" s="21"/>
      <c r="L243" s="21"/>
      <c r="M243" s="21"/>
      <c r="N243" s="21"/>
      <c r="O243" s="21"/>
      <c r="P243" s="21"/>
      <c r="Q243" s="21"/>
      <c r="R243" s="21"/>
      <c r="S243" s="21"/>
      <c r="T243" s="21"/>
      <c r="U243" s="21"/>
      <c r="V243" s="21"/>
    </row>
    <row r="244" spans="3:22">
      <c r="C244" s="21"/>
      <c r="D244" s="21"/>
      <c r="E244" s="21"/>
      <c r="F244" s="21"/>
      <c r="G244" s="21"/>
      <c r="H244" s="21"/>
      <c r="I244" s="21"/>
      <c r="J244" s="21"/>
      <c r="K244" s="21"/>
      <c r="L244" s="21"/>
      <c r="M244" s="21"/>
      <c r="N244" s="21"/>
      <c r="O244" s="21"/>
      <c r="P244" s="21"/>
      <c r="Q244" s="21"/>
      <c r="R244" s="21"/>
      <c r="S244" s="21"/>
      <c r="T244" s="21"/>
      <c r="U244" s="21"/>
      <c r="V244" s="21"/>
    </row>
    <row r="245" spans="3:22">
      <c r="C245" s="21"/>
      <c r="D245" s="21"/>
      <c r="E245" s="21"/>
      <c r="F245" s="21"/>
      <c r="G245" s="21"/>
      <c r="H245" s="21"/>
      <c r="I245" s="21"/>
      <c r="J245" s="21"/>
      <c r="K245" s="21"/>
      <c r="L245" s="21"/>
      <c r="M245" s="21"/>
      <c r="N245" s="21"/>
      <c r="O245" s="21"/>
      <c r="P245" s="21"/>
      <c r="Q245" s="21"/>
      <c r="R245" s="21"/>
      <c r="S245" s="21"/>
      <c r="T245" s="21"/>
      <c r="U245" s="21"/>
      <c r="V245" s="21"/>
    </row>
    <row r="246" spans="3:22">
      <c r="C246" s="21"/>
      <c r="D246" s="21"/>
      <c r="E246" s="21"/>
      <c r="F246" s="21"/>
      <c r="G246" s="21"/>
      <c r="H246" s="21"/>
      <c r="I246" s="21"/>
      <c r="J246" s="21"/>
      <c r="K246" s="21"/>
      <c r="L246" s="21"/>
      <c r="M246" s="21"/>
      <c r="N246" s="21"/>
      <c r="O246" s="21"/>
      <c r="P246" s="21"/>
      <c r="Q246" s="21"/>
      <c r="R246" s="21"/>
      <c r="S246" s="21"/>
      <c r="T246" s="21"/>
      <c r="U246" s="21"/>
      <c r="V246" s="21"/>
    </row>
    <row r="247" spans="3:22">
      <c r="C247" s="21"/>
      <c r="D247" s="21"/>
      <c r="E247" s="21"/>
      <c r="F247" s="21"/>
      <c r="G247" s="21"/>
      <c r="H247" s="21"/>
      <c r="I247" s="21"/>
      <c r="J247" s="21"/>
      <c r="K247" s="21"/>
      <c r="L247" s="21"/>
      <c r="M247" s="21"/>
      <c r="N247" s="21"/>
      <c r="O247" s="21"/>
      <c r="P247" s="21"/>
      <c r="Q247" s="21"/>
      <c r="R247" s="21"/>
      <c r="S247" s="21"/>
      <c r="T247" s="21"/>
      <c r="U247" s="21"/>
      <c r="V247" s="21"/>
    </row>
    <row r="248" spans="3:22">
      <c r="C248" s="21"/>
      <c r="D248" s="21"/>
      <c r="E248" s="21"/>
      <c r="F248" s="21"/>
      <c r="G248" s="21"/>
      <c r="H248" s="21"/>
      <c r="I248" s="21"/>
      <c r="J248" s="21"/>
      <c r="K248" s="21"/>
      <c r="L248" s="21"/>
      <c r="M248" s="21"/>
      <c r="N248" s="21"/>
      <c r="O248" s="21"/>
      <c r="P248" s="21"/>
      <c r="Q248" s="21"/>
      <c r="R248" s="21"/>
      <c r="S248" s="21"/>
      <c r="T248" s="21"/>
      <c r="U248" s="21"/>
      <c r="V248" s="21"/>
    </row>
    <row r="249" spans="3:22">
      <c r="C249" s="21"/>
      <c r="D249" s="21"/>
      <c r="E249" s="21"/>
      <c r="F249" s="21"/>
      <c r="G249" s="21"/>
      <c r="H249" s="21"/>
      <c r="I249" s="21"/>
      <c r="J249" s="21"/>
      <c r="K249" s="21"/>
      <c r="L249" s="21"/>
      <c r="M249" s="21"/>
      <c r="N249" s="21"/>
      <c r="O249" s="21"/>
      <c r="P249" s="21"/>
      <c r="Q249" s="21"/>
      <c r="R249" s="21"/>
      <c r="S249" s="21"/>
      <c r="T249" s="21"/>
      <c r="U249" s="21"/>
      <c r="V249" s="21"/>
    </row>
    <row r="250" spans="3:22">
      <c r="C250" s="21"/>
      <c r="D250" s="21"/>
      <c r="E250" s="21"/>
      <c r="F250" s="21"/>
      <c r="G250" s="21"/>
      <c r="H250" s="21"/>
      <c r="I250" s="21"/>
      <c r="J250" s="21"/>
      <c r="K250" s="21"/>
      <c r="L250" s="21"/>
      <c r="M250" s="21"/>
      <c r="N250" s="21"/>
      <c r="O250" s="21"/>
      <c r="P250" s="21"/>
      <c r="Q250" s="21"/>
      <c r="R250" s="21"/>
      <c r="S250" s="21"/>
      <c r="T250" s="21"/>
      <c r="U250" s="21"/>
      <c r="V250" s="21"/>
    </row>
    <row r="251" spans="3:22">
      <c r="C251" s="21"/>
      <c r="D251" s="21"/>
      <c r="E251" s="21"/>
      <c r="F251" s="21"/>
      <c r="G251" s="21"/>
      <c r="H251" s="21"/>
      <c r="I251" s="21"/>
      <c r="J251" s="21"/>
      <c r="K251" s="21"/>
      <c r="L251" s="21"/>
      <c r="M251" s="21"/>
      <c r="N251" s="21"/>
      <c r="O251" s="21"/>
      <c r="P251" s="21"/>
      <c r="Q251" s="21"/>
      <c r="R251" s="21"/>
      <c r="S251" s="21"/>
      <c r="T251" s="21"/>
      <c r="U251" s="21"/>
      <c r="V251" s="21"/>
    </row>
    <row r="252" spans="3:22">
      <c r="C252" s="21"/>
      <c r="D252" s="21"/>
      <c r="E252" s="21"/>
      <c r="F252" s="21"/>
      <c r="G252" s="21"/>
      <c r="H252" s="21"/>
      <c r="I252" s="21"/>
      <c r="J252" s="21"/>
      <c r="K252" s="21"/>
      <c r="L252" s="21"/>
      <c r="M252" s="21"/>
      <c r="N252" s="21"/>
      <c r="O252" s="21"/>
      <c r="P252" s="21"/>
      <c r="Q252" s="21"/>
      <c r="R252" s="21"/>
      <c r="S252" s="21"/>
      <c r="T252" s="21"/>
      <c r="U252" s="21"/>
      <c r="V252" s="21"/>
    </row>
    <row r="253" spans="3:22">
      <c r="C253" s="21"/>
      <c r="D253" s="21"/>
      <c r="E253" s="21"/>
      <c r="F253" s="21"/>
      <c r="G253" s="21"/>
      <c r="H253" s="21"/>
      <c r="I253" s="21"/>
      <c r="J253" s="21"/>
      <c r="K253" s="21"/>
      <c r="L253" s="21"/>
      <c r="M253" s="21"/>
      <c r="N253" s="21"/>
      <c r="O253" s="21"/>
      <c r="P253" s="21"/>
      <c r="Q253" s="21"/>
      <c r="R253" s="21"/>
      <c r="S253" s="21"/>
      <c r="T253" s="21"/>
      <c r="U253" s="21"/>
      <c r="V253" s="21"/>
    </row>
    <row r="254" spans="3:22">
      <c r="C254" s="21"/>
      <c r="D254" s="21"/>
      <c r="E254" s="21"/>
      <c r="F254" s="21"/>
      <c r="G254" s="21"/>
      <c r="H254" s="21"/>
      <c r="I254" s="21"/>
      <c r="J254" s="21"/>
      <c r="K254" s="21"/>
      <c r="L254" s="21"/>
      <c r="M254" s="21"/>
      <c r="N254" s="21"/>
      <c r="O254" s="21"/>
      <c r="P254" s="21"/>
      <c r="Q254" s="21"/>
      <c r="R254" s="21"/>
      <c r="S254" s="21"/>
      <c r="T254" s="21"/>
      <c r="U254" s="21"/>
      <c r="V254" s="21"/>
    </row>
    <row r="255" spans="3:22">
      <c r="C255" s="21"/>
      <c r="D255" s="21"/>
      <c r="E255" s="21"/>
      <c r="F255" s="21"/>
      <c r="G255" s="21"/>
      <c r="H255" s="21"/>
      <c r="I255" s="21"/>
      <c r="J255" s="21"/>
      <c r="K255" s="21"/>
      <c r="L255" s="21"/>
      <c r="M255" s="21"/>
      <c r="N255" s="21"/>
      <c r="O255" s="21"/>
      <c r="P255" s="21"/>
      <c r="Q255" s="21"/>
      <c r="R255" s="21"/>
      <c r="S255" s="21"/>
      <c r="T255" s="21"/>
      <c r="U255" s="21"/>
      <c r="V255" s="21"/>
    </row>
    <row r="256" spans="3:22">
      <c r="C256" s="21"/>
      <c r="D256" s="21"/>
      <c r="E256" s="21"/>
      <c r="F256" s="21"/>
      <c r="G256" s="21"/>
      <c r="H256" s="21"/>
      <c r="I256" s="21"/>
      <c r="J256" s="21"/>
      <c r="K256" s="21"/>
      <c r="L256" s="21"/>
      <c r="M256" s="21"/>
      <c r="N256" s="21"/>
      <c r="O256" s="21"/>
      <c r="P256" s="21"/>
      <c r="Q256" s="21"/>
      <c r="R256" s="21"/>
      <c r="S256" s="21"/>
      <c r="T256" s="21"/>
      <c r="U256" s="21"/>
      <c r="V256" s="21"/>
    </row>
    <row r="257" spans="3:22">
      <c r="C257" s="21"/>
      <c r="D257" s="21"/>
      <c r="E257" s="21"/>
      <c r="F257" s="21"/>
      <c r="G257" s="21"/>
      <c r="H257" s="21"/>
      <c r="I257" s="21"/>
      <c r="J257" s="21"/>
      <c r="K257" s="21"/>
      <c r="L257" s="21"/>
      <c r="M257" s="21"/>
      <c r="N257" s="21"/>
      <c r="O257" s="21"/>
      <c r="P257" s="21"/>
      <c r="Q257" s="21"/>
      <c r="R257" s="21"/>
      <c r="S257" s="21"/>
      <c r="T257" s="21"/>
      <c r="U257" s="21"/>
      <c r="V257" s="21"/>
    </row>
    <row r="258" spans="3:22">
      <c r="C258" s="21"/>
      <c r="D258" s="21"/>
      <c r="E258" s="21"/>
      <c r="F258" s="21"/>
      <c r="G258" s="21"/>
      <c r="H258" s="21"/>
      <c r="I258" s="21"/>
      <c r="J258" s="21"/>
      <c r="K258" s="21"/>
      <c r="L258" s="21"/>
      <c r="M258" s="21"/>
      <c r="N258" s="21"/>
      <c r="O258" s="21"/>
      <c r="P258" s="21"/>
      <c r="Q258" s="21"/>
      <c r="R258" s="21"/>
      <c r="S258" s="21"/>
      <c r="T258" s="21"/>
      <c r="U258" s="21"/>
      <c r="V258" s="21"/>
    </row>
    <row r="259" spans="3:22">
      <c r="C259" s="21"/>
      <c r="D259" s="21"/>
      <c r="E259" s="21"/>
      <c r="F259" s="21"/>
      <c r="G259" s="21"/>
      <c r="H259" s="21"/>
      <c r="I259" s="21"/>
      <c r="J259" s="21"/>
      <c r="K259" s="21"/>
      <c r="L259" s="21"/>
      <c r="M259" s="21"/>
      <c r="N259" s="21"/>
      <c r="O259" s="21"/>
      <c r="P259" s="21"/>
      <c r="Q259" s="21"/>
      <c r="R259" s="21"/>
      <c r="S259" s="21"/>
      <c r="T259" s="21"/>
      <c r="U259" s="21"/>
      <c r="V259" s="21"/>
    </row>
    <row r="260" spans="3:22">
      <c r="C260" s="21"/>
      <c r="D260" s="21"/>
      <c r="E260" s="21"/>
      <c r="F260" s="21"/>
      <c r="G260" s="21"/>
      <c r="H260" s="21"/>
      <c r="I260" s="21"/>
      <c r="J260" s="21"/>
      <c r="K260" s="21"/>
      <c r="L260" s="21"/>
      <c r="M260" s="21"/>
      <c r="N260" s="21"/>
      <c r="O260" s="21"/>
      <c r="P260" s="21"/>
      <c r="Q260" s="21"/>
      <c r="R260" s="21"/>
      <c r="S260" s="21"/>
      <c r="T260" s="21"/>
      <c r="U260" s="21"/>
      <c r="V260" s="21"/>
    </row>
    <row r="261" spans="3:22">
      <c r="C261" s="21"/>
      <c r="D261" s="21"/>
      <c r="E261" s="21"/>
      <c r="F261" s="21"/>
      <c r="G261" s="21"/>
      <c r="H261" s="21"/>
      <c r="I261" s="21"/>
      <c r="J261" s="21"/>
      <c r="K261" s="21"/>
      <c r="L261" s="21"/>
      <c r="M261" s="21"/>
      <c r="N261" s="21"/>
      <c r="O261" s="21"/>
      <c r="P261" s="21"/>
      <c r="Q261" s="21"/>
      <c r="R261" s="21"/>
      <c r="S261" s="21"/>
      <c r="T261" s="21"/>
      <c r="U261" s="21"/>
      <c r="V261" s="21"/>
    </row>
    <row r="262" spans="3:22">
      <c r="C262" s="21"/>
      <c r="D262" s="21"/>
      <c r="E262" s="21"/>
      <c r="F262" s="21"/>
      <c r="G262" s="21"/>
      <c r="H262" s="21"/>
      <c r="I262" s="21"/>
      <c r="J262" s="21"/>
      <c r="K262" s="21"/>
      <c r="L262" s="21"/>
      <c r="M262" s="21"/>
      <c r="N262" s="21"/>
      <c r="O262" s="21"/>
      <c r="P262" s="21"/>
      <c r="Q262" s="21"/>
      <c r="R262" s="21"/>
      <c r="S262" s="21"/>
      <c r="T262" s="21"/>
      <c r="U262" s="21"/>
      <c r="V262" s="21"/>
    </row>
    <row r="263" spans="3:22">
      <c r="C263" s="21"/>
      <c r="D263" s="21"/>
      <c r="E263" s="21"/>
      <c r="F263" s="21"/>
      <c r="G263" s="21"/>
      <c r="H263" s="21"/>
      <c r="I263" s="21"/>
      <c r="J263" s="21"/>
      <c r="K263" s="21"/>
      <c r="L263" s="21"/>
      <c r="M263" s="21"/>
      <c r="N263" s="21"/>
      <c r="O263" s="21"/>
      <c r="P263" s="21"/>
      <c r="Q263" s="21"/>
      <c r="R263" s="21"/>
      <c r="S263" s="21"/>
      <c r="T263" s="21"/>
      <c r="U263" s="21"/>
      <c r="V263" s="21"/>
    </row>
    <row r="264" spans="3:22">
      <c r="C264" s="21"/>
      <c r="D264" s="21"/>
      <c r="E264" s="21"/>
      <c r="F264" s="21"/>
      <c r="G264" s="21"/>
      <c r="H264" s="21"/>
      <c r="I264" s="21"/>
      <c r="J264" s="21"/>
      <c r="K264" s="21"/>
      <c r="L264" s="21"/>
      <c r="M264" s="21"/>
      <c r="N264" s="21"/>
      <c r="O264" s="21"/>
      <c r="P264" s="21"/>
      <c r="Q264" s="21"/>
      <c r="R264" s="21"/>
      <c r="S264" s="21"/>
      <c r="T264" s="21"/>
      <c r="U264" s="21"/>
      <c r="V264" s="21"/>
    </row>
    <row r="265" spans="3:22">
      <c r="C265" s="21"/>
      <c r="D265" s="21"/>
      <c r="E265" s="21"/>
      <c r="F265" s="21"/>
      <c r="G265" s="21"/>
      <c r="H265" s="21"/>
      <c r="I265" s="21"/>
      <c r="J265" s="21"/>
      <c r="K265" s="21"/>
      <c r="L265" s="21"/>
      <c r="M265" s="21"/>
      <c r="N265" s="21"/>
      <c r="O265" s="21"/>
      <c r="P265" s="21"/>
      <c r="Q265" s="21"/>
      <c r="R265" s="21"/>
      <c r="S265" s="21"/>
      <c r="T265" s="21"/>
      <c r="U265" s="21"/>
      <c r="V265" s="21"/>
    </row>
    <row r="266" spans="3:22">
      <c r="C266" s="21"/>
      <c r="D266" s="21"/>
      <c r="E266" s="21"/>
      <c r="F266" s="21"/>
      <c r="G266" s="21"/>
      <c r="H266" s="21"/>
      <c r="I266" s="21"/>
      <c r="J266" s="21"/>
      <c r="K266" s="21"/>
      <c r="L266" s="21"/>
      <c r="M266" s="21"/>
      <c r="N266" s="21"/>
      <c r="O266" s="21"/>
      <c r="P266" s="21"/>
      <c r="Q266" s="21"/>
      <c r="R266" s="21"/>
      <c r="S266" s="21"/>
      <c r="T266" s="21"/>
      <c r="U266" s="21"/>
      <c r="V266" s="21"/>
    </row>
    <row r="267" spans="3:22">
      <c r="C267" s="21"/>
      <c r="D267" s="21"/>
      <c r="E267" s="21"/>
      <c r="F267" s="21"/>
      <c r="G267" s="21"/>
      <c r="H267" s="21"/>
      <c r="I267" s="21"/>
      <c r="J267" s="21"/>
      <c r="K267" s="21"/>
      <c r="L267" s="21"/>
      <c r="M267" s="21"/>
      <c r="N267" s="21"/>
      <c r="O267" s="21"/>
      <c r="P267" s="21"/>
      <c r="Q267" s="21"/>
      <c r="R267" s="21"/>
      <c r="S267" s="21"/>
      <c r="T267" s="21"/>
      <c r="U267" s="21"/>
      <c r="V267" s="21"/>
    </row>
    <row r="268" spans="3:22">
      <c r="C268" s="21"/>
      <c r="D268" s="21"/>
      <c r="E268" s="21"/>
      <c r="F268" s="21"/>
      <c r="G268" s="21"/>
      <c r="H268" s="21"/>
      <c r="I268" s="21"/>
      <c r="J268" s="21"/>
      <c r="K268" s="21"/>
      <c r="L268" s="21"/>
      <c r="M268" s="21"/>
      <c r="N268" s="21"/>
      <c r="O268" s="21"/>
      <c r="P268" s="21"/>
      <c r="Q268" s="21"/>
      <c r="R268" s="21"/>
      <c r="S268" s="21"/>
      <c r="T268" s="21"/>
      <c r="U268" s="21"/>
      <c r="V268" s="21"/>
    </row>
    <row r="269" spans="3:22">
      <c r="C269" s="21"/>
      <c r="D269" s="21"/>
      <c r="E269" s="21"/>
      <c r="F269" s="21"/>
      <c r="G269" s="21"/>
      <c r="H269" s="21"/>
      <c r="I269" s="21"/>
      <c r="J269" s="21"/>
      <c r="K269" s="21"/>
      <c r="L269" s="21"/>
      <c r="M269" s="21"/>
      <c r="N269" s="21"/>
      <c r="O269" s="21"/>
      <c r="P269" s="21"/>
      <c r="Q269" s="21"/>
      <c r="R269" s="21"/>
      <c r="S269" s="21"/>
      <c r="T269" s="21"/>
      <c r="U269" s="21"/>
      <c r="V269" s="21"/>
    </row>
    <row r="270" spans="3:22">
      <c r="C270" s="21"/>
      <c r="D270" s="21"/>
      <c r="E270" s="21"/>
      <c r="F270" s="21"/>
      <c r="G270" s="21"/>
      <c r="H270" s="21"/>
      <c r="I270" s="21"/>
      <c r="J270" s="21"/>
      <c r="K270" s="21"/>
      <c r="L270" s="21"/>
      <c r="M270" s="21"/>
      <c r="N270" s="21"/>
      <c r="O270" s="21"/>
      <c r="P270" s="21"/>
      <c r="Q270" s="21"/>
      <c r="R270" s="21"/>
      <c r="S270" s="21"/>
      <c r="T270" s="21"/>
      <c r="U270" s="21"/>
      <c r="V270" s="21"/>
    </row>
    <row r="271" spans="3:22">
      <c r="C271" s="21"/>
      <c r="D271" s="21"/>
      <c r="E271" s="21"/>
      <c r="F271" s="21"/>
      <c r="G271" s="21"/>
      <c r="H271" s="21"/>
      <c r="I271" s="21"/>
      <c r="J271" s="21"/>
      <c r="K271" s="21"/>
      <c r="L271" s="21"/>
      <c r="M271" s="21"/>
      <c r="N271" s="21"/>
      <c r="O271" s="21"/>
      <c r="P271" s="21"/>
      <c r="Q271" s="21"/>
      <c r="R271" s="21"/>
      <c r="S271" s="21"/>
      <c r="T271" s="21"/>
      <c r="U271" s="21"/>
      <c r="V271" s="21"/>
    </row>
    <row r="272" spans="3:22">
      <c r="C272" s="21"/>
      <c r="D272" s="21"/>
      <c r="E272" s="21"/>
      <c r="F272" s="21"/>
      <c r="G272" s="21"/>
      <c r="H272" s="21"/>
      <c r="I272" s="21"/>
      <c r="J272" s="21"/>
      <c r="K272" s="21"/>
      <c r="L272" s="21"/>
      <c r="M272" s="21"/>
      <c r="N272" s="21"/>
      <c r="O272" s="21"/>
      <c r="P272" s="21"/>
      <c r="Q272" s="21"/>
      <c r="R272" s="21"/>
      <c r="S272" s="21"/>
      <c r="T272" s="21"/>
      <c r="U272" s="21"/>
      <c r="V272" s="21"/>
    </row>
    <row r="273" spans="3:22">
      <c r="C273" s="21"/>
      <c r="D273" s="21"/>
      <c r="E273" s="21"/>
      <c r="F273" s="21"/>
      <c r="G273" s="21"/>
      <c r="H273" s="21"/>
      <c r="I273" s="21"/>
      <c r="J273" s="21"/>
      <c r="K273" s="21"/>
      <c r="L273" s="21"/>
      <c r="M273" s="21"/>
      <c r="N273" s="21"/>
      <c r="O273" s="21"/>
      <c r="P273" s="21"/>
      <c r="Q273" s="21"/>
      <c r="R273" s="21"/>
      <c r="S273" s="21"/>
      <c r="T273" s="21"/>
      <c r="U273" s="21"/>
      <c r="V273" s="21"/>
    </row>
    <row r="274" spans="3:22">
      <c r="C274" s="21"/>
      <c r="D274" s="21"/>
      <c r="E274" s="21"/>
      <c r="F274" s="21"/>
      <c r="G274" s="21"/>
      <c r="H274" s="21"/>
      <c r="I274" s="21"/>
      <c r="J274" s="21"/>
      <c r="K274" s="21"/>
      <c r="L274" s="21"/>
      <c r="M274" s="21"/>
      <c r="N274" s="21"/>
      <c r="O274" s="21"/>
      <c r="P274" s="21"/>
      <c r="Q274" s="21"/>
      <c r="R274" s="21"/>
      <c r="S274" s="21"/>
      <c r="T274" s="21"/>
      <c r="U274" s="21"/>
      <c r="V274" s="21"/>
    </row>
    <row r="275" spans="3:22">
      <c r="C275" s="21"/>
      <c r="D275" s="21"/>
      <c r="E275" s="21"/>
      <c r="F275" s="21"/>
      <c r="G275" s="21"/>
      <c r="H275" s="21"/>
      <c r="I275" s="21"/>
      <c r="J275" s="21"/>
      <c r="K275" s="21"/>
      <c r="L275" s="21"/>
      <c r="M275" s="21"/>
      <c r="N275" s="21"/>
      <c r="O275" s="21"/>
      <c r="P275" s="21"/>
      <c r="Q275" s="21"/>
      <c r="R275" s="21"/>
      <c r="S275" s="21"/>
      <c r="T275" s="21"/>
      <c r="U275" s="21"/>
      <c r="V275" s="21"/>
    </row>
    <row r="276" spans="3:22">
      <c r="C276" s="21"/>
      <c r="D276" s="21"/>
      <c r="E276" s="21"/>
      <c r="F276" s="21"/>
      <c r="G276" s="21"/>
      <c r="H276" s="21"/>
      <c r="I276" s="21"/>
      <c r="J276" s="21"/>
      <c r="K276" s="21"/>
      <c r="L276" s="21"/>
      <c r="M276" s="21"/>
      <c r="N276" s="21"/>
      <c r="O276" s="21"/>
      <c r="P276" s="21"/>
      <c r="Q276" s="21"/>
      <c r="R276" s="21"/>
      <c r="S276" s="21"/>
      <c r="T276" s="21"/>
      <c r="U276" s="21"/>
      <c r="V276" s="21"/>
    </row>
    <row r="277" spans="3:22">
      <c r="C277" s="21"/>
      <c r="D277" s="21"/>
      <c r="E277" s="21"/>
      <c r="F277" s="21"/>
      <c r="G277" s="21"/>
      <c r="H277" s="21"/>
      <c r="I277" s="21"/>
      <c r="J277" s="21"/>
      <c r="K277" s="21"/>
      <c r="L277" s="21"/>
      <c r="M277" s="21"/>
      <c r="N277" s="21"/>
      <c r="O277" s="21"/>
      <c r="P277" s="21"/>
      <c r="Q277" s="21"/>
      <c r="R277" s="21"/>
      <c r="S277" s="21"/>
      <c r="T277" s="21"/>
      <c r="U277" s="21"/>
      <c r="V277" s="21"/>
    </row>
    <row r="278" spans="3:22">
      <c r="C278" s="21"/>
      <c r="D278" s="21"/>
      <c r="E278" s="21"/>
      <c r="F278" s="21"/>
      <c r="G278" s="21"/>
      <c r="H278" s="21"/>
      <c r="I278" s="21"/>
      <c r="J278" s="21"/>
      <c r="K278" s="21"/>
      <c r="L278" s="21"/>
      <c r="M278" s="21"/>
      <c r="N278" s="21"/>
      <c r="O278" s="21"/>
      <c r="P278" s="21"/>
      <c r="Q278" s="21"/>
      <c r="R278" s="21"/>
      <c r="S278" s="21"/>
      <c r="T278" s="21"/>
      <c r="U278" s="21"/>
      <c r="V278" s="21"/>
    </row>
    <row r="279" spans="3:22">
      <c r="C279" s="21"/>
      <c r="D279" s="21"/>
      <c r="E279" s="21"/>
      <c r="F279" s="21"/>
      <c r="G279" s="21"/>
      <c r="H279" s="21"/>
      <c r="I279" s="21"/>
      <c r="J279" s="21"/>
      <c r="K279" s="21"/>
      <c r="L279" s="21"/>
      <c r="M279" s="21"/>
      <c r="N279" s="21"/>
      <c r="O279" s="21"/>
      <c r="P279" s="21"/>
      <c r="Q279" s="21"/>
      <c r="R279" s="21"/>
      <c r="S279" s="21"/>
      <c r="T279" s="21"/>
      <c r="U279" s="21"/>
      <c r="V279" s="21"/>
    </row>
    <row r="280" spans="3:22">
      <c r="C280" s="21"/>
      <c r="D280" s="21"/>
      <c r="E280" s="21"/>
      <c r="F280" s="21"/>
      <c r="G280" s="21"/>
      <c r="H280" s="21"/>
      <c r="I280" s="21"/>
      <c r="J280" s="21"/>
      <c r="K280" s="21"/>
      <c r="L280" s="21"/>
      <c r="M280" s="21"/>
      <c r="N280" s="21"/>
      <c r="O280" s="21"/>
      <c r="P280" s="21"/>
      <c r="Q280" s="21"/>
      <c r="R280" s="21"/>
      <c r="S280" s="21"/>
      <c r="T280" s="21"/>
      <c r="U280" s="21"/>
      <c r="V280" s="21"/>
    </row>
    <row r="281" spans="3:22">
      <c r="C281" s="21"/>
      <c r="D281" s="21"/>
      <c r="E281" s="21"/>
      <c r="F281" s="21"/>
      <c r="G281" s="21"/>
      <c r="H281" s="21"/>
      <c r="I281" s="21"/>
      <c r="J281" s="21"/>
      <c r="K281" s="21"/>
      <c r="L281" s="21"/>
      <c r="M281" s="21"/>
      <c r="N281" s="21"/>
      <c r="O281" s="21"/>
      <c r="P281" s="21"/>
      <c r="Q281" s="21"/>
      <c r="R281" s="21"/>
      <c r="S281" s="21"/>
      <c r="T281" s="21"/>
      <c r="U281" s="21"/>
      <c r="V281" s="21"/>
    </row>
    <row r="282" spans="3:22">
      <c r="C282" s="21"/>
      <c r="D282" s="21"/>
      <c r="E282" s="21"/>
      <c r="F282" s="21"/>
      <c r="G282" s="21"/>
      <c r="H282" s="21"/>
      <c r="I282" s="21"/>
      <c r="J282" s="21"/>
      <c r="K282" s="21"/>
      <c r="L282" s="21"/>
      <c r="M282" s="21"/>
      <c r="N282" s="21"/>
      <c r="O282" s="21"/>
      <c r="P282" s="21"/>
      <c r="Q282" s="21"/>
      <c r="R282" s="21"/>
      <c r="S282" s="21"/>
      <c r="T282" s="21"/>
      <c r="U282" s="21"/>
      <c r="V282" s="21"/>
    </row>
    <row r="283" spans="3:22">
      <c r="C283" s="21"/>
      <c r="D283" s="21"/>
      <c r="E283" s="21"/>
      <c r="F283" s="21"/>
      <c r="G283" s="21"/>
      <c r="H283" s="21"/>
      <c r="I283" s="21"/>
      <c r="J283" s="21"/>
      <c r="K283" s="21"/>
      <c r="L283" s="21"/>
      <c r="M283" s="21"/>
      <c r="N283" s="21"/>
      <c r="O283" s="21"/>
      <c r="P283" s="21"/>
      <c r="Q283" s="21"/>
      <c r="R283" s="21"/>
      <c r="S283" s="21"/>
      <c r="T283" s="21"/>
      <c r="U283" s="21"/>
      <c r="V283" s="21"/>
    </row>
    <row r="284" spans="3:22">
      <c r="C284" s="21"/>
      <c r="D284" s="21"/>
      <c r="E284" s="21"/>
      <c r="F284" s="21"/>
      <c r="G284" s="21"/>
      <c r="H284" s="21"/>
      <c r="I284" s="21"/>
      <c r="J284" s="21"/>
      <c r="K284" s="21"/>
      <c r="L284" s="21"/>
      <c r="M284" s="21"/>
      <c r="N284" s="21"/>
      <c r="O284" s="21"/>
      <c r="P284" s="21"/>
      <c r="Q284" s="21"/>
      <c r="R284" s="21"/>
      <c r="S284" s="21"/>
      <c r="T284" s="21"/>
      <c r="U284" s="21"/>
      <c r="V284" s="21"/>
    </row>
    <row r="285" spans="3:22">
      <c r="C285" s="21"/>
      <c r="D285" s="21"/>
      <c r="E285" s="21"/>
      <c r="F285" s="21"/>
      <c r="G285" s="21"/>
      <c r="H285" s="21"/>
      <c r="I285" s="21"/>
      <c r="J285" s="21"/>
      <c r="K285" s="21"/>
      <c r="L285" s="21"/>
      <c r="M285" s="21"/>
      <c r="N285" s="21"/>
      <c r="O285" s="21"/>
      <c r="P285" s="21"/>
      <c r="Q285" s="21"/>
      <c r="R285" s="21"/>
      <c r="S285" s="21"/>
      <c r="T285" s="21"/>
      <c r="U285" s="21"/>
      <c r="V285" s="21"/>
    </row>
    <row r="286" spans="3:22">
      <c r="C286" s="21"/>
      <c r="D286" s="21"/>
      <c r="E286" s="21"/>
      <c r="F286" s="21"/>
      <c r="G286" s="21"/>
      <c r="H286" s="21"/>
      <c r="I286" s="21"/>
      <c r="J286" s="21"/>
      <c r="K286" s="21"/>
      <c r="L286" s="21"/>
      <c r="M286" s="21"/>
      <c r="N286" s="21"/>
      <c r="O286" s="21"/>
      <c r="P286" s="21"/>
      <c r="Q286" s="21"/>
      <c r="R286" s="21"/>
      <c r="S286" s="21"/>
      <c r="T286" s="21"/>
      <c r="U286" s="21"/>
      <c r="V286" s="21"/>
    </row>
    <row r="287" spans="3:22">
      <c r="C287" s="21"/>
      <c r="D287" s="21"/>
      <c r="E287" s="21"/>
      <c r="F287" s="21"/>
      <c r="G287" s="21"/>
      <c r="H287" s="21"/>
      <c r="I287" s="21"/>
      <c r="J287" s="21"/>
      <c r="K287" s="21"/>
      <c r="L287" s="21"/>
      <c r="M287" s="21"/>
      <c r="N287" s="21"/>
      <c r="O287" s="21"/>
      <c r="P287" s="21"/>
      <c r="Q287" s="21"/>
      <c r="R287" s="21"/>
      <c r="S287" s="21"/>
      <c r="T287" s="21"/>
      <c r="U287" s="21"/>
      <c r="V287" s="21"/>
    </row>
    <row r="288" spans="3:22">
      <c r="C288" s="21"/>
      <c r="D288" s="21"/>
      <c r="E288" s="21"/>
      <c r="F288" s="21"/>
      <c r="G288" s="21"/>
      <c r="H288" s="21"/>
      <c r="I288" s="21"/>
      <c r="J288" s="21"/>
      <c r="K288" s="21"/>
      <c r="L288" s="21"/>
      <c r="M288" s="21"/>
      <c r="N288" s="21"/>
      <c r="O288" s="21"/>
      <c r="P288" s="21"/>
      <c r="Q288" s="21"/>
      <c r="R288" s="21"/>
      <c r="S288" s="21"/>
      <c r="T288" s="21"/>
      <c r="U288" s="21"/>
      <c r="V288" s="21"/>
    </row>
    <row r="289" spans="3:22">
      <c r="C289" s="21"/>
      <c r="D289" s="21"/>
      <c r="E289" s="21"/>
      <c r="F289" s="21"/>
      <c r="G289" s="21"/>
      <c r="H289" s="21"/>
      <c r="I289" s="21"/>
      <c r="J289" s="21"/>
      <c r="K289" s="21"/>
      <c r="L289" s="21"/>
      <c r="M289" s="21"/>
      <c r="N289" s="21"/>
      <c r="O289" s="21"/>
      <c r="P289" s="21"/>
      <c r="Q289" s="21"/>
      <c r="R289" s="21"/>
      <c r="S289" s="21"/>
      <c r="T289" s="21"/>
      <c r="U289" s="21"/>
      <c r="V289" s="21"/>
    </row>
    <row r="290" spans="3:22">
      <c r="C290" s="21"/>
      <c r="D290" s="21"/>
      <c r="E290" s="21"/>
      <c r="F290" s="21"/>
      <c r="G290" s="21"/>
      <c r="H290" s="21"/>
      <c r="I290" s="21"/>
      <c r="J290" s="21"/>
      <c r="K290" s="21"/>
      <c r="L290" s="21"/>
      <c r="M290" s="21"/>
      <c r="N290" s="21"/>
      <c r="O290" s="21"/>
      <c r="P290" s="21"/>
      <c r="Q290" s="21"/>
      <c r="R290" s="21"/>
      <c r="S290" s="21"/>
      <c r="T290" s="21"/>
      <c r="U290" s="21"/>
      <c r="V290" s="21"/>
    </row>
    <row r="291" spans="3:22">
      <c r="C291" s="21"/>
      <c r="D291" s="21"/>
      <c r="E291" s="21"/>
      <c r="F291" s="21"/>
      <c r="G291" s="21"/>
      <c r="H291" s="21"/>
      <c r="I291" s="21"/>
      <c r="J291" s="21"/>
      <c r="K291" s="21"/>
      <c r="L291" s="21"/>
      <c r="M291" s="21"/>
      <c r="N291" s="21"/>
      <c r="O291" s="21"/>
      <c r="P291" s="21"/>
      <c r="Q291" s="21"/>
      <c r="R291" s="21"/>
      <c r="S291" s="21"/>
      <c r="T291" s="21"/>
      <c r="U291" s="21"/>
      <c r="V291" s="21"/>
    </row>
    <row r="292" spans="3:22">
      <c r="C292" s="21"/>
      <c r="D292" s="21"/>
      <c r="E292" s="21"/>
      <c r="F292" s="21"/>
      <c r="G292" s="21"/>
      <c r="H292" s="21"/>
      <c r="I292" s="21"/>
      <c r="J292" s="21"/>
      <c r="K292" s="21"/>
      <c r="L292" s="21"/>
      <c r="M292" s="21"/>
      <c r="N292" s="21"/>
      <c r="O292" s="21"/>
      <c r="P292" s="21"/>
      <c r="Q292" s="21"/>
      <c r="R292" s="21"/>
      <c r="S292" s="21"/>
      <c r="T292" s="21"/>
      <c r="U292" s="21"/>
      <c r="V292" s="21"/>
    </row>
    <row r="293" spans="3:22">
      <c r="C293" s="21"/>
      <c r="D293" s="21"/>
      <c r="E293" s="21"/>
      <c r="F293" s="21"/>
      <c r="G293" s="21"/>
      <c r="H293" s="21"/>
      <c r="I293" s="21"/>
      <c r="J293" s="21"/>
      <c r="K293" s="21"/>
      <c r="L293" s="21"/>
      <c r="M293" s="21"/>
      <c r="N293" s="21"/>
      <c r="O293" s="21"/>
      <c r="P293" s="21"/>
      <c r="Q293" s="21"/>
      <c r="R293" s="21"/>
      <c r="S293" s="21"/>
      <c r="T293" s="21"/>
      <c r="U293" s="21"/>
      <c r="V293" s="21"/>
    </row>
    <row r="294" spans="3:22">
      <c r="C294" s="21"/>
      <c r="D294" s="21"/>
      <c r="E294" s="21"/>
      <c r="F294" s="21"/>
      <c r="G294" s="21"/>
      <c r="H294" s="21"/>
      <c r="I294" s="21"/>
      <c r="J294" s="21"/>
      <c r="K294" s="21"/>
      <c r="L294" s="21"/>
      <c r="M294" s="21"/>
      <c r="N294" s="21"/>
      <c r="O294" s="21"/>
      <c r="P294" s="21"/>
      <c r="Q294" s="21"/>
      <c r="R294" s="21"/>
      <c r="S294" s="21"/>
      <c r="T294" s="21"/>
      <c r="U294" s="21"/>
      <c r="V294" s="21"/>
    </row>
    <row r="295" spans="3:22">
      <c r="C295" s="21"/>
      <c r="D295" s="21"/>
      <c r="E295" s="21"/>
      <c r="F295" s="21"/>
      <c r="G295" s="21"/>
      <c r="H295" s="21"/>
      <c r="I295" s="21"/>
      <c r="J295" s="21"/>
      <c r="K295" s="21"/>
      <c r="L295" s="21"/>
      <c r="M295" s="21"/>
      <c r="N295" s="21"/>
      <c r="O295" s="21"/>
      <c r="P295" s="21"/>
      <c r="Q295" s="21"/>
      <c r="R295" s="21"/>
      <c r="S295" s="21"/>
      <c r="T295" s="21"/>
      <c r="U295" s="21"/>
      <c r="V295" s="21"/>
    </row>
    <row r="296" spans="3:22">
      <c r="C296" s="21"/>
      <c r="D296" s="21"/>
      <c r="E296" s="21"/>
      <c r="F296" s="21"/>
      <c r="G296" s="21"/>
      <c r="H296" s="21"/>
      <c r="I296" s="21"/>
      <c r="J296" s="21"/>
      <c r="K296" s="21"/>
      <c r="L296" s="21"/>
      <c r="M296" s="21"/>
      <c r="N296" s="21"/>
      <c r="O296" s="21"/>
      <c r="P296" s="21"/>
      <c r="Q296" s="21"/>
      <c r="R296" s="21"/>
      <c r="S296" s="21"/>
      <c r="T296" s="21"/>
      <c r="U296" s="21"/>
      <c r="V296" s="21"/>
    </row>
    <row r="297" spans="3:22">
      <c r="C297" s="21"/>
      <c r="D297" s="21"/>
      <c r="E297" s="21"/>
      <c r="F297" s="21"/>
      <c r="G297" s="21"/>
      <c r="H297" s="21"/>
      <c r="I297" s="21"/>
      <c r="J297" s="21"/>
      <c r="K297" s="21"/>
      <c r="L297" s="21"/>
      <c r="M297" s="21"/>
      <c r="N297" s="21"/>
      <c r="O297" s="21"/>
      <c r="P297" s="21"/>
      <c r="Q297" s="21"/>
      <c r="R297" s="21"/>
      <c r="S297" s="21"/>
      <c r="T297" s="21"/>
      <c r="U297" s="21"/>
      <c r="V297" s="21"/>
    </row>
    <row r="298" spans="3:22">
      <c r="C298" s="21"/>
      <c r="D298" s="21"/>
      <c r="E298" s="21"/>
      <c r="F298" s="21"/>
      <c r="G298" s="21"/>
      <c r="H298" s="21"/>
      <c r="I298" s="21"/>
      <c r="J298" s="21"/>
      <c r="K298" s="21"/>
      <c r="L298" s="21"/>
      <c r="M298" s="21"/>
      <c r="N298" s="21"/>
      <c r="O298" s="21"/>
      <c r="P298" s="21"/>
      <c r="Q298" s="21"/>
      <c r="R298" s="21"/>
      <c r="S298" s="21"/>
      <c r="T298" s="21"/>
      <c r="U298" s="21"/>
      <c r="V298" s="21"/>
    </row>
    <row r="299" spans="3:22">
      <c r="C299" s="21"/>
      <c r="D299" s="21"/>
      <c r="E299" s="21"/>
      <c r="F299" s="21"/>
      <c r="G299" s="21"/>
      <c r="H299" s="21"/>
      <c r="I299" s="21"/>
      <c r="J299" s="21"/>
      <c r="K299" s="21"/>
      <c r="L299" s="21"/>
      <c r="M299" s="21"/>
      <c r="N299" s="21"/>
      <c r="O299" s="21"/>
      <c r="P299" s="21"/>
      <c r="Q299" s="21"/>
      <c r="R299" s="21"/>
      <c r="S299" s="21"/>
      <c r="T299" s="21"/>
      <c r="U299" s="21"/>
      <c r="V299" s="21"/>
    </row>
    <row r="300" spans="3:22">
      <c r="C300" s="21"/>
      <c r="D300" s="21"/>
      <c r="E300" s="21"/>
      <c r="F300" s="21"/>
      <c r="G300" s="21"/>
      <c r="H300" s="21"/>
      <c r="I300" s="21"/>
      <c r="J300" s="21"/>
      <c r="K300" s="21"/>
      <c r="L300" s="21"/>
      <c r="M300" s="21"/>
      <c r="N300" s="21"/>
      <c r="O300" s="21"/>
      <c r="P300" s="21"/>
      <c r="Q300" s="21"/>
      <c r="R300" s="21"/>
      <c r="S300" s="21"/>
      <c r="T300" s="21"/>
      <c r="U300" s="21"/>
      <c r="V300" s="21"/>
    </row>
    <row r="301" spans="3:22">
      <c r="C301" s="21"/>
      <c r="D301" s="21"/>
      <c r="E301" s="21"/>
      <c r="F301" s="21"/>
      <c r="G301" s="21"/>
      <c r="H301" s="21"/>
      <c r="I301" s="21"/>
      <c r="J301" s="21"/>
      <c r="K301" s="21"/>
      <c r="L301" s="21"/>
      <c r="M301" s="21"/>
      <c r="N301" s="21"/>
      <c r="O301" s="21"/>
      <c r="P301" s="21"/>
      <c r="Q301" s="21"/>
      <c r="R301" s="21"/>
      <c r="S301" s="21"/>
      <c r="T301" s="21"/>
      <c r="U301" s="21"/>
      <c r="V301" s="21"/>
    </row>
    <row r="302" spans="3:22">
      <c r="C302" s="21"/>
      <c r="D302" s="21"/>
      <c r="E302" s="21"/>
      <c r="F302" s="21"/>
      <c r="G302" s="21"/>
      <c r="H302" s="21"/>
      <c r="I302" s="21"/>
      <c r="J302" s="21"/>
      <c r="K302" s="21"/>
      <c r="L302" s="21"/>
      <c r="M302" s="21"/>
      <c r="N302" s="21"/>
      <c r="O302" s="21"/>
      <c r="P302" s="21"/>
      <c r="Q302" s="21"/>
      <c r="R302" s="21"/>
      <c r="S302" s="21"/>
      <c r="T302" s="21"/>
      <c r="U302" s="21"/>
      <c r="V302" s="21"/>
    </row>
    <row r="303" spans="3:22">
      <c r="C303" s="21"/>
      <c r="D303" s="21"/>
      <c r="E303" s="21"/>
      <c r="F303" s="21"/>
      <c r="G303" s="21"/>
      <c r="H303" s="21"/>
      <c r="I303" s="21"/>
      <c r="J303" s="21"/>
      <c r="K303" s="21"/>
      <c r="L303" s="21"/>
      <c r="M303" s="21"/>
      <c r="N303" s="21"/>
      <c r="O303" s="21"/>
      <c r="P303" s="21"/>
      <c r="Q303" s="21"/>
      <c r="R303" s="21"/>
      <c r="S303" s="21"/>
      <c r="T303" s="21"/>
      <c r="U303" s="21"/>
      <c r="V303" s="21"/>
    </row>
    <row r="304" spans="3:22">
      <c r="C304" s="21"/>
      <c r="D304" s="21"/>
      <c r="E304" s="21"/>
      <c r="F304" s="21"/>
      <c r="G304" s="21"/>
      <c r="H304" s="21"/>
      <c r="I304" s="21"/>
      <c r="J304" s="21"/>
      <c r="K304" s="21"/>
      <c r="L304" s="21"/>
      <c r="M304" s="21"/>
      <c r="N304" s="21"/>
      <c r="O304" s="21"/>
      <c r="P304" s="21"/>
      <c r="Q304" s="21"/>
      <c r="R304" s="21"/>
      <c r="S304" s="21"/>
      <c r="T304" s="21"/>
      <c r="U304" s="21"/>
      <c r="V304" s="21"/>
    </row>
    <row r="305" spans="3:22">
      <c r="C305" s="21"/>
      <c r="D305" s="21"/>
      <c r="E305" s="21"/>
      <c r="F305" s="21"/>
      <c r="G305" s="21"/>
      <c r="H305" s="21"/>
      <c r="I305" s="21"/>
      <c r="J305" s="21"/>
      <c r="K305" s="21"/>
      <c r="L305" s="21"/>
      <c r="M305" s="21"/>
      <c r="N305" s="21"/>
      <c r="O305" s="21"/>
      <c r="P305" s="21"/>
      <c r="Q305" s="21"/>
      <c r="R305" s="21"/>
      <c r="S305" s="21"/>
      <c r="T305" s="21"/>
      <c r="U305" s="21"/>
      <c r="V305" s="21"/>
    </row>
    <row r="306" spans="3:22">
      <c r="C306" s="21"/>
      <c r="D306" s="21"/>
      <c r="E306" s="21"/>
      <c r="F306" s="21"/>
      <c r="G306" s="21"/>
      <c r="H306" s="21"/>
      <c r="I306" s="21"/>
      <c r="J306" s="21"/>
      <c r="K306" s="21"/>
      <c r="L306" s="21"/>
      <c r="M306" s="21"/>
      <c r="N306" s="21"/>
      <c r="O306" s="21"/>
      <c r="P306" s="21"/>
      <c r="Q306" s="21"/>
      <c r="R306" s="21"/>
      <c r="S306" s="21"/>
      <c r="T306" s="21"/>
      <c r="U306" s="21"/>
      <c r="V306" s="21"/>
    </row>
    <row r="307" spans="3:22">
      <c r="C307" s="21"/>
      <c r="D307" s="21"/>
      <c r="E307" s="21"/>
      <c r="F307" s="21"/>
      <c r="G307" s="21"/>
      <c r="H307" s="21"/>
      <c r="I307" s="21"/>
      <c r="J307" s="21"/>
      <c r="K307" s="21"/>
      <c r="L307" s="21"/>
      <c r="M307" s="21"/>
      <c r="N307" s="21"/>
      <c r="O307" s="21"/>
      <c r="P307" s="21"/>
      <c r="Q307" s="21"/>
      <c r="R307" s="21"/>
      <c r="S307" s="21"/>
      <c r="T307" s="21"/>
      <c r="U307" s="21"/>
      <c r="V307" s="21"/>
    </row>
    <row r="308" spans="3:22">
      <c r="C308" s="21"/>
      <c r="D308" s="21"/>
      <c r="E308" s="21"/>
      <c r="F308" s="21"/>
      <c r="G308" s="21"/>
      <c r="H308" s="21"/>
      <c r="I308" s="21"/>
      <c r="J308" s="21"/>
      <c r="K308" s="21"/>
      <c r="L308" s="21"/>
      <c r="M308" s="21"/>
      <c r="N308" s="21"/>
      <c r="O308" s="21"/>
      <c r="P308" s="21"/>
      <c r="Q308" s="21"/>
      <c r="R308" s="21"/>
      <c r="S308" s="21"/>
      <c r="T308" s="21"/>
      <c r="U308" s="21"/>
      <c r="V308" s="21"/>
    </row>
    <row r="309" spans="3:22">
      <c r="C309" s="21"/>
      <c r="D309" s="21"/>
      <c r="E309" s="21"/>
      <c r="F309" s="21"/>
      <c r="G309" s="21"/>
      <c r="H309" s="21"/>
      <c r="I309" s="21"/>
      <c r="J309" s="21"/>
      <c r="K309" s="21"/>
      <c r="L309" s="21"/>
      <c r="M309" s="21"/>
      <c r="N309" s="21"/>
      <c r="O309" s="21"/>
      <c r="P309" s="21"/>
      <c r="Q309" s="21"/>
      <c r="R309" s="21"/>
      <c r="S309" s="21"/>
      <c r="T309" s="21"/>
      <c r="U309" s="21"/>
      <c r="V309" s="21"/>
    </row>
    <row r="310" spans="3:22">
      <c r="C310" s="21"/>
      <c r="D310" s="21"/>
      <c r="E310" s="21"/>
      <c r="F310" s="21"/>
      <c r="G310" s="21"/>
      <c r="H310" s="21"/>
      <c r="I310" s="21"/>
      <c r="J310" s="21"/>
      <c r="K310" s="21"/>
      <c r="L310" s="21"/>
      <c r="M310" s="21"/>
      <c r="N310" s="21"/>
      <c r="O310" s="21"/>
      <c r="P310" s="21"/>
      <c r="Q310" s="21"/>
      <c r="R310" s="21"/>
      <c r="S310" s="21"/>
      <c r="T310" s="21"/>
      <c r="U310" s="21"/>
      <c r="V310" s="21"/>
    </row>
    <row r="311" spans="3:22">
      <c r="C311" s="21"/>
      <c r="D311" s="21"/>
      <c r="E311" s="21"/>
      <c r="F311" s="21"/>
      <c r="G311" s="21"/>
      <c r="H311" s="21"/>
      <c r="I311" s="21"/>
      <c r="J311" s="21"/>
      <c r="K311" s="21"/>
      <c r="L311" s="21"/>
      <c r="M311" s="21"/>
      <c r="N311" s="21"/>
      <c r="O311" s="21"/>
      <c r="P311" s="21"/>
      <c r="Q311" s="21"/>
      <c r="R311" s="21"/>
      <c r="S311" s="21"/>
      <c r="T311" s="21"/>
      <c r="U311" s="21"/>
      <c r="V311" s="21"/>
    </row>
    <row r="312" spans="3:22">
      <c r="C312" s="21"/>
      <c r="D312" s="21"/>
      <c r="E312" s="21"/>
      <c r="F312" s="21"/>
      <c r="G312" s="21"/>
      <c r="H312" s="21"/>
      <c r="I312" s="21"/>
      <c r="J312" s="21"/>
      <c r="K312" s="21"/>
      <c r="L312" s="21"/>
      <c r="M312" s="21"/>
      <c r="N312" s="21"/>
      <c r="O312" s="21"/>
      <c r="P312" s="21"/>
      <c r="Q312" s="21"/>
      <c r="R312" s="21"/>
      <c r="S312" s="21"/>
      <c r="T312" s="21"/>
      <c r="U312" s="21"/>
      <c r="V312" s="21"/>
    </row>
    <row r="313" spans="3:22">
      <c r="C313" s="21"/>
      <c r="D313" s="21"/>
      <c r="E313" s="21"/>
      <c r="F313" s="21"/>
      <c r="G313" s="21"/>
      <c r="H313" s="21"/>
      <c r="I313" s="21"/>
      <c r="J313" s="21"/>
      <c r="K313" s="21"/>
      <c r="L313" s="21"/>
      <c r="M313" s="21"/>
      <c r="N313" s="21"/>
      <c r="O313" s="21"/>
      <c r="P313" s="21"/>
      <c r="Q313" s="21"/>
      <c r="R313" s="21"/>
      <c r="S313" s="21"/>
      <c r="T313" s="21"/>
      <c r="U313" s="21"/>
      <c r="V313" s="21"/>
    </row>
    <row r="314" spans="3:22">
      <c r="C314" s="21"/>
      <c r="D314" s="21"/>
      <c r="E314" s="21"/>
      <c r="F314" s="21"/>
      <c r="G314" s="21"/>
      <c r="H314" s="21"/>
      <c r="I314" s="21"/>
      <c r="J314" s="21"/>
      <c r="K314" s="21"/>
      <c r="L314" s="21"/>
      <c r="M314" s="21"/>
      <c r="N314" s="21"/>
      <c r="O314" s="21"/>
      <c r="P314" s="21"/>
      <c r="Q314" s="21"/>
      <c r="R314" s="21"/>
      <c r="S314" s="21"/>
      <c r="T314" s="21"/>
      <c r="U314" s="21"/>
      <c r="V314" s="21"/>
    </row>
    <row r="315" spans="3:22">
      <c r="C315" s="21"/>
      <c r="D315" s="21"/>
      <c r="E315" s="21"/>
      <c r="F315" s="21"/>
      <c r="G315" s="21"/>
      <c r="H315" s="21"/>
      <c r="I315" s="21"/>
      <c r="J315" s="21"/>
      <c r="K315" s="21"/>
      <c r="L315" s="21"/>
      <c r="M315" s="21"/>
      <c r="N315" s="21"/>
      <c r="O315" s="21"/>
      <c r="P315" s="21"/>
      <c r="Q315" s="21"/>
      <c r="R315" s="21"/>
      <c r="S315" s="21"/>
      <c r="T315" s="21"/>
      <c r="U315" s="21"/>
      <c r="V315" s="21"/>
    </row>
    <row r="316" spans="3:22">
      <c r="C316" s="21"/>
      <c r="D316" s="21"/>
      <c r="E316" s="21"/>
      <c r="F316" s="21"/>
      <c r="G316" s="21"/>
      <c r="H316" s="21"/>
      <c r="I316" s="21"/>
      <c r="J316" s="21"/>
      <c r="K316" s="21"/>
      <c r="L316" s="21"/>
      <c r="M316" s="21"/>
      <c r="N316" s="21"/>
      <c r="O316" s="21"/>
      <c r="P316" s="21"/>
      <c r="Q316" s="21"/>
      <c r="R316" s="21"/>
      <c r="S316" s="21"/>
      <c r="T316" s="21"/>
      <c r="U316" s="21"/>
      <c r="V316" s="21"/>
    </row>
    <row r="317" spans="3:22">
      <c r="C317" s="21"/>
      <c r="D317" s="21"/>
      <c r="E317" s="21"/>
      <c r="F317" s="21"/>
      <c r="G317" s="21"/>
      <c r="H317" s="21"/>
      <c r="I317" s="21"/>
      <c r="J317" s="21"/>
      <c r="K317" s="21"/>
      <c r="L317" s="21"/>
      <c r="M317" s="21"/>
      <c r="N317" s="21"/>
      <c r="O317" s="21"/>
      <c r="P317" s="21"/>
      <c r="Q317" s="21"/>
      <c r="R317" s="21"/>
      <c r="S317" s="21"/>
      <c r="T317" s="21"/>
      <c r="U317" s="21"/>
      <c r="V317" s="21"/>
    </row>
    <row r="318" spans="3:22">
      <c r="C318" s="21"/>
      <c r="D318" s="21"/>
      <c r="E318" s="21"/>
      <c r="F318" s="21"/>
      <c r="G318" s="21"/>
      <c r="H318" s="21"/>
      <c r="I318" s="21"/>
      <c r="J318" s="21"/>
      <c r="K318" s="21"/>
      <c r="L318" s="21"/>
      <c r="M318" s="21"/>
      <c r="N318" s="21"/>
      <c r="O318" s="21"/>
      <c r="P318" s="21"/>
      <c r="Q318" s="21"/>
      <c r="R318" s="21"/>
      <c r="S318" s="21"/>
      <c r="T318" s="21"/>
      <c r="U318" s="21"/>
      <c r="V318" s="21"/>
    </row>
    <row r="319" spans="3:22">
      <c r="C319" s="21"/>
      <c r="D319" s="21"/>
      <c r="E319" s="21"/>
      <c r="F319" s="21"/>
      <c r="G319" s="21"/>
      <c r="H319" s="21"/>
      <c r="I319" s="21"/>
      <c r="J319" s="21"/>
      <c r="K319" s="21"/>
      <c r="L319" s="21"/>
      <c r="M319" s="21"/>
      <c r="N319" s="21"/>
      <c r="O319" s="21"/>
      <c r="P319" s="21"/>
      <c r="Q319" s="21"/>
      <c r="R319" s="21"/>
      <c r="S319" s="21"/>
      <c r="T319" s="21"/>
      <c r="U319" s="21"/>
      <c r="V319" s="21"/>
    </row>
    <row r="320" spans="3:22">
      <c r="C320" s="21"/>
      <c r="D320" s="21"/>
      <c r="E320" s="21"/>
      <c r="F320" s="21"/>
      <c r="G320" s="21"/>
      <c r="H320" s="21"/>
      <c r="I320" s="21"/>
      <c r="J320" s="21"/>
      <c r="K320" s="21"/>
      <c r="L320" s="21"/>
      <c r="M320" s="21"/>
      <c r="N320" s="21"/>
      <c r="O320" s="21"/>
      <c r="P320" s="21"/>
      <c r="Q320" s="21"/>
      <c r="R320" s="21"/>
      <c r="S320" s="21"/>
      <c r="T320" s="21"/>
      <c r="U320" s="21"/>
      <c r="V320" s="21"/>
    </row>
    <row r="321" spans="3:22">
      <c r="C321" s="21"/>
      <c r="D321" s="21"/>
      <c r="E321" s="21"/>
      <c r="F321" s="21"/>
      <c r="G321" s="21"/>
      <c r="H321" s="21"/>
      <c r="I321" s="21"/>
      <c r="J321" s="21"/>
      <c r="K321" s="21"/>
      <c r="L321" s="21"/>
      <c r="M321" s="21"/>
      <c r="N321" s="21"/>
      <c r="O321" s="21"/>
      <c r="P321" s="21"/>
      <c r="Q321" s="21"/>
      <c r="R321" s="21"/>
      <c r="S321" s="21"/>
      <c r="T321" s="21"/>
      <c r="U321" s="21"/>
      <c r="V321" s="21"/>
    </row>
    <row r="322" spans="3:22">
      <c r="C322" s="21"/>
      <c r="D322" s="21"/>
      <c r="E322" s="21"/>
      <c r="F322" s="21"/>
      <c r="G322" s="21"/>
      <c r="H322" s="21"/>
      <c r="I322" s="21"/>
      <c r="J322" s="21"/>
      <c r="K322" s="21"/>
      <c r="L322" s="21"/>
      <c r="M322" s="21"/>
      <c r="N322" s="21"/>
      <c r="O322" s="21"/>
      <c r="P322" s="21"/>
      <c r="Q322" s="21"/>
      <c r="R322" s="21"/>
      <c r="S322" s="21"/>
      <c r="T322" s="21"/>
      <c r="U322" s="21"/>
      <c r="V322" s="21"/>
    </row>
    <row r="323" spans="3:22">
      <c r="C323" s="21"/>
      <c r="D323" s="21"/>
      <c r="E323" s="21"/>
      <c r="F323" s="21"/>
      <c r="G323" s="21"/>
      <c r="H323" s="21"/>
      <c r="I323" s="21"/>
      <c r="J323" s="21"/>
      <c r="K323" s="21"/>
      <c r="L323" s="21"/>
      <c r="M323" s="21"/>
      <c r="N323" s="21"/>
      <c r="O323" s="21"/>
      <c r="P323" s="21"/>
      <c r="Q323" s="21"/>
      <c r="R323" s="21"/>
      <c r="S323" s="21"/>
      <c r="T323" s="21"/>
      <c r="U323" s="21"/>
      <c r="V323" s="21"/>
    </row>
    <row r="324" spans="3:22">
      <c r="C324" s="21"/>
      <c r="D324" s="21"/>
      <c r="E324" s="21"/>
      <c r="F324" s="21"/>
      <c r="G324" s="21"/>
      <c r="H324" s="21"/>
      <c r="I324" s="21"/>
      <c r="J324" s="21"/>
      <c r="K324" s="21"/>
      <c r="L324" s="21"/>
      <c r="M324" s="21"/>
      <c r="N324" s="21"/>
      <c r="O324" s="21"/>
      <c r="P324" s="21"/>
      <c r="Q324" s="21"/>
      <c r="R324" s="21"/>
      <c r="S324" s="21"/>
      <c r="T324" s="21"/>
      <c r="U324" s="21"/>
      <c r="V324" s="21"/>
    </row>
    <row r="325" spans="3:22">
      <c r="C325" s="21"/>
      <c r="D325" s="21"/>
      <c r="E325" s="21"/>
      <c r="F325" s="21"/>
      <c r="G325" s="21"/>
      <c r="H325" s="21"/>
      <c r="I325" s="21"/>
      <c r="J325" s="21"/>
      <c r="K325" s="21"/>
      <c r="L325" s="21"/>
      <c r="M325" s="21"/>
      <c r="N325" s="21"/>
      <c r="O325" s="21"/>
      <c r="P325" s="21"/>
      <c r="Q325" s="21"/>
      <c r="R325" s="21"/>
      <c r="S325" s="21"/>
      <c r="T325" s="21"/>
      <c r="U325" s="21"/>
      <c r="V325" s="21"/>
    </row>
    <row r="326" spans="3:22">
      <c r="C326" s="21"/>
      <c r="D326" s="21"/>
      <c r="E326" s="21"/>
      <c r="F326" s="21"/>
      <c r="G326" s="21"/>
      <c r="H326" s="21"/>
      <c r="I326" s="21"/>
      <c r="J326" s="21"/>
      <c r="K326" s="21"/>
      <c r="L326" s="21"/>
      <c r="M326" s="21"/>
      <c r="N326" s="21"/>
      <c r="O326" s="21"/>
      <c r="P326" s="21"/>
      <c r="Q326" s="21"/>
      <c r="R326" s="21"/>
      <c r="S326" s="21"/>
      <c r="T326" s="21"/>
      <c r="U326" s="21"/>
      <c r="V326" s="21"/>
    </row>
    <row r="327" spans="3:22">
      <c r="C327" s="21"/>
      <c r="D327" s="21"/>
      <c r="E327" s="21"/>
      <c r="F327" s="21"/>
      <c r="G327" s="21"/>
      <c r="H327" s="21"/>
      <c r="I327" s="21"/>
      <c r="J327" s="21"/>
      <c r="K327" s="21"/>
      <c r="L327" s="21"/>
      <c r="M327" s="21"/>
      <c r="N327" s="21"/>
      <c r="O327" s="21"/>
      <c r="P327" s="21"/>
      <c r="Q327" s="21"/>
      <c r="R327" s="21"/>
      <c r="S327" s="21"/>
      <c r="T327" s="21"/>
      <c r="U327" s="21"/>
      <c r="V327" s="21"/>
    </row>
    <row r="328" spans="3:22">
      <c r="C328" s="21"/>
      <c r="D328" s="21"/>
      <c r="E328" s="21"/>
      <c r="F328" s="21"/>
      <c r="G328" s="21"/>
      <c r="H328" s="21"/>
      <c r="I328" s="21"/>
      <c r="J328" s="21"/>
      <c r="K328" s="21"/>
      <c r="L328" s="21"/>
      <c r="M328" s="21"/>
      <c r="N328" s="21"/>
      <c r="O328" s="21"/>
      <c r="P328" s="21"/>
      <c r="Q328" s="21"/>
      <c r="R328" s="21"/>
      <c r="S328" s="21"/>
      <c r="T328" s="21"/>
      <c r="U328" s="21"/>
      <c r="V328" s="21"/>
    </row>
  </sheetData>
  <mergeCells count="3">
    <mergeCell ref="A1:U1"/>
    <mergeCell ref="A2:U2"/>
    <mergeCell ref="A3:U3"/>
  </mergeCells>
  <pageMargins left="0.75" right="0.75" top="1" bottom="1" header="0.5" footer="0.5"/>
  <pageSetup scale="51" fitToHeight="0" orientation="landscape" r:id="rId1"/>
  <headerFooter alignWithMargins="0">
    <oddFooter>&amp;L&amp;Z
&amp;F&amp;C&amp;A&amp;R2.&amp;P</oddFooter>
  </headerFooter>
  <rowBreaks count="2" manualBreakCount="2">
    <brk id="49" max="16383" man="1"/>
    <brk id="126" max="16383" man="1"/>
  </rowBreaks>
  <legacyDrawing r:id="rId2"/>
</worksheet>
</file>

<file path=xl/worksheets/sheet52.xml><?xml version="1.0" encoding="utf-8"?>
<worksheet xmlns="http://schemas.openxmlformats.org/spreadsheetml/2006/main" xmlns:r="http://schemas.openxmlformats.org/officeDocument/2006/relationships">
  <sheetPr codeName="Sheet89">
    <pageSetUpPr fitToPage="1"/>
  </sheetPr>
  <dimension ref="A1:AA37"/>
  <sheetViews>
    <sheetView workbookViewId="0">
      <selection sqref="A1:P1"/>
    </sheetView>
  </sheetViews>
  <sheetFormatPr defaultRowHeight="12.75"/>
  <cols>
    <col min="1" max="2" width="9.140625" style="10"/>
    <col min="3" max="3" width="14" style="10" bestFit="1" customWidth="1"/>
    <col min="4" max="4" width="1.85546875" style="10" customWidth="1"/>
    <col min="5" max="5" width="9.140625" style="10"/>
    <col min="6" max="6" width="1.85546875" style="10" customWidth="1"/>
    <col min="7" max="7" width="13.140625" style="10" bestFit="1" customWidth="1"/>
    <col min="8" max="8" width="2" style="10" customWidth="1"/>
    <col min="9" max="9" width="13.28515625" style="10" customWidth="1"/>
    <col min="10" max="10" width="1.7109375" style="10" customWidth="1"/>
    <col min="11" max="11" width="13.28515625" style="10" customWidth="1"/>
    <col min="12" max="12" width="1.7109375" style="10" customWidth="1"/>
    <col min="13" max="13" width="14.28515625" style="10" bestFit="1" customWidth="1"/>
    <col min="14" max="14" width="2.140625" style="10" customWidth="1"/>
    <col min="15" max="15" width="13.5703125" style="10" bestFit="1" customWidth="1"/>
    <col min="16" max="16" width="2" style="10" customWidth="1"/>
    <col min="17" max="17" width="11.85546875" style="10" bestFit="1" customWidth="1"/>
    <col min="18" max="18" width="1.7109375" style="10" customWidth="1"/>
    <col min="19" max="19" width="11.85546875" style="10" bestFit="1" customWidth="1"/>
    <col min="20" max="20" width="1.7109375" style="10" customWidth="1"/>
    <col min="21" max="21" width="14" style="10" bestFit="1" customWidth="1"/>
    <col min="22" max="22" width="17.42578125" style="10" customWidth="1"/>
    <col min="23" max="16384" width="9.140625" style="10"/>
  </cols>
  <sheetData>
    <row r="1" spans="1:27">
      <c r="A1" s="359" t="s">
        <v>134</v>
      </c>
      <c r="B1" s="359"/>
      <c r="C1" s="359"/>
      <c r="D1" s="359"/>
      <c r="E1" s="359"/>
      <c r="F1" s="359"/>
      <c r="G1" s="359"/>
      <c r="H1" s="359"/>
      <c r="I1" s="359"/>
      <c r="J1" s="359"/>
      <c r="K1" s="359"/>
      <c r="L1" s="359"/>
      <c r="M1" s="359"/>
      <c r="N1" s="359"/>
      <c r="O1" s="359"/>
      <c r="P1" s="359"/>
      <c r="Q1" s="359"/>
      <c r="R1" s="359"/>
      <c r="S1" s="359"/>
      <c r="T1" s="359"/>
      <c r="U1" s="359"/>
    </row>
    <row r="2" spans="1:27">
      <c r="A2" s="359" t="s">
        <v>1179</v>
      </c>
      <c r="B2" s="359"/>
      <c r="C2" s="359"/>
      <c r="D2" s="359"/>
      <c r="E2" s="359"/>
      <c r="F2" s="359"/>
      <c r="G2" s="359"/>
      <c r="H2" s="359"/>
      <c r="I2" s="359"/>
      <c r="J2" s="359"/>
      <c r="K2" s="359"/>
      <c r="L2" s="359"/>
      <c r="M2" s="359"/>
      <c r="N2" s="359"/>
      <c r="O2" s="359"/>
      <c r="P2" s="359"/>
      <c r="Q2" s="359"/>
      <c r="R2" s="359"/>
      <c r="S2" s="359"/>
      <c r="T2" s="359"/>
      <c r="U2" s="359"/>
    </row>
    <row r="3" spans="1:27">
      <c r="A3" s="361" t="str">
        <f>'Summary - Cost - PG 1 (Tot)'!A3:N3</f>
        <v>MARCH 2012</v>
      </c>
      <c r="B3" s="361"/>
      <c r="C3" s="361"/>
      <c r="D3" s="361"/>
      <c r="E3" s="361"/>
      <c r="F3" s="361"/>
      <c r="G3" s="361"/>
      <c r="H3" s="361"/>
      <c r="I3" s="361"/>
      <c r="J3" s="361"/>
      <c r="K3" s="361"/>
      <c r="L3" s="361"/>
      <c r="M3" s="361"/>
      <c r="N3" s="361"/>
      <c r="O3" s="361"/>
      <c r="P3" s="361"/>
      <c r="Q3" s="361"/>
      <c r="R3" s="361"/>
      <c r="S3" s="361"/>
      <c r="T3" s="361"/>
      <c r="U3" s="361"/>
    </row>
    <row r="4" spans="1:27">
      <c r="A4" s="313"/>
      <c r="B4" s="313"/>
      <c r="C4" s="313"/>
      <c r="D4" s="313"/>
      <c r="E4" s="313"/>
      <c r="F4" s="313"/>
      <c r="G4" s="313"/>
      <c r="H4" s="313"/>
      <c r="I4" s="313"/>
      <c r="J4" s="313"/>
      <c r="K4" s="313"/>
      <c r="L4" s="313"/>
      <c r="M4" s="313"/>
      <c r="N4" s="313"/>
      <c r="O4" s="313"/>
      <c r="P4" s="313"/>
      <c r="Q4" s="313"/>
      <c r="R4" s="313"/>
      <c r="S4" s="313"/>
      <c r="T4" s="313"/>
      <c r="U4" s="313"/>
    </row>
    <row r="6" spans="1:27">
      <c r="C6" s="84" t="s">
        <v>25</v>
      </c>
      <c r="E6" s="24"/>
      <c r="G6" s="24"/>
      <c r="I6" s="84" t="s">
        <v>612</v>
      </c>
      <c r="J6" s="84"/>
      <c r="K6" s="84" t="s">
        <v>1377</v>
      </c>
      <c r="M6" s="84" t="s">
        <v>28</v>
      </c>
      <c r="O6" s="85" t="s">
        <v>37</v>
      </c>
      <c r="Q6" s="84"/>
      <c r="S6" s="84" t="s">
        <v>39</v>
      </c>
      <c r="U6" s="84" t="s">
        <v>26</v>
      </c>
    </row>
    <row r="7" spans="1:27">
      <c r="C7" s="43" t="s">
        <v>27</v>
      </c>
      <c r="E7" s="43" t="s">
        <v>954</v>
      </c>
      <c r="G7" s="43" t="s">
        <v>108</v>
      </c>
      <c r="I7" s="43" t="s">
        <v>613</v>
      </c>
      <c r="J7" s="85"/>
      <c r="K7" s="43" t="s">
        <v>1378</v>
      </c>
      <c r="M7" s="43" t="s">
        <v>29</v>
      </c>
      <c r="O7" s="43" t="s">
        <v>38</v>
      </c>
      <c r="Q7" s="43" t="s">
        <v>955</v>
      </c>
      <c r="S7" s="43" t="s">
        <v>105</v>
      </c>
      <c r="U7" s="43" t="s">
        <v>27</v>
      </c>
    </row>
    <row r="10" spans="1:27">
      <c r="A10" s="12" t="s">
        <v>656</v>
      </c>
      <c r="C10" s="24"/>
      <c r="D10" s="24"/>
      <c r="E10" s="24"/>
      <c r="F10" s="24"/>
      <c r="G10" s="24"/>
      <c r="H10" s="24"/>
      <c r="I10" s="24"/>
      <c r="J10" s="24"/>
      <c r="K10" s="24"/>
      <c r="L10" s="24"/>
      <c r="M10" s="24"/>
      <c r="N10" s="24"/>
      <c r="O10" s="24"/>
      <c r="P10" s="24"/>
      <c r="Q10" s="24"/>
      <c r="R10" s="24"/>
      <c r="S10" s="24"/>
      <c r="T10" s="24"/>
      <c r="U10" s="24"/>
      <c r="V10" s="71"/>
      <c r="W10" s="71"/>
      <c r="X10" s="71"/>
      <c r="Y10" s="71"/>
      <c r="Z10" s="71"/>
      <c r="AA10" s="71"/>
    </row>
    <row r="11" spans="1:27">
      <c r="B11" s="10" t="s">
        <v>652</v>
      </c>
      <c r="C11" s="24">
        <f>+'RWIP BY ACCOUNT - PG 2A (Fin)'!C11</f>
        <v>149762.35</v>
      </c>
      <c r="D11" s="24"/>
      <c r="E11" s="24">
        <f>+'RWIP BY ACCOUNT - PG 2A (Fin)'!E11</f>
        <v>0</v>
      </c>
      <c r="F11" s="24"/>
      <c r="G11" s="24">
        <f>+'RWIP BY ACCOUNT - PG 2A (Fin)'!G11</f>
        <v>0</v>
      </c>
      <c r="H11" s="24"/>
      <c r="I11" s="24">
        <f>+'RWIP BY ACCOUNT - PG 2A (Fin)'!I11</f>
        <v>0</v>
      </c>
      <c r="J11" s="24"/>
      <c r="K11" s="24">
        <f>+'RWIP BY ACCOUNT - PG 2A (Fin)'!K11</f>
        <v>0</v>
      </c>
      <c r="L11" s="24"/>
      <c r="M11" s="24">
        <f>+'RWIP BY ACCOUNT - PG 2A (Fin)'!M11</f>
        <v>-13557.84</v>
      </c>
      <c r="N11" s="24"/>
      <c r="O11" s="24">
        <f>+'RWIP BY ACCOUNT - PG 2A (Fin)'!O11</f>
        <v>-17161.189999999999</v>
      </c>
      <c r="P11" s="24"/>
      <c r="Q11" s="24">
        <f>+'RWIP BY ACCOUNT - PG 2A (Fin)'!Q11</f>
        <v>-10496.95</v>
      </c>
      <c r="R11" s="24"/>
      <c r="S11" s="24">
        <f>+'RWIP BY ACCOUNT - PG 2A (Fin)'!S11</f>
        <v>0</v>
      </c>
      <c r="T11" s="24"/>
      <c r="U11" s="24">
        <f>S11+Q11+O11+M11+I11+G11+E11+C11+K11</f>
        <v>108546.37000000001</v>
      </c>
      <c r="V11" s="82"/>
      <c r="W11" s="71"/>
      <c r="X11" s="82"/>
      <c r="Y11" s="82"/>
      <c r="Z11" s="71"/>
      <c r="AA11" s="71"/>
    </row>
    <row r="12" spans="1:27">
      <c r="B12" s="10" t="s">
        <v>112</v>
      </c>
      <c r="C12" s="24">
        <f>+'RWIP BY ACCOUNT - PG 2A (Fin)'!C12</f>
        <v>11924715.030000003</v>
      </c>
      <c r="D12" s="24"/>
      <c r="E12" s="24">
        <f>+'RWIP BY ACCOUNT - PG 2A (Fin)'!E12</f>
        <v>0</v>
      </c>
      <c r="F12" s="24"/>
      <c r="G12" s="24">
        <f>+'RWIP BY ACCOUNT - PG 2A (Fin)'!G12</f>
        <v>0</v>
      </c>
      <c r="H12" s="24"/>
      <c r="I12" s="24">
        <f>+'RWIP BY ACCOUNT - PG 2A (Fin)'!I12</f>
        <v>-14615.87</v>
      </c>
      <c r="J12" s="24"/>
      <c r="K12" s="24">
        <f>+'RWIP BY ACCOUNT - PG 2A (Fin)'!K12</f>
        <v>0</v>
      </c>
      <c r="L12" s="24"/>
      <c r="M12" s="24">
        <f>+'RWIP BY ACCOUNT - PG 2A (Fin)'!M12</f>
        <v>-4039482.9699999997</v>
      </c>
      <c r="N12" s="24"/>
      <c r="O12" s="24">
        <f>+'RWIP BY ACCOUNT - PG 2A (Fin)'!O12</f>
        <v>5226585.53</v>
      </c>
      <c r="P12" s="24"/>
      <c r="Q12" s="24">
        <f>+'RWIP BY ACCOUNT - PG 2A (Fin)'!Q12</f>
        <v>-301510.06</v>
      </c>
      <c r="R12" s="24"/>
      <c r="S12" s="24">
        <f>+'RWIP BY ACCOUNT - PG 2A (Fin)'!S12</f>
        <v>-83094.73</v>
      </c>
      <c r="T12" s="24"/>
      <c r="U12" s="24">
        <f>S12+Q12+O12+M12+I12+G12+E12+C12+K12</f>
        <v>12712596.930000003</v>
      </c>
      <c r="V12" s="82"/>
      <c r="W12" s="71"/>
      <c r="X12" s="82"/>
      <c r="Y12" s="82"/>
      <c r="Z12" s="71"/>
      <c r="AA12" s="71"/>
    </row>
    <row r="13" spans="1:27">
      <c r="B13" s="10" t="s">
        <v>120</v>
      </c>
      <c r="C13" s="24">
        <f>+'RWIP BY ACCOUNT - PG 2A (Fin)'!C13</f>
        <v>1590687.7799999993</v>
      </c>
      <c r="D13" s="24"/>
      <c r="E13" s="24">
        <f>+'RWIP BY ACCOUNT - PG 2A (Fin)'!E13</f>
        <v>0</v>
      </c>
      <c r="F13" s="24"/>
      <c r="G13" s="24">
        <f>+'RWIP BY ACCOUNT - PG 2A (Fin)'!G13</f>
        <v>0</v>
      </c>
      <c r="H13" s="24"/>
      <c r="I13" s="24">
        <f>+'RWIP BY ACCOUNT - PG 2A (Fin)'!I13</f>
        <v>14615.87</v>
      </c>
      <c r="J13" s="24"/>
      <c r="K13" s="24">
        <f>+'RWIP BY ACCOUNT - PG 2A (Fin)'!K13</f>
        <v>0</v>
      </c>
      <c r="L13" s="24"/>
      <c r="M13" s="24">
        <f>+'RWIP BY ACCOUNT - PG 2A (Fin)'!M13</f>
        <v>-81453.78</v>
      </c>
      <c r="N13" s="24"/>
      <c r="O13" s="24">
        <f>+'RWIP BY ACCOUNT - PG 2A (Fin)'!O13</f>
        <v>284819.84999999998</v>
      </c>
      <c r="P13" s="24"/>
      <c r="Q13" s="24">
        <f>+'RWIP BY ACCOUNT - PG 2A (Fin)'!Q13</f>
        <v>-1181.0900000000001</v>
      </c>
      <c r="R13" s="24"/>
      <c r="S13" s="24">
        <f>+'RWIP BY ACCOUNT - PG 2A (Fin)'!S13</f>
        <v>0</v>
      </c>
      <c r="T13" s="24"/>
      <c r="U13" s="24">
        <f>S13+Q13+O13+M13+I13+G13+E13+C13+K13</f>
        <v>1807488.6299999992</v>
      </c>
      <c r="V13" s="82"/>
      <c r="W13" s="71"/>
      <c r="X13" s="82"/>
      <c r="Y13" s="82"/>
      <c r="Z13" s="71"/>
      <c r="AA13" s="71"/>
    </row>
    <row r="14" spans="1:27">
      <c r="B14" s="11"/>
      <c r="C14" s="25">
        <f>SUM(C11:C13)</f>
        <v>13665165.160000002</v>
      </c>
      <c r="D14" s="24"/>
      <c r="E14" s="25">
        <f>SUM(E11:E13)</f>
        <v>0</v>
      </c>
      <c r="F14" s="24"/>
      <c r="G14" s="25">
        <f>SUM(G11:G13)</f>
        <v>0</v>
      </c>
      <c r="H14" s="24"/>
      <c r="I14" s="25">
        <f>SUM(I11:I13)</f>
        <v>0</v>
      </c>
      <c r="J14" s="27"/>
      <c r="K14" s="25">
        <f>SUM(K11:K13)</f>
        <v>0</v>
      </c>
      <c r="L14" s="24"/>
      <c r="M14" s="25">
        <f>SUM(M11:M13)</f>
        <v>-4134494.5899999994</v>
      </c>
      <c r="N14" s="24"/>
      <c r="O14" s="25">
        <f>SUM(O11:O13)</f>
        <v>5494244.1899999995</v>
      </c>
      <c r="P14" s="24"/>
      <c r="Q14" s="25">
        <f>SUM(Q11:Q13)</f>
        <v>-313188.10000000003</v>
      </c>
      <c r="R14" s="24"/>
      <c r="S14" s="25">
        <f>SUM(S11:S13)</f>
        <v>-83094.73</v>
      </c>
      <c r="T14" s="24"/>
      <c r="U14" s="25">
        <f>SUM(U11:U13)</f>
        <v>14628631.930000002</v>
      </c>
      <c r="V14" s="27"/>
      <c r="W14" s="27"/>
      <c r="X14" s="82"/>
      <c r="Y14" s="118"/>
      <c r="Z14" s="71"/>
      <c r="AA14" s="71"/>
    </row>
    <row r="16" spans="1:27">
      <c r="A16" s="12" t="s">
        <v>1094</v>
      </c>
    </row>
    <row r="17" spans="1:21">
      <c r="B17" s="10" t="s">
        <v>652</v>
      </c>
      <c r="C17" s="24">
        <f>+'RWIP BY ACCOUNT - PG 2A (Fin)'!C17</f>
        <v>0</v>
      </c>
      <c r="E17" s="24">
        <f>+'RWIP BY ACCOUNT - PG 2A (Fin)'!E17</f>
        <v>0</v>
      </c>
      <c r="G17" s="24">
        <f>+'RWIP BY ACCOUNT - PG 2A (Fin)'!G17</f>
        <v>0</v>
      </c>
      <c r="I17" s="24">
        <f>+'RWIP BY ACCOUNT - PG 2A (Fin)'!I17</f>
        <v>0</v>
      </c>
      <c r="J17" s="24"/>
      <c r="K17" s="24">
        <f>+'RWIP BY ACCOUNT - PG 2A (Fin)'!K17</f>
        <v>0</v>
      </c>
      <c r="M17" s="24">
        <f>+'RWIP BY ACCOUNT - PG 2A (Fin)'!M17</f>
        <v>0</v>
      </c>
      <c r="O17" s="24">
        <f>+'RWIP BY ACCOUNT - PG 2A (Fin)'!O17</f>
        <v>0</v>
      </c>
      <c r="Q17" s="24">
        <f>+'RWIP BY ACCOUNT - PG 2A (Fin)'!Q17</f>
        <v>0</v>
      </c>
      <c r="S17" s="24">
        <f>+'RWIP BY ACCOUNT - PG 2A (Fin)'!S17</f>
        <v>0</v>
      </c>
      <c r="U17" s="24">
        <f>S17+Q17+O17+M17+I17+G17+E17+C17+K17</f>
        <v>0</v>
      </c>
    </row>
    <row r="18" spans="1:21">
      <c r="B18" s="10" t="s">
        <v>112</v>
      </c>
      <c r="C18" s="24">
        <f>+'RWIP BY ACCOUNT - PG 2A (Fin)'!C18</f>
        <v>0</v>
      </c>
      <c r="E18" s="24">
        <f>+'RWIP BY ACCOUNT - PG 2A (Fin)'!E18</f>
        <v>0</v>
      </c>
      <c r="G18" s="24">
        <f>+'RWIP BY ACCOUNT - PG 2A (Fin)'!G18</f>
        <v>0</v>
      </c>
      <c r="I18" s="24">
        <f>+'RWIP BY ACCOUNT - PG 2A (Fin)'!I18</f>
        <v>0</v>
      </c>
      <c r="J18" s="24"/>
      <c r="K18" s="24">
        <f>+'RWIP BY ACCOUNT - PG 2A (Fin)'!K18</f>
        <v>0</v>
      </c>
      <c r="M18" s="24">
        <f>+'RWIP BY ACCOUNT - PG 2A (Fin)'!M18</f>
        <v>0</v>
      </c>
      <c r="O18" s="24">
        <f>+'RWIP BY ACCOUNT - PG 2A (Fin)'!O18</f>
        <v>0</v>
      </c>
      <c r="Q18" s="24">
        <f>+'RWIP BY ACCOUNT - PG 2A (Fin)'!Q18</f>
        <v>0</v>
      </c>
      <c r="S18" s="24">
        <f>+'RWIP BY ACCOUNT - PG 2A (Fin)'!S18</f>
        <v>0</v>
      </c>
      <c r="U18" s="24">
        <f>S18+Q18+O18+M18+I18+G18+E18+C18+K18</f>
        <v>0</v>
      </c>
    </row>
    <row r="19" spans="1:21">
      <c r="B19" s="10" t="s">
        <v>120</v>
      </c>
      <c r="C19" s="24">
        <f>+'RWIP BY ACCOUNT - PG 2A (Fin)'!C19</f>
        <v>0</v>
      </c>
      <c r="E19" s="24">
        <f>+'RWIP BY ACCOUNT - PG 2A (Fin)'!E19</f>
        <v>0</v>
      </c>
      <c r="G19" s="24">
        <f>+'RWIP BY ACCOUNT - PG 2A (Fin)'!G19</f>
        <v>0</v>
      </c>
      <c r="I19" s="24">
        <f>+'RWIP BY ACCOUNT - PG 2A (Fin)'!I19</f>
        <v>0</v>
      </c>
      <c r="J19" s="24"/>
      <c r="K19" s="24">
        <f>+'RWIP BY ACCOUNT - PG 2A (Fin)'!K19</f>
        <v>0</v>
      </c>
      <c r="M19" s="24">
        <f>+'RWIP BY ACCOUNT - PG 2A (Fin)'!M19</f>
        <v>0</v>
      </c>
      <c r="O19" s="24">
        <f>+'RWIP BY ACCOUNT - PG 2A (Fin)'!O19</f>
        <v>0</v>
      </c>
      <c r="Q19" s="24">
        <f>+'RWIP BY ACCOUNT - PG 2A (Fin)'!Q19</f>
        <v>0</v>
      </c>
      <c r="S19" s="24">
        <f>+'RWIP BY ACCOUNT - PG 2A (Fin)'!S19</f>
        <v>0</v>
      </c>
      <c r="U19" s="24">
        <f>S19+Q19+O19+M19+I19+G19+E19+C19+K19</f>
        <v>0</v>
      </c>
    </row>
    <row r="20" spans="1:21">
      <c r="C20" s="25">
        <f>SUM(C17:C19)</f>
        <v>0</v>
      </c>
      <c r="E20" s="25">
        <f>SUM(E17:E19)</f>
        <v>0</v>
      </c>
      <c r="G20" s="25">
        <f>SUM(G17:G19)</f>
        <v>0</v>
      </c>
      <c r="I20" s="25">
        <f>SUM(I17:I19)</f>
        <v>0</v>
      </c>
      <c r="J20" s="27"/>
      <c r="K20" s="25">
        <f>SUM(K17:K19)</f>
        <v>0</v>
      </c>
      <c r="M20" s="25">
        <f>SUM(M17:M19)</f>
        <v>0</v>
      </c>
      <c r="O20" s="25">
        <f>SUM(O17:O19)</f>
        <v>0</v>
      </c>
      <c r="Q20" s="25">
        <f>SUM(Q17:Q19)</f>
        <v>0</v>
      </c>
      <c r="S20" s="25">
        <f>SUM(S17:S19)</f>
        <v>0</v>
      </c>
      <c r="U20" s="25">
        <f>SUM(U17:U19)</f>
        <v>0</v>
      </c>
    </row>
    <row r="21" spans="1:21">
      <c r="A21" s="12" t="s">
        <v>1095</v>
      </c>
    </row>
    <row r="22" spans="1:21">
      <c r="B22" s="10" t="s">
        <v>652</v>
      </c>
      <c r="C22" s="24">
        <f>+'RWIP BY ACCOUNT - PG 2A (Fin)'!C22</f>
        <v>0</v>
      </c>
      <c r="E22" s="24">
        <f>+'RWIP BY ACCOUNT - PG 2A (Fin)'!E22</f>
        <v>0</v>
      </c>
      <c r="G22" s="24">
        <f>+'RWIP BY ACCOUNT - PG 2A (Fin)'!G22</f>
        <v>0</v>
      </c>
      <c r="I22" s="24">
        <f>+'RWIP BY ACCOUNT - PG 2A (Fin)'!I22</f>
        <v>0</v>
      </c>
      <c r="J22" s="24"/>
      <c r="K22" s="24">
        <f>+'RWIP BY ACCOUNT - PG 2A (Fin)'!K22</f>
        <v>0</v>
      </c>
      <c r="M22" s="24">
        <f>+'RWIP BY ACCOUNT - PG 2A (Fin)'!M22</f>
        <v>0</v>
      </c>
      <c r="O22" s="24">
        <f>+'RWIP BY ACCOUNT - PG 2A (Fin)'!O22</f>
        <v>0</v>
      </c>
      <c r="Q22" s="24">
        <f>+'RWIP BY ACCOUNT - PG 2A (Fin)'!Q22</f>
        <v>0</v>
      </c>
      <c r="S22" s="24">
        <f>+'RWIP BY ACCOUNT - PG 2A (Fin)'!S22</f>
        <v>0</v>
      </c>
      <c r="U22" s="24">
        <f>S22+Q22+O22+M22+I22+G22+E22+C22+K22</f>
        <v>0</v>
      </c>
    </row>
    <row r="23" spans="1:21">
      <c r="B23" s="10" t="s">
        <v>112</v>
      </c>
      <c r="C23" s="24">
        <f>+'RWIP BY ACCOUNT - PG 2A (Fin)'!C23</f>
        <v>1543397.0899999994</v>
      </c>
      <c r="E23" s="24">
        <f>+'RWIP BY ACCOUNT - PG 2A (Fin)'!E23</f>
        <v>0</v>
      </c>
      <c r="G23" s="24">
        <f>+'RWIP BY ACCOUNT - PG 2A (Fin)'!G23</f>
        <v>0</v>
      </c>
      <c r="I23" s="24">
        <f>+'RWIP BY ACCOUNT - PG 2A (Fin)'!I23</f>
        <v>0</v>
      </c>
      <c r="J23" s="24"/>
      <c r="K23" s="24">
        <f>+'RWIP BY ACCOUNT - PG 2A (Fin)'!K23</f>
        <v>0</v>
      </c>
      <c r="M23" s="24">
        <f>+'RWIP BY ACCOUNT - PG 2A (Fin)'!M23</f>
        <v>0</v>
      </c>
      <c r="O23" s="24">
        <f>+'RWIP BY ACCOUNT - PG 2A (Fin)'!O23</f>
        <v>27883.1</v>
      </c>
      <c r="Q23" s="24">
        <f>+'RWIP BY ACCOUNT - PG 2A (Fin)'!Q23</f>
        <v>0</v>
      </c>
      <c r="S23" s="24">
        <f>+'RWIP BY ACCOUNT - PG 2A (Fin)'!S23</f>
        <v>0</v>
      </c>
      <c r="U23" s="24">
        <f>S23+Q23+O23+M23+I23+G23+E23+C23+K23</f>
        <v>1571280.1899999995</v>
      </c>
    </row>
    <row r="24" spans="1:21">
      <c r="B24" s="10" t="s">
        <v>120</v>
      </c>
      <c r="C24" s="24">
        <f>+'RWIP BY ACCOUNT - PG 2A (Fin)'!C24</f>
        <v>206491.79999999958</v>
      </c>
      <c r="E24" s="24">
        <f>+'RWIP BY ACCOUNT - PG 2A (Fin)'!E24</f>
        <v>0</v>
      </c>
      <c r="G24" s="24">
        <f>+'RWIP BY ACCOUNT - PG 2A (Fin)'!G24</f>
        <v>0</v>
      </c>
      <c r="I24" s="24">
        <f>+'RWIP BY ACCOUNT - PG 2A (Fin)'!I24</f>
        <v>0</v>
      </c>
      <c r="J24" s="24"/>
      <c r="K24" s="24">
        <f>+'RWIP BY ACCOUNT - PG 2A (Fin)'!K24</f>
        <v>0</v>
      </c>
      <c r="M24" s="24">
        <f>+'RWIP BY ACCOUNT - PG 2A (Fin)'!M24</f>
        <v>0</v>
      </c>
      <c r="O24" s="24">
        <f>+'RWIP BY ACCOUNT - PG 2A (Fin)'!O24</f>
        <v>14447.33</v>
      </c>
      <c r="Q24" s="24">
        <f>+'RWIP BY ACCOUNT - PG 2A (Fin)'!Q24</f>
        <v>0</v>
      </c>
      <c r="S24" s="24">
        <f>+'RWIP BY ACCOUNT - PG 2A (Fin)'!S24</f>
        <v>0</v>
      </c>
      <c r="U24" s="24">
        <f>S24+Q24+O24+M24+I24+G24+E24+C24+K24</f>
        <v>220939.12999999957</v>
      </c>
    </row>
    <row r="25" spans="1:21">
      <c r="C25" s="25">
        <f>SUM(C22:C24)</f>
        <v>1749888.889999999</v>
      </c>
      <c r="E25" s="25">
        <f>SUM(E22:E24)</f>
        <v>0</v>
      </c>
      <c r="G25" s="25">
        <f>SUM(G22:G24)</f>
        <v>0</v>
      </c>
      <c r="I25" s="25">
        <f>SUM(I22:I24)</f>
        <v>0</v>
      </c>
      <c r="J25" s="27"/>
      <c r="K25" s="25">
        <f>SUM(K22:K24)</f>
        <v>0</v>
      </c>
      <c r="M25" s="25">
        <f>SUM(M22:M24)</f>
        <v>0</v>
      </c>
      <c r="O25" s="25">
        <f>SUM(O22:O24)</f>
        <v>42330.43</v>
      </c>
      <c r="Q25" s="25">
        <f>SUM(Q22:Q24)</f>
        <v>0</v>
      </c>
      <c r="S25" s="25">
        <f>SUM(S22:S24)</f>
        <v>0</v>
      </c>
      <c r="U25" s="25">
        <f>SUM(U22:U24)</f>
        <v>1792219.3199999991</v>
      </c>
    </row>
    <row r="26" spans="1:21">
      <c r="A26" s="12" t="s">
        <v>1096</v>
      </c>
    </row>
    <row r="27" spans="1:21">
      <c r="B27" s="10" t="s">
        <v>652</v>
      </c>
      <c r="C27" s="24">
        <f>+'RWIP BY ACCOUNT - PG 2A (Fin)'!C27</f>
        <v>149762.34999999995</v>
      </c>
      <c r="E27" s="24">
        <f>+'RWIP BY ACCOUNT - PG 2A (Fin)'!E27</f>
        <v>0</v>
      </c>
      <c r="G27" s="24">
        <f>+'RWIP BY ACCOUNT - PG 2A (Fin)'!G27</f>
        <v>0</v>
      </c>
      <c r="I27" s="24">
        <f>+'RWIP BY ACCOUNT - PG 2A (Fin)'!I27</f>
        <v>0</v>
      </c>
      <c r="J27" s="24"/>
      <c r="K27" s="24">
        <f>+'RWIP BY ACCOUNT - PG 2A (Fin)'!K27</f>
        <v>0</v>
      </c>
      <c r="M27" s="24">
        <f>+'RWIP BY ACCOUNT - PG 2A (Fin)'!M27</f>
        <v>-13557.84</v>
      </c>
      <c r="O27" s="24">
        <f>+'RWIP BY ACCOUNT - PG 2A (Fin)'!O27</f>
        <v>-17161.189999999999</v>
      </c>
      <c r="Q27" s="24">
        <f>+'RWIP BY ACCOUNT - PG 2A (Fin)'!Q27</f>
        <v>-10496.95</v>
      </c>
      <c r="S27" s="24">
        <f>+'RWIP BY ACCOUNT - PG 2A (Fin)'!S27</f>
        <v>0</v>
      </c>
      <c r="U27" s="24">
        <f>S27+Q27+O27+M27+I27+G27+E27+C27+K27</f>
        <v>108546.36999999995</v>
      </c>
    </row>
    <row r="28" spans="1:21">
      <c r="B28" s="10" t="s">
        <v>112</v>
      </c>
      <c r="C28" s="24">
        <f>+'RWIP BY ACCOUNT - PG 2A (Fin)'!C28</f>
        <v>10381317.940000001</v>
      </c>
      <c r="E28" s="24">
        <f>+'RWIP BY ACCOUNT - PG 2A (Fin)'!E28</f>
        <v>0</v>
      </c>
      <c r="G28" s="24">
        <f>+'RWIP BY ACCOUNT - PG 2A (Fin)'!G28</f>
        <v>0</v>
      </c>
      <c r="I28" s="24">
        <f>+'RWIP BY ACCOUNT - PG 2A (Fin)'!I28</f>
        <v>-14615.87</v>
      </c>
      <c r="J28" s="24"/>
      <c r="K28" s="24">
        <f>+'RWIP BY ACCOUNT - PG 2A (Fin)'!K28</f>
        <v>0</v>
      </c>
      <c r="M28" s="24">
        <f>+'RWIP BY ACCOUNT - PG 2A (Fin)'!M28</f>
        <v>-4039482.9699999997</v>
      </c>
      <c r="O28" s="24">
        <f>+'RWIP BY ACCOUNT - PG 2A (Fin)'!O28</f>
        <v>5198702.43</v>
      </c>
      <c r="Q28" s="24">
        <f>+'RWIP BY ACCOUNT - PG 2A (Fin)'!Q28</f>
        <v>-301510.06</v>
      </c>
      <c r="S28" s="24">
        <f>+'RWIP BY ACCOUNT - PG 2A (Fin)'!S28</f>
        <v>-83094.73</v>
      </c>
      <c r="U28" s="24">
        <f>S28+Q28+O28+M28+I28+G28+E28+C28+K28</f>
        <v>11141316.740000002</v>
      </c>
    </row>
    <row r="29" spans="1:21">
      <c r="B29" s="10" t="s">
        <v>120</v>
      </c>
      <c r="C29" s="24">
        <f>+'RWIP BY ACCOUNT - PG 2A (Fin)'!C29</f>
        <v>1384195.9800000004</v>
      </c>
      <c r="E29" s="24">
        <f>+'RWIP BY ACCOUNT - PG 2A (Fin)'!E29</f>
        <v>0</v>
      </c>
      <c r="G29" s="24">
        <f>+'RWIP BY ACCOUNT - PG 2A (Fin)'!G29</f>
        <v>0</v>
      </c>
      <c r="I29" s="24">
        <f>+'RWIP BY ACCOUNT - PG 2A (Fin)'!I29</f>
        <v>14615.87</v>
      </c>
      <c r="J29" s="24"/>
      <c r="K29" s="24">
        <f>+'RWIP BY ACCOUNT - PG 2A (Fin)'!K29</f>
        <v>0</v>
      </c>
      <c r="M29" s="24">
        <f>+'RWIP BY ACCOUNT - PG 2A (Fin)'!M29</f>
        <v>-81453.78</v>
      </c>
      <c r="O29" s="24">
        <f>+'RWIP BY ACCOUNT - PG 2A (Fin)'!O29</f>
        <v>270372.52</v>
      </c>
      <c r="Q29" s="24">
        <f>+'RWIP BY ACCOUNT - PG 2A (Fin)'!Q29</f>
        <v>-1181.0900000000001</v>
      </c>
      <c r="S29" s="24">
        <f>+'RWIP BY ACCOUNT - PG 2A (Fin)'!S29</f>
        <v>0</v>
      </c>
      <c r="U29" s="24">
        <f>S29+Q29+O29+M29+I29+G29+E29+C29+K29</f>
        <v>1586549.5000000005</v>
      </c>
    </row>
    <row r="30" spans="1:21">
      <c r="C30" s="25">
        <f>SUM(C27:C29)</f>
        <v>11915276.270000001</v>
      </c>
      <c r="E30" s="25">
        <f>SUM(E27:E29)</f>
        <v>0</v>
      </c>
      <c r="G30" s="25">
        <f>SUM(G27:G29)</f>
        <v>0</v>
      </c>
      <c r="I30" s="25">
        <f>SUM(I27:I29)</f>
        <v>0</v>
      </c>
      <c r="J30" s="27"/>
      <c r="K30" s="25">
        <f>SUM(K27:K29)</f>
        <v>0</v>
      </c>
      <c r="M30" s="25">
        <f>SUM(M27:M29)</f>
        <v>-4134494.5899999994</v>
      </c>
      <c r="O30" s="25">
        <f>SUM(O27:O29)</f>
        <v>5451913.7599999998</v>
      </c>
      <c r="Q30" s="25">
        <f>SUM(Q27:Q29)</f>
        <v>-313188.10000000003</v>
      </c>
      <c r="S30" s="25">
        <f>SUM(S27:S29)</f>
        <v>-83094.73</v>
      </c>
      <c r="U30" s="25">
        <f>SUM(U27:U29)</f>
        <v>12836412.610000001</v>
      </c>
    </row>
    <row r="31" spans="1:21">
      <c r="A31" s="12" t="s">
        <v>1097</v>
      </c>
    </row>
    <row r="32" spans="1:21">
      <c r="B32" s="10" t="s">
        <v>652</v>
      </c>
      <c r="C32" s="72">
        <f>+C17+C22+C27</f>
        <v>149762.34999999995</v>
      </c>
      <c r="E32" s="72">
        <f>+E17+E22+E27</f>
        <v>0</v>
      </c>
      <c r="G32" s="72">
        <f>+G17+G22+G27</f>
        <v>0</v>
      </c>
      <c r="I32" s="72">
        <f>+I17+I22+I27</f>
        <v>0</v>
      </c>
      <c r="J32" s="72"/>
      <c r="K32" s="72">
        <f>+K17+K22+K27</f>
        <v>0</v>
      </c>
      <c r="M32" s="72">
        <f>+M17+M22+M27</f>
        <v>-13557.84</v>
      </c>
      <c r="O32" s="72">
        <f>+O17+O22+O27</f>
        <v>-17161.189999999999</v>
      </c>
      <c r="Q32" s="72">
        <f>+Q17+Q22+Q27</f>
        <v>-10496.95</v>
      </c>
      <c r="S32" s="72">
        <f>+S17+S22+S27</f>
        <v>0</v>
      </c>
      <c r="U32" s="24">
        <f>S32+Q32+O32+M32+I32+G32+E32+C32+K32</f>
        <v>108546.36999999995</v>
      </c>
    </row>
    <row r="33" spans="2:22">
      <c r="B33" s="10" t="s">
        <v>112</v>
      </c>
      <c r="C33" s="72">
        <f>+C18+C23+C28</f>
        <v>11924715.030000001</v>
      </c>
      <c r="E33" s="72">
        <f>+E18+E23+E28</f>
        <v>0</v>
      </c>
      <c r="G33" s="72">
        <f>+G18+G23+G28</f>
        <v>0</v>
      </c>
      <c r="I33" s="72">
        <f>+I18+I23+I28</f>
        <v>-14615.87</v>
      </c>
      <c r="J33" s="72"/>
      <c r="K33" s="72">
        <f>+K18+K23+K28</f>
        <v>0</v>
      </c>
      <c r="M33" s="72">
        <f>+M18+M23+M28</f>
        <v>-4039482.9699999997</v>
      </c>
      <c r="O33" s="72">
        <f>+O18+O23+O28</f>
        <v>5226585.5299999993</v>
      </c>
      <c r="Q33" s="72">
        <f>+Q18+Q23+Q28</f>
        <v>-301510.06</v>
      </c>
      <c r="S33" s="72">
        <f>+S18+S23+S28</f>
        <v>-83094.73</v>
      </c>
      <c r="U33" s="24">
        <f>S33+Q33+O33+M33+I33+G33+E33+C33+K33</f>
        <v>12712596.930000002</v>
      </c>
      <c r="V33" s="72"/>
    </row>
    <row r="34" spans="2:22">
      <c r="B34" s="10" t="s">
        <v>120</v>
      </c>
      <c r="C34" s="72">
        <f>+C19+C24+C29</f>
        <v>1590687.78</v>
      </c>
      <c r="E34" s="72">
        <f>+E19+E24+E29</f>
        <v>0</v>
      </c>
      <c r="G34" s="72">
        <f>+G19+G24+G29</f>
        <v>0</v>
      </c>
      <c r="I34" s="72">
        <f>+I19+I24+I29</f>
        <v>14615.87</v>
      </c>
      <c r="J34" s="72"/>
      <c r="K34" s="72">
        <f>+K19+K24+K29</f>
        <v>0</v>
      </c>
      <c r="M34" s="72">
        <f>+M19+M24+M29</f>
        <v>-81453.78</v>
      </c>
      <c r="O34" s="72">
        <f>+O19+O24+O29</f>
        <v>284819.85000000003</v>
      </c>
      <c r="Q34" s="72">
        <f>+Q19+Q24+Q29</f>
        <v>-1181.0900000000001</v>
      </c>
      <c r="S34" s="72">
        <f>+S19+S24+S29</f>
        <v>0</v>
      </c>
      <c r="U34" s="24">
        <f>S34+Q34+O34+M34+I34+G34+E34+C34+K34</f>
        <v>1807488.6300000001</v>
      </c>
      <c r="V34" s="72"/>
    </row>
    <row r="35" spans="2:22">
      <c r="C35" s="25">
        <f>SUM(C32:C34)</f>
        <v>13665165.16</v>
      </c>
      <c r="E35" s="25">
        <f>SUM(E32:E34)</f>
        <v>0</v>
      </c>
      <c r="G35" s="25">
        <f>SUM(G32:G34)</f>
        <v>0</v>
      </c>
      <c r="I35" s="25">
        <f>SUM(I32:I34)</f>
        <v>0</v>
      </c>
      <c r="J35" s="27"/>
      <c r="K35" s="25">
        <f>SUM(K32:K34)</f>
        <v>0</v>
      </c>
      <c r="M35" s="25">
        <f>SUM(M32:M34)</f>
        <v>-4134494.5899999994</v>
      </c>
      <c r="O35" s="25">
        <f>SUM(O32:O34)</f>
        <v>5494244.1899999985</v>
      </c>
      <c r="Q35" s="25">
        <f>SUM(Q32:Q34)</f>
        <v>-313188.10000000003</v>
      </c>
      <c r="S35" s="25">
        <f>SUM(S32:S34)</f>
        <v>-83094.73</v>
      </c>
      <c r="U35" s="25">
        <f>SUM(U32:U34)</f>
        <v>14628631.930000002</v>
      </c>
    </row>
    <row r="37" spans="2:22">
      <c r="S37" s="10" t="s">
        <v>1104</v>
      </c>
      <c r="U37" s="72">
        <f>U14-U35</f>
        <v>0</v>
      </c>
    </row>
  </sheetData>
  <mergeCells count="3">
    <mergeCell ref="A1:U1"/>
    <mergeCell ref="A2:U2"/>
    <mergeCell ref="A3:U3"/>
  </mergeCells>
  <pageMargins left="0.7" right="0.7" top="0.75" bottom="0.75" header="0.3" footer="0.3"/>
  <pageSetup scale="76" orientation="landscape" r:id="rId1"/>
  <headerFooter>
    <oddFooter>&amp;L&amp;Z
&amp;F&amp;C&amp;A&amp;R2A.&amp;P</oddFooter>
  </headerFooter>
</worksheet>
</file>

<file path=xl/worksheets/sheet53.xml><?xml version="1.0" encoding="utf-8"?>
<worksheet xmlns="http://schemas.openxmlformats.org/spreadsheetml/2006/main" xmlns:r="http://schemas.openxmlformats.org/officeDocument/2006/relationships">
  <sheetPr codeName="Sheet90">
    <pageSetUpPr fitToPage="1"/>
  </sheetPr>
  <dimension ref="A1:AY310"/>
  <sheetViews>
    <sheetView zoomScale="70" zoomScaleNormal="70" workbookViewId="0">
      <pane xSplit="3" ySplit="8" topLeftCell="D9" activePane="bottomRight" state="frozen"/>
      <selection sqref="A1:P1"/>
      <selection pane="topRight" sqref="A1:P1"/>
      <selection pane="bottomLeft" sqref="A1:P1"/>
      <selection pane="bottomRight" sqref="A1:P1"/>
    </sheetView>
  </sheetViews>
  <sheetFormatPr defaultRowHeight="12.75" outlineLevelRow="3" outlineLevelCol="1"/>
  <cols>
    <col min="1" max="1" width="5" style="230" customWidth="1"/>
    <col min="2" max="2" width="8.140625" style="12" customWidth="1"/>
    <col min="3" max="3" width="29" style="184" customWidth="1"/>
    <col min="4" max="4" width="19.7109375" style="184" bestFit="1" customWidth="1"/>
    <col min="5" max="5" width="1.7109375" style="184" customWidth="1"/>
    <col min="6" max="6" width="17.7109375" style="184" hidden="1" customWidth="1" outlineLevel="1"/>
    <col min="7" max="7" width="1.7109375" style="184" hidden="1" customWidth="1" outlineLevel="1"/>
    <col min="8" max="8" width="17.7109375" style="184" hidden="1" customWidth="1" outlineLevel="1"/>
    <col min="9" max="9" width="1.7109375" style="184" hidden="1" customWidth="1" outlineLevel="1"/>
    <col min="10" max="10" width="18.85546875" style="184" hidden="1" customWidth="1" outlineLevel="1"/>
    <col min="11" max="11" width="1.7109375" style="184" hidden="1" customWidth="1" outlineLevel="1"/>
    <col min="12" max="12" width="18.85546875" style="184" hidden="1" customWidth="1" outlineLevel="1"/>
    <col min="13" max="13" width="1.7109375" style="184" hidden="1" customWidth="1" outlineLevel="1"/>
    <col min="14" max="14" width="18.42578125" style="184" hidden="1" customWidth="1" outlineLevel="1"/>
    <col min="15" max="15" width="1.7109375" style="184" hidden="1" customWidth="1" outlineLevel="1"/>
    <col min="16" max="16" width="17.7109375" style="184" hidden="1" customWidth="1" outlineLevel="1"/>
    <col min="17" max="17" width="1.7109375" style="184" hidden="1" customWidth="1" outlineLevel="1"/>
    <col min="18" max="18" width="17.7109375" style="184" hidden="1" customWidth="1" outlineLevel="1"/>
    <col min="19" max="19" width="1.7109375" style="184" hidden="1" customWidth="1" outlineLevel="1"/>
    <col min="20" max="20" width="17.7109375" style="184" hidden="1" customWidth="1" outlineLevel="1"/>
    <col min="21" max="21" width="1.7109375" style="184" hidden="1" customWidth="1" outlineLevel="1"/>
    <col min="22" max="22" width="19.28515625" style="184" customWidth="1" collapsed="1"/>
    <col min="23" max="23" width="1.7109375" style="184" customWidth="1"/>
    <col min="24" max="24" width="18" style="249" bestFit="1" customWidth="1"/>
    <col min="25" max="25" width="16.42578125" style="268" customWidth="1"/>
    <col min="26" max="26" width="15.5703125" style="257" customWidth="1"/>
    <col min="27" max="27" width="16" style="299" customWidth="1"/>
    <col min="28" max="28" width="14.5703125" style="257" bestFit="1" customWidth="1"/>
    <col min="29" max="29" width="15.85546875" style="184" bestFit="1" customWidth="1"/>
    <col min="30" max="30" width="12.85546875" style="184" customWidth="1"/>
    <col min="31" max="31" width="16.140625" style="184" bestFit="1" customWidth="1"/>
    <col min="32" max="32" width="16.140625" style="184" customWidth="1"/>
    <col min="33" max="33" width="13.140625" style="184" bestFit="1" customWidth="1"/>
    <col min="34" max="34" width="16.140625" style="184" customWidth="1"/>
    <col min="35" max="35" width="16.140625" style="184" hidden="1" customWidth="1"/>
    <col min="36" max="36" width="16.140625" style="184" customWidth="1"/>
    <col min="37" max="37" width="16.140625" style="184" hidden="1" customWidth="1"/>
    <col min="38" max="38" width="14.42578125" style="184" hidden="1" customWidth="1"/>
    <col min="39" max="39" width="19" style="184" hidden="1" customWidth="1"/>
    <col min="40" max="40" width="18.85546875" style="184" customWidth="1"/>
    <col min="41" max="41" width="16" style="184" bestFit="1" customWidth="1"/>
    <col min="42" max="42" width="15" style="184" bestFit="1" customWidth="1"/>
    <col min="43" max="43" width="16.140625" style="184" bestFit="1" customWidth="1"/>
    <col min="44" max="44" width="1.7109375" style="184" customWidth="1"/>
    <col min="45" max="45" width="18.42578125" style="184" bestFit="1" customWidth="1"/>
    <col min="46" max="46" width="18.7109375" style="184" bestFit="1" customWidth="1"/>
    <col min="47" max="16384" width="9.140625" style="184"/>
  </cols>
  <sheetData>
    <row r="1" spans="1:51">
      <c r="A1" s="359" t="s">
        <v>134</v>
      </c>
      <c r="B1" s="359"/>
      <c r="C1" s="359"/>
      <c r="D1" s="359"/>
      <c r="E1" s="359"/>
      <c r="F1" s="359"/>
      <c r="G1" s="359"/>
      <c r="H1" s="359"/>
      <c r="I1" s="359"/>
      <c r="J1" s="359"/>
      <c r="K1" s="359"/>
      <c r="L1" s="359"/>
      <c r="M1" s="359"/>
      <c r="N1" s="359"/>
      <c r="O1" s="359"/>
      <c r="P1" s="359"/>
      <c r="Q1" s="359"/>
      <c r="R1" s="359"/>
      <c r="S1" s="359"/>
      <c r="T1" s="359"/>
      <c r="U1" s="359"/>
      <c r="V1" s="359"/>
      <c r="W1" s="359"/>
      <c r="X1" s="359"/>
      <c r="Y1" s="359"/>
      <c r="Z1" s="359"/>
      <c r="AA1" s="359"/>
      <c r="AB1" s="359"/>
      <c r="AC1" s="359"/>
      <c r="AD1" s="359"/>
      <c r="AE1" s="359"/>
      <c r="AF1" s="359"/>
      <c r="AG1" s="359"/>
      <c r="AH1" s="359"/>
      <c r="AI1" s="359"/>
      <c r="AJ1" s="359"/>
      <c r="AK1" s="359"/>
      <c r="AL1" s="359"/>
      <c r="AM1" s="359"/>
      <c r="AN1" s="359"/>
      <c r="AO1" s="359"/>
      <c r="AP1" s="359"/>
      <c r="AQ1" s="359"/>
      <c r="AR1" s="359"/>
      <c r="AS1" s="359"/>
      <c r="AT1" s="359"/>
    </row>
    <row r="2" spans="1:51">
      <c r="A2" s="359" t="s">
        <v>1253</v>
      </c>
      <c r="B2" s="359"/>
      <c r="C2" s="359"/>
      <c r="D2" s="359"/>
      <c r="E2" s="359"/>
      <c r="F2" s="359"/>
      <c r="G2" s="359"/>
      <c r="H2" s="359"/>
      <c r="I2" s="359"/>
      <c r="J2" s="359"/>
      <c r="K2" s="359"/>
      <c r="L2" s="359"/>
      <c r="M2" s="359"/>
      <c r="N2" s="359"/>
      <c r="O2" s="359"/>
      <c r="P2" s="359"/>
      <c r="Q2" s="359"/>
      <c r="R2" s="359"/>
      <c r="S2" s="359"/>
      <c r="T2" s="359"/>
      <c r="U2" s="359"/>
      <c r="V2" s="359"/>
      <c r="W2" s="359"/>
      <c r="X2" s="359"/>
      <c r="Y2" s="359"/>
      <c r="Z2" s="359"/>
      <c r="AA2" s="359"/>
      <c r="AB2" s="359"/>
      <c r="AC2" s="359"/>
      <c r="AD2" s="359"/>
      <c r="AE2" s="359"/>
      <c r="AF2" s="359"/>
      <c r="AG2" s="359"/>
      <c r="AH2" s="359"/>
      <c r="AI2" s="359"/>
      <c r="AJ2" s="359"/>
      <c r="AK2" s="359"/>
      <c r="AL2" s="359"/>
      <c r="AM2" s="359"/>
      <c r="AN2" s="359"/>
      <c r="AO2" s="359"/>
      <c r="AP2" s="359"/>
      <c r="AQ2" s="359"/>
      <c r="AR2" s="359"/>
      <c r="AS2" s="359"/>
      <c r="AT2" s="359"/>
    </row>
    <row r="3" spans="1:51">
      <c r="A3" s="360" t="str">
        <f>+'Summary - Cost - PG 1 (Tot)'!A3:N3</f>
        <v>MARCH 2012</v>
      </c>
      <c r="B3" s="360"/>
      <c r="C3" s="360"/>
      <c r="D3" s="360"/>
      <c r="E3" s="360"/>
      <c r="F3" s="360"/>
      <c r="G3" s="360"/>
      <c r="H3" s="360"/>
      <c r="I3" s="360"/>
      <c r="J3" s="360"/>
      <c r="K3" s="360"/>
      <c r="L3" s="360"/>
      <c r="M3" s="360"/>
      <c r="N3" s="360"/>
      <c r="O3" s="360"/>
      <c r="P3" s="360"/>
      <c r="Q3" s="360"/>
      <c r="R3" s="360"/>
      <c r="S3" s="360"/>
      <c r="T3" s="360"/>
      <c r="U3" s="360"/>
      <c r="V3" s="360"/>
      <c r="W3" s="360"/>
      <c r="X3" s="360"/>
      <c r="Y3" s="360"/>
      <c r="Z3" s="360"/>
      <c r="AA3" s="360"/>
      <c r="AB3" s="360"/>
      <c r="AC3" s="360"/>
      <c r="AD3" s="360"/>
      <c r="AE3" s="360"/>
      <c r="AF3" s="360"/>
      <c r="AG3" s="360"/>
      <c r="AH3" s="360"/>
      <c r="AI3" s="360"/>
      <c r="AJ3" s="360"/>
      <c r="AK3" s="360"/>
      <c r="AL3" s="360"/>
      <c r="AM3" s="360"/>
      <c r="AN3" s="360"/>
      <c r="AO3" s="360"/>
      <c r="AP3" s="360"/>
      <c r="AQ3" s="360"/>
      <c r="AR3" s="360"/>
      <c r="AS3" s="360"/>
      <c r="AT3" s="360"/>
    </row>
    <row r="4" spans="1:51">
      <c r="A4" s="193"/>
      <c r="B4" s="248"/>
      <c r="C4" s="194"/>
      <c r="D4" s="194"/>
      <c r="E4" s="194"/>
      <c r="F4" s="194"/>
      <c r="G4" s="194"/>
      <c r="H4" s="194"/>
      <c r="I4" s="194"/>
      <c r="J4" s="194"/>
      <c r="K4" s="194"/>
      <c r="L4" s="194"/>
      <c r="M4" s="194"/>
      <c r="N4" s="194"/>
      <c r="O4" s="194"/>
      <c r="P4" s="194"/>
      <c r="Q4" s="194"/>
      <c r="R4" s="194"/>
      <c r="S4" s="194"/>
      <c r="T4" s="194"/>
      <c r="U4" s="194"/>
      <c r="V4" s="194"/>
      <c r="W4" s="194"/>
    </row>
    <row r="5" spans="1:51">
      <c r="A5" s="193"/>
      <c r="B5" s="248"/>
      <c r="C5" s="194"/>
      <c r="D5" s="194"/>
      <c r="E5" s="194"/>
      <c r="F5" s="194"/>
      <c r="G5" s="194"/>
      <c r="H5" s="194"/>
      <c r="I5" s="194"/>
      <c r="J5" s="194"/>
      <c r="K5" s="194"/>
      <c r="L5" s="194"/>
      <c r="M5" s="194"/>
      <c r="N5" s="194"/>
      <c r="O5" s="194"/>
      <c r="P5" s="194"/>
      <c r="Q5" s="194"/>
      <c r="R5" s="194"/>
      <c r="S5" s="194"/>
      <c r="T5" s="194"/>
      <c r="U5" s="194"/>
      <c r="V5" s="194"/>
      <c r="W5" s="194"/>
    </row>
    <row r="6" spans="1:51">
      <c r="A6" s="193"/>
      <c r="B6" s="248"/>
      <c r="C6" s="194"/>
      <c r="D6" s="41"/>
      <c r="E6" s="196"/>
      <c r="F6" s="196"/>
      <c r="G6" s="196"/>
      <c r="H6" s="196"/>
      <c r="I6" s="196"/>
      <c r="J6" s="41"/>
      <c r="K6" s="41"/>
      <c r="L6" s="41"/>
      <c r="M6" s="196"/>
      <c r="N6" s="196"/>
      <c r="O6" s="196"/>
      <c r="P6" s="196"/>
      <c r="Q6" s="196"/>
      <c r="R6" s="196"/>
      <c r="S6" s="196"/>
      <c r="T6" s="196"/>
      <c r="U6" s="196"/>
      <c r="V6" s="84"/>
      <c r="W6" s="197"/>
      <c r="X6" s="362" t="s">
        <v>1110</v>
      </c>
      <c r="Y6" s="362"/>
      <c r="Z6" s="362"/>
      <c r="AA6" s="362"/>
      <c r="AB6" s="362"/>
      <c r="AC6" s="362"/>
      <c r="AD6" s="362"/>
      <c r="AE6" s="362"/>
      <c r="AF6" s="362"/>
      <c r="AG6" s="362"/>
      <c r="AH6" s="362"/>
      <c r="AI6" s="362"/>
      <c r="AJ6" s="362"/>
      <c r="AK6" s="362"/>
      <c r="AL6" s="362"/>
      <c r="AM6" s="362"/>
      <c r="AN6" s="362"/>
      <c r="AO6" s="362"/>
      <c r="AP6" s="363" t="s">
        <v>1111</v>
      </c>
      <c r="AQ6" s="364"/>
      <c r="AR6" s="199"/>
    </row>
    <row r="7" spans="1:51" s="12" customFormat="1" ht="51">
      <c r="A7" s="59"/>
      <c r="D7" s="42" t="s">
        <v>448</v>
      </c>
      <c r="E7" s="23"/>
      <c r="F7" s="42"/>
      <c r="G7" s="23"/>
      <c r="H7" s="42"/>
      <c r="I7" s="23"/>
      <c r="J7" s="42"/>
      <c r="K7" s="54"/>
      <c r="L7" s="54"/>
      <c r="M7" s="23"/>
      <c r="N7" s="43"/>
      <c r="O7" s="85"/>
      <c r="P7" s="85"/>
      <c r="Q7" s="85"/>
      <c r="R7" s="85"/>
      <c r="S7" s="85"/>
      <c r="T7" s="85"/>
      <c r="U7" s="23"/>
      <c r="V7" s="43" t="s">
        <v>110</v>
      </c>
      <c r="W7" s="200"/>
      <c r="X7" s="202" t="s">
        <v>1247</v>
      </c>
      <c r="Y7" s="202" t="s">
        <v>1271</v>
      </c>
      <c r="Z7" s="202" t="s">
        <v>1248</v>
      </c>
      <c r="AA7" s="301" t="s">
        <v>1379</v>
      </c>
      <c r="AB7" s="202" t="s">
        <v>1249</v>
      </c>
      <c r="AC7" s="201" t="s">
        <v>1113</v>
      </c>
      <c r="AD7" s="202" t="s">
        <v>1274</v>
      </c>
      <c r="AE7" s="202" t="s">
        <v>1269</v>
      </c>
      <c r="AF7" s="202" t="s">
        <v>1270</v>
      </c>
      <c r="AG7" s="202" t="s">
        <v>1241</v>
      </c>
      <c r="AH7" s="202" t="str">
        <f>+'Cash Flow Summary - PG 2B (Fin)'!AB7</f>
        <v>ARO Settlements (Gross)</v>
      </c>
      <c r="AI7" s="202" t="str">
        <f>+'Cash Flow Summary - PG 2B (Fin)'!AC7</f>
        <v>ARO Purchase Accounting Adjustments</v>
      </c>
      <c r="AJ7" s="301" t="s">
        <v>1446</v>
      </c>
      <c r="AK7" s="202" t="str">
        <f>+'Cash Flow Summary - PG 2B (Fin)'!AE7</f>
        <v>Transfers from 101 and 108 to 182 (Gross)</v>
      </c>
      <c r="AL7" s="202" t="s">
        <v>1242</v>
      </c>
      <c r="AM7" s="202" t="s">
        <v>1255</v>
      </c>
      <c r="AN7" s="202" t="s">
        <v>1243</v>
      </c>
      <c r="AO7" s="202" t="s">
        <v>1115</v>
      </c>
      <c r="AP7" s="203" t="s">
        <v>28</v>
      </c>
      <c r="AQ7" s="204" t="s">
        <v>1116</v>
      </c>
      <c r="AR7" s="205"/>
      <c r="AS7" s="202" t="s">
        <v>1117</v>
      </c>
      <c r="AT7" s="202" t="s">
        <v>47</v>
      </c>
      <c r="AU7" s="184"/>
      <c r="AV7" s="184"/>
      <c r="AW7" s="184"/>
      <c r="AX7" s="184"/>
      <c r="AY7" s="184"/>
    </row>
    <row r="8" spans="1:51" s="12" customFormat="1">
      <c r="A8" s="59"/>
      <c r="D8" s="54"/>
      <c r="E8" s="23"/>
      <c r="F8" s="54"/>
      <c r="G8" s="23"/>
      <c r="H8" s="54"/>
      <c r="I8" s="23"/>
      <c r="J8" s="54"/>
      <c r="K8" s="54"/>
      <c r="L8" s="54"/>
      <c r="M8" s="23"/>
      <c r="N8" s="85"/>
      <c r="O8" s="85"/>
      <c r="P8" s="85"/>
      <c r="Q8" s="85"/>
      <c r="R8" s="85"/>
      <c r="S8" s="85"/>
      <c r="T8" s="85"/>
      <c r="U8" s="23"/>
      <c r="V8" s="85"/>
      <c r="W8" s="200"/>
      <c r="X8" s="249"/>
      <c r="Y8" s="268"/>
      <c r="Z8" s="257"/>
      <c r="AA8" s="299"/>
      <c r="AB8" s="257"/>
      <c r="AC8" s="184"/>
      <c r="AD8" s="184"/>
      <c r="AE8" s="184"/>
      <c r="AF8" s="184"/>
      <c r="AG8" s="184"/>
      <c r="AH8" s="184"/>
      <c r="AI8" s="184"/>
      <c r="AJ8" s="184"/>
      <c r="AK8" s="184"/>
      <c r="AL8" s="184"/>
      <c r="AM8" s="184"/>
      <c r="AN8" s="184"/>
      <c r="AO8" s="184"/>
      <c r="AP8" s="206"/>
      <c r="AQ8" s="207"/>
      <c r="AR8" s="199"/>
      <c r="AS8" s="184"/>
      <c r="AT8" s="184"/>
      <c r="AU8" s="184"/>
      <c r="AV8" s="184"/>
      <c r="AW8" s="184"/>
      <c r="AX8" s="184"/>
      <c r="AY8" s="184"/>
    </row>
    <row r="9" spans="1:51" s="12" customFormat="1">
      <c r="A9" s="208" t="s">
        <v>1118</v>
      </c>
      <c r="D9" s="54" t="s">
        <v>1259</v>
      </c>
      <c r="E9" s="23"/>
      <c r="F9" s="54"/>
      <c r="G9" s="23"/>
      <c r="H9" s="54"/>
      <c r="I9" s="23"/>
      <c r="J9" s="54"/>
      <c r="K9" s="54"/>
      <c r="L9" s="54"/>
      <c r="M9" s="23"/>
      <c r="N9" s="85"/>
      <c r="O9" s="85"/>
      <c r="P9" s="85"/>
      <c r="Q9" s="85"/>
      <c r="R9" s="85"/>
      <c r="S9" s="85"/>
      <c r="T9" s="85"/>
      <c r="U9" s="23"/>
      <c r="V9" s="85"/>
      <c r="W9" s="200"/>
      <c r="X9" s="184"/>
      <c r="Y9" s="184"/>
      <c r="Z9" s="184"/>
      <c r="AA9" s="184"/>
      <c r="AB9" s="184"/>
      <c r="AE9" s="184"/>
      <c r="AF9" s="184"/>
      <c r="AG9" s="184"/>
      <c r="AH9" s="184"/>
      <c r="AI9" s="184"/>
      <c r="AJ9" s="184"/>
      <c r="AK9" s="184"/>
      <c r="AL9" s="184"/>
      <c r="AM9" s="184"/>
      <c r="AN9" s="184"/>
      <c r="AO9" s="184"/>
      <c r="AP9" s="206"/>
      <c r="AQ9" s="207"/>
      <c r="AR9" s="199"/>
      <c r="AS9" s="184"/>
      <c r="AT9" s="184"/>
      <c r="AU9" s="184"/>
      <c r="AV9" s="184"/>
      <c r="AW9" s="184"/>
      <c r="AX9" s="184"/>
      <c r="AY9" s="184"/>
    </row>
    <row r="10" spans="1:51" s="12" customFormat="1">
      <c r="A10" s="59"/>
      <c r="B10" s="209" t="s">
        <v>1119</v>
      </c>
      <c r="D10" s="188">
        <v>2956391808.8600001</v>
      </c>
      <c r="E10" s="23"/>
      <c r="F10" s="54"/>
      <c r="G10" s="23"/>
      <c r="H10" s="54"/>
      <c r="I10" s="23"/>
      <c r="J10" s="54"/>
      <c r="K10" s="54"/>
      <c r="L10" s="54"/>
      <c r="M10" s="23"/>
      <c r="N10" s="85"/>
      <c r="O10" s="85"/>
      <c r="P10" s="85"/>
      <c r="Q10" s="85"/>
      <c r="R10" s="85"/>
      <c r="S10" s="85"/>
      <c r="T10" s="85"/>
      <c r="U10" s="23"/>
      <c r="V10" s="188">
        <v>3026885727.1500001</v>
      </c>
      <c r="W10" s="210"/>
      <c r="X10" s="211">
        <f t="shared" ref="X10:AQ10" si="0">+X137</f>
        <v>0</v>
      </c>
      <c r="Y10" s="211">
        <f t="shared" ref="Y10" si="1">+Y137</f>
        <v>0</v>
      </c>
      <c r="Z10" s="211">
        <f t="shared" ref="Z10" si="2">+Z137</f>
        <v>0</v>
      </c>
      <c r="AA10" s="211"/>
      <c r="AB10" s="211">
        <f t="shared" ref="AB10" si="3">+AB137</f>
        <v>0</v>
      </c>
      <c r="AC10" s="211">
        <f t="shared" si="0"/>
        <v>74293198.920000002</v>
      </c>
      <c r="AD10" s="211">
        <f t="shared" ref="AD10" si="4">+AD137</f>
        <v>0</v>
      </c>
      <c r="AE10" s="211">
        <f>+AE137-AH10</f>
        <v>-6746260.6699999999</v>
      </c>
      <c r="AF10" s="211">
        <f t="shared" ref="AF10:AG10" si="5">+AF137</f>
        <v>2947003.78</v>
      </c>
      <c r="AG10" s="211">
        <f t="shared" si="5"/>
        <v>0</v>
      </c>
      <c r="AH10" s="211">
        <v>0</v>
      </c>
      <c r="AI10" s="211">
        <f t="shared" ref="AI10" si="6">+AI137</f>
        <v>0</v>
      </c>
      <c r="AJ10" s="211">
        <v>-23.74</v>
      </c>
      <c r="AK10" s="211">
        <f t="shared" ref="AK10:AO10" si="7">+AK137</f>
        <v>0</v>
      </c>
      <c r="AL10" s="211">
        <f t="shared" si="7"/>
        <v>0</v>
      </c>
      <c r="AM10" s="211">
        <f t="shared" si="7"/>
        <v>0</v>
      </c>
      <c r="AN10" s="211">
        <f>+AN137-AJ10</f>
        <v>-1.9792167904597591E-11</v>
      </c>
      <c r="AO10" s="211">
        <f t="shared" si="7"/>
        <v>0</v>
      </c>
      <c r="AP10" s="212">
        <f t="shared" si="0"/>
        <v>0</v>
      </c>
      <c r="AQ10" s="213">
        <f t="shared" si="0"/>
        <v>0</v>
      </c>
      <c r="AR10" s="214"/>
      <c r="AS10" s="211">
        <f t="shared" ref="AS10:AS14" si="8">SUM(X10:AQ10)</f>
        <v>70493918.290000007</v>
      </c>
      <c r="AT10" s="211">
        <f t="shared" ref="AT10:AT14" si="9">+V10-D10-AS10</f>
        <v>0</v>
      </c>
      <c r="AU10" s="184"/>
      <c r="AV10" s="184"/>
      <c r="AW10" s="184"/>
      <c r="AX10" s="184"/>
      <c r="AY10" s="184"/>
    </row>
    <row r="11" spans="1:51" s="12" customFormat="1">
      <c r="A11" s="59"/>
      <c r="B11" s="209" t="s">
        <v>1120</v>
      </c>
      <c r="D11" s="188">
        <v>11879.2</v>
      </c>
      <c r="E11" s="23"/>
      <c r="F11" s="54"/>
      <c r="G11" s="23"/>
      <c r="H11" s="54"/>
      <c r="I11" s="23"/>
      <c r="J11" s="54"/>
      <c r="K11" s="54"/>
      <c r="L11" s="54"/>
      <c r="M11" s="23"/>
      <c r="N11" s="85"/>
      <c r="O11" s="85"/>
      <c r="P11" s="85"/>
      <c r="Q11" s="85"/>
      <c r="R11" s="85"/>
      <c r="S11" s="85"/>
      <c r="T11" s="85"/>
      <c r="U11" s="23"/>
      <c r="V11" s="188">
        <v>11879.2</v>
      </c>
      <c r="W11" s="210"/>
      <c r="X11" s="211">
        <f t="shared" ref="X11:AQ11" si="10">+X147</f>
        <v>0</v>
      </c>
      <c r="Y11" s="211">
        <f t="shared" ref="Y11" si="11">+Y147</f>
        <v>0</v>
      </c>
      <c r="Z11" s="211">
        <f t="shared" ref="Z11" si="12">+Z147</f>
        <v>0</v>
      </c>
      <c r="AA11" s="211"/>
      <c r="AB11" s="211">
        <f t="shared" ref="AB11" si="13">+AB147</f>
        <v>0</v>
      </c>
      <c r="AC11" s="211">
        <f t="shared" si="10"/>
        <v>0</v>
      </c>
      <c r="AD11" s="211">
        <f t="shared" ref="AD11" si="14">+AD147</f>
        <v>0</v>
      </c>
      <c r="AE11" s="211">
        <f t="shared" si="10"/>
        <v>0</v>
      </c>
      <c r="AF11" s="211">
        <f t="shared" ref="AF11:AG11" si="15">+AF147</f>
        <v>0</v>
      </c>
      <c r="AG11" s="211">
        <f t="shared" si="15"/>
        <v>0</v>
      </c>
      <c r="AH11" s="211">
        <f t="shared" ref="AH11:AI11" si="16">+AH147</f>
        <v>0</v>
      </c>
      <c r="AI11" s="211">
        <f t="shared" si="16"/>
        <v>0</v>
      </c>
      <c r="AJ11" s="211">
        <f t="shared" ref="AJ11:AO11" si="17">+AJ147</f>
        <v>0</v>
      </c>
      <c r="AK11" s="211">
        <f t="shared" si="17"/>
        <v>0</v>
      </c>
      <c r="AL11" s="211">
        <f t="shared" si="17"/>
        <v>0</v>
      </c>
      <c r="AM11" s="211">
        <f t="shared" si="17"/>
        <v>0</v>
      </c>
      <c r="AN11" s="211">
        <f t="shared" si="17"/>
        <v>0</v>
      </c>
      <c r="AO11" s="211">
        <f t="shared" si="17"/>
        <v>0</v>
      </c>
      <c r="AP11" s="212">
        <f t="shared" si="10"/>
        <v>0</v>
      </c>
      <c r="AQ11" s="213">
        <f t="shared" si="10"/>
        <v>0</v>
      </c>
      <c r="AR11" s="214"/>
      <c r="AS11" s="211">
        <f t="shared" si="8"/>
        <v>0</v>
      </c>
      <c r="AT11" s="211">
        <f t="shared" si="9"/>
        <v>0</v>
      </c>
      <c r="AU11" s="184"/>
      <c r="AV11" s="184"/>
      <c r="AW11" s="184"/>
      <c r="AX11" s="184"/>
      <c r="AY11" s="184"/>
    </row>
    <row r="12" spans="1:51" s="12" customFormat="1">
      <c r="A12" s="59"/>
      <c r="B12" s="209" t="s">
        <v>1121</v>
      </c>
      <c r="D12" s="188">
        <v>-115707839.69</v>
      </c>
      <c r="E12" s="23"/>
      <c r="F12" s="54"/>
      <c r="G12" s="23"/>
      <c r="H12" s="54"/>
      <c r="I12" s="23"/>
      <c r="J12" s="54"/>
      <c r="K12" s="54"/>
      <c r="L12" s="54"/>
      <c r="M12" s="23"/>
      <c r="N12" s="85"/>
      <c r="O12" s="85"/>
      <c r="P12" s="85"/>
      <c r="Q12" s="85"/>
      <c r="R12" s="85"/>
      <c r="S12" s="85"/>
      <c r="T12" s="85"/>
      <c r="U12" s="23"/>
      <c r="V12" s="188">
        <v>-143522129.41999999</v>
      </c>
      <c r="W12" s="210"/>
      <c r="X12" s="211">
        <f t="shared" ref="X12:AQ12" si="18">+X245</f>
        <v>-30846817.990000006</v>
      </c>
      <c r="Y12" s="211">
        <f t="shared" ref="Y12" si="19">+Y245</f>
        <v>0</v>
      </c>
      <c r="Z12" s="211">
        <f t="shared" ref="Z12" si="20">+Z245</f>
        <v>-610050.97</v>
      </c>
      <c r="AA12" s="211">
        <f>-AA15</f>
        <v>22157.980000000156</v>
      </c>
      <c r="AB12" s="211">
        <f t="shared" ref="AB12" si="21">+AB245</f>
        <v>0</v>
      </c>
      <c r="AC12" s="211">
        <f t="shared" si="18"/>
        <v>0</v>
      </c>
      <c r="AD12" s="211">
        <f t="shared" ref="AD12" si="22">+AD245</f>
        <v>0</v>
      </c>
      <c r="AE12" s="211">
        <f>+AE245-AH12</f>
        <v>6746260.6699999999</v>
      </c>
      <c r="AF12" s="211">
        <f t="shared" ref="AF12:AG12" si="23">+AF245</f>
        <v>-2947003.78</v>
      </c>
      <c r="AG12" s="211">
        <f t="shared" si="23"/>
        <v>0</v>
      </c>
      <c r="AH12" s="211">
        <f>-AH10</f>
        <v>0</v>
      </c>
      <c r="AI12" s="211">
        <f t="shared" ref="AI12" si="24">+AI245</f>
        <v>0</v>
      </c>
      <c r="AJ12" s="211">
        <v>-223.56</v>
      </c>
      <c r="AK12" s="211">
        <f t="shared" ref="AK12:AM12" si="25">+AK245</f>
        <v>0</v>
      </c>
      <c r="AL12" s="211">
        <f t="shared" si="25"/>
        <v>0</v>
      </c>
      <c r="AM12" s="211">
        <f t="shared" si="25"/>
        <v>0</v>
      </c>
      <c r="AN12" s="211">
        <f>+AN245+223.56</f>
        <v>0</v>
      </c>
      <c r="AO12" s="311">
        <f>+AO245-AA12</f>
        <v>-178612.08000000016</v>
      </c>
      <c r="AP12" s="212">
        <f t="shared" si="18"/>
        <v>0</v>
      </c>
      <c r="AQ12" s="213">
        <f t="shared" si="18"/>
        <v>0</v>
      </c>
      <c r="AR12" s="214"/>
      <c r="AS12" s="211">
        <f t="shared" si="8"/>
        <v>-27814289.730000004</v>
      </c>
      <c r="AT12" s="211">
        <f t="shared" si="9"/>
        <v>0</v>
      </c>
      <c r="AU12" s="184"/>
      <c r="AV12" s="184"/>
      <c r="AW12" s="184"/>
      <c r="AX12" s="184"/>
      <c r="AY12" s="184"/>
    </row>
    <row r="13" spans="1:51" s="12" customFormat="1">
      <c r="A13" s="59"/>
      <c r="B13" s="209" t="s">
        <v>1122</v>
      </c>
      <c r="D13" s="188">
        <v>215276377.34999999</v>
      </c>
      <c r="E13" s="23"/>
      <c r="F13" s="54"/>
      <c r="G13" s="23"/>
      <c r="H13" s="54"/>
      <c r="I13" s="23"/>
      <c r="J13" s="54"/>
      <c r="K13" s="54"/>
      <c r="L13" s="54"/>
      <c r="M13" s="23"/>
      <c r="N13" s="85"/>
      <c r="O13" s="85"/>
      <c r="P13" s="85"/>
      <c r="Q13" s="85"/>
      <c r="R13" s="85"/>
      <c r="S13" s="85"/>
      <c r="T13" s="85"/>
      <c r="U13" s="23"/>
      <c r="V13" s="188">
        <v>184129219.34999999</v>
      </c>
      <c r="W13" s="210"/>
      <c r="X13" s="211">
        <f t="shared" ref="X13:AP13" si="26">+X158</f>
        <v>0</v>
      </c>
      <c r="Y13" s="211">
        <f t="shared" ref="Y13" si="27">+Y158</f>
        <v>0</v>
      </c>
      <c r="Z13" s="211">
        <f t="shared" ref="Z13" si="28">+Z158</f>
        <v>0</v>
      </c>
      <c r="AA13" s="211"/>
      <c r="AB13" s="211">
        <f t="shared" ref="AB13" si="29">+AB158</f>
        <v>0</v>
      </c>
      <c r="AC13" s="211">
        <f t="shared" si="26"/>
        <v>-74303298.920000002</v>
      </c>
      <c r="AD13" s="211">
        <f t="shared" ref="AD13" si="30">+AD158</f>
        <v>0</v>
      </c>
      <c r="AE13" s="211">
        <f t="shared" si="26"/>
        <v>0</v>
      </c>
      <c r="AF13" s="211">
        <f t="shared" ref="AF13:AG13" si="31">+AF158</f>
        <v>0</v>
      </c>
      <c r="AG13" s="211">
        <f t="shared" si="31"/>
        <v>0</v>
      </c>
      <c r="AH13" s="211">
        <f t="shared" ref="AH13:AI13" si="32">+AH158</f>
        <v>0</v>
      </c>
      <c r="AI13" s="211">
        <f t="shared" si="32"/>
        <v>0</v>
      </c>
      <c r="AJ13" s="211">
        <f t="shared" ref="AJ13:AN14" si="33">+AJ158</f>
        <v>0</v>
      </c>
      <c r="AK13" s="211">
        <f t="shared" si="33"/>
        <v>0</v>
      </c>
      <c r="AL13" s="211">
        <f t="shared" si="33"/>
        <v>0</v>
      </c>
      <c r="AM13" s="211">
        <f t="shared" si="33"/>
        <v>0</v>
      </c>
      <c r="AN13" s="211">
        <f t="shared" si="33"/>
        <v>0</v>
      </c>
      <c r="AO13" s="211">
        <v>0</v>
      </c>
      <c r="AP13" s="212">
        <f t="shared" si="26"/>
        <v>0</v>
      </c>
      <c r="AQ13" s="213">
        <f>+AQ158-AO13</f>
        <v>43156140.920000017</v>
      </c>
      <c r="AR13" s="214"/>
      <c r="AS13" s="211">
        <f t="shared" si="8"/>
        <v>-31147157.999999985</v>
      </c>
      <c r="AT13" s="211">
        <f t="shared" si="9"/>
        <v>0</v>
      </c>
      <c r="AU13" s="184"/>
      <c r="AV13" s="184"/>
      <c r="AW13" s="184"/>
      <c r="AX13" s="184"/>
      <c r="AY13" s="184"/>
    </row>
    <row r="14" spans="1:51" s="12" customFormat="1">
      <c r="A14" s="59"/>
      <c r="B14" s="215" t="s">
        <v>1123</v>
      </c>
      <c r="D14" s="188">
        <v>5589353.4400000004</v>
      </c>
      <c r="E14" s="23"/>
      <c r="F14" s="54"/>
      <c r="G14" s="23"/>
      <c r="H14" s="54"/>
      <c r="I14" s="23"/>
      <c r="J14" s="54"/>
      <c r="K14" s="54"/>
      <c r="L14" s="54"/>
      <c r="M14" s="23"/>
      <c r="N14" s="85"/>
      <c r="O14" s="85"/>
      <c r="P14" s="85"/>
      <c r="Q14" s="85"/>
      <c r="R14" s="85"/>
      <c r="S14" s="85"/>
      <c r="T14" s="85"/>
      <c r="U14" s="23"/>
      <c r="V14" s="188">
        <v>5521532.29</v>
      </c>
      <c r="W14" s="210"/>
      <c r="X14" s="211">
        <f t="shared" ref="X14:AQ14" si="34">+X187</f>
        <v>-77921.150000000009</v>
      </c>
      <c r="Y14" s="211">
        <f t="shared" ref="Y14" si="35">+Y187</f>
        <v>0</v>
      </c>
      <c r="Z14" s="211">
        <f t="shared" ref="Z14" si="36">+Z187</f>
        <v>0</v>
      </c>
      <c r="AA14" s="211"/>
      <c r="AB14" s="211">
        <f t="shared" ref="AB14" si="37">+AB187</f>
        <v>0</v>
      </c>
      <c r="AC14" s="211">
        <f t="shared" si="34"/>
        <v>10100</v>
      </c>
      <c r="AD14" s="211">
        <f t="shared" ref="AD14" si="38">+AD187</f>
        <v>0</v>
      </c>
      <c r="AE14" s="211">
        <f t="shared" si="34"/>
        <v>0</v>
      </c>
      <c r="AF14" s="211">
        <f t="shared" ref="AF14:AG14" si="39">+AF187</f>
        <v>0</v>
      </c>
      <c r="AG14" s="211">
        <f t="shared" si="39"/>
        <v>0</v>
      </c>
      <c r="AH14" s="211">
        <f t="shared" ref="AH14:AI14" si="40">+AH187</f>
        <v>0</v>
      </c>
      <c r="AI14" s="211">
        <f t="shared" si="40"/>
        <v>0</v>
      </c>
      <c r="AJ14" s="211">
        <f t="shared" ref="AJ14:AO14" si="41">+AJ187</f>
        <v>0</v>
      </c>
      <c r="AK14" s="211">
        <f t="shared" si="41"/>
        <v>0</v>
      </c>
      <c r="AL14" s="211">
        <f t="shared" si="41"/>
        <v>0</v>
      </c>
      <c r="AM14" s="211">
        <f t="shared" si="33"/>
        <v>0</v>
      </c>
      <c r="AN14" s="211">
        <f>+AN187</f>
        <v>0</v>
      </c>
      <c r="AO14" s="211">
        <f t="shared" si="41"/>
        <v>0</v>
      </c>
      <c r="AP14" s="212">
        <f t="shared" si="34"/>
        <v>0</v>
      </c>
      <c r="AQ14" s="213">
        <f t="shared" si="34"/>
        <v>0</v>
      </c>
      <c r="AR14" s="214"/>
      <c r="AS14" s="211">
        <f t="shared" si="8"/>
        <v>-67821.150000000009</v>
      </c>
      <c r="AT14" s="211">
        <f t="shared" si="9"/>
        <v>-3.637978807091713E-10</v>
      </c>
      <c r="AU14" s="184"/>
      <c r="AV14" s="184"/>
      <c r="AW14" s="184"/>
      <c r="AX14" s="184"/>
      <c r="AY14" s="184"/>
    </row>
    <row r="15" spans="1:51" s="12" customFormat="1">
      <c r="A15" s="59"/>
      <c r="B15" s="209" t="s">
        <v>1124</v>
      </c>
      <c r="D15" s="188">
        <v>-286215126.81</v>
      </c>
      <c r="E15" s="23"/>
      <c r="F15" s="54"/>
      <c r="G15" s="23"/>
      <c r="H15" s="54"/>
      <c r="I15" s="23"/>
      <c r="J15" s="54"/>
      <c r="K15" s="54"/>
      <c r="L15" s="54"/>
      <c r="M15" s="23"/>
      <c r="N15" s="85"/>
      <c r="O15" s="85"/>
      <c r="P15" s="85"/>
      <c r="Q15" s="85"/>
      <c r="R15" s="85"/>
      <c r="S15" s="85"/>
      <c r="T15" s="85"/>
      <c r="U15" s="23"/>
      <c r="V15" s="188">
        <v>-287721401.38</v>
      </c>
      <c r="W15" s="210"/>
      <c r="X15" s="211">
        <f t="shared" ref="X15:AQ15" si="42">+X304</f>
        <v>-6539747.5200000005</v>
      </c>
      <c r="Y15" s="211">
        <f t="shared" ref="Y15" si="43">+Y304</f>
        <v>0</v>
      </c>
      <c r="Z15" s="211">
        <f t="shared" ref="Z15" si="44">+Z304</f>
        <v>0</v>
      </c>
      <c r="AA15" s="211">
        <f>+AA304</f>
        <v>-22157.980000000156</v>
      </c>
      <c r="AB15" s="211">
        <f t="shared" ref="AB15" si="45">+AB304</f>
        <v>0</v>
      </c>
      <c r="AC15" s="211">
        <f t="shared" si="42"/>
        <v>0</v>
      </c>
      <c r="AD15" s="211">
        <f t="shared" ref="AD15" si="46">+AD304</f>
        <v>0</v>
      </c>
      <c r="AE15" s="211">
        <f t="shared" si="42"/>
        <v>0</v>
      </c>
      <c r="AF15" s="211">
        <f t="shared" ref="AF15:AG15" si="47">+AF304</f>
        <v>0</v>
      </c>
      <c r="AG15" s="211">
        <f t="shared" si="47"/>
        <v>0</v>
      </c>
      <c r="AH15" s="211">
        <v>0</v>
      </c>
      <c r="AI15" s="211">
        <f t="shared" ref="AI15" si="48">+AI304</f>
        <v>0</v>
      </c>
      <c r="AJ15" s="211">
        <f t="shared" ref="AJ15:AO15" si="49">+AJ304</f>
        <v>0</v>
      </c>
      <c r="AK15" s="211">
        <f t="shared" si="49"/>
        <v>0</v>
      </c>
      <c r="AL15" s="211">
        <f t="shared" si="49"/>
        <v>0</v>
      </c>
      <c r="AM15" s="211">
        <f t="shared" si="49"/>
        <v>0</v>
      </c>
      <c r="AN15" s="211">
        <f t="shared" si="49"/>
        <v>0</v>
      </c>
      <c r="AO15" s="211">
        <f t="shared" si="49"/>
        <v>0</v>
      </c>
      <c r="AP15" s="212">
        <f t="shared" si="42"/>
        <v>5055630.93</v>
      </c>
      <c r="AQ15" s="213">
        <f t="shared" si="42"/>
        <v>0</v>
      </c>
      <c r="AR15" s="214"/>
      <c r="AS15" s="211">
        <f>SUM(X15:AQ15)</f>
        <v>-1506274.5700000012</v>
      </c>
      <c r="AT15" s="211">
        <f>+V15-D15-AS15</f>
        <v>8.3819031715393066E-9</v>
      </c>
      <c r="AU15" s="184"/>
      <c r="AV15" s="184"/>
      <c r="AW15" s="184"/>
      <c r="AX15" s="184"/>
      <c r="AY15" s="184"/>
    </row>
    <row r="16" spans="1:51" s="12" customFormat="1">
      <c r="A16" s="59"/>
      <c r="B16" s="211" t="s">
        <v>1385</v>
      </c>
      <c r="D16" s="211">
        <v>10666560.140000001</v>
      </c>
      <c r="E16" s="23"/>
      <c r="F16" s="54"/>
      <c r="G16" s="23"/>
      <c r="H16" s="54"/>
      <c r="I16" s="23"/>
      <c r="J16" s="54"/>
      <c r="K16" s="54"/>
      <c r="L16" s="54"/>
      <c r="M16" s="23"/>
      <c r="N16" s="85"/>
      <c r="O16" s="85"/>
      <c r="P16" s="85"/>
      <c r="Q16" s="85"/>
      <c r="R16" s="85"/>
      <c r="S16" s="85"/>
      <c r="T16" s="85"/>
      <c r="U16" s="23"/>
      <c r="V16" s="211">
        <v>12002372.43</v>
      </c>
      <c r="W16" s="210"/>
      <c r="X16" s="211"/>
      <c r="Y16" s="211"/>
      <c r="Z16" s="211">
        <f>-Z12</f>
        <v>610050.97</v>
      </c>
      <c r="AA16" s="211"/>
      <c r="AB16" s="211">
        <f>240821.09+241844.43+242872.24</f>
        <v>725537.76</v>
      </c>
      <c r="AC16" s="211"/>
      <c r="AD16" s="211"/>
      <c r="AE16" s="211"/>
      <c r="AF16" s="211"/>
      <c r="AG16" s="211"/>
      <c r="AH16" s="211">
        <v>0</v>
      </c>
      <c r="AI16" s="211"/>
      <c r="AJ16" s="211">
        <f>-AJ12</f>
        <v>223.56</v>
      </c>
      <c r="AK16" s="211"/>
      <c r="AL16" s="211"/>
      <c r="AM16" s="211"/>
      <c r="AN16" s="211"/>
      <c r="AO16" s="211">
        <v>0</v>
      </c>
      <c r="AP16" s="212">
        <f>+'Cash Flow Summary - PG 2B (Fin)'!AI16</f>
        <v>0</v>
      </c>
      <c r="AQ16" s="213"/>
      <c r="AR16" s="214"/>
      <c r="AS16" s="211">
        <f t="shared" ref="AS16:AS18" si="50">SUM(X16:AQ16)</f>
        <v>1335812.29</v>
      </c>
      <c r="AT16" s="211">
        <f t="shared" ref="AT16:AT18" si="51">+V16-D16-AS16</f>
        <v>0</v>
      </c>
      <c r="AU16" s="184"/>
      <c r="AV16" s="184"/>
      <c r="AW16" s="184"/>
      <c r="AX16" s="184"/>
      <c r="AY16" s="184"/>
    </row>
    <row r="17" spans="1:51" s="12" customFormat="1">
      <c r="A17" s="59"/>
      <c r="B17" s="211" t="s">
        <v>1256</v>
      </c>
      <c r="D17" s="211">
        <f>-800980-1553881</f>
        <v>-2354861</v>
      </c>
      <c r="E17" s="23"/>
      <c r="F17" s="54"/>
      <c r="G17" s="23"/>
      <c r="H17" s="54"/>
      <c r="I17" s="23"/>
      <c r="J17" s="54"/>
      <c r="K17" s="54"/>
      <c r="L17" s="54"/>
      <c r="M17" s="23"/>
      <c r="N17" s="85"/>
      <c r="O17" s="85"/>
      <c r="P17" s="85"/>
      <c r="Q17" s="85"/>
      <c r="R17" s="85"/>
      <c r="S17" s="85"/>
      <c r="T17" s="85"/>
      <c r="U17" s="23"/>
      <c r="V17" s="211">
        <f>-800980-1553881</f>
        <v>-2354861</v>
      </c>
      <c r="W17" s="210"/>
      <c r="X17" s="211"/>
      <c r="Y17" s="211"/>
      <c r="Z17" s="211"/>
      <c r="AA17" s="211"/>
      <c r="AB17" s="211"/>
      <c r="AC17" s="211"/>
      <c r="AD17" s="211"/>
      <c r="AE17" s="211"/>
      <c r="AF17" s="211"/>
      <c r="AG17" s="211"/>
      <c r="AH17" s="211">
        <v>0</v>
      </c>
      <c r="AI17" s="211"/>
      <c r="AJ17" s="211"/>
      <c r="AK17" s="211"/>
      <c r="AL17" s="211"/>
      <c r="AM17" s="211"/>
      <c r="AN17" s="211"/>
      <c r="AO17" s="211">
        <v>0</v>
      </c>
      <c r="AP17" s="212"/>
      <c r="AQ17" s="213"/>
      <c r="AR17" s="214"/>
      <c r="AS17" s="211">
        <f t="shared" si="50"/>
        <v>0</v>
      </c>
      <c r="AT17" s="211">
        <f t="shared" si="51"/>
        <v>0</v>
      </c>
      <c r="AU17" s="184"/>
      <c r="AV17" s="184"/>
      <c r="AW17" s="184"/>
      <c r="AX17" s="184"/>
      <c r="AY17" s="184"/>
    </row>
    <row r="18" spans="1:51" s="12" customFormat="1">
      <c r="A18" s="59"/>
      <c r="B18" s="211" t="s">
        <v>1246</v>
      </c>
      <c r="D18" s="211">
        <v>-54501600.359999999</v>
      </c>
      <c r="E18" s="23"/>
      <c r="F18" s="54"/>
      <c r="G18" s="23"/>
      <c r="H18" s="54"/>
      <c r="I18" s="23"/>
      <c r="J18" s="54"/>
      <c r="K18" s="54"/>
      <c r="L18" s="54"/>
      <c r="M18" s="23"/>
      <c r="N18" s="85"/>
      <c r="O18" s="85"/>
      <c r="P18" s="85"/>
      <c r="Q18" s="85"/>
      <c r="R18" s="85"/>
      <c r="S18" s="85"/>
      <c r="T18" s="85"/>
      <c r="U18" s="23"/>
      <c r="V18" s="211">
        <v>-55184783.950000003</v>
      </c>
      <c r="W18" s="210"/>
      <c r="X18" s="211"/>
      <c r="Y18" s="211"/>
      <c r="Z18" s="211"/>
      <c r="AA18" s="211"/>
      <c r="AB18" s="211">
        <f>-AB16</f>
        <v>-725537.76</v>
      </c>
      <c r="AC18" s="211"/>
      <c r="AD18" s="211"/>
      <c r="AE18" s="211"/>
      <c r="AF18" s="211"/>
      <c r="AG18" s="211"/>
      <c r="AH18" s="211">
        <v>0</v>
      </c>
      <c r="AI18" s="211"/>
      <c r="AJ18" s="211">
        <f>-AJ10</f>
        <v>23.74</v>
      </c>
      <c r="AK18" s="211"/>
      <c r="AL18" s="211"/>
      <c r="AM18" s="211"/>
      <c r="AN18" s="211"/>
      <c r="AO18" s="211">
        <f>-AO17-AO13</f>
        <v>0</v>
      </c>
      <c r="AP18" s="212">
        <f>+P295+R295+T295</f>
        <v>42330.43</v>
      </c>
      <c r="AQ18" s="213"/>
      <c r="AR18" s="214"/>
      <c r="AS18" s="211">
        <f t="shared" si="50"/>
        <v>-683183.59</v>
      </c>
      <c r="AT18" s="211">
        <f t="shared" si="51"/>
        <v>-3.6088749766349792E-9</v>
      </c>
      <c r="AU18" s="184"/>
      <c r="AV18" s="184"/>
      <c r="AW18" s="184"/>
      <c r="AX18" s="184"/>
      <c r="AY18" s="184"/>
    </row>
    <row r="19" spans="1:51" s="12" customFormat="1">
      <c r="A19" s="59"/>
      <c r="B19" s="209"/>
      <c r="D19" s="188"/>
      <c r="E19" s="23"/>
      <c r="F19" s="54"/>
      <c r="G19" s="23"/>
      <c r="H19" s="54"/>
      <c r="I19" s="23"/>
      <c r="J19" s="54"/>
      <c r="K19" s="54"/>
      <c r="L19" s="54"/>
      <c r="M19" s="23"/>
      <c r="N19" s="85"/>
      <c r="O19" s="85"/>
      <c r="P19" s="85"/>
      <c r="Q19" s="85"/>
      <c r="R19" s="85"/>
      <c r="S19" s="85"/>
      <c r="T19" s="85"/>
      <c r="U19" s="23"/>
      <c r="V19" s="188"/>
      <c r="W19" s="210"/>
      <c r="X19" s="211"/>
      <c r="Y19" s="211"/>
      <c r="Z19" s="211"/>
      <c r="AA19" s="211"/>
      <c r="AB19" s="211"/>
      <c r="AC19" s="211"/>
      <c r="AD19" s="211"/>
      <c r="AE19" s="211"/>
      <c r="AF19" s="211"/>
      <c r="AG19" s="211"/>
      <c r="AH19" s="211"/>
      <c r="AI19" s="211"/>
      <c r="AJ19" s="211"/>
      <c r="AK19" s="211"/>
      <c r="AL19" s="211"/>
      <c r="AM19" s="211"/>
      <c r="AN19" s="211"/>
      <c r="AO19" s="211"/>
      <c r="AP19" s="212"/>
      <c r="AQ19" s="213"/>
      <c r="AR19" s="214"/>
      <c r="AS19" s="211"/>
      <c r="AT19" s="211"/>
      <c r="AU19" s="184"/>
      <c r="AV19" s="184"/>
      <c r="AW19" s="184"/>
      <c r="AX19" s="184"/>
      <c r="AY19" s="184"/>
    </row>
    <row r="20" spans="1:51" s="12" customFormat="1">
      <c r="A20" s="59"/>
      <c r="D20" s="54"/>
      <c r="E20" s="23"/>
      <c r="F20" s="54"/>
      <c r="G20" s="23"/>
      <c r="H20" s="54"/>
      <c r="I20" s="23"/>
      <c r="J20" s="54"/>
      <c r="K20" s="54"/>
      <c r="L20" s="54"/>
      <c r="M20" s="23"/>
      <c r="N20" s="85"/>
      <c r="O20" s="85"/>
      <c r="P20" s="85"/>
      <c r="Q20" s="85"/>
      <c r="R20" s="85"/>
      <c r="S20" s="85"/>
      <c r="T20" s="85"/>
      <c r="U20" s="23"/>
      <c r="V20" s="85"/>
      <c r="W20" s="200"/>
      <c r="X20" s="216">
        <f t="shared" ref="X20:AO20" si="52">SUM(X10:X19)</f>
        <v>-37464486.660000004</v>
      </c>
      <c r="Y20" s="216">
        <f t="shared" si="52"/>
        <v>0</v>
      </c>
      <c r="Z20" s="216">
        <f t="shared" si="52"/>
        <v>0</v>
      </c>
      <c r="AA20" s="216">
        <f t="shared" si="52"/>
        <v>0</v>
      </c>
      <c r="AB20" s="216">
        <f t="shared" si="52"/>
        <v>0</v>
      </c>
      <c r="AC20" s="216">
        <f t="shared" si="52"/>
        <v>0</v>
      </c>
      <c r="AD20" s="216">
        <f t="shared" si="52"/>
        <v>0</v>
      </c>
      <c r="AE20" s="216">
        <f t="shared" si="52"/>
        <v>0</v>
      </c>
      <c r="AF20" s="216">
        <f t="shared" si="52"/>
        <v>0</v>
      </c>
      <c r="AG20" s="216">
        <f t="shared" si="52"/>
        <v>0</v>
      </c>
      <c r="AH20" s="216">
        <f t="shared" si="52"/>
        <v>0</v>
      </c>
      <c r="AI20" s="260">
        <f t="shared" si="52"/>
        <v>0</v>
      </c>
      <c r="AJ20" s="216">
        <f t="shared" si="52"/>
        <v>0</v>
      </c>
      <c r="AK20" s="216">
        <f t="shared" si="52"/>
        <v>0</v>
      </c>
      <c r="AL20" s="216">
        <f t="shared" si="52"/>
        <v>0</v>
      </c>
      <c r="AM20" s="216">
        <f t="shared" si="52"/>
        <v>0</v>
      </c>
      <c r="AN20" s="216">
        <f t="shared" si="52"/>
        <v>-1.9792167904597591E-11</v>
      </c>
      <c r="AO20" s="216">
        <f t="shared" si="52"/>
        <v>-178612.08000000016</v>
      </c>
      <c r="AP20" s="217">
        <f>SUM(AP10:AP18)</f>
        <v>5097961.3599999994</v>
      </c>
      <c r="AQ20" s="216">
        <f>SUM(AQ10:AQ18)</f>
        <v>43156140.920000017</v>
      </c>
      <c r="AR20" s="210"/>
      <c r="AS20" s="211"/>
      <c r="AT20" s="184"/>
      <c r="AU20" s="184"/>
      <c r="AV20" s="184"/>
      <c r="AW20" s="184"/>
      <c r="AX20" s="184"/>
      <c r="AY20" s="184"/>
    </row>
    <row r="21" spans="1:51" s="12" customFormat="1">
      <c r="A21" s="59"/>
      <c r="D21" s="54"/>
      <c r="E21" s="23"/>
      <c r="F21" s="54"/>
      <c r="G21" s="23"/>
      <c r="H21" s="54"/>
      <c r="I21" s="23"/>
      <c r="J21" s="54"/>
      <c r="K21" s="54"/>
      <c r="L21" s="54"/>
      <c r="M21" s="23"/>
      <c r="N21" s="85"/>
      <c r="O21" s="85"/>
      <c r="P21" s="85"/>
      <c r="Q21" s="85"/>
      <c r="R21" s="85"/>
      <c r="S21" s="85"/>
      <c r="T21" s="85"/>
      <c r="U21" s="23"/>
      <c r="V21" s="85"/>
      <c r="W21" s="200"/>
      <c r="X21" s="188"/>
      <c r="Y21" s="188"/>
      <c r="Z21" s="188"/>
      <c r="AA21" s="188"/>
      <c r="AB21" s="188"/>
      <c r="AC21" s="188"/>
      <c r="AD21" s="188"/>
      <c r="AE21" s="184"/>
      <c r="AF21" s="184"/>
      <c r="AG21" s="184"/>
      <c r="AH21" s="184"/>
      <c r="AI21" s="184"/>
      <c r="AJ21" s="184"/>
      <c r="AK21" s="184"/>
      <c r="AL21" s="211"/>
      <c r="AM21" s="184"/>
      <c r="AN21" s="184"/>
      <c r="AO21" s="184"/>
      <c r="AP21" s="206"/>
      <c r="AQ21" s="207"/>
      <c r="AR21" s="199"/>
      <c r="AS21" s="184"/>
      <c r="AT21" s="184"/>
      <c r="AU21" s="184"/>
      <c r="AV21" s="184"/>
      <c r="AW21" s="184"/>
      <c r="AX21" s="184"/>
      <c r="AY21" s="184"/>
    </row>
    <row r="22" spans="1:51" s="12" customFormat="1">
      <c r="A22" s="59"/>
      <c r="D22" s="54"/>
      <c r="E22" s="23"/>
      <c r="F22" s="54"/>
      <c r="G22" s="23"/>
      <c r="H22" s="54"/>
      <c r="I22" s="23"/>
      <c r="J22" s="54"/>
      <c r="K22" s="54"/>
      <c r="L22" s="54"/>
      <c r="M22" s="23"/>
      <c r="N22" s="85"/>
      <c r="O22" s="85"/>
      <c r="P22" s="85"/>
      <c r="Q22" s="85"/>
      <c r="R22" s="85"/>
      <c r="S22" s="85"/>
      <c r="T22" s="85"/>
      <c r="U22" s="23"/>
      <c r="V22" s="85" t="s">
        <v>36</v>
      </c>
      <c r="W22" s="200"/>
      <c r="X22" s="188">
        <v>37464486.649999999</v>
      </c>
      <c r="Y22" s="188"/>
      <c r="Z22" s="188"/>
      <c r="AA22" s="188"/>
      <c r="AB22" s="188"/>
      <c r="AC22" s="188">
        <v>0</v>
      </c>
      <c r="AD22" s="188"/>
      <c r="AE22" s="188">
        <v>0</v>
      </c>
      <c r="AF22" s="188"/>
      <c r="AG22" s="188"/>
      <c r="AH22" s="188"/>
      <c r="AI22" s="188"/>
      <c r="AJ22" s="188"/>
      <c r="AK22" s="188"/>
      <c r="AL22" s="188"/>
      <c r="AM22" s="188"/>
      <c r="AN22" s="188"/>
      <c r="AO22" s="211">
        <f>+'Recon Depr Exp to IS P4 (Tot)'!M38+'Recon Depr Exp to IS P4 (Tot)'!I38+'Recon Depr Exp to IS P4 (Tot)'!K38</f>
        <v>178612.08000000002</v>
      </c>
      <c r="AP22" s="212">
        <f>+'Summary - Reserve - PG 2 (Tot)'!O76+'Summary - Reserve - PG 2 (Tot)'!Q76+'Summary - Reserve - PG 2 (Tot)'!S76</f>
        <v>5097961.3599999994</v>
      </c>
      <c r="AQ22" s="213">
        <f>+'Summary - Cost - PG 1 (Tot)'!F119-AD20</f>
        <v>43156140.920000017</v>
      </c>
      <c r="AR22" s="199"/>
      <c r="AS22" s="184"/>
      <c r="AT22" s="184"/>
      <c r="AU22" s="184"/>
      <c r="AV22" s="184"/>
      <c r="AW22" s="184"/>
      <c r="AX22" s="184"/>
      <c r="AY22" s="184"/>
    </row>
    <row r="23" spans="1:51">
      <c r="B23" s="184"/>
      <c r="D23" s="51"/>
      <c r="E23" s="23"/>
      <c r="F23" s="51"/>
      <c r="G23" s="23"/>
      <c r="H23" s="51"/>
      <c r="I23" s="23"/>
      <c r="J23" s="51"/>
      <c r="K23" s="51"/>
      <c r="L23" s="51"/>
      <c r="M23" s="23"/>
      <c r="N23" s="86"/>
      <c r="O23" s="86"/>
      <c r="P23" s="86"/>
      <c r="Q23" s="86"/>
      <c r="R23" s="86"/>
      <c r="S23" s="86"/>
      <c r="T23" s="86"/>
      <c r="U23" s="23"/>
      <c r="V23" s="86"/>
      <c r="W23" s="306"/>
      <c r="X23" s="188">
        <f>+X20+X22+Y20</f>
        <v>-1.000000536441803E-2</v>
      </c>
      <c r="Y23" s="188"/>
      <c r="Z23" s="188"/>
      <c r="AA23" s="188"/>
      <c r="AB23" s="188"/>
      <c r="AC23" s="188">
        <f>+AC20-AC22</f>
        <v>0</v>
      </c>
      <c r="AD23" s="188"/>
      <c r="AE23" s="188">
        <f>+AE20-AE22</f>
        <v>0</v>
      </c>
      <c r="AF23" s="188"/>
      <c r="AG23" s="188"/>
      <c r="AH23" s="188"/>
      <c r="AI23" s="188"/>
      <c r="AJ23" s="188"/>
      <c r="AK23" s="188"/>
      <c r="AL23" s="188"/>
      <c r="AM23" s="188"/>
      <c r="AN23" s="188"/>
      <c r="AO23" s="211">
        <f>+AO12+AO22</f>
        <v>0</v>
      </c>
      <c r="AP23" s="211">
        <f>+AP20-AP22</f>
        <v>0</v>
      </c>
      <c r="AQ23" s="211">
        <f>+AQ20-AQ22</f>
        <v>0</v>
      </c>
      <c r="AR23" s="199"/>
    </row>
    <row r="24" spans="1:51">
      <c r="B24" s="184" t="s">
        <v>1382</v>
      </c>
      <c r="C24" s="184" t="s">
        <v>1383</v>
      </c>
      <c r="D24" s="51"/>
      <c r="E24" s="23"/>
      <c r="F24" s="51"/>
      <c r="G24" s="23"/>
      <c r="H24" s="51"/>
      <c r="I24" s="23"/>
      <c r="J24" s="51"/>
      <c r="K24" s="51"/>
      <c r="L24" s="51"/>
      <c r="M24" s="23"/>
      <c r="N24" s="86"/>
      <c r="O24" s="86"/>
      <c r="P24" s="86"/>
      <c r="Q24" s="86"/>
      <c r="R24" s="86"/>
      <c r="S24" s="86"/>
      <c r="T24" s="86"/>
      <c r="U24" s="23"/>
      <c r="V24" s="86"/>
      <c r="W24" s="86"/>
      <c r="X24" s="188"/>
      <c r="Y24" s="188"/>
      <c r="Z24" s="188"/>
      <c r="AA24" s="188"/>
      <c r="AB24" s="188"/>
      <c r="AC24" s="188"/>
      <c r="AD24" s="188"/>
      <c r="AR24" s="199"/>
    </row>
    <row r="25" spans="1:51">
      <c r="B25" s="184"/>
      <c r="C25" s="184" t="s">
        <v>1384</v>
      </c>
      <c r="D25" s="51"/>
      <c r="E25" s="23"/>
      <c r="F25" s="51"/>
      <c r="G25" s="23"/>
      <c r="H25" s="51"/>
      <c r="I25" s="23"/>
      <c r="J25" s="51"/>
      <c r="K25" s="51"/>
      <c r="L25" s="51"/>
      <c r="M25" s="23"/>
      <c r="N25" s="86"/>
      <c r="O25" s="86"/>
      <c r="P25" s="86"/>
      <c r="Q25" s="86"/>
      <c r="R25" s="86"/>
      <c r="S25" s="86"/>
      <c r="T25" s="86"/>
      <c r="U25" s="23"/>
      <c r="V25" s="86"/>
      <c r="W25" s="86"/>
      <c r="X25" s="188"/>
      <c r="Y25" s="188"/>
      <c r="Z25" s="188"/>
      <c r="AA25" s="188"/>
      <c r="AB25" s="188"/>
      <c r="AC25" s="188"/>
      <c r="AD25" s="188"/>
      <c r="AR25" s="199"/>
    </row>
    <row r="26" spans="1:51">
      <c r="B26" s="184"/>
      <c r="D26" s="51"/>
      <c r="E26" s="23"/>
      <c r="F26" s="51"/>
      <c r="G26" s="23"/>
      <c r="H26" s="51"/>
      <c r="I26" s="23"/>
      <c r="J26" s="51"/>
      <c r="K26" s="51"/>
      <c r="L26" s="51"/>
      <c r="M26" s="23"/>
      <c r="N26" s="86"/>
      <c r="O26" s="86"/>
      <c r="P26" s="86"/>
      <c r="Q26" s="86"/>
      <c r="R26" s="86"/>
      <c r="S26" s="86"/>
      <c r="T26" s="86"/>
      <c r="U26" s="23"/>
      <c r="V26" s="86"/>
      <c r="W26" s="86"/>
      <c r="X26" s="188"/>
      <c r="Y26" s="188"/>
      <c r="Z26" s="188"/>
      <c r="AA26" s="188"/>
      <c r="AB26" s="188"/>
      <c r="AC26" s="188"/>
      <c r="AD26" s="188"/>
      <c r="AR26" s="199"/>
    </row>
    <row r="27" spans="1:51">
      <c r="B27" s="184"/>
      <c r="D27" s="51"/>
      <c r="E27" s="23"/>
      <c r="F27" s="51"/>
      <c r="G27" s="23"/>
      <c r="H27" s="51"/>
      <c r="I27" s="23"/>
      <c r="J27" s="51"/>
      <c r="K27" s="51"/>
      <c r="L27" s="51"/>
      <c r="M27" s="23"/>
      <c r="N27" s="86"/>
      <c r="O27" s="86"/>
      <c r="P27" s="86"/>
      <c r="Q27" s="86"/>
      <c r="R27" s="86"/>
      <c r="S27" s="86"/>
      <c r="T27" s="86"/>
      <c r="U27" s="23"/>
      <c r="V27" s="86"/>
      <c r="W27" s="86"/>
      <c r="X27" s="188"/>
      <c r="Y27" s="188"/>
      <c r="Z27" s="188"/>
      <c r="AA27" s="188"/>
      <c r="AB27" s="188"/>
      <c r="AC27" s="188"/>
      <c r="AD27" s="188"/>
      <c r="AP27" s="303"/>
      <c r="AR27" s="199"/>
    </row>
    <row r="28" spans="1:51" s="10" customFormat="1">
      <c r="A28" s="32" t="s">
        <v>1435</v>
      </c>
      <c r="D28" s="54"/>
      <c r="E28" s="23"/>
      <c r="F28" s="54"/>
      <c r="G28" s="23"/>
      <c r="H28" s="54"/>
      <c r="I28" s="23"/>
      <c r="J28" s="54"/>
      <c r="K28" s="54"/>
      <c r="L28" s="54"/>
      <c r="M28" s="54"/>
      <c r="N28" s="54"/>
      <c r="O28" s="54"/>
      <c r="P28" s="54"/>
      <c r="Q28" s="54"/>
      <c r="R28" s="54"/>
      <c r="S28" s="54"/>
      <c r="T28" s="85"/>
      <c r="U28" s="23"/>
      <c r="V28" s="54"/>
      <c r="X28" s="72"/>
      <c r="Y28" s="72"/>
      <c r="Z28" s="72"/>
      <c r="AA28" s="72"/>
      <c r="AB28" s="72"/>
      <c r="AC28" s="72"/>
      <c r="AD28" s="72"/>
      <c r="AE28" s="72"/>
      <c r="AF28" s="72"/>
      <c r="AG28" s="72"/>
      <c r="AH28" s="72"/>
      <c r="AI28" s="72"/>
      <c r="AJ28" s="72"/>
      <c r="AK28" s="72"/>
      <c r="AL28" s="184"/>
      <c r="AP28" s="72"/>
      <c r="AQ28" s="72"/>
      <c r="AR28" s="309"/>
    </row>
    <row r="29" spans="1:51" s="10" customFormat="1">
      <c r="A29" s="32"/>
      <c r="B29" s="10" t="s">
        <v>1436</v>
      </c>
      <c r="D29" s="54"/>
      <c r="E29" s="23"/>
      <c r="F29" s="54"/>
      <c r="G29" s="23"/>
      <c r="H29" s="54"/>
      <c r="I29" s="23"/>
      <c r="J29" s="54"/>
      <c r="K29" s="54"/>
      <c r="L29" s="54"/>
      <c r="M29" s="54"/>
      <c r="N29" s="54"/>
      <c r="O29" s="54"/>
      <c r="P29" s="54"/>
      <c r="Q29" s="54"/>
      <c r="R29" s="54"/>
      <c r="S29" s="54"/>
      <c r="T29" s="85"/>
      <c r="U29" s="23"/>
      <c r="V29" s="54"/>
      <c r="X29" s="72"/>
      <c r="Y29" s="72"/>
      <c r="Z29" s="72"/>
      <c r="AA29" s="72"/>
      <c r="AB29" s="72"/>
      <c r="AC29" s="72"/>
      <c r="AD29" s="72"/>
      <c r="AE29" s="72"/>
      <c r="AF29" s="72"/>
      <c r="AG29" s="72"/>
      <c r="AH29" s="72"/>
      <c r="AI29" s="72"/>
      <c r="AJ29" s="72"/>
      <c r="AK29" s="72"/>
      <c r="AL29" s="184"/>
      <c r="AO29" s="310">
        <f>+'Recon Depr Exp to IS P4 (Tot)'!I38+'Recon Depr Exp to IS P4 (Tot)'!K38</f>
        <v>55718.729999999996</v>
      </c>
      <c r="AP29" s="72"/>
      <c r="AQ29" s="72"/>
      <c r="AR29" s="309"/>
    </row>
    <row r="30" spans="1:51" s="10" customFormat="1">
      <c r="A30" s="32"/>
      <c r="B30" s="10" t="s">
        <v>1437</v>
      </c>
      <c r="D30" s="54"/>
      <c r="E30" s="23"/>
      <c r="F30" s="54"/>
      <c r="G30" s="23"/>
      <c r="H30" s="54"/>
      <c r="I30" s="23"/>
      <c r="J30" s="54"/>
      <c r="K30" s="54"/>
      <c r="L30" s="54"/>
      <c r="M30" s="54"/>
      <c r="N30" s="54"/>
      <c r="O30" s="54"/>
      <c r="P30" s="54"/>
      <c r="Q30" s="54"/>
      <c r="R30" s="54"/>
      <c r="S30" s="54"/>
      <c r="T30" s="85"/>
      <c r="U30" s="23"/>
      <c r="V30" s="54"/>
      <c r="X30" s="72"/>
      <c r="Y30" s="72"/>
      <c r="AM30" s="72"/>
      <c r="AO30" s="310">
        <f>+'Recon Depr Exp to IS P4 (Tot)'!M38</f>
        <v>122893.35</v>
      </c>
      <c r="AR30" s="309"/>
    </row>
    <row r="31" spans="1:51" s="10" customFormat="1" ht="13.5" thickBot="1">
      <c r="A31" s="32"/>
      <c r="D31" s="54"/>
      <c r="E31" s="23"/>
      <c r="F31" s="54"/>
      <c r="G31" s="23"/>
      <c r="H31" s="54"/>
      <c r="I31" s="23"/>
      <c r="J31" s="54"/>
      <c r="K31" s="54"/>
      <c r="L31" s="54"/>
      <c r="M31" s="54"/>
      <c r="N31" s="54"/>
      <c r="O31" s="54"/>
      <c r="P31" s="54"/>
      <c r="Q31" s="54"/>
      <c r="R31" s="54"/>
      <c r="S31" s="54"/>
      <c r="T31" s="85"/>
      <c r="U31" s="23"/>
      <c r="V31" s="54"/>
      <c r="X31" s="72"/>
      <c r="Y31" s="72"/>
      <c r="AM31" s="72"/>
      <c r="AO31" s="170">
        <f>AO12+AO29+AO30</f>
        <v>-1.6007106751203537E-10</v>
      </c>
      <c r="AP31" s="10" t="s">
        <v>1438</v>
      </c>
      <c r="AR31" s="309"/>
    </row>
    <row r="32" spans="1:51" ht="13.5" thickTop="1">
      <c r="B32" s="184"/>
      <c r="D32" s="51"/>
      <c r="E32" s="23"/>
      <c r="F32" s="51"/>
      <c r="G32" s="23"/>
      <c r="H32" s="51"/>
      <c r="I32" s="23"/>
      <c r="J32" s="51"/>
      <c r="K32" s="51"/>
      <c r="L32" s="51"/>
      <c r="M32" s="23"/>
      <c r="N32" s="86"/>
      <c r="O32" s="86"/>
      <c r="P32" s="86"/>
      <c r="Q32" s="86"/>
      <c r="R32" s="86"/>
      <c r="S32" s="86"/>
      <c r="T32" s="86"/>
      <c r="U32" s="23"/>
      <c r="V32" s="86"/>
      <c r="W32" s="86"/>
      <c r="X32" s="188"/>
      <c r="Y32" s="188"/>
      <c r="Z32" s="188"/>
      <c r="AA32" s="188"/>
      <c r="AB32" s="188"/>
      <c r="AC32" s="188"/>
      <c r="AD32" s="188"/>
      <c r="AR32" s="309"/>
    </row>
    <row r="33" spans="1:51">
      <c r="B33" s="184"/>
      <c r="D33" s="51"/>
      <c r="E33" s="23"/>
      <c r="F33" s="51"/>
      <c r="G33" s="23"/>
      <c r="H33" s="51"/>
      <c r="I33" s="23"/>
      <c r="J33" s="51"/>
      <c r="K33" s="51"/>
      <c r="L33" s="51"/>
      <c r="M33" s="23"/>
      <c r="N33" s="86"/>
      <c r="O33" s="86"/>
      <c r="P33" s="86"/>
      <c r="Q33" s="86"/>
      <c r="R33" s="86"/>
      <c r="S33" s="86"/>
      <c r="T33" s="86"/>
      <c r="U33" s="23"/>
      <c r="V33" s="86"/>
      <c r="W33" s="86"/>
      <c r="X33" s="188"/>
      <c r="Y33" s="188"/>
      <c r="Z33" s="188"/>
      <c r="AA33" s="188"/>
      <c r="AB33" s="188"/>
      <c r="AC33" s="188"/>
      <c r="AD33" s="188"/>
      <c r="AR33" s="199"/>
    </row>
    <row r="34" spans="1:51" s="12" customFormat="1">
      <c r="A34" s="59"/>
      <c r="D34" s="41" t="s">
        <v>25</v>
      </c>
      <c r="E34" s="196"/>
      <c r="F34" s="196"/>
      <c r="G34" s="196"/>
      <c r="H34" s="196"/>
      <c r="I34" s="196"/>
      <c r="J34" s="41" t="s">
        <v>612</v>
      </c>
      <c r="K34" s="41"/>
      <c r="L34" s="41"/>
      <c r="M34" s="196"/>
      <c r="N34" s="196"/>
      <c r="O34" s="196"/>
      <c r="P34" s="196"/>
      <c r="Q34" s="196"/>
      <c r="R34" s="196"/>
      <c r="S34" s="196"/>
      <c r="T34" s="196"/>
      <c r="U34" s="196"/>
      <c r="V34" s="84" t="s">
        <v>26</v>
      </c>
      <c r="W34" s="85"/>
      <c r="X34" s="188"/>
      <c r="Y34" s="188"/>
      <c r="Z34" s="188"/>
      <c r="AA34" s="188"/>
      <c r="AB34" s="188"/>
      <c r="AC34" s="188"/>
      <c r="AD34" s="188"/>
      <c r="AE34" s="184"/>
      <c r="AF34" s="184"/>
      <c r="AG34" s="184"/>
      <c r="AH34" s="184"/>
      <c r="AI34" s="184"/>
      <c r="AJ34" s="184"/>
      <c r="AK34" s="184"/>
      <c r="AL34" s="184"/>
      <c r="AM34" s="184"/>
      <c r="AN34" s="184"/>
      <c r="AO34" s="184"/>
      <c r="AR34" s="199"/>
      <c r="AS34" s="184"/>
      <c r="AT34" s="184"/>
      <c r="AU34" s="184"/>
      <c r="AV34" s="184"/>
      <c r="AW34" s="184"/>
      <c r="AX34" s="184"/>
      <c r="AY34" s="184"/>
    </row>
    <row r="35" spans="1:51" s="12" customFormat="1" outlineLevel="1">
      <c r="A35" s="59"/>
      <c r="D35" s="42" t="s">
        <v>27</v>
      </c>
      <c r="E35" s="23"/>
      <c r="F35" s="42" t="s">
        <v>107</v>
      </c>
      <c r="G35" s="23"/>
      <c r="H35" s="42" t="s">
        <v>108</v>
      </c>
      <c r="I35" s="23"/>
      <c r="J35" s="42" t="s">
        <v>613</v>
      </c>
      <c r="K35" s="54"/>
      <c r="L35" s="54"/>
      <c r="M35" s="23"/>
      <c r="N35" s="43" t="s">
        <v>109</v>
      </c>
      <c r="O35" s="85"/>
      <c r="P35" s="85"/>
      <c r="Q35" s="85"/>
      <c r="R35" s="85"/>
      <c r="S35" s="85"/>
      <c r="T35" s="85"/>
      <c r="U35" s="23"/>
      <c r="V35" s="43" t="s">
        <v>27</v>
      </c>
      <c r="W35" s="85"/>
      <c r="X35" s="188"/>
      <c r="Y35" s="188"/>
      <c r="Z35" s="188"/>
      <c r="AA35" s="188"/>
      <c r="AB35" s="188"/>
      <c r="AC35" s="188"/>
      <c r="AD35" s="188"/>
      <c r="AE35" s="184"/>
      <c r="AF35" s="184"/>
      <c r="AG35" s="184"/>
      <c r="AH35" s="184"/>
      <c r="AI35" s="184"/>
      <c r="AJ35" s="184"/>
      <c r="AK35" s="184"/>
      <c r="AL35" s="184"/>
      <c r="AM35" s="184"/>
      <c r="AN35" s="184"/>
      <c r="AO35" s="184"/>
      <c r="AR35" s="199"/>
      <c r="AS35" s="184"/>
      <c r="AT35" s="184"/>
      <c r="AU35" s="184"/>
      <c r="AV35" s="184"/>
      <c r="AW35" s="184"/>
      <c r="AX35" s="184"/>
      <c r="AY35" s="184"/>
    </row>
    <row r="36" spans="1:51" s="220" customFormat="1" outlineLevel="3">
      <c r="A36" s="218">
        <v>101</v>
      </c>
      <c r="B36" s="219" t="s">
        <v>610</v>
      </c>
      <c r="X36" s="221"/>
      <c r="Y36" s="221"/>
      <c r="Z36" s="221"/>
      <c r="AA36" s="221"/>
      <c r="AB36" s="221"/>
    </row>
    <row r="37" spans="1:51" s="220" customFormat="1" outlineLevel="3">
      <c r="A37" s="218"/>
      <c r="B37" s="219" t="s">
        <v>652</v>
      </c>
      <c r="X37" s="221"/>
      <c r="Y37" s="221"/>
      <c r="Z37" s="221"/>
      <c r="AA37" s="221"/>
      <c r="AB37" s="221"/>
    </row>
    <row r="38" spans="1:51" s="220" customFormat="1" outlineLevel="3">
      <c r="A38" s="218"/>
      <c r="B38" s="219"/>
      <c r="C38" s="220" t="s">
        <v>455</v>
      </c>
      <c r="D38" s="222">
        <f>+'Summary - Cost - PG 1 (Tot)'!D10</f>
        <v>93976993.439999998</v>
      </c>
      <c r="E38" s="223"/>
      <c r="F38" s="222">
        <f>+'Summary - Cost - PG 1 (Tot)'!F10</f>
        <v>3159995.05</v>
      </c>
      <c r="G38" s="223"/>
      <c r="H38" s="222">
        <f>+'Summary - Cost - PG 1 (Tot)'!H10</f>
        <v>-96055.439999999944</v>
      </c>
      <c r="I38" s="223"/>
      <c r="J38" s="222">
        <f>+'Summary - Cost - PG 1 (Tot)'!J10</f>
        <v>0</v>
      </c>
      <c r="K38" s="222"/>
      <c r="L38" s="222"/>
      <c r="M38" s="223"/>
      <c r="N38" s="223">
        <f>F38+H38+J38</f>
        <v>3063939.61</v>
      </c>
      <c r="O38" s="223"/>
      <c r="P38" s="223"/>
      <c r="Q38" s="223"/>
      <c r="R38" s="223"/>
      <c r="S38" s="223"/>
      <c r="T38" s="223"/>
      <c r="U38" s="223"/>
      <c r="V38" s="223">
        <f>D38+N38</f>
        <v>97040933.049999997</v>
      </c>
      <c r="W38" s="223"/>
      <c r="X38" s="224"/>
      <c r="Y38" s="224"/>
      <c r="Z38" s="224"/>
      <c r="AA38" s="224"/>
      <c r="AB38" s="224"/>
    </row>
    <row r="39" spans="1:51" s="220" customFormat="1" outlineLevel="3">
      <c r="A39" s="218"/>
      <c r="B39" s="219"/>
      <c r="C39" s="220" t="s">
        <v>111</v>
      </c>
      <c r="D39" s="225">
        <f>+'Summary - Cost - PG 1 (Tot)'!D11</f>
        <v>49525478.379999995</v>
      </c>
      <c r="E39" s="222"/>
      <c r="F39" s="225">
        <f>+'Summary - Cost - PG 1 (Tot)'!F11</f>
        <v>466307.98</v>
      </c>
      <c r="G39" s="222"/>
      <c r="H39" s="225">
        <f>+'Summary - Cost - PG 1 (Tot)'!H11</f>
        <v>-400877.43000000005</v>
      </c>
      <c r="I39" s="222"/>
      <c r="J39" s="225">
        <f>+'Summary - Cost - PG 1 (Tot)'!J11</f>
        <v>0</v>
      </c>
      <c r="K39" s="222"/>
      <c r="L39" s="222"/>
      <c r="M39" s="222"/>
      <c r="N39" s="225">
        <f>F39+H39+J39</f>
        <v>65430.54999999993</v>
      </c>
      <c r="O39" s="222"/>
      <c r="P39" s="222"/>
      <c r="Q39" s="222"/>
      <c r="R39" s="222"/>
      <c r="S39" s="222"/>
      <c r="T39" s="222"/>
      <c r="U39" s="222"/>
      <c r="V39" s="225">
        <f>D39+N39</f>
        <v>49590908.929999992</v>
      </c>
      <c r="W39" s="222"/>
      <c r="X39" s="226"/>
      <c r="Y39" s="226"/>
      <c r="Z39" s="226"/>
      <c r="AA39" s="226"/>
      <c r="AB39" s="226"/>
    </row>
    <row r="40" spans="1:51" s="220" customFormat="1" outlineLevel="3">
      <c r="A40" s="218"/>
      <c r="B40" s="219"/>
      <c r="C40" s="227"/>
      <c r="D40" s="222">
        <f>D38+D39</f>
        <v>143502471.81999999</v>
      </c>
      <c r="E40" s="222"/>
      <c r="F40" s="222">
        <f>F38+F39</f>
        <v>3626303.03</v>
      </c>
      <c r="G40" s="222"/>
      <c r="H40" s="222">
        <f>H38+H39</f>
        <v>-496932.87</v>
      </c>
      <c r="I40" s="222"/>
      <c r="J40" s="222">
        <f>J38+J39</f>
        <v>0</v>
      </c>
      <c r="K40" s="222"/>
      <c r="L40" s="222"/>
      <c r="M40" s="222"/>
      <c r="N40" s="222">
        <f>N38+N39</f>
        <v>3129370.1599999997</v>
      </c>
      <c r="O40" s="222"/>
      <c r="P40" s="222"/>
      <c r="Q40" s="222"/>
      <c r="R40" s="222"/>
      <c r="S40" s="222"/>
      <c r="T40" s="222"/>
      <c r="U40" s="222"/>
      <c r="V40" s="222">
        <f>V38+V39</f>
        <v>146631841.97999999</v>
      </c>
      <c r="W40" s="222"/>
      <c r="X40" s="226"/>
      <c r="Y40" s="226"/>
      <c r="Z40" s="226"/>
      <c r="AA40" s="226"/>
      <c r="AB40" s="226"/>
    </row>
    <row r="41" spans="1:51" s="220" customFormat="1" outlineLevel="3">
      <c r="A41" s="218"/>
      <c r="B41" s="219"/>
      <c r="D41" s="222"/>
      <c r="E41" s="222"/>
      <c r="F41" s="222"/>
      <c r="G41" s="222"/>
      <c r="H41" s="222"/>
      <c r="I41" s="222"/>
      <c r="J41" s="222"/>
      <c r="K41" s="222"/>
      <c r="L41" s="222"/>
      <c r="M41" s="222"/>
      <c r="N41" s="222"/>
      <c r="O41" s="222"/>
      <c r="P41" s="222"/>
      <c r="Q41" s="222"/>
      <c r="R41" s="222"/>
      <c r="S41" s="222"/>
      <c r="T41" s="222"/>
      <c r="U41" s="222"/>
      <c r="V41" s="222"/>
      <c r="W41" s="222"/>
      <c r="X41" s="226"/>
      <c r="Y41" s="226"/>
      <c r="Z41" s="226"/>
      <c r="AA41" s="226"/>
      <c r="AB41" s="226"/>
    </row>
    <row r="42" spans="1:51" s="220" customFormat="1" outlineLevel="3">
      <c r="A42" s="218"/>
      <c r="B42" s="219" t="s">
        <v>112</v>
      </c>
      <c r="D42" s="222"/>
      <c r="E42" s="222"/>
      <c r="F42" s="222"/>
      <c r="G42" s="222"/>
      <c r="H42" s="222"/>
      <c r="I42" s="222"/>
      <c r="J42" s="222"/>
      <c r="K42" s="222"/>
      <c r="L42" s="222"/>
      <c r="M42" s="222"/>
      <c r="N42" s="222"/>
      <c r="O42" s="222"/>
      <c r="P42" s="222"/>
      <c r="Q42" s="222"/>
      <c r="R42" s="222"/>
      <c r="S42" s="222"/>
      <c r="T42" s="222"/>
      <c r="U42" s="222"/>
      <c r="V42" s="222"/>
      <c r="W42" s="222"/>
      <c r="X42" s="226"/>
      <c r="Y42" s="226"/>
      <c r="Z42" s="226"/>
      <c r="AA42" s="226"/>
      <c r="AB42" s="226"/>
    </row>
    <row r="43" spans="1:51" s="220" customFormat="1" outlineLevel="3">
      <c r="A43" s="218"/>
      <c r="B43" s="219"/>
      <c r="C43" s="220" t="s">
        <v>113</v>
      </c>
      <c r="D43" s="222">
        <f>+'Summary - Cost - PG 1 (Tot)'!D15</f>
        <v>693033081.33999991</v>
      </c>
      <c r="E43" s="223"/>
      <c r="F43" s="222">
        <f>+'Summary - Cost - PG 1 (Tot)'!F15</f>
        <v>20208017.219999999</v>
      </c>
      <c r="G43" s="223"/>
      <c r="H43" s="222">
        <f>+'Summary - Cost - PG 1 (Tot)'!H15</f>
        <v>-1212153.9299999997</v>
      </c>
      <c r="I43" s="223"/>
      <c r="J43" s="222">
        <f>+'Summary - Cost - PG 1 (Tot)'!J15</f>
        <v>21903.139999999981</v>
      </c>
      <c r="K43" s="222"/>
      <c r="L43" s="222"/>
      <c r="M43" s="222"/>
      <c r="N43" s="222">
        <f t="shared" ref="N43:N49" si="53">F43+H43+J43</f>
        <v>19017766.43</v>
      </c>
      <c r="O43" s="222"/>
      <c r="P43" s="222"/>
      <c r="Q43" s="222"/>
      <c r="R43" s="222"/>
      <c r="S43" s="222"/>
      <c r="T43" s="222"/>
      <c r="U43" s="222"/>
      <c r="V43" s="222">
        <f t="shared" ref="V43:V49" si="54">D43+N43</f>
        <v>712050847.76999986</v>
      </c>
      <c r="W43" s="222"/>
      <c r="X43" s="226"/>
      <c r="Y43" s="226"/>
      <c r="Z43" s="226"/>
      <c r="AA43" s="226"/>
      <c r="AB43" s="226"/>
    </row>
    <row r="44" spans="1:51" s="220" customFormat="1" outlineLevel="3">
      <c r="A44" s="218"/>
      <c r="B44" s="219"/>
      <c r="C44" s="220" t="s">
        <v>114</v>
      </c>
      <c r="D44" s="222">
        <f>+'Summary - Cost - PG 1 (Tot)'!D16</f>
        <v>5117838.8000000007</v>
      </c>
      <c r="E44" s="223"/>
      <c r="F44" s="222">
        <f>+'Summary - Cost - PG 1 (Tot)'!F16</f>
        <v>179252.16</v>
      </c>
      <c r="G44" s="223"/>
      <c r="H44" s="222">
        <f>+'Summary - Cost - PG 1 (Tot)'!H16</f>
        <v>0</v>
      </c>
      <c r="I44" s="223"/>
      <c r="J44" s="222">
        <f>+'Summary - Cost - PG 1 (Tot)'!J16</f>
        <v>0</v>
      </c>
      <c r="K44" s="222"/>
      <c r="L44" s="222"/>
      <c r="M44" s="222"/>
      <c r="N44" s="222">
        <f t="shared" si="53"/>
        <v>179252.16</v>
      </c>
      <c r="O44" s="222"/>
      <c r="P44" s="222"/>
      <c r="Q44" s="222"/>
      <c r="R44" s="222"/>
      <c r="S44" s="222"/>
      <c r="T44" s="222"/>
      <c r="U44" s="222"/>
      <c r="V44" s="222">
        <f t="shared" si="54"/>
        <v>5297090.9600000009</v>
      </c>
      <c r="W44" s="222"/>
      <c r="X44" s="226"/>
      <c r="Y44" s="226"/>
      <c r="Z44" s="226"/>
      <c r="AA44" s="226"/>
      <c r="AB44" s="226"/>
    </row>
    <row r="45" spans="1:51" s="220" customFormat="1" outlineLevel="3">
      <c r="A45" s="218"/>
      <c r="B45" s="219"/>
      <c r="C45" s="220" t="s">
        <v>115</v>
      </c>
      <c r="D45" s="222">
        <f>+'Summary - Cost - PG 1 (Tot)'!D17</f>
        <v>33014601.650000002</v>
      </c>
      <c r="E45" s="223"/>
      <c r="F45" s="222">
        <f>+'Summary - Cost - PG 1 (Tot)'!F17</f>
        <v>16456.36</v>
      </c>
      <c r="G45" s="223"/>
      <c r="H45" s="222">
        <f>+'Summary - Cost - PG 1 (Tot)'!H17</f>
        <v>18.109999999999957</v>
      </c>
      <c r="I45" s="223"/>
      <c r="J45" s="222">
        <f>+'Summary - Cost - PG 1 (Tot)'!J17</f>
        <v>0</v>
      </c>
      <c r="K45" s="222"/>
      <c r="L45" s="222"/>
      <c r="M45" s="222"/>
      <c r="N45" s="222">
        <f t="shared" si="53"/>
        <v>16474.47</v>
      </c>
      <c r="O45" s="222"/>
      <c r="P45" s="222"/>
      <c r="Q45" s="222"/>
      <c r="R45" s="222"/>
      <c r="S45" s="222"/>
      <c r="T45" s="222"/>
      <c r="U45" s="222"/>
      <c r="V45" s="222">
        <f t="shared" si="54"/>
        <v>33031076.120000001</v>
      </c>
      <c r="W45" s="222"/>
      <c r="X45" s="226"/>
      <c r="Y45" s="226"/>
      <c r="Z45" s="226"/>
      <c r="AA45" s="226"/>
      <c r="AB45" s="226"/>
    </row>
    <row r="46" spans="1:51" s="220" customFormat="1" outlineLevel="3">
      <c r="A46" s="218"/>
      <c r="B46" s="219"/>
      <c r="C46" s="220" t="s">
        <v>116</v>
      </c>
      <c r="D46" s="222">
        <f>+'Summary - Cost - PG 1 (Tot)'!D18</f>
        <v>2240.29</v>
      </c>
      <c r="E46" s="223"/>
      <c r="F46" s="222">
        <f>+'Summary - Cost - PG 1 (Tot)'!F18</f>
        <v>0</v>
      </c>
      <c r="G46" s="223"/>
      <c r="H46" s="222">
        <f>+'Summary - Cost - PG 1 (Tot)'!H18</f>
        <v>0</v>
      </c>
      <c r="I46" s="223"/>
      <c r="J46" s="222">
        <f>+'Summary - Cost - PG 1 (Tot)'!J18</f>
        <v>0</v>
      </c>
      <c r="K46" s="222"/>
      <c r="L46" s="222"/>
      <c r="M46" s="222"/>
      <c r="N46" s="222">
        <f t="shared" si="53"/>
        <v>0</v>
      </c>
      <c r="O46" s="222"/>
      <c r="P46" s="222"/>
      <c r="Q46" s="222"/>
      <c r="R46" s="222"/>
      <c r="S46" s="222"/>
      <c r="T46" s="222"/>
      <c r="U46" s="222"/>
      <c r="V46" s="222">
        <f t="shared" si="54"/>
        <v>2240.29</v>
      </c>
      <c r="W46" s="222"/>
      <c r="X46" s="226"/>
      <c r="Y46" s="226"/>
      <c r="Z46" s="226"/>
      <c r="AA46" s="226"/>
      <c r="AB46" s="226"/>
    </row>
    <row r="47" spans="1:51" s="220" customFormat="1" outlineLevel="3">
      <c r="A47" s="218"/>
      <c r="B47" s="219"/>
      <c r="C47" s="220" t="s">
        <v>117</v>
      </c>
      <c r="D47" s="222">
        <f>+'Summary - Cost - PG 1 (Tot)'!D19</f>
        <v>175602533.09</v>
      </c>
      <c r="E47" s="223"/>
      <c r="F47" s="222">
        <f>+'Summary - Cost - PG 1 (Tot)'!F19</f>
        <v>3514154.86</v>
      </c>
      <c r="G47" s="223"/>
      <c r="H47" s="222">
        <f>+'Summary - Cost - PG 1 (Tot)'!H19</f>
        <v>-482249.92000000004</v>
      </c>
      <c r="I47" s="223"/>
      <c r="J47" s="222">
        <f>+'Summary - Cost - PG 1 (Tot)'!J19</f>
        <v>0</v>
      </c>
      <c r="K47" s="222"/>
      <c r="L47" s="222"/>
      <c r="M47" s="222"/>
      <c r="N47" s="222">
        <f t="shared" si="53"/>
        <v>3031904.94</v>
      </c>
      <c r="O47" s="222"/>
      <c r="P47" s="222"/>
      <c r="Q47" s="222"/>
      <c r="R47" s="222"/>
      <c r="S47" s="222"/>
      <c r="T47" s="222"/>
      <c r="U47" s="222"/>
      <c r="V47" s="222">
        <f t="shared" si="54"/>
        <v>178634438.03</v>
      </c>
      <c r="W47" s="222"/>
      <c r="X47" s="226"/>
      <c r="Y47" s="226"/>
      <c r="Z47" s="226"/>
      <c r="AA47" s="226"/>
      <c r="AB47" s="226"/>
    </row>
    <row r="48" spans="1:51" s="220" customFormat="1" outlineLevel="3">
      <c r="A48" s="218"/>
      <c r="B48" s="219"/>
      <c r="C48" s="220" t="s">
        <v>118</v>
      </c>
      <c r="D48" s="222">
        <f>+'Summary - Cost - PG 1 (Tot)'!D20</f>
        <v>1106190445.7899995</v>
      </c>
      <c r="E48" s="223"/>
      <c r="F48" s="222">
        <f>+'Summary - Cost - PG 1 (Tot)'!F20</f>
        <v>16857073.789999999</v>
      </c>
      <c r="G48" s="223"/>
      <c r="H48" s="222">
        <f>+'Summary - Cost - PG 1 (Tot)'!H20</f>
        <v>-1121933.4899999998</v>
      </c>
      <c r="I48" s="223"/>
      <c r="J48" s="222">
        <f>+'Summary - Cost - PG 1 (Tot)'!J20</f>
        <v>0</v>
      </c>
      <c r="K48" s="222"/>
      <c r="L48" s="222"/>
      <c r="M48" s="222"/>
      <c r="N48" s="222">
        <f t="shared" si="53"/>
        <v>15735140.299999999</v>
      </c>
      <c r="O48" s="222"/>
      <c r="P48" s="222"/>
      <c r="Q48" s="222"/>
      <c r="R48" s="222"/>
      <c r="S48" s="222"/>
      <c r="T48" s="222"/>
      <c r="U48" s="222"/>
      <c r="V48" s="222">
        <f t="shared" si="54"/>
        <v>1121925586.0899994</v>
      </c>
      <c r="W48" s="222"/>
      <c r="X48" s="226"/>
      <c r="Y48" s="226"/>
      <c r="Z48" s="226"/>
      <c r="AA48" s="226"/>
      <c r="AB48" s="226"/>
    </row>
    <row r="49" spans="1:28" s="220" customFormat="1" outlineLevel="3">
      <c r="A49" s="218"/>
      <c r="B49" s="219"/>
      <c r="C49" s="220" t="s">
        <v>119</v>
      </c>
      <c r="D49" s="225">
        <f>+'Summary - Cost - PG 1 (Tot)'!D21</f>
        <v>137217982.44</v>
      </c>
      <c r="E49" s="223"/>
      <c r="F49" s="225">
        <f>+'Summary - Cost - PG 1 (Tot)'!F21</f>
        <v>5667284.0299999993</v>
      </c>
      <c r="G49" s="223"/>
      <c r="H49" s="225">
        <f>+'Summary - Cost - PG 1 (Tot)'!H21</f>
        <v>-456718.33000000007</v>
      </c>
      <c r="I49" s="223"/>
      <c r="J49" s="225">
        <f>+'Summary - Cost - PG 1 (Tot)'!J21</f>
        <v>0</v>
      </c>
      <c r="K49" s="222"/>
      <c r="L49" s="222"/>
      <c r="M49" s="222"/>
      <c r="N49" s="225">
        <f t="shared" si="53"/>
        <v>5210565.6999999993</v>
      </c>
      <c r="O49" s="222"/>
      <c r="P49" s="222"/>
      <c r="Q49" s="222"/>
      <c r="R49" s="222"/>
      <c r="S49" s="222"/>
      <c r="T49" s="222"/>
      <c r="U49" s="222"/>
      <c r="V49" s="225">
        <f t="shared" si="54"/>
        <v>142428548.13999999</v>
      </c>
      <c r="W49" s="222"/>
      <c r="X49" s="226"/>
      <c r="Y49" s="226"/>
      <c r="Z49" s="226"/>
      <c r="AA49" s="226"/>
      <c r="AB49" s="226"/>
    </row>
    <row r="50" spans="1:28" s="220" customFormat="1" outlineLevel="3">
      <c r="A50" s="218"/>
      <c r="B50" s="219"/>
      <c r="C50" s="227"/>
      <c r="D50" s="222">
        <f>SUM(D43:D49)</f>
        <v>2150178723.3999991</v>
      </c>
      <c r="E50" s="222"/>
      <c r="F50" s="222">
        <f>SUM(F43:F49)</f>
        <v>46442238.420000002</v>
      </c>
      <c r="G50" s="222"/>
      <c r="H50" s="222">
        <f>SUM(H43:H49)</f>
        <v>-3273037.5599999996</v>
      </c>
      <c r="I50" s="222"/>
      <c r="J50" s="222">
        <f>SUM(J43:J49)</f>
        <v>21903.139999999981</v>
      </c>
      <c r="K50" s="222"/>
      <c r="L50" s="222"/>
      <c r="M50" s="222"/>
      <c r="N50" s="222">
        <f>SUM(N43:N49)</f>
        <v>43191104</v>
      </c>
      <c r="O50" s="222"/>
      <c r="P50" s="222"/>
      <c r="Q50" s="222"/>
      <c r="R50" s="222"/>
      <c r="S50" s="222"/>
      <c r="T50" s="222"/>
      <c r="U50" s="222"/>
      <c r="V50" s="222">
        <f>SUM(V43:V49)</f>
        <v>2193369827.3999991</v>
      </c>
      <c r="W50" s="222"/>
      <c r="X50" s="226"/>
      <c r="Y50" s="226"/>
      <c r="Z50" s="226"/>
      <c r="AA50" s="226"/>
      <c r="AB50" s="226"/>
    </row>
    <row r="51" spans="1:28" s="220" customFormat="1" outlineLevel="3">
      <c r="A51" s="218"/>
      <c r="B51" s="219"/>
      <c r="D51" s="222"/>
      <c r="E51" s="222"/>
      <c r="F51" s="222"/>
      <c r="G51" s="222"/>
      <c r="H51" s="222"/>
      <c r="I51" s="222"/>
      <c r="J51" s="222"/>
      <c r="K51" s="222"/>
      <c r="L51" s="222"/>
      <c r="M51" s="222"/>
      <c r="N51" s="222"/>
      <c r="O51" s="222"/>
      <c r="P51" s="222"/>
      <c r="Q51" s="222"/>
      <c r="R51" s="222"/>
      <c r="S51" s="222"/>
      <c r="T51" s="222"/>
      <c r="U51" s="222"/>
      <c r="V51" s="222"/>
      <c r="W51" s="222"/>
      <c r="X51" s="226"/>
      <c r="Y51" s="226"/>
      <c r="Z51" s="226"/>
      <c r="AA51" s="226"/>
      <c r="AB51" s="226"/>
    </row>
    <row r="52" spans="1:28" s="220" customFormat="1" outlineLevel="3">
      <c r="A52" s="218"/>
      <c r="B52" s="219" t="s">
        <v>120</v>
      </c>
      <c r="D52" s="223"/>
      <c r="E52" s="223"/>
      <c r="F52" s="223"/>
      <c r="G52" s="223"/>
      <c r="H52" s="223"/>
      <c r="I52" s="223"/>
      <c r="J52" s="223"/>
      <c r="K52" s="223"/>
      <c r="L52" s="223"/>
      <c r="M52" s="223"/>
      <c r="N52" s="223"/>
      <c r="O52" s="223"/>
      <c r="P52" s="223"/>
      <c r="Q52" s="223"/>
      <c r="R52" s="223"/>
      <c r="S52" s="223"/>
      <c r="T52" s="223"/>
      <c r="U52" s="223"/>
      <c r="V52" s="223"/>
      <c r="W52" s="223"/>
      <c r="X52" s="224"/>
      <c r="Y52" s="224"/>
      <c r="Z52" s="224"/>
      <c r="AA52" s="224"/>
      <c r="AB52" s="224"/>
    </row>
    <row r="53" spans="1:28" s="220" customFormat="1" outlineLevel="3">
      <c r="A53" s="218"/>
      <c r="B53" s="219"/>
      <c r="C53" s="220" t="s">
        <v>121</v>
      </c>
      <c r="D53" s="222">
        <f>+'Summary - Cost - PG 1 (Tot)'!D25</f>
        <v>469764074.16000009</v>
      </c>
      <c r="E53" s="223"/>
      <c r="F53" s="222">
        <f>+'Summary - Cost - PG 1 (Tot)'!F25</f>
        <v>2781902.86</v>
      </c>
      <c r="G53" s="223"/>
      <c r="H53" s="222">
        <f>+'Summary - Cost - PG 1 (Tot)'!H25</f>
        <v>-9131.720000000003</v>
      </c>
      <c r="I53" s="223"/>
      <c r="J53" s="222">
        <f>+'Summary - Cost - PG 1 (Tot)'!J25</f>
        <v>-134900.23000000001</v>
      </c>
      <c r="K53" s="222"/>
      <c r="L53" s="222"/>
      <c r="M53" s="223"/>
      <c r="N53" s="223">
        <f>F53+H53+J53</f>
        <v>2637870.9099999997</v>
      </c>
      <c r="O53" s="223"/>
      <c r="P53" s="223"/>
      <c r="Q53" s="223"/>
      <c r="R53" s="223"/>
      <c r="S53" s="223"/>
      <c r="T53" s="223"/>
      <c r="U53" s="223"/>
      <c r="V53" s="223">
        <f>D53+N53</f>
        <v>472401945.07000011</v>
      </c>
      <c r="W53" s="223"/>
      <c r="X53" s="224"/>
      <c r="Y53" s="224"/>
      <c r="Z53" s="224"/>
      <c r="AA53" s="224"/>
      <c r="AB53" s="224"/>
    </row>
    <row r="54" spans="1:28" s="220" customFormat="1" outlineLevel="3">
      <c r="A54" s="218"/>
      <c r="B54" s="219"/>
      <c r="C54" s="220" t="s">
        <v>122</v>
      </c>
      <c r="D54" s="222">
        <f>+'Summary - Cost - PG 1 (Tot)'!D26</f>
        <v>3491211.1799999988</v>
      </c>
      <c r="E54" s="223"/>
      <c r="F54" s="222">
        <f>+'Summary - Cost - PG 1 (Tot)'!F26</f>
        <v>591411.84</v>
      </c>
      <c r="G54" s="223"/>
      <c r="H54" s="222">
        <f>+'Summary - Cost - PG 1 (Tot)'!H26</f>
        <v>0</v>
      </c>
      <c r="I54" s="223"/>
      <c r="J54" s="222">
        <f>+'Summary - Cost - PG 1 (Tot)'!J26</f>
        <v>0</v>
      </c>
      <c r="K54" s="222"/>
      <c r="L54" s="222"/>
      <c r="M54" s="223"/>
      <c r="N54" s="223">
        <f>F54+H54+J54</f>
        <v>591411.84</v>
      </c>
      <c r="O54" s="223"/>
      <c r="P54" s="223"/>
      <c r="Q54" s="223"/>
      <c r="R54" s="223"/>
      <c r="S54" s="223"/>
      <c r="T54" s="223"/>
      <c r="U54" s="223"/>
      <c r="V54" s="223">
        <f>D54+N54</f>
        <v>4082623.0199999986</v>
      </c>
      <c r="W54" s="223"/>
      <c r="X54" s="224"/>
      <c r="Y54" s="224"/>
      <c r="Z54" s="224"/>
      <c r="AA54" s="224"/>
      <c r="AB54" s="224"/>
    </row>
    <row r="55" spans="1:28" s="220" customFormat="1" outlineLevel="3">
      <c r="A55" s="218"/>
      <c r="B55" s="219"/>
      <c r="C55" s="220" t="s">
        <v>123</v>
      </c>
      <c r="D55" s="222">
        <f>+'Summary - Cost - PG 1 (Tot)'!D27</f>
        <v>268.33000000000004</v>
      </c>
      <c r="E55" s="223"/>
      <c r="F55" s="222">
        <f>+'Summary - Cost - PG 1 (Tot)'!F27</f>
        <v>0</v>
      </c>
      <c r="G55" s="223"/>
      <c r="H55" s="222">
        <f>+'Summary - Cost - PG 1 (Tot)'!H27</f>
        <v>0</v>
      </c>
      <c r="I55" s="223"/>
      <c r="J55" s="222">
        <f>+'Summary - Cost - PG 1 (Tot)'!J27</f>
        <v>0</v>
      </c>
      <c r="K55" s="222"/>
      <c r="L55" s="222"/>
      <c r="M55" s="223"/>
      <c r="N55" s="223">
        <f>F55+H55+J55</f>
        <v>0</v>
      </c>
      <c r="O55" s="223"/>
      <c r="P55" s="223"/>
      <c r="Q55" s="223"/>
      <c r="R55" s="223"/>
      <c r="S55" s="223"/>
      <c r="T55" s="223"/>
      <c r="U55" s="223"/>
      <c r="V55" s="223">
        <f>D55+N55</f>
        <v>268.33000000000004</v>
      </c>
      <c r="W55" s="223"/>
      <c r="X55" s="224"/>
      <c r="Y55" s="224"/>
      <c r="Z55" s="224"/>
      <c r="AA55" s="224"/>
      <c r="AB55" s="224"/>
    </row>
    <row r="56" spans="1:28" s="220" customFormat="1" outlineLevel="3">
      <c r="A56" s="218"/>
      <c r="B56" s="219"/>
      <c r="C56" s="220" t="s">
        <v>124</v>
      </c>
      <c r="D56" s="222">
        <f>+'Summary - Cost - PG 1 (Tot)'!D28</f>
        <v>49117556.880000003</v>
      </c>
      <c r="E56" s="223"/>
      <c r="F56" s="222">
        <f>+'Summary - Cost - PG 1 (Tot)'!F28</f>
        <v>628184.17999999993</v>
      </c>
      <c r="G56" s="223"/>
      <c r="H56" s="222">
        <f>+'Summary - Cost - PG 1 (Tot)'!H28</f>
        <v>-19463.049999999996</v>
      </c>
      <c r="I56" s="223"/>
      <c r="J56" s="222">
        <f>+'Summary - Cost - PG 1 (Tot)'!J28</f>
        <v>0</v>
      </c>
      <c r="K56" s="222"/>
      <c r="L56" s="222"/>
      <c r="M56" s="223"/>
      <c r="N56" s="223">
        <f>F56+H56+J56</f>
        <v>608721.12999999989</v>
      </c>
      <c r="O56" s="223"/>
      <c r="P56" s="223"/>
      <c r="Q56" s="223"/>
      <c r="R56" s="223"/>
      <c r="S56" s="223"/>
      <c r="T56" s="223"/>
      <c r="U56" s="223"/>
      <c r="V56" s="223">
        <f>D56+N56</f>
        <v>49726278.010000005</v>
      </c>
      <c r="W56" s="223"/>
      <c r="X56" s="224"/>
      <c r="Y56" s="224"/>
      <c r="Z56" s="224"/>
      <c r="AA56" s="224"/>
      <c r="AB56" s="224"/>
    </row>
    <row r="57" spans="1:28" s="220" customFormat="1" outlineLevel="3">
      <c r="A57" s="218"/>
      <c r="B57" s="219"/>
      <c r="C57" s="220" t="s">
        <v>125</v>
      </c>
      <c r="D57" s="225">
        <f>+'Summary - Cost - PG 1 (Tot)'!D29</f>
        <v>12115343.220000001</v>
      </c>
      <c r="E57" s="223"/>
      <c r="F57" s="225">
        <f>+'Summary - Cost - PG 1 (Tot)'!F29</f>
        <v>882947.47</v>
      </c>
      <c r="G57" s="223"/>
      <c r="H57" s="225">
        <f>+'Summary - Cost - PG 1 (Tot)'!H29</f>
        <v>-691.69</v>
      </c>
      <c r="I57" s="223"/>
      <c r="J57" s="225">
        <f>+'Summary - Cost - PG 1 (Tot)'!J29</f>
        <v>134900.23000000001</v>
      </c>
      <c r="K57" s="222"/>
      <c r="L57" s="222"/>
      <c r="M57" s="223"/>
      <c r="N57" s="225">
        <f>F57+H57+J57</f>
        <v>1017156.01</v>
      </c>
      <c r="O57" s="222"/>
      <c r="P57" s="222"/>
      <c r="Q57" s="222"/>
      <c r="R57" s="222"/>
      <c r="S57" s="222"/>
      <c r="T57" s="222"/>
      <c r="U57" s="223"/>
      <c r="V57" s="225">
        <f>D57+N57</f>
        <v>13132499.23</v>
      </c>
      <c r="W57" s="222"/>
      <c r="X57" s="224"/>
      <c r="Y57" s="224"/>
      <c r="Z57" s="224"/>
      <c r="AA57" s="224"/>
      <c r="AB57" s="224"/>
    </row>
    <row r="58" spans="1:28" s="220" customFormat="1" outlineLevel="3">
      <c r="A58" s="218"/>
      <c r="B58" s="219"/>
      <c r="C58" s="227"/>
      <c r="D58" s="222">
        <f>SUM(D53:D57)</f>
        <v>534488453.7700001</v>
      </c>
      <c r="E58" s="222"/>
      <c r="F58" s="222">
        <f>SUM(F53:F57)</f>
        <v>4884446.3499999996</v>
      </c>
      <c r="G58" s="222"/>
      <c r="H58" s="222">
        <f>SUM(H53:H57)</f>
        <v>-29286.459999999995</v>
      </c>
      <c r="I58" s="222"/>
      <c r="J58" s="222">
        <f>SUM(J53:J57)</f>
        <v>0</v>
      </c>
      <c r="K58" s="222"/>
      <c r="L58" s="222"/>
      <c r="M58" s="222"/>
      <c r="N58" s="222">
        <f>SUM(N53:N57)</f>
        <v>4855159.8899999997</v>
      </c>
      <c r="O58" s="222"/>
      <c r="P58" s="222"/>
      <c r="Q58" s="222"/>
      <c r="R58" s="222"/>
      <c r="S58" s="222"/>
      <c r="T58" s="222"/>
      <c r="U58" s="222"/>
      <c r="V58" s="222">
        <f>SUM(V53:V57)</f>
        <v>539343613.66000009</v>
      </c>
      <c r="W58" s="222"/>
      <c r="X58" s="224"/>
      <c r="Y58" s="224"/>
      <c r="Z58" s="224"/>
      <c r="AA58" s="224"/>
      <c r="AB58" s="224"/>
    </row>
    <row r="59" spans="1:28" s="220" customFormat="1" outlineLevel="3">
      <c r="A59" s="218"/>
      <c r="B59" s="219"/>
      <c r="D59" s="223"/>
      <c r="E59" s="223"/>
      <c r="F59" s="223"/>
      <c r="G59" s="223"/>
      <c r="H59" s="223"/>
      <c r="I59" s="223"/>
      <c r="J59" s="223"/>
      <c r="K59" s="223"/>
      <c r="L59" s="223"/>
      <c r="M59" s="223"/>
      <c r="N59" s="223"/>
      <c r="O59" s="223"/>
      <c r="P59" s="223"/>
      <c r="Q59" s="223"/>
      <c r="R59" s="223"/>
      <c r="S59" s="223"/>
      <c r="T59" s="223"/>
      <c r="U59" s="223"/>
      <c r="V59" s="223"/>
      <c r="W59" s="223"/>
      <c r="X59" s="224"/>
      <c r="Y59" s="224"/>
      <c r="Z59" s="224"/>
      <c r="AA59" s="224"/>
      <c r="AB59" s="224"/>
    </row>
    <row r="60" spans="1:28" s="220" customFormat="1" outlineLevel="3">
      <c r="A60" s="218"/>
      <c r="B60" s="219"/>
      <c r="C60" s="219" t="s">
        <v>126</v>
      </c>
      <c r="D60" s="228">
        <f>D40+D50+D58</f>
        <v>2828169648.9899993</v>
      </c>
      <c r="E60" s="223"/>
      <c r="F60" s="228">
        <f>F40+F50+F58</f>
        <v>54952987.800000004</v>
      </c>
      <c r="G60" s="223"/>
      <c r="H60" s="228">
        <f>H40+H50+H58</f>
        <v>-3799256.8899999997</v>
      </c>
      <c r="I60" s="223"/>
      <c r="J60" s="228">
        <f>J40+J50+J58</f>
        <v>21903.139999999981</v>
      </c>
      <c r="K60" s="222"/>
      <c r="L60" s="222"/>
      <c r="M60" s="223"/>
      <c r="N60" s="228">
        <f>N40+N50+N58</f>
        <v>51175634.049999997</v>
      </c>
      <c r="O60" s="222"/>
      <c r="P60" s="222"/>
      <c r="Q60" s="222"/>
      <c r="R60" s="222"/>
      <c r="S60" s="222"/>
      <c r="T60" s="222"/>
      <c r="U60" s="223"/>
      <c r="V60" s="228">
        <f>V40+V50+V58</f>
        <v>2879345283.039999</v>
      </c>
      <c r="W60" s="222"/>
      <c r="X60" s="224"/>
      <c r="Y60" s="224"/>
      <c r="Z60" s="224"/>
      <c r="AA60" s="224"/>
      <c r="AB60" s="224"/>
    </row>
    <row r="61" spans="1:28" s="220" customFormat="1" outlineLevel="3">
      <c r="A61" s="218"/>
      <c r="B61" s="219"/>
      <c r="C61" s="219"/>
      <c r="D61" s="222"/>
      <c r="E61" s="223"/>
      <c r="F61" s="222"/>
      <c r="G61" s="223"/>
      <c r="H61" s="222"/>
      <c r="I61" s="223"/>
      <c r="J61" s="222"/>
      <c r="K61" s="222"/>
      <c r="L61" s="222"/>
      <c r="M61" s="223"/>
      <c r="N61" s="222"/>
      <c r="O61" s="222"/>
      <c r="P61" s="222"/>
      <c r="Q61" s="222"/>
      <c r="R61" s="222"/>
      <c r="S61" s="222"/>
      <c r="T61" s="222"/>
      <c r="U61" s="223"/>
      <c r="V61" s="222"/>
      <c r="W61" s="222"/>
      <c r="X61" s="224"/>
      <c r="Y61" s="224"/>
      <c r="Z61" s="224"/>
      <c r="AA61" s="224"/>
      <c r="AB61" s="224"/>
    </row>
    <row r="62" spans="1:28" s="220" customFormat="1" outlineLevel="3">
      <c r="A62" s="218"/>
      <c r="B62" s="219"/>
      <c r="D62" s="223"/>
      <c r="E62" s="223"/>
      <c r="F62" s="223"/>
      <c r="G62" s="223"/>
      <c r="H62" s="223"/>
      <c r="I62" s="223"/>
      <c r="J62" s="223"/>
      <c r="K62" s="223"/>
      <c r="L62" s="223"/>
      <c r="M62" s="223"/>
      <c r="N62" s="223"/>
      <c r="O62" s="223"/>
      <c r="P62" s="223"/>
      <c r="Q62" s="223"/>
      <c r="R62" s="223"/>
      <c r="S62" s="223"/>
      <c r="T62" s="223"/>
      <c r="U62" s="223"/>
      <c r="V62" s="223"/>
      <c r="W62" s="223"/>
      <c r="X62" s="224"/>
      <c r="Y62" s="224"/>
      <c r="Z62" s="224"/>
      <c r="AA62" s="224"/>
      <c r="AB62" s="224"/>
    </row>
    <row r="63" spans="1:28" s="220" customFormat="1" outlineLevel="3">
      <c r="A63" s="218">
        <v>101.1</v>
      </c>
      <c r="B63" s="219" t="s">
        <v>106</v>
      </c>
      <c r="D63" s="223"/>
      <c r="E63" s="223"/>
      <c r="F63" s="223"/>
      <c r="G63" s="223"/>
      <c r="H63" s="223"/>
      <c r="I63" s="223"/>
      <c r="J63" s="223"/>
      <c r="K63" s="223"/>
      <c r="L63" s="223"/>
      <c r="M63" s="223"/>
      <c r="N63" s="223"/>
      <c r="O63" s="223"/>
      <c r="P63" s="223"/>
      <c r="Q63" s="223"/>
      <c r="R63" s="223"/>
      <c r="S63" s="223"/>
      <c r="T63" s="223"/>
      <c r="U63" s="223"/>
      <c r="V63" s="223"/>
      <c r="W63" s="223"/>
      <c r="X63" s="224"/>
      <c r="Y63" s="224"/>
      <c r="Z63" s="224"/>
      <c r="AA63" s="224"/>
      <c r="AB63" s="224"/>
    </row>
    <row r="64" spans="1:28" s="220" customFormat="1" outlineLevel="3">
      <c r="A64" s="218"/>
      <c r="B64" s="219" t="s">
        <v>112</v>
      </c>
      <c r="C64" s="220" t="s">
        <v>135</v>
      </c>
      <c r="D64" s="223"/>
      <c r="E64" s="223"/>
      <c r="F64" s="223"/>
      <c r="G64" s="223"/>
      <c r="H64" s="223"/>
      <c r="I64" s="223"/>
      <c r="J64" s="223"/>
      <c r="K64" s="223"/>
      <c r="L64" s="223"/>
      <c r="M64" s="223"/>
      <c r="N64" s="223"/>
      <c r="O64" s="223"/>
      <c r="P64" s="223"/>
      <c r="Q64" s="223"/>
      <c r="R64" s="223"/>
      <c r="S64" s="223"/>
      <c r="T64" s="223"/>
      <c r="U64" s="223"/>
      <c r="V64" s="223"/>
      <c r="W64" s="223"/>
      <c r="X64" s="224"/>
      <c r="Y64" s="224"/>
      <c r="Z64" s="224"/>
      <c r="AA64" s="224"/>
      <c r="AB64" s="224"/>
    </row>
    <row r="65" spans="1:28" s="220" customFormat="1" outlineLevel="3">
      <c r="A65" s="218"/>
      <c r="B65" s="219"/>
      <c r="C65" s="220" t="s">
        <v>118</v>
      </c>
      <c r="D65" s="225">
        <f>+'Summary - Cost - PG 1 (Tot)'!D37</f>
        <v>0</v>
      </c>
      <c r="E65" s="223"/>
      <c r="F65" s="225">
        <f>+'Summary - Cost - PG 1 (Tot)'!F37</f>
        <v>0</v>
      </c>
      <c r="G65" s="223"/>
      <c r="H65" s="225">
        <f>+'Summary - Cost - PG 1 (Tot)'!H37</f>
        <v>0</v>
      </c>
      <c r="I65" s="223"/>
      <c r="J65" s="225">
        <f>+'Summary - Cost - PG 1 (Tot)'!J37</f>
        <v>0</v>
      </c>
      <c r="K65" s="222"/>
      <c r="L65" s="222"/>
      <c r="M65" s="223"/>
      <c r="N65" s="225">
        <f>F65+H65+J65</f>
        <v>0</v>
      </c>
      <c r="O65" s="222"/>
      <c r="P65" s="222"/>
      <c r="Q65" s="222"/>
      <c r="R65" s="222"/>
      <c r="S65" s="222"/>
      <c r="T65" s="222"/>
      <c r="U65" s="223"/>
      <c r="V65" s="225">
        <f>D65+N65</f>
        <v>0</v>
      </c>
      <c r="W65" s="222"/>
      <c r="X65" s="224"/>
      <c r="Y65" s="224"/>
      <c r="Z65" s="224"/>
      <c r="AA65" s="224"/>
      <c r="AB65" s="224"/>
    </row>
    <row r="66" spans="1:28" s="220" customFormat="1" outlineLevel="3">
      <c r="A66" s="218"/>
      <c r="B66" s="219"/>
      <c r="C66" s="227"/>
      <c r="D66" s="222">
        <f>SUM(D65)</f>
        <v>0</v>
      </c>
      <c r="E66" s="222"/>
      <c r="F66" s="222">
        <f>SUM(F65)</f>
        <v>0</v>
      </c>
      <c r="G66" s="222"/>
      <c r="H66" s="222">
        <f>SUM(H65)</f>
        <v>0</v>
      </c>
      <c r="I66" s="222"/>
      <c r="J66" s="222">
        <f>SUM(J65)</f>
        <v>0</v>
      </c>
      <c r="K66" s="222"/>
      <c r="L66" s="222"/>
      <c r="M66" s="222"/>
      <c r="N66" s="222">
        <f>SUM(N65)</f>
        <v>0</v>
      </c>
      <c r="O66" s="222"/>
      <c r="P66" s="222"/>
      <c r="Q66" s="222"/>
      <c r="R66" s="222"/>
      <c r="S66" s="222"/>
      <c r="T66" s="222"/>
      <c r="U66" s="222"/>
      <c r="V66" s="222">
        <f>SUM(V65)</f>
        <v>0</v>
      </c>
      <c r="W66" s="222"/>
      <c r="X66" s="224"/>
      <c r="Y66" s="224"/>
      <c r="Z66" s="224"/>
      <c r="AA66" s="224"/>
      <c r="AB66" s="224"/>
    </row>
    <row r="67" spans="1:28" s="220" customFormat="1" outlineLevel="3">
      <c r="A67" s="218"/>
      <c r="B67" s="219"/>
      <c r="D67" s="223"/>
      <c r="E67" s="223"/>
      <c r="F67" s="223"/>
      <c r="G67" s="223"/>
      <c r="H67" s="223"/>
      <c r="I67" s="223"/>
      <c r="J67" s="223"/>
      <c r="K67" s="223"/>
      <c r="L67" s="223"/>
      <c r="M67" s="223"/>
      <c r="N67" s="223"/>
      <c r="O67" s="223"/>
      <c r="P67" s="223"/>
      <c r="Q67" s="223"/>
      <c r="R67" s="223"/>
      <c r="S67" s="223"/>
      <c r="T67" s="223"/>
      <c r="U67" s="223"/>
      <c r="V67" s="223"/>
      <c r="W67" s="223"/>
      <c r="X67" s="224"/>
      <c r="Y67" s="224"/>
      <c r="Z67" s="224"/>
      <c r="AA67" s="224"/>
      <c r="AB67" s="224"/>
    </row>
    <row r="68" spans="1:28" s="220" customFormat="1" outlineLevel="3">
      <c r="A68" s="218"/>
      <c r="B68" s="219"/>
      <c r="C68" s="219" t="s">
        <v>127</v>
      </c>
      <c r="D68" s="228">
        <f>D66</f>
        <v>0</v>
      </c>
      <c r="E68" s="223"/>
      <c r="F68" s="228">
        <f>F66</f>
        <v>0</v>
      </c>
      <c r="G68" s="223"/>
      <c r="H68" s="228">
        <f>H66</f>
        <v>0</v>
      </c>
      <c r="I68" s="223"/>
      <c r="J68" s="228">
        <f>J66</f>
        <v>0</v>
      </c>
      <c r="K68" s="222"/>
      <c r="L68" s="222"/>
      <c r="M68" s="223"/>
      <c r="N68" s="228">
        <f>N66</f>
        <v>0</v>
      </c>
      <c r="O68" s="222"/>
      <c r="P68" s="222"/>
      <c r="Q68" s="222"/>
      <c r="R68" s="222"/>
      <c r="S68" s="222"/>
      <c r="T68" s="222"/>
      <c r="U68" s="223"/>
      <c r="V68" s="228">
        <f>V66</f>
        <v>0</v>
      </c>
      <c r="W68" s="222"/>
      <c r="X68" s="224"/>
      <c r="Y68" s="224"/>
      <c r="Z68" s="224"/>
      <c r="AA68" s="224"/>
      <c r="AB68" s="224"/>
    </row>
    <row r="69" spans="1:28" s="220" customFormat="1" outlineLevel="3">
      <c r="A69" s="218"/>
      <c r="B69" s="219"/>
      <c r="D69" s="223"/>
      <c r="E69" s="223"/>
      <c r="F69" s="223"/>
      <c r="G69" s="223"/>
      <c r="H69" s="223"/>
      <c r="I69" s="223"/>
      <c r="J69" s="223"/>
      <c r="K69" s="223"/>
      <c r="L69" s="223"/>
      <c r="M69" s="223"/>
      <c r="N69" s="223"/>
      <c r="O69" s="223"/>
      <c r="P69" s="223"/>
      <c r="Q69" s="223"/>
      <c r="R69" s="223"/>
      <c r="S69" s="223"/>
      <c r="T69" s="223"/>
      <c r="U69" s="223"/>
      <c r="V69" s="223"/>
      <c r="W69" s="223"/>
      <c r="X69" s="224"/>
      <c r="Y69" s="224"/>
      <c r="Z69" s="224"/>
      <c r="AA69" s="224"/>
      <c r="AB69" s="224"/>
    </row>
    <row r="70" spans="1:28" s="220" customFormat="1" outlineLevel="3">
      <c r="A70" s="218"/>
      <c r="B70" s="219"/>
      <c r="D70" s="223"/>
      <c r="E70" s="223"/>
      <c r="F70" s="223"/>
      <c r="G70" s="223"/>
      <c r="H70" s="223"/>
      <c r="I70" s="223"/>
      <c r="J70" s="223"/>
      <c r="K70" s="223"/>
      <c r="L70" s="223"/>
      <c r="M70" s="223"/>
      <c r="N70" s="223"/>
      <c r="O70" s="223"/>
      <c r="P70" s="223"/>
      <c r="Q70" s="223"/>
      <c r="R70" s="223"/>
      <c r="S70" s="223"/>
      <c r="T70" s="223"/>
      <c r="U70" s="223"/>
      <c r="V70" s="223"/>
      <c r="W70" s="223"/>
      <c r="X70" s="224"/>
      <c r="Y70" s="224"/>
      <c r="Z70" s="224"/>
      <c r="AA70" s="224"/>
      <c r="AB70" s="224"/>
    </row>
    <row r="71" spans="1:28" s="220" customFormat="1" outlineLevel="3">
      <c r="A71" s="218">
        <v>102</v>
      </c>
      <c r="B71" s="219" t="s">
        <v>501</v>
      </c>
      <c r="D71" s="223"/>
      <c r="E71" s="223"/>
      <c r="F71" s="223"/>
      <c r="G71" s="223"/>
      <c r="H71" s="223"/>
      <c r="I71" s="223"/>
      <c r="J71" s="223"/>
      <c r="K71" s="223"/>
      <c r="L71" s="223"/>
      <c r="M71" s="223"/>
      <c r="N71" s="223"/>
      <c r="O71" s="223"/>
      <c r="P71" s="223"/>
      <c r="Q71" s="223"/>
      <c r="R71" s="223"/>
      <c r="S71" s="223"/>
      <c r="T71" s="223"/>
      <c r="U71" s="223"/>
      <c r="V71" s="223"/>
      <c r="W71" s="223"/>
      <c r="X71" s="224"/>
      <c r="Y71" s="224"/>
      <c r="Z71" s="224"/>
      <c r="AA71" s="224"/>
      <c r="AB71" s="224"/>
    </row>
    <row r="72" spans="1:28" s="220" customFormat="1" outlineLevel="3">
      <c r="A72" s="218"/>
      <c r="B72" s="219" t="s">
        <v>112</v>
      </c>
      <c r="D72" s="223"/>
      <c r="E72" s="223"/>
      <c r="F72" s="223"/>
      <c r="G72" s="223"/>
      <c r="H72" s="223"/>
      <c r="I72" s="223"/>
      <c r="J72" s="223"/>
      <c r="K72" s="223"/>
      <c r="L72" s="223"/>
      <c r="M72" s="223"/>
      <c r="N72" s="223"/>
      <c r="O72" s="223"/>
      <c r="P72" s="223"/>
      <c r="Q72" s="223"/>
      <c r="R72" s="223"/>
      <c r="S72" s="223"/>
      <c r="T72" s="223"/>
      <c r="U72" s="223"/>
      <c r="V72" s="223"/>
      <c r="W72" s="223"/>
      <c r="X72" s="224"/>
      <c r="Y72" s="224"/>
      <c r="Z72" s="224"/>
      <c r="AA72" s="224"/>
      <c r="AB72" s="224"/>
    </row>
    <row r="73" spans="1:28" s="220" customFormat="1" outlineLevel="3">
      <c r="A73" s="218"/>
      <c r="B73" s="219"/>
      <c r="C73" s="220" t="s">
        <v>118</v>
      </c>
      <c r="D73" s="225">
        <f>+'Summary - Cost - PG 1 (Tot)'!D45</f>
        <v>0</v>
      </c>
      <c r="E73" s="223"/>
      <c r="F73" s="225">
        <f>+'Summary - Cost - PG 1 (Tot)'!F45</f>
        <v>0</v>
      </c>
      <c r="G73" s="223"/>
      <c r="H73" s="225">
        <f>+'Summary - Cost - PG 1 (Tot)'!H45</f>
        <v>0</v>
      </c>
      <c r="I73" s="223"/>
      <c r="J73" s="225">
        <f>+'Summary - Cost - PG 1 (Tot)'!J45</f>
        <v>0</v>
      </c>
      <c r="K73" s="222"/>
      <c r="L73" s="222"/>
      <c r="M73" s="222"/>
      <c r="N73" s="225">
        <f>F73+H73+J73</f>
        <v>0</v>
      </c>
      <c r="O73" s="222"/>
      <c r="P73" s="222"/>
      <c r="Q73" s="222"/>
      <c r="R73" s="222"/>
      <c r="S73" s="222"/>
      <c r="T73" s="222"/>
      <c r="U73" s="222"/>
      <c r="V73" s="225">
        <f>D73+N73</f>
        <v>0</v>
      </c>
      <c r="W73" s="222"/>
      <c r="X73" s="224"/>
      <c r="Y73" s="224"/>
      <c r="Z73" s="224"/>
      <c r="AA73" s="224"/>
      <c r="AB73" s="224"/>
    </row>
    <row r="74" spans="1:28" s="220" customFormat="1" outlineLevel="3">
      <c r="A74" s="218"/>
      <c r="B74" s="219"/>
      <c r="C74" s="227"/>
      <c r="D74" s="222">
        <f>SUM(D73:D73)</f>
        <v>0</v>
      </c>
      <c r="E74" s="222"/>
      <c r="F74" s="222">
        <f>SUM(F73)</f>
        <v>0</v>
      </c>
      <c r="G74" s="222"/>
      <c r="H74" s="222">
        <f>SUM(H73)</f>
        <v>0</v>
      </c>
      <c r="I74" s="222"/>
      <c r="J74" s="222">
        <f>SUM(J73)</f>
        <v>0</v>
      </c>
      <c r="K74" s="222"/>
      <c r="L74" s="222"/>
      <c r="M74" s="222"/>
      <c r="N74" s="222">
        <f>SUM(N73)</f>
        <v>0</v>
      </c>
      <c r="O74" s="222"/>
      <c r="P74" s="222"/>
      <c r="Q74" s="222"/>
      <c r="R74" s="222"/>
      <c r="S74" s="222"/>
      <c r="T74" s="222"/>
      <c r="U74" s="222"/>
      <c r="V74" s="222">
        <f>SUM(V73:V73)</f>
        <v>0</v>
      </c>
      <c r="W74" s="222"/>
      <c r="X74" s="224"/>
      <c r="Y74" s="224"/>
      <c r="Z74" s="224"/>
      <c r="AA74" s="224"/>
      <c r="AB74" s="224"/>
    </row>
    <row r="75" spans="1:28" s="220" customFormat="1" outlineLevel="3">
      <c r="A75" s="218"/>
      <c r="B75" s="219"/>
      <c r="D75" s="223"/>
      <c r="E75" s="223"/>
      <c r="F75" s="223"/>
      <c r="G75" s="223"/>
      <c r="H75" s="223"/>
      <c r="I75" s="223"/>
      <c r="J75" s="223"/>
      <c r="K75" s="223"/>
      <c r="L75" s="223"/>
      <c r="M75" s="223"/>
      <c r="N75" s="223"/>
      <c r="O75" s="223"/>
      <c r="P75" s="223"/>
      <c r="Q75" s="223"/>
      <c r="R75" s="223"/>
      <c r="S75" s="223"/>
      <c r="T75" s="223"/>
      <c r="U75" s="223"/>
      <c r="V75" s="223"/>
      <c r="W75" s="223"/>
      <c r="X75" s="224"/>
      <c r="Y75" s="224"/>
      <c r="Z75" s="224"/>
      <c r="AA75" s="224"/>
      <c r="AB75" s="224"/>
    </row>
    <row r="76" spans="1:28" s="220" customFormat="1" outlineLevel="3">
      <c r="A76" s="218"/>
      <c r="B76" s="219"/>
      <c r="C76" s="219" t="s">
        <v>128</v>
      </c>
      <c r="D76" s="228">
        <f>D74</f>
        <v>0</v>
      </c>
      <c r="E76" s="223"/>
      <c r="F76" s="228">
        <f>F74</f>
        <v>0</v>
      </c>
      <c r="G76" s="223"/>
      <c r="H76" s="228">
        <f>H74</f>
        <v>0</v>
      </c>
      <c r="I76" s="223"/>
      <c r="J76" s="228">
        <f>J74</f>
        <v>0</v>
      </c>
      <c r="K76" s="222"/>
      <c r="L76" s="222"/>
      <c r="M76" s="223"/>
      <c r="N76" s="228">
        <f>N74</f>
        <v>0</v>
      </c>
      <c r="O76" s="222"/>
      <c r="P76" s="222"/>
      <c r="Q76" s="222"/>
      <c r="R76" s="222"/>
      <c r="S76" s="222"/>
      <c r="T76" s="222"/>
      <c r="U76" s="223"/>
      <c r="V76" s="228">
        <f>V74</f>
        <v>0</v>
      </c>
      <c r="W76" s="222"/>
      <c r="X76" s="224"/>
      <c r="Y76" s="224"/>
      <c r="Z76" s="224"/>
      <c r="AA76" s="224"/>
      <c r="AB76" s="224"/>
    </row>
    <row r="77" spans="1:28" s="220" customFormat="1" outlineLevel="3">
      <c r="A77" s="218"/>
      <c r="B77" s="219"/>
      <c r="C77" s="219"/>
      <c r="D77" s="222"/>
      <c r="E77" s="223"/>
      <c r="F77" s="222"/>
      <c r="G77" s="223"/>
      <c r="H77" s="222"/>
      <c r="I77" s="223"/>
      <c r="J77" s="222"/>
      <c r="K77" s="222"/>
      <c r="L77" s="222"/>
      <c r="M77" s="223"/>
      <c r="N77" s="222"/>
      <c r="O77" s="222"/>
      <c r="P77" s="222"/>
      <c r="Q77" s="222"/>
      <c r="R77" s="222"/>
      <c r="S77" s="222"/>
      <c r="T77" s="222"/>
      <c r="U77" s="223"/>
      <c r="V77" s="222"/>
      <c r="W77" s="222"/>
      <c r="X77" s="224"/>
      <c r="Y77" s="224"/>
      <c r="Z77" s="224"/>
      <c r="AA77" s="224"/>
      <c r="AB77" s="224"/>
    </row>
    <row r="78" spans="1:28" s="220" customFormat="1" outlineLevel="3">
      <c r="A78" s="218"/>
      <c r="B78" s="219"/>
      <c r="C78" s="219"/>
      <c r="D78" s="222"/>
      <c r="E78" s="223"/>
      <c r="F78" s="222"/>
      <c r="G78" s="223"/>
      <c r="H78" s="222"/>
      <c r="I78" s="223"/>
      <c r="J78" s="222"/>
      <c r="K78" s="222"/>
      <c r="L78" s="222"/>
      <c r="M78" s="223"/>
      <c r="N78" s="222"/>
      <c r="O78" s="222"/>
      <c r="P78" s="222"/>
      <c r="Q78" s="222"/>
      <c r="R78" s="222"/>
      <c r="S78" s="222"/>
      <c r="T78" s="222"/>
      <c r="U78" s="223"/>
      <c r="V78" s="222">
        <f>+V60+V73</f>
        <v>2879345283.039999</v>
      </c>
      <c r="W78" s="222"/>
      <c r="X78" s="224"/>
      <c r="Y78" s="224"/>
      <c r="Z78" s="224"/>
      <c r="AA78" s="224"/>
      <c r="AB78" s="224"/>
    </row>
    <row r="79" spans="1:28" s="220" customFormat="1" outlineLevel="3">
      <c r="A79" s="218">
        <v>105</v>
      </c>
      <c r="B79" s="219" t="s">
        <v>611</v>
      </c>
      <c r="D79" s="223"/>
      <c r="E79" s="223"/>
      <c r="F79" s="223"/>
      <c r="G79" s="223"/>
      <c r="H79" s="223"/>
      <c r="I79" s="223"/>
      <c r="J79" s="223"/>
      <c r="K79" s="223"/>
      <c r="L79" s="223"/>
      <c r="M79" s="223"/>
      <c r="N79" s="223"/>
      <c r="O79" s="223"/>
      <c r="P79" s="223"/>
      <c r="Q79" s="223"/>
      <c r="R79" s="223"/>
      <c r="S79" s="223"/>
      <c r="T79" s="223"/>
      <c r="U79" s="223"/>
      <c r="V79" s="223"/>
      <c r="W79" s="223"/>
      <c r="X79" s="224"/>
      <c r="Y79" s="224"/>
      <c r="Z79" s="224"/>
      <c r="AA79" s="224"/>
      <c r="AB79" s="224"/>
    </row>
    <row r="80" spans="1:28" s="220" customFormat="1" outlineLevel="3">
      <c r="A80" s="218"/>
      <c r="B80" s="219" t="s">
        <v>112</v>
      </c>
      <c r="D80" s="223"/>
      <c r="E80" s="223"/>
      <c r="F80" s="223"/>
      <c r="G80" s="223"/>
      <c r="H80" s="223"/>
      <c r="I80" s="223"/>
      <c r="J80" s="223"/>
      <c r="K80" s="223"/>
      <c r="L80" s="223"/>
      <c r="M80" s="223"/>
      <c r="N80" s="223"/>
      <c r="O80" s="223"/>
      <c r="P80" s="223"/>
      <c r="Q80" s="223"/>
      <c r="R80" s="223"/>
      <c r="S80" s="223"/>
      <c r="T80" s="223"/>
      <c r="U80" s="223"/>
      <c r="V80" s="223"/>
      <c r="W80" s="223"/>
      <c r="X80" s="224"/>
      <c r="Y80" s="224"/>
      <c r="Z80" s="224"/>
      <c r="AA80" s="224"/>
      <c r="AB80" s="224"/>
    </row>
    <row r="81" spans="1:28" s="220" customFormat="1" outlineLevel="3">
      <c r="A81" s="218"/>
      <c r="B81" s="219"/>
      <c r="C81" s="220" t="s">
        <v>113</v>
      </c>
      <c r="D81" s="222">
        <f>+'Summary - Cost - PG 1 (Tot)'!D53</f>
        <v>649014.48</v>
      </c>
      <c r="E81" s="223"/>
      <c r="F81" s="222">
        <f>+'Summary - Cost - PG 1 (Tot)'!F53</f>
        <v>0</v>
      </c>
      <c r="G81" s="223"/>
      <c r="H81" s="222">
        <f>+'Summary - Cost - PG 1 (Tot)'!H53</f>
        <v>0</v>
      </c>
      <c r="I81" s="223"/>
      <c r="J81" s="222">
        <f>+'Summary - Cost - PG 1 (Tot)'!J53</f>
        <v>-21926.880000000001</v>
      </c>
      <c r="K81" s="222"/>
      <c r="L81" s="222"/>
      <c r="M81" s="223"/>
      <c r="N81" s="222">
        <f>F81+H81+J81</f>
        <v>-21926.880000000001</v>
      </c>
      <c r="O81" s="222"/>
      <c r="P81" s="222"/>
      <c r="Q81" s="222"/>
      <c r="R81" s="222"/>
      <c r="S81" s="222"/>
      <c r="T81" s="222"/>
      <c r="U81" s="223"/>
      <c r="V81" s="222">
        <f>D81+N81</f>
        <v>627087.6</v>
      </c>
      <c r="W81" s="222"/>
      <c r="X81" s="224"/>
      <c r="Y81" s="224"/>
      <c r="Z81" s="224"/>
      <c r="AA81" s="224"/>
      <c r="AB81" s="224"/>
    </row>
    <row r="82" spans="1:28" s="220" customFormat="1" outlineLevel="3">
      <c r="A82" s="218"/>
      <c r="B82" s="219"/>
      <c r="C82" s="220" t="s">
        <v>118</v>
      </c>
      <c r="D82" s="225">
        <f>+'Summary - Cost - PG 1 (Tot)'!D54</f>
        <v>0</v>
      </c>
      <c r="E82" s="223"/>
      <c r="F82" s="225">
        <f>+'Summary - Cost - PG 1 (Tot)'!F54</f>
        <v>0</v>
      </c>
      <c r="G82" s="223"/>
      <c r="H82" s="225">
        <f>+'Summary - Cost - PG 1 (Tot)'!H54</f>
        <v>0</v>
      </c>
      <c r="I82" s="223"/>
      <c r="J82" s="225">
        <f>+'Summary - Cost - PG 1 (Tot)'!J54</f>
        <v>0</v>
      </c>
      <c r="K82" s="222"/>
      <c r="L82" s="222"/>
      <c r="M82" s="222"/>
      <c r="N82" s="225">
        <f>F82+H82+J82</f>
        <v>0</v>
      </c>
      <c r="O82" s="222"/>
      <c r="P82" s="222"/>
      <c r="Q82" s="222"/>
      <c r="R82" s="222"/>
      <c r="S82" s="222"/>
      <c r="T82" s="222"/>
      <c r="U82" s="222"/>
      <c r="V82" s="225">
        <f>D82+N82</f>
        <v>0</v>
      </c>
      <c r="W82" s="222"/>
      <c r="X82" s="224"/>
      <c r="Y82" s="224"/>
      <c r="Z82" s="224"/>
      <c r="AA82" s="224"/>
      <c r="AB82" s="224"/>
    </row>
    <row r="83" spans="1:28" s="220" customFormat="1" outlineLevel="3">
      <c r="A83" s="218"/>
      <c r="B83" s="219"/>
      <c r="C83" s="227"/>
      <c r="D83" s="222">
        <f>SUM(D81:D82)</f>
        <v>649014.48</v>
      </c>
      <c r="E83" s="222"/>
      <c r="F83" s="222">
        <f>SUM(F81:F82)</f>
        <v>0</v>
      </c>
      <c r="G83" s="222"/>
      <c r="H83" s="222">
        <f>SUM(H81:H82)</f>
        <v>0</v>
      </c>
      <c r="I83" s="222"/>
      <c r="J83" s="222">
        <f>SUM(J81:J82)</f>
        <v>-21926.880000000001</v>
      </c>
      <c r="K83" s="222"/>
      <c r="L83" s="222"/>
      <c r="M83" s="222"/>
      <c r="N83" s="222">
        <f>SUM(N81:N82)</f>
        <v>-21926.880000000001</v>
      </c>
      <c r="O83" s="222"/>
      <c r="P83" s="222"/>
      <c r="Q83" s="222"/>
      <c r="R83" s="222"/>
      <c r="S83" s="222"/>
      <c r="T83" s="222"/>
      <c r="U83" s="222"/>
      <c r="V83" s="222">
        <f>SUM(V81:V82)</f>
        <v>627087.6</v>
      </c>
      <c r="W83" s="222"/>
      <c r="X83" s="224"/>
      <c r="Y83" s="224"/>
      <c r="Z83" s="224"/>
      <c r="AA83" s="224"/>
      <c r="AB83" s="224"/>
    </row>
    <row r="84" spans="1:28" s="220" customFormat="1" outlineLevel="3">
      <c r="A84" s="218"/>
      <c r="B84" s="219"/>
      <c r="D84" s="223"/>
      <c r="E84" s="223"/>
      <c r="F84" s="223"/>
      <c r="G84" s="223"/>
      <c r="H84" s="223"/>
      <c r="I84" s="223"/>
      <c r="J84" s="223"/>
      <c r="K84" s="223"/>
      <c r="L84" s="223"/>
      <c r="M84" s="223"/>
      <c r="N84" s="223"/>
      <c r="O84" s="223"/>
      <c r="P84" s="223"/>
      <c r="Q84" s="223"/>
      <c r="R84" s="223"/>
      <c r="S84" s="223"/>
      <c r="T84" s="223"/>
      <c r="U84" s="223"/>
      <c r="V84" s="223"/>
      <c r="W84" s="223"/>
      <c r="X84" s="224"/>
      <c r="Y84" s="224"/>
      <c r="Z84" s="224"/>
      <c r="AA84" s="224"/>
      <c r="AB84" s="224"/>
    </row>
    <row r="85" spans="1:28" s="220" customFormat="1" outlineLevel="3">
      <c r="A85" s="218"/>
      <c r="B85" s="219"/>
      <c r="C85" s="219" t="s">
        <v>128</v>
      </c>
      <c r="D85" s="228">
        <f>D83</f>
        <v>649014.48</v>
      </c>
      <c r="E85" s="223"/>
      <c r="F85" s="228">
        <f>F83</f>
        <v>0</v>
      </c>
      <c r="G85" s="223"/>
      <c r="H85" s="228">
        <f>H83</f>
        <v>0</v>
      </c>
      <c r="I85" s="223"/>
      <c r="J85" s="228">
        <f>J83</f>
        <v>-21926.880000000001</v>
      </c>
      <c r="K85" s="222"/>
      <c r="L85" s="222"/>
      <c r="M85" s="223"/>
      <c r="N85" s="228">
        <f>N83</f>
        <v>-21926.880000000001</v>
      </c>
      <c r="O85" s="222"/>
      <c r="P85" s="222"/>
      <c r="Q85" s="222"/>
      <c r="R85" s="222"/>
      <c r="S85" s="222"/>
      <c r="T85" s="222"/>
      <c r="U85" s="223"/>
      <c r="V85" s="228">
        <f>V83</f>
        <v>627087.6</v>
      </c>
      <c r="W85" s="222"/>
      <c r="X85" s="224"/>
      <c r="Y85" s="224"/>
      <c r="Z85" s="224"/>
      <c r="AA85" s="224"/>
      <c r="AB85" s="224"/>
    </row>
    <row r="86" spans="1:28" s="220" customFormat="1" outlineLevel="3">
      <c r="A86" s="218"/>
      <c r="B86" s="219"/>
      <c r="D86" s="223"/>
      <c r="E86" s="223"/>
      <c r="F86" s="223"/>
      <c r="G86" s="223"/>
      <c r="H86" s="223"/>
      <c r="I86" s="223"/>
      <c r="J86" s="223"/>
      <c r="K86" s="223"/>
      <c r="L86" s="223"/>
      <c r="M86" s="223"/>
      <c r="N86" s="223"/>
      <c r="O86" s="223"/>
      <c r="P86" s="223"/>
      <c r="Q86" s="223"/>
      <c r="R86" s="223"/>
      <c r="S86" s="223"/>
      <c r="T86" s="223"/>
      <c r="U86" s="223"/>
      <c r="V86" s="223"/>
      <c r="W86" s="223"/>
      <c r="X86" s="224"/>
      <c r="Y86" s="224"/>
      <c r="Z86" s="224"/>
      <c r="AA86" s="224"/>
      <c r="AB86" s="224"/>
    </row>
    <row r="87" spans="1:28" s="220" customFormat="1" outlineLevel="3">
      <c r="A87" s="218"/>
      <c r="B87" s="219"/>
      <c r="D87" s="223"/>
      <c r="E87" s="223"/>
      <c r="F87" s="223"/>
      <c r="G87" s="223"/>
      <c r="H87" s="223"/>
      <c r="I87" s="223"/>
      <c r="J87" s="223"/>
      <c r="K87" s="223"/>
      <c r="L87" s="223"/>
      <c r="M87" s="223"/>
      <c r="N87" s="223"/>
      <c r="O87" s="223"/>
      <c r="P87" s="223"/>
      <c r="Q87" s="223"/>
      <c r="R87" s="223"/>
      <c r="S87" s="223"/>
      <c r="T87" s="223"/>
      <c r="U87" s="223"/>
      <c r="V87" s="223"/>
      <c r="W87" s="223"/>
      <c r="X87" s="224"/>
      <c r="Y87" s="224"/>
      <c r="Z87" s="224"/>
      <c r="AA87" s="224"/>
      <c r="AB87" s="224"/>
    </row>
    <row r="88" spans="1:28" s="220" customFormat="1" outlineLevel="3">
      <c r="A88" s="218">
        <v>106</v>
      </c>
      <c r="B88" s="219" t="s">
        <v>450</v>
      </c>
      <c r="D88" s="223"/>
      <c r="E88" s="223"/>
      <c r="F88" s="223"/>
      <c r="G88" s="223"/>
      <c r="H88" s="223"/>
      <c r="I88" s="223"/>
      <c r="J88" s="223"/>
      <c r="K88" s="223"/>
      <c r="L88" s="223"/>
      <c r="M88" s="223"/>
      <c r="N88" s="223"/>
      <c r="O88" s="223"/>
      <c r="P88" s="223"/>
      <c r="Q88" s="223"/>
      <c r="R88" s="223"/>
      <c r="S88" s="223"/>
      <c r="T88" s="223"/>
      <c r="U88" s="223"/>
      <c r="V88" s="223"/>
      <c r="W88" s="223"/>
      <c r="X88" s="224"/>
      <c r="Y88" s="224"/>
      <c r="Z88" s="224"/>
      <c r="AA88" s="224"/>
      <c r="AB88" s="224"/>
    </row>
    <row r="89" spans="1:28" s="220" customFormat="1" outlineLevel="3">
      <c r="A89" s="218"/>
      <c r="B89" s="219" t="s">
        <v>652</v>
      </c>
      <c r="D89" s="223"/>
      <c r="E89" s="223"/>
      <c r="F89" s="223"/>
      <c r="G89" s="223"/>
      <c r="H89" s="223"/>
      <c r="I89" s="223"/>
      <c r="J89" s="223"/>
      <c r="K89" s="223"/>
      <c r="L89" s="223"/>
      <c r="M89" s="223"/>
      <c r="N89" s="223"/>
      <c r="O89" s="223"/>
      <c r="P89" s="223"/>
      <c r="Q89" s="223"/>
      <c r="R89" s="223"/>
      <c r="S89" s="223"/>
      <c r="T89" s="223"/>
      <c r="U89" s="223"/>
      <c r="V89" s="223"/>
      <c r="W89" s="223"/>
      <c r="X89" s="224"/>
      <c r="Y89" s="224"/>
      <c r="Z89" s="224"/>
      <c r="AA89" s="224"/>
      <c r="AB89" s="224"/>
    </row>
    <row r="90" spans="1:28" s="220" customFormat="1" outlineLevel="3">
      <c r="A90" s="218"/>
      <c r="B90" s="219"/>
      <c r="C90" s="220" t="s">
        <v>455</v>
      </c>
      <c r="D90" s="222">
        <f>+'Summary - Cost - PG 1 (Tot)'!D62</f>
        <v>2574936.0099999998</v>
      </c>
      <c r="E90" s="223"/>
      <c r="F90" s="222">
        <f>+'Summary - Cost - PG 1 (Tot)'!F62</f>
        <v>-1350975.02</v>
      </c>
      <c r="G90" s="223"/>
      <c r="H90" s="222">
        <f>+'Summary - Cost - PG 1 (Tot)'!H62</f>
        <v>0</v>
      </c>
      <c r="I90" s="223"/>
      <c r="J90" s="222">
        <f>+'Summary - Cost - PG 1 (Tot)'!J62</f>
        <v>0</v>
      </c>
      <c r="K90" s="222"/>
      <c r="L90" s="222"/>
      <c r="M90" s="223"/>
      <c r="N90" s="223">
        <f>F90+H90+J90</f>
        <v>-1350975.02</v>
      </c>
      <c r="O90" s="223"/>
      <c r="P90" s="223"/>
      <c r="Q90" s="223"/>
      <c r="R90" s="223"/>
      <c r="S90" s="223"/>
      <c r="T90" s="223"/>
      <c r="U90" s="223"/>
      <c r="V90" s="223">
        <f>D90+N90</f>
        <v>1223960.9899999998</v>
      </c>
      <c r="W90" s="223"/>
      <c r="X90" s="224"/>
      <c r="Y90" s="224"/>
      <c r="Z90" s="224"/>
      <c r="AA90" s="224"/>
      <c r="AB90" s="224"/>
    </row>
    <row r="91" spans="1:28" s="220" customFormat="1" outlineLevel="3">
      <c r="A91" s="218"/>
      <c r="B91" s="219"/>
      <c r="C91" s="220" t="s">
        <v>111</v>
      </c>
      <c r="D91" s="225">
        <f>+'Summary - Cost - PG 1 (Tot)'!D63</f>
        <v>2240884.2599999961</v>
      </c>
      <c r="E91" s="223"/>
      <c r="F91" s="225">
        <f>+'Summary - Cost - PG 1 (Tot)'!F63</f>
        <v>4066684.07</v>
      </c>
      <c r="G91" s="223"/>
      <c r="H91" s="225">
        <f>+'Summary - Cost - PG 1 (Tot)'!H63</f>
        <v>0</v>
      </c>
      <c r="I91" s="223"/>
      <c r="J91" s="225">
        <f>+'Summary - Cost - PG 1 (Tot)'!J63</f>
        <v>0</v>
      </c>
      <c r="K91" s="222"/>
      <c r="L91" s="222"/>
      <c r="M91" s="222"/>
      <c r="N91" s="225">
        <f>F91+H91+J91</f>
        <v>4066684.07</v>
      </c>
      <c r="O91" s="222"/>
      <c r="P91" s="222"/>
      <c r="Q91" s="222"/>
      <c r="R91" s="222"/>
      <c r="S91" s="222"/>
      <c r="T91" s="222"/>
      <c r="U91" s="222"/>
      <c r="V91" s="225">
        <f>D91+N91</f>
        <v>6307568.3299999963</v>
      </c>
      <c r="W91" s="222"/>
      <c r="X91" s="226"/>
      <c r="Y91" s="226"/>
      <c r="Z91" s="226"/>
      <c r="AA91" s="226"/>
      <c r="AB91" s="226"/>
    </row>
    <row r="92" spans="1:28" s="220" customFormat="1" outlineLevel="3">
      <c r="A92" s="218"/>
      <c r="B92" s="219"/>
      <c r="C92" s="227"/>
      <c r="D92" s="222">
        <f>D90+D91</f>
        <v>4815820.2699999958</v>
      </c>
      <c r="E92" s="222"/>
      <c r="F92" s="222">
        <f>F90+F91</f>
        <v>2715709.05</v>
      </c>
      <c r="G92" s="222"/>
      <c r="H92" s="222">
        <f>H90+H91</f>
        <v>0</v>
      </c>
      <c r="I92" s="222"/>
      <c r="J92" s="222">
        <f>J90+J91</f>
        <v>0</v>
      </c>
      <c r="K92" s="222"/>
      <c r="L92" s="222"/>
      <c r="M92" s="222"/>
      <c r="N92" s="222">
        <f>N90+N91</f>
        <v>2715709.05</v>
      </c>
      <c r="O92" s="222"/>
      <c r="P92" s="222"/>
      <c r="Q92" s="222"/>
      <c r="R92" s="222"/>
      <c r="S92" s="222"/>
      <c r="T92" s="222"/>
      <c r="U92" s="222"/>
      <c r="V92" s="222">
        <f>V90+V91</f>
        <v>7531529.3199999966</v>
      </c>
      <c r="W92" s="222"/>
      <c r="X92" s="226"/>
      <c r="Y92" s="226"/>
      <c r="Z92" s="226"/>
      <c r="AA92" s="226"/>
      <c r="AB92" s="226"/>
    </row>
    <row r="93" spans="1:28" s="220" customFormat="1" outlineLevel="3">
      <c r="A93" s="218"/>
      <c r="B93" s="219"/>
      <c r="D93" s="222"/>
      <c r="E93" s="222"/>
      <c r="F93" s="222"/>
      <c r="G93" s="222"/>
      <c r="H93" s="222"/>
      <c r="I93" s="222"/>
      <c r="J93" s="222"/>
      <c r="K93" s="222"/>
      <c r="L93" s="222"/>
      <c r="M93" s="222"/>
      <c r="N93" s="222"/>
      <c r="O93" s="222"/>
      <c r="P93" s="222"/>
      <c r="Q93" s="222"/>
      <c r="R93" s="222"/>
      <c r="S93" s="222"/>
      <c r="T93" s="222"/>
      <c r="U93" s="222"/>
      <c r="V93" s="222"/>
      <c r="W93" s="222"/>
      <c r="X93" s="226"/>
      <c r="Y93" s="226"/>
      <c r="Z93" s="226"/>
      <c r="AA93" s="226"/>
      <c r="AB93" s="226"/>
    </row>
    <row r="94" spans="1:28" s="220" customFormat="1" outlineLevel="3">
      <c r="A94" s="218"/>
      <c r="B94" s="219" t="s">
        <v>112</v>
      </c>
      <c r="D94" s="222"/>
      <c r="E94" s="222"/>
      <c r="F94" s="222"/>
      <c r="G94" s="222"/>
      <c r="H94" s="222"/>
      <c r="I94" s="222"/>
      <c r="J94" s="222"/>
      <c r="K94" s="222"/>
      <c r="L94" s="222"/>
      <c r="M94" s="222"/>
      <c r="N94" s="222"/>
      <c r="O94" s="222"/>
      <c r="P94" s="222"/>
      <c r="Q94" s="222"/>
      <c r="R94" s="222"/>
      <c r="S94" s="222"/>
      <c r="T94" s="222"/>
      <c r="U94" s="222"/>
      <c r="V94" s="222"/>
      <c r="W94" s="222"/>
      <c r="X94" s="226"/>
      <c r="Y94" s="226"/>
      <c r="Z94" s="226"/>
      <c r="AA94" s="226"/>
      <c r="AB94" s="226"/>
    </row>
    <row r="95" spans="1:28" s="220" customFormat="1" outlineLevel="3">
      <c r="A95" s="218"/>
      <c r="B95" s="219"/>
      <c r="C95" s="220" t="s">
        <v>113</v>
      </c>
      <c r="D95" s="222">
        <f>+'Summary - Cost - PG 1 (Tot)'!D67</f>
        <v>23194098.369999997</v>
      </c>
      <c r="E95" s="223"/>
      <c r="F95" s="222">
        <f>+'Summary - Cost - PG 1 (Tot)'!F67</f>
        <v>11855536.970000003</v>
      </c>
      <c r="G95" s="223"/>
      <c r="H95" s="222">
        <f>+'Summary - Cost - PG 1 (Tot)'!H67</f>
        <v>0</v>
      </c>
      <c r="I95" s="223"/>
      <c r="J95" s="222">
        <f>+'Summary - Cost - PG 1 (Tot)'!J67</f>
        <v>0</v>
      </c>
      <c r="K95" s="222"/>
      <c r="L95" s="222"/>
      <c r="M95" s="222"/>
      <c r="N95" s="222">
        <f t="shared" ref="N95:N101" si="55">F95+H95+J95</f>
        <v>11855536.970000003</v>
      </c>
      <c r="O95" s="222"/>
      <c r="P95" s="222"/>
      <c r="Q95" s="222"/>
      <c r="R95" s="222"/>
      <c r="S95" s="222"/>
      <c r="T95" s="222"/>
      <c r="U95" s="222"/>
      <c r="V95" s="222">
        <f t="shared" ref="V95:V101" si="56">D95+N95</f>
        <v>35049635.340000004</v>
      </c>
      <c r="W95" s="222"/>
      <c r="X95" s="226"/>
      <c r="Y95" s="226"/>
      <c r="Z95" s="226"/>
      <c r="AA95" s="226"/>
      <c r="AB95" s="226"/>
    </row>
    <row r="96" spans="1:28" s="220" customFormat="1" outlineLevel="3">
      <c r="A96" s="218"/>
      <c r="B96" s="219"/>
      <c r="C96" s="220" t="s">
        <v>114</v>
      </c>
      <c r="D96" s="222">
        <f>+'Summary - Cost - PG 1 (Tot)'!D68</f>
        <v>6763.2199999999793</v>
      </c>
      <c r="E96" s="223"/>
      <c r="F96" s="222">
        <f>+'Summary - Cost - PG 1 (Tot)'!F68</f>
        <v>63825.04</v>
      </c>
      <c r="G96" s="223"/>
      <c r="H96" s="222">
        <f>+'Summary - Cost - PG 1 (Tot)'!H68</f>
        <v>0</v>
      </c>
      <c r="I96" s="223"/>
      <c r="J96" s="222">
        <f>+'Summary - Cost - PG 1 (Tot)'!J68</f>
        <v>0</v>
      </c>
      <c r="K96" s="222"/>
      <c r="L96" s="222"/>
      <c r="M96" s="222"/>
      <c r="N96" s="222">
        <f t="shared" si="55"/>
        <v>63825.04</v>
      </c>
      <c r="O96" s="222"/>
      <c r="P96" s="222"/>
      <c r="Q96" s="222"/>
      <c r="R96" s="222"/>
      <c r="S96" s="222"/>
      <c r="T96" s="222"/>
      <c r="U96" s="222"/>
      <c r="V96" s="222">
        <f t="shared" si="56"/>
        <v>70588.25999999998</v>
      </c>
      <c r="W96" s="222"/>
      <c r="X96" s="226"/>
      <c r="Y96" s="226"/>
      <c r="Z96" s="226"/>
      <c r="AA96" s="226"/>
      <c r="AB96" s="226"/>
    </row>
    <row r="97" spans="1:28" s="220" customFormat="1" outlineLevel="3">
      <c r="A97" s="218"/>
      <c r="B97" s="219"/>
      <c r="C97" s="220" t="s">
        <v>115</v>
      </c>
      <c r="D97" s="222">
        <f>+'Summary - Cost - PG 1 (Tot)'!D69</f>
        <v>16456.360000000033</v>
      </c>
      <c r="E97" s="223"/>
      <c r="F97" s="222">
        <f>+'Summary - Cost - PG 1 (Tot)'!F69</f>
        <v>-16456.36</v>
      </c>
      <c r="G97" s="223"/>
      <c r="H97" s="222">
        <f>+'Summary - Cost - PG 1 (Tot)'!H69</f>
        <v>0</v>
      </c>
      <c r="I97" s="223"/>
      <c r="J97" s="222">
        <f>+'Summary - Cost - PG 1 (Tot)'!J69</f>
        <v>0</v>
      </c>
      <c r="K97" s="222"/>
      <c r="L97" s="222"/>
      <c r="M97" s="222"/>
      <c r="N97" s="222">
        <f t="shared" si="55"/>
        <v>-16456.36</v>
      </c>
      <c r="O97" s="222"/>
      <c r="P97" s="222"/>
      <c r="Q97" s="222"/>
      <c r="R97" s="222"/>
      <c r="S97" s="222"/>
      <c r="T97" s="222"/>
      <c r="U97" s="222"/>
      <c r="V97" s="222">
        <f t="shared" si="56"/>
        <v>3.2741809263825417E-11</v>
      </c>
      <c r="W97" s="222"/>
      <c r="X97" s="226"/>
      <c r="Y97" s="226"/>
      <c r="Z97" s="226"/>
      <c r="AA97" s="226"/>
      <c r="AB97" s="226"/>
    </row>
    <row r="98" spans="1:28" s="220" customFormat="1" outlineLevel="3">
      <c r="A98" s="218"/>
      <c r="B98" s="219"/>
      <c r="C98" s="220" t="s">
        <v>116</v>
      </c>
      <c r="D98" s="222">
        <f>+'Summary - Cost - PG 1 (Tot)'!D70</f>
        <v>0</v>
      </c>
      <c r="E98" s="223"/>
      <c r="F98" s="222">
        <f>+'Summary - Cost - PG 1 (Tot)'!F70</f>
        <v>0</v>
      </c>
      <c r="G98" s="223"/>
      <c r="H98" s="222">
        <f>+'Summary - Cost - PG 1 (Tot)'!H70</f>
        <v>0</v>
      </c>
      <c r="I98" s="223"/>
      <c r="J98" s="222">
        <f>+'Summary - Cost - PG 1 (Tot)'!J70</f>
        <v>0</v>
      </c>
      <c r="K98" s="222"/>
      <c r="L98" s="222"/>
      <c r="M98" s="222"/>
      <c r="N98" s="222">
        <f t="shared" si="55"/>
        <v>0</v>
      </c>
      <c r="O98" s="222"/>
      <c r="P98" s="222"/>
      <c r="Q98" s="222"/>
      <c r="R98" s="222"/>
      <c r="S98" s="222"/>
      <c r="T98" s="222"/>
      <c r="U98" s="222"/>
      <c r="V98" s="222">
        <f t="shared" si="56"/>
        <v>0</v>
      </c>
      <c r="W98" s="222"/>
      <c r="X98" s="226"/>
      <c r="Y98" s="226"/>
      <c r="Z98" s="226"/>
      <c r="AA98" s="226"/>
      <c r="AB98" s="226"/>
    </row>
    <row r="99" spans="1:28" s="220" customFormat="1" outlineLevel="3">
      <c r="A99" s="218"/>
      <c r="B99" s="219"/>
      <c r="C99" s="220" t="s">
        <v>117</v>
      </c>
      <c r="D99" s="222">
        <f>+'Summary - Cost - PG 1 (Tot)'!D71</f>
        <v>3535959.74</v>
      </c>
      <c r="E99" s="223"/>
      <c r="F99" s="222">
        <f>+'Summary - Cost - PG 1 (Tot)'!F71</f>
        <v>-2930744.84</v>
      </c>
      <c r="G99" s="223"/>
      <c r="H99" s="222">
        <f>+'Summary - Cost - PG 1 (Tot)'!H71</f>
        <v>0</v>
      </c>
      <c r="I99" s="223"/>
      <c r="J99" s="222">
        <f>+'Summary - Cost - PG 1 (Tot)'!J71</f>
        <v>0</v>
      </c>
      <c r="K99" s="222"/>
      <c r="L99" s="222"/>
      <c r="M99" s="222"/>
      <c r="N99" s="222">
        <f t="shared" si="55"/>
        <v>-2930744.84</v>
      </c>
      <c r="O99" s="222"/>
      <c r="P99" s="222"/>
      <c r="Q99" s="222"/>
      <c r="R99" s="222"/>
      <c r="S99" s="222"/>
      <c r="T99" s="222"/>
      <c r="U99" s="222"/>
      <c r="V99" s="222">
        <f t="shared" si="56"/>
        <v>605214.90000000037</v>
      </c>
      <c r="W99" s="222"/>
      <c r="X99" s="226"/>
      <c r="Y99" s="226"/>
      <c r="Z99" s="226"/>
      <c r="AA99" s="226"/>
      <c r="AB99" s="226"/>
    </row>
    <row r="100" spans="1:28" s="220" customFormat="1" outlineLevel="3">
      <c r="A100" s="218"/>
      <c r="B100" s="219"/>
      <c r="C100" s="220" t="s">
        <v>118</v>
      </c>
      <c r="D100" s="222">
        <f>+'Summary - Cost - PG 1 (Tot)'!D72</f>
        <v>41206823.190000027</v>
      </c>
      <c r="E100" s="223"/>
      <c r="F100" s="222">
        <f>+'Summary - Cost - PG 1 (Tot)'!F72</f>
        <v>-11271234.790000001</v>
      </c>
      <c r="G100" s="223"/>
      <c r="H100" s="222">
        <f>+'Summary - Cost - PG 1 (Tot)'!H72</f>
        <v>0</v>
      </c>
      <c r="I100" s="223"/>
      <c r="J100" s="222">
        <f>+'Summary - Cost - PG 1 (Tot)'!J72</f>
        <v>0</v>
      </c>
      <c r="K100" s="222"/>
      <c r="L100" s="222"/>
      <c r="M100" s="222"/>
      <c r="N100" s="222">
        <f t="shared" si="55"/>
        <v>-11271234.790000001</v>
      </c>
      <c r="O100" s="222"/>
      <c r="P100" s="222"/>
      <c r="Q100" s="222"/>
      <c r="R100" s="222"/>
      <c r="S100" s="222"/>
      <c r="T100" s="222"/>
      <c r="U100" s="222"/>
      <c r="V100" s="222">
        <f t="shared" si="56"/>
        <v>29935588.400000028</v>
      </c>
      <c r="W100" s="222"/>
      <c r="X100" s="226"/>
      <c r="Y100" s="226"/>
      <c r="Z100" s="226"/>
      <c r="AA100" s="226"/>
      <c r="AB100" s="226"/>
    </row>
    <row r="101" spans="1:28" s="220" customFormat="1" outlineLevel="3">
      <c r="A101" s="218"/>
      <c r="B101" s="219"/>
      <c r="C101" s="220" t="s">
        <v>119</v>
      </c>
      <c r="D101" s="225">
        <f>+'Summary - Cost - PG 1 (Tot)'!D73</f>
        <v>37523227.350000001</v>
      </c>
      <c r="E101" s="223"/>
      <c r="F101" s="225">
        <f>+'Summary - Cost - PG 1 (Tot)'!F73</f>
        <v>1552225.9299999997</v>
      </c>
      <c r="G101" s="223"/>
      <c r="H101" s="225">
        <f>+'Summary - Cost - PG 1 (Tot)'!H73</f>
        <v>0</v>
      </c>
      <c r="I101" s="223"/>
      <c r="J101" s="225">
        <f>+'Summary - Cost - PG 1 (Tot)'!J73</f>
        <v>0</v>
      </c>
      <c r="K101" s="222"/>
      <c r="L101" s="222"/>
      <c r="M101" s="222"/>
      <c r="N101" s="225">
        <f t="shared" si="55"/>
        <v>1552225.9299999997</v>
      </c>
      <c r="O101" s="222"/>
      <c r="P101" s="222"/>
      <c r="Q101" s="222"/>
      <c r="R101" s="222"/>
      <c r="S101" s="222"/>
      <c r="T101" s="222"/>
      <c r="U101" s="222"/>
      <c r="V101" s="225">
        <f t="shared" si="56"/>
        <v>39075453.280000001</v>
      </c>
      <c r="W101" s="222"/>
      <c r="X101" s="226"/>
      <c r="Y101" s="226"/>
      <c r="Z101" s="226"/>
      <c r="AA101" s="226"/>
      <c r="AB101" s="226"/>
    </row>
    <row r="102" spans="1:28" s="220" customFormat="1" outlineLevel="3">
      <c r="A102" s="218"/>
      <c r="B102" s="219"/>
      <c r="C102" s="227"/>
      <c r="D102" s="222">
        <f>SUM(D95:D101)</f>
        <v>105483328.23000002</v>
      </c>
      <c r="E102" s="222"/>
      <c r="F102" s="222">
        <f>SUM(F95:F101)</f>
        <v>-746848.04999999888</v>
      </c>
      <c r="G102" s="222"/>
      <c r="H102" s="222">
        <f>SUM(H95:H101)</f>
        <v>0</v>
      </c>
      <c r="I102" s="222"/>
      <c r="J102" s="222">
        <f>SUM(J95:J101)</f>
        <v>0</v>
      </c>
      <c r="K102" s="222"/>
      <c r="L102" s="222"/>
      <c r="M102" s="222"/>
      <c r="N102" s="222">
        <f>SUM(N95:N101)</f>
        <v>-746848.04999999888</v>
      </c>
      <c r="O102" s="222"/>
      <c r="P102" s="222"/>
      <c r="Q102" s="222"/>
      <c r="R102" s="222"/>
      <c r="S102" s="222"/>
      <c r="T102" s="222"/>
      <c r="U102" s="222"/>
      <c r="V102" s="222">
        <f>SUM(V95:V101)</f>
        <v>104736480.18000004</v>
      </c>
      <c r="W102" s="222"/>
      <c r="X102" s="226"/>
      <c r="Y102" s="226"/>
      <c r="Z102" s="226"/>
      <c r="AA102" s="226"/>
      <c r="AB102" s="226"/>
    </row>
    <row r="103" spans="1:28" s="220" customFormat="1" outlineLevel="3">
      <c r="A103" s="218"/>
      <c r="B103" s="219"/>
      <c r="D103" s="222"/>
      <c r="E103" s="222"/>
      <c r="F103" s="222"/>
      <c r="G103" s="222"/>
      <c r="H103" s="222"/>
      <c r="I103" s="222"/>
      <c r="J103" s="222"/>
      <c r="K103" s="222"/>
      <c r="L103" s="222"/>
      <c r="M103" s="222"/>
      <c r="N103" s="222"/>
      <c r="O103" s="222"/>
      <c r="P103" s="222"/>
      <c r="Q103" s="222"/>
      <c r="R103" s="222"/>
      <c r="S103" s="222"/>
      <c r="T103" s="222"/>
      <c r="U103" s="222"/>
      <c r="V103" s="222"/>
      <c r="W103" s="222"/>
      <c r="X103" s="226"/>
      <c r="Y103" s="226"/>
      <c r="Z103" s="226"/>
      <c r="AA103" s="226"/>
      <c r="AB103" s="226"/>
    </row>
    <row r="104" spans="1:28" s="220" customFormat="1" outlineLevel="3">
      <c r="A104" s="218"/>
      <c r="B104" s="219" t="s">
        <v>120</v>
      </c>
      <c r="D104" s="222"/>
      <c r="E104" s="222"/>
      <c r="F104" s="222"/>
      <c r="G104" s="222"/>
      <c r="H104" s="222"/>
      <c r="I104" s="222"/>
      <c r="J104" s="222"/>
      <c r="K104" s="222"/>
      <c r="L104" s="222"/>
      <c r="M104" s="222"/>
      <c r="N104" s="222"/>
      <c r="O104" s="222"/>
      <c r="P104" s="222"/>
      <c r="Q104" s="222"/>
      <c r="R104" s="222"/>
      <c r="S104" s="222"/>
      <c r="T104" s="222"/>
      <c r="U104" s="222"/>
      <c r="V104" s="222"/>
      <c r="W104" s="222"/>
      <c r="X104" s="226"/>
      <c r="Y104" s="226"/>
      <c r="Z104" s="226"/>
      <c r="AA104" s="226"/>
      <c r="AB104" s="226"/>
    </row>
    <row r="105" spans="1:28" s="220" customFormat="1" outlineLevel="3">
      <c r="A105" s="218"/>
      <c r="B105" s="219"/>
      <c r="C105" s="220" t="s">
        <v>121</v>
      </c>
      <c r="D105" s="222">
        <f>+'Summary - Cost - PG 1 (Tot)'!D77</f>
        <v>18857784.149999999</v>
      </c>
      <c r="E105" s="223"/>
      <c r="F105" s="222">
        <f>+'Summary - Cost - PG 1 (Tot)'!F77</f>
        <v>12081884.560000001</v>
      </c>
      <c r="G105" s="223"/>
      <c r="H105" s="222">
        <f>+'Summary - Cost - PG 1 (Tot)'!H77</f>
        <v>0</v>
      </c>
      <c r="I105" s="223"/>
      <c r="J105" s="222">
        <f>+'Summary - Cost - PG 1 (Tot)'!J77</f>
        <v>0</v>
      </c>
      <c r="K105" s="222"/>
      <c r="L105" s="222"/>
      <c r="M105" s="223"/>
      <c r="N105" s="223">
        <f>F105+H105+J105</f>
        <v>12081884.560000001</v>
      </c>
      <c r="O105" s="223"/>
      <c r="P105" s="223"/>
      <c r="Q105" s="223"/>
      <c r="R105" s="223"/>
      <c r="S105" s="223"/>
      <c r="T105" s="223"/>
      <c r="U105" s="223"/>
      <c r="V105" s="223">
        <f>D105+N105</f>
        <v>30939668.710000001</v>
      </c>
      <c r="W105" s="223"/>
      <c r="X105" s="224"/>
      <c r="Y105" s="224"/>
      <c r="Z105" s="224"/>
      <c r="AA105" s="224"/>
      <c r="AB105" s="224"/>
    </row>
    <row r="106" spans="1:28" s="220" customFormat="1" outlineLevel="3">
      <c r="A106" s="218"/>
      <c r="B106" s="219"/>
      <c r="C106" s="220" t="s">
        <v>122</v>
      </c>
      <c r="D106" s="222">
        <f>+'Summary - Cost - PG 1 (Tot)'!D78</f>
        <v>256953.98000000004</v>
      </c>
      <c r="E106" s="223"/>
      <c r="F106" s="222">
        <f>+'Summary - Cost - PG 1 (Tot)'!F78</f>
        <v>-78437.109999999986</v>
      </c>
      <c r="G106" s="223"/>
      <c r="H106" s="222">
        <f>+'Summary - Cost - PG 1 (Tot)'!H78</f>
        <v>0</v>
      </c>
      <c r="I106" s="223"/>
      <c r="J106" s="222">
        <f>+'Summary - Cost - PG 1 (Tot)'!J78</f>
        <v>0</v>
      </c>
      <c r="K106" s="222"/>
      <c r="L106" s="222"/>
      <c r="M106" s="223"/>
      <c r="N106" s="223">
        <f>F106+H106+J106</f>
        <v>-78437.109999999986</v>
      </c>
      <c r="O106" s="223"/>
      <c r="P106" s="223"/>
      <c r="Q106" s="223"/>
      <c r="R106" s="223"/>
      <c r="S106" s="223"/>
      <c r="T106" s="223"/>
      <c r="U106" s="223"/>
      <c r="V106" s="223">
        <f>D106+N106</f>
        <v>178516.87000000005</v>
      </c>
      <c r="W106" s="223"/>
      <c r="X106" s="224"/>
      <c r="Y106" s="224"/>
      <c r="Z106" s="224"/>
      <c r="AA106" s="224"/>
      <c r="AB106" s="224"/>
    </row>
    <row r="107" spans="1:28" s="220" customFormat="1" outlineLevel="3">
      <c r="A107" s="218"/>
      <c r="B107" s="219"/>
      <c r="C107" s="220" t="s">
        <v>123</v>
      </c>
      <c r="D107" s="222">
        <f>+'Summary - Cost - PG 1 (Tot)'!D79</f>
        <v>0</v>
      </c>
      <c r="E107" s="223"/>
      <c r="F107" s="222">
        <f>+'Summary - Cost - PG 1 (Tot)'!F79</f>
        <v>0</v>
      </c>
      <c r="G107" s="223"/>
      <c r="H107" s="222">
        <f>+'Summary - Cost - PG 1 (Tot)'!H79</f>
        <v>0</v>
      </c>
      <c r="I107" s="223"/>
      <c r="J107" s="222">
        <f>+'Summary - Cost - PG 1 (Tot)'!J79</f>
        <v>0</v>
      </c>
      <c r="K107" s="222"/>
      <c r="L107" s="222"/>
      <c r="M107" s="223"/>
      <c r="N107" s="223">
        <f>F107+H107+J107</f>
        <v>0</v>
      </c>
      <c r="O107" s="223"/>
      <c r="P107" s="223"/>
      <c r="Q107" s="223"/>
      <c r="R107" s="223"/>
      <c r="S107" s="223"/>
      <c r="T107" s="223"/>
      <c r="U107" s="223"/>
      <c r="V107" s="223">
        <f>D107+N107</f>
        <v>0</v>
      </c>
      <c r="W107" s="223"/>
      <c r="X107" s="224"/>
      <c r="Y107" s="224"/>
      <c r="Z107" s="224"/>
      <c r="AA107" s="224"/>
      <c r="AB107" s="224"/>
    </row>
    <row r="108" spans="1:28" s="220" customFormat="1" outlineLevel="3">
      <c r="A108" s="218"/>
      <c r="B108" s="219"/>
      <c r="C108" s="220" t="s">
        <v>124</v>
      </c>
      <c r="D108" s="222">
        <f>+'Summary - Cost - PG 1 (Tot)'!D80</f>
        <v>512530.08999999991</v>
      </c>
      <c r="E108" s="223"/>
      <c r="F108" s="222">
        <f>+'Summary - Cost - PG 1 (Tot)'!F80</f>
        <v>6294293.1600000001</v>
      </c>
      <c r="G108" s="223"/>
      <c r="H108" s="222">
        <f>+'Summary - Cost - PG 1 (Tot)'!H80</f>
        <v>0</v>
      </c>
      <c r="I108" s="223"/>
      <c r="J108" s="222">
        <f>+'Summary - Cost - PG 1 (Tot)'!J80</f>
        <v>0</v>
      </c>
      <c r="K108" s="222"/>
      <c r="L108" s="222"/>
      <c r="M108" s="223"/>
      <c r="N108" s="223">
        <f>F108+H108+J108</f>
        <v>6294293.1600000001</v>
      </c>
      <c r="O108" s="223"/>
      <c r="P108" s="223"/>
      <c r="Q108" s="223"/>
      <c r="R108" s="223"/>
      <c r="S108" s="223"/>
      <c r="T108" s="223"/>
      <c r="U108" s="223"/>
      <c r="V108" s="223">
        <f>D108+N108</f>
        <v>6806823.25</v>
      </c>
      <c r="W108" s="223"/>
      <c r="X108" s="224"/>
      <c r="Y108" s="224"/>
      <c r="Z108" s="224"/>
      <c r="AA108" s="224"/>
      <c r="AB108" s="224"/>
    </row>
    <row r="109" spans="1:28" s="220" customFormat="1" outlineLevel="3">
      <c r="A109" s="218"/>
      <c r="B109" s="219"/>
      <c r="C109" s="220" t="s">
        <v>125</v>
      </c>
      <c r="D109" s="225">
        <f>+'Summary - Cost - PG 1 (Tot)'!D81</f>
        <v>1459528.0299999996</v>
      </c>
      <c r="E109" s="223"/>
      <c r="F109" s="225">
        <f>+'Summary - Cost - PG 1 (Tot)'!F81</f>
        <v>-916290.49</v>
      </c>
      <c r="G109" s="223"/>
      <c r="H109" s="225">
        <f>+'Summary - Cost - PG 1 (Tot)'!H81</f>
        <v>0</v>
      </c>
      <c r="I109" s="223"/>
      <c r="J109" s="225">
        <f>+'Summary - Cost - PG 1 (Tot)'!J81</f>
        <v>0</v>
      </c>
      <c r="K109" s="222"/>
      <c r="L109" s="222"/>
      <c r="M109" s="223"/>
      <c r="N109" s="225">
        <f>F109+H109+J109</f>
        <v>-916290.49</v>
      </c>
      <c r="O109" s="222"/>
      <c r="P109" s="222"/>
      <c r="Q109" s="222"/>
      <c r="R109" s="222"/>
      <c r="S109" s="222"/>
      <c r="T109" s="222"/>
      <c r="U109" s="223"/>
      <c r="V109" s="225">
        <f>D109+N109</f>
        <v>543237.53999999957</v>
      </c>
      <c r="W109" s="222"/>
      <c r="X109" s="224"/>
      <c r="Y109" s="224"/>
      <c r="Z109" s="224"/>
      <c r="AA109" s="224"/>
      <c r="AB109" s="224"/>
    </row>
    <row r="110" spans="1:28" s="220" customFormat="1" outlineLevel="3">
      <c r="A110" s="218"/>
      <c r="B110" s="219"/>
      <c r="C110" s="227"/>
      <c r="D110" s="222">
        <f>SUM(D105:D109)</f>
        <v>21086796.25</v>
      </c>
      <c r="E110" s="222"/>
      <c r="F110" s="222">
        <f>SUM(F105:F109)</f>
        <v>17381450.120000001</v>
      </c>
      <c r="G110" s="222"/>
      <c r="H110" s="222">
        <f>SUM(H105:H109)</f>
        <v>0</v>
      </c>
      <c r="I110" s="222"/>
      <c r="J110" s="222">
        <f>SUM(J105:J109)</f>
        <v>0</v>
      </c>
      <c r="K110" s="222"/>
      <c r="L110" s="222"/>
      <c r="M110" s="222"/>
      <c r="N110" s="222">
        <f>SUM(N105:N109)</f>
        <v>17381450.120000001</v>
      </c>
      <c r="O110" s="222"/>
      <c r="P110" s="222"/>
      <c r="Q110" s="222"/>
      <c r="R110" s="222"/>
      <c r="S110" s="222"/>
      <c r="T110" s="222"/>
      <c r="U110" s="222"/>
      <c r="V110" s="222">
        <f>SUM(V105:V109)</f>
        <v>38468246.369999997</v>
      </c>
      <c r="W110" s="222"/>
      <c r="X110" s="224"/>
      <c r="Y110" s="224"/>
      <c r="Z110" s="224"/>
      <c r="AA110" s="224"/>
      <c r="AB110" s="224"/>
    </row>
    <row r="111" spans="1:28" s="220" customFormat="1" outlineLevel="3">
      <c r="A111" s="218"/>
      <c r="B111" s="219"/>
      <c r="D111" s="223"/>
      <c r="E111" s="223"/>
      <c r="F111" s="223"/>
      <c r="G111" s="223"/>
      <c r="H111" s="223"/>
      <c r="I111" s="223"/>
      <c r="J111" s="223"/>
      <c r="K111" s="223"/>
      <c r="L111" s="223"/>
      <c r="M111" s="223"/>
      <c r="N111" s="223"/>
      <c r="O111" s="223"/>
      <c r="P111" s="223"/>
      <c r="Q111" s="223"/>
      <c r="R111" s="223"/>
      <c r="S111" s="223"/>
      <c r="T111" s="223"/>
      <c r="U111" s="223"/>
      <c r="V111" s="223"/>
      <c r="W111" s="223"/>
      <c r="X111" s="224"/>
      <c r="Y111" s="224"/>
      <c r="Z111" s="224"/>
      <c r="AA111" s="224"/>
      <c r="AB111" s="224"/>
    </row>
    <row r="112" spans="1:28" s="220" customFormat="1" outlineLevel="3">
      <c r="A112" s="218"/>
      <c r="B112" s="219"/>
      <c r="C112" s="219" t="s">
        <v>136</v>
      </c>
      <c r="D112" s="228">
        <f>D92+D102+D110</f>
        <v>131385944.75000001</v>
      </c>
      <c r="E112" s="223"/>
      <c r="F112" s="228">
        <f>F92+F102+F110</f>
        <v>19350311.120000001</v>
      </c>
      <c r="G112" s="223"/>
      <c r="H112" s="228">
        <f>H92+H102+H110</f>
        <v>0</v>
      </c>
      <c r="I112" s="223"/>
      <c r="J112" s="228">
        <f>J92+J102+J110</f>
        <v>0</v>
      </c>
      <c r="K112" s="222"/>
      <c r="L112" s="222"/>
      <c r="M112" s="223"/>
      <c r="N112" s="228">
        <f>N92+N102+N110</f>
        <v>19350311.120000001</v>
      </c>
      <c r="O112" s="222"/>
      <c r="P112" s="222"/>
      <c r="Q112" s="222"/>
      <c r="R112" s="222"/>
      <c r="S112" s="222"/>
      <c r="T112" s="222"/>
      <c r="U112" s="223"/>
      <c r="V112" s="228">
        <f>V92+V102+V110</f>
        <v>150736255.87000003</v>
      </c>
      <c r="W112" s="222"/>
      <c r="X112" s="224"/>
      <c r="Y112" s="224"/>
      <c r="Z112" s="224"/>
      <c r="AA112" s="224"/>
      <c r="AB112" s="224"/>
    </row>
    <row r="113" spans="1:28" s="220" customFormat="1" outlineLevel="3">
      <c r="A113" s="218"/>
      <c r="B113" s="219"/>
      <c r="D113" s="223"/>
      <c r="E113" s="223"/>
      <c r="F113" s="223"/>
      <c r="G113" s="223"/>
      <c r="H113" s="223"/>
      <c r="I113" s="223"/>
      <c r="J113" s="223"/>
      <c r="K113" s="223"/>
      <c r="L113" s="223"/>
      <c r="M113" s="223"/>
      <c r="N113" s="223"/>
      <c r="O113" s="223"/>
      <c r="P113" s="223"/>
      <c r="Q113" s="223"/>
      <c r="R113" s="223"/>
      <c r="S113" s="223"/>
      <c r="T113" s="223"/>
      <c r="U113" s="223"/>
      <c r="V113" s="223"/>
      <c r="W113" s="223"/>
      <c r="X113" s="224"/>
      <c r="Y113" s="224"/>
      <c r="Z113" s="224"/>
      <c r="AA113" s="224"/>
      <c r="AB113" s="224"/>
    </row>
    <row r="114" spans="1:28" s="220" customFormat="1" outlineLevel="3">
      <c r="A114" s="218"/>
      <c r="B114" s="219"/>
      <c r="D114" s="223"/>
      <c r="E114" s="223"/>
      <c r="F114" s="223"/>
      <c r="G114" s="223"/>
      <c r="H114" s="223"/>
      <c r="I114" s="223"/>
      <c r="J114" s="223"/>
      <c r="K114" s="223"/>
      <c r="L114" s="223"/>
      <c r="M114" s="223"/>
      <c r="N114" s="223"/>
      <c r="O114" s="223"/>
      <c r="P114" s="223"/>
      <c r="Q114" s="223"/>
      <c r="R114" s="223"/>
      <c r="S114" s="223"/>
      <c r="T114" s="223"/>
      <c r="U114" s="223"/>
      <c r="V114" s="223">
        <f>+V60+V112</f>
        <v>3030081538.9099989</v>
      </c>
      <c r="W114" s="223"/>
      <c r="X114" s="224"/>
      <c r="Y114" s="224"/>
      <c r="Z114" s="224"/>
      <c r="AA114" s="224"/>
      <c r="AB114" s="224"/>
    </row>
    <row r="115" spans="1:28" s="220" customFormat="1" outlineLevel="3">
      <c r="A115" s="218">
        <v>117</v>
      </c>
      <c r="B115" s="219" t="s">
        <v>453</v>
      </c>
      <c r="D115" s="223"/>
      <c r="E115" s="223"/>
      <c r="F115" s="223"/>
      <c r="G115" s="223"/>
      <c r="H115" s="223"/>
      <c r="I115" s="223"/>
      <c r="J115" s="223"/>
      <c r="K115" s="223"/>
      <c r="L115" s="223"/>
      <c r="M115" s="223"/>
      <c r="N115" s="223"/>
      <c r="O115" s="223"/>
      <c r="P115" s="223"/>
      <c r="Q115" s="223"/>
      <c r="R115" s="223"/>
      <c r="S115" s="223"/>
      <c r="T115" s="223"/>
      <c r="U115" s="223"/>
      <c r="V115" s="223"/>
      <c r="W115" s="223"/>
      <c r="X115" s="224"/>
      <c r="Y115" s="224"/>
      <c r="Z115" s="224"/>
      <c r="AA115" s="224"/>
      <c r="AB115" s="224"/>
    </row>
    <row r="116" spans="1:28" s="220" customFormat="1" outlineLevel="3">
      <c r="A116" s="218"/>
      <c r="B116" s="219" t="s">
        <v>120</v>
      </c>
      <c r="D116" s="223"/>
      <c r="E116" s="223"/>
      <c r="F116" s="223"/>
      <c r="G116" s="223"/>
      <c r="H116" s="223"/>
      <c r="I116" s="223"/>
      <c r="J116" s="223"/>
      <c r="K116" s="223"/>
      <c r="L116" s="223"/>
      <c r="M116" s="223"/>
      <c r="N116" s="223"/>
      <c r="O116" s="223"/>
      <c r="P116" s="223"/>
      <c r="Q116" s="223"/>
      <c r="R116" s="223"/>
      <c r="S116" s="223"/>
      <c r="T116" s="223"/>
      <c r="U116" s="223"/>
      <c r="V116" s="223"/>
      <c r="W116" s="223"/>
      <c r="X116" s="224"/>
      <c r="Y116" s="224"/>
      <c r="Z116" s="224"/>
      <c r="AA116" s="224"/>
      <c r="AB116" s="224"/>
    </row>
    <row r="117" spans="1:28" s="220" customFormat="1" outlineLevel="3">
      <c r="A117" s="218"/>
      <c r="B117" s="219"/>
      <c r="C117" s="220" t="s">
        <v>129</v>
      </c>
      <c r="D117" s="225">
        <f>+'Summary - Cost - PG 1 (Tot)'!D89</f>
        <v>2139990</v>
      </c>
      <c r="E117" s="223"/>
      <c r="F117" s="225">
        <f>+'Summary - Cost - PG 1 (Tot)'!F89</f>
        <v>0</v>
      </c>
      <c r="G117" s="223"/>
      <c r="H117" s="225">
        <f>+'Summary - Cost - PG 1 (Tot)'!H89</f>
        <v>0</v>
      </c>
      <c r="I117" s="223"/>
      <c r="J117" s="225">
        <f>+'Summary - Cost - PG 1 (Tot)'!J89</f>
        <v>0</v>
      </c>
      <c r="K117" s="222"/>
      <c r="L117" s="222"/>
      <c r="M117" s="222"/>
      <c r="N117" s="225">
        <f>F117+H117+J117</f>
        <v>0</v>
      </c>
      <c r="O117" s="222"/>
      <c r="P117" s="222"/>
      <c r="Q117" s="222"/>
      <c r="R117" s="222"/>
      <c r="S117" s="222"/>
      <c r="T117" s="222"/>
      <c r="U117" s="222"/>
      <c r="V117" s="225">
        <f>D117+N117</f>
        <v>2139990</v>
      </c>
      <c r="W117" s="222"/>
      <c r="X117" s="224"/>
      <c r="Y117" s="224"/>
      <c r="Z117" s="224"/>
      <c r="AA117" s="224"/>
      <c r="AB117" s="224"/>
    </row>
    <row r="118" spans="1:28" s="220" customFormat="1" outlineLevel="3">
      <c r="A118" s="218"/>
      <c r="B118" s="219"/>
      <c r="C118" s="227"/>
      <c r="D118" s="222">
        <f>SUM(D117)</f>
        <v>2139990</v>
      </c>
      <c r="E118" s="222"/>
      <c r="F118" s="222">
        <f>SUM(F117)</f>
        <v>0</v>
      </c>
      <c r="G118" s="222"/>
      <c r="H118" s="222">
        <f>SUM(H117)</f>
        <v>0</v>
      </c>
      <c r="I118" s="222"/>
      <c r="J118" s="222">
        <f>SUM(J117)</f>
        <v>0</v>
      </c>
      <c r="K118" s="222"/>
      <c r="L118" s="222"/>
      <c r="M118" s="222"/>
      <c r="N118" s="222">
        <f>SUM(N117)</f>
        <v>0</v>
      </c>
      <c r="O118" s="222"/>
      <c r="P118" s="222"/>
      <c r="Q118" s="222"/>
      <c r="R118" s="222"/>
      <c r="S118" s="222"/>
      <c r="T118" s="222"/>
      <c r="U118" s="222"/>
      <c r="V118" s="222">
        <f>SUM(V117)</f>
        <v>2139990</v>
      </c>
      <c r="W118" s="222"/>
      <c r="X118" s="224"/>
      <c r="Y118" s="224"/>
      <c r="Z118" s="224"/>
      <c r="AA118" s="224"/>
      <c r="AB118" s="224"/>
    </row>
    <row r="119" spans="1:28" s="220" customFormat="1" outlineLevel="3">
      <c r="A119" s="218"/>
      <c r="B119" s="219"/>
      <c r="D119" s="223"/>
      <c r="E119" s="223"/>
      <c r="F119" s="223"/>
      <c r="G119" s="223"/>
      <c r="H119" s="223"/>
      <c r="I119" s="223"/>
      <c r="J119" s="223"/>
      <c r="K119" s="223"/>
      <c r="L119" s="223"/>
      <c r="M119" s="223"/>
      <c r="N119" s="223"/>
      <c r="O119" s="223"/>
      <c r="P119" s="223"/>
      <c r="Q119" s="223"/>
      <c r="R119" s="223"/>
      <c r="S119" s="223"/>
      <c r="T119" s="223"/>
      <c r="U119" s="223"/>
      <c r="V119" s="223"/>
      <c r="W119" s="223"/>
      <c r="X119" s="224"/>
      <c r="Y119" s="224"/>
      <c r="Z119" s="224"/>
      <c r="AA119" s="224"/>
      <c r="AB119" s="224"/>
    </row>
    <row r="120" spans="1:28" s="220" customFormat="1" outlineLevel="3">
      <c r="A120" s="218"/>
      <c r="B120" s="219"/>
      <c r="C120" s="219" t="s">
        <v>130</v>
      </c>
      <c r="D120" s="228">
        <f>D118</f>
        <v>2139990</v>
      </c>
      <c r="E120" s="223"/>
      <c r="F120" s="228">
        <f>F118</f>
        <v>0</v>
      </c>
      <c r="G120" s="223"/>
      <c r="H120" s="228">
        <f>H118</f>
        <v>0</v>
      </c>
      <c r="I120" s="223"/>
      <c r="J120" s="228">
        <f>J118</f>
        <v>0</v>
      </c>
      <c r="K120" s="222"/>
      <c r="L120" s="222"/>
      <c r="M120" s="223"/>
      <c r="N120" s="228">
        <f>N118</f>
        <v>0</v>
      </c>
      <c r="O120" s="222"/>
      <c r="P120" s="222"/>
      <c r="Q120" s="222"/>
      <c r="R120" s="222"/>
      <c r="S120" s="222"/>
      <c r="T120" s="222"/>
      <c r="U120" s="223"/>
      <c r="V120" s="228">
        <f>V118</f>
        <v>2139990</v>
      </c>
      <c r="W120" s="222"/>
      <c r="X120" s="224"/>
      <c r="Y120" s="224"/>
      <c r="Z120" s="224"/>
      <c r="AA120" s="224"/>
      <c r="AB120" s="224"/>
    </row>
    <row r="121" spans="1:28" s="220" customFormat="1" outlineLevel="3">
      <c r="A121" s="218"/>
      <c r="B121" s="219"/>
      <c r="C121" s="219"/>
      <c r="D121" s="222"/>
      <c r="E121" s="223"/>
      <c r="F121" s="222"/>
      <c r="G121" s="223"/>
      <c r="H121" s="222"/>
      <c r="I121" s="223"/>
      <c r="J121" s="222"/>
      <c r="K121" s="222"/>
      <c r="L121" s="222"/>
      <c r="M121" s="223"/>
      <c r="N121" s="222"/>
      <c r="O121" s="222"/>
      <c r="P121" s="222"/>
      <c r="Q121" s="222"/>
      <c r="R121" s="222"/>
      <c r="S121" s="222"/>
      <c r="T121" s="222"/>
      <c r="U121" s="223"/>
      <c r="V121" s="222"/>
      <c r="W121" s="222"/>
      <c r="X121" s="224"/>
      <c r="Y121" s="224"/>
      <c r="Z121" s="224"/>
      <c r="AA121" s="224"/>
      <c r="AB121" s="224"/>
    </row>
    <row r="122" spans="1:28" s="220" customFormat="1" outlineLevel="3">
      <c r="A122" s="218"/>
      <c r="B122" s="219"/>
      <c r="C122" s="219"/>
      <c r="D122" s="222"/>
      <c r="E122" s="223"/>
      <c r="F122" s="222"/>
      <c r="G122" s="223"/>
      <c r="H122" s="222"/>
      <c r="I122" s="223"/>
      <c r="J122" s="222"/>
      <c r="K122" s="222"/>
      <c r="L122" s="222"/>
      <c r="M122" s="223"/>
      <c r="N122" s="222"/>
      <c r="O122" s="222"/>
      <c r="P122" s="222"/>
      <c r="Q122" s="222"/>
      <c r="R122" s="222"/>
      <c r="S122" s="222"/>
      <c r="T122" s="222"/>
      <c r="U122" s="223"/>
      <c r="V122" s="222"/>
      <c r="W122" s="222"/>
      <c r="X122" s="224"/>
      <c r="Y122" s="224"/>
      <c r="Z122" s="224"/>
      <c r="AA122" s="224"/>
      <c r="AB122" s="224"/>
    </row>
    <row r="123" spans="1:28" s="220" customFormat="1" outlineLevel="3">
      <c r="A123" s="218"/>
      <c r="B123" s="219" t="s">
        <v>1125</v>
      </c>
      <c r="C123" s="219"/>
      <c r="D123" s="222"/>
      <c r="E123" s="223"/>
      <c r="F123" s="222"/>
      <c r="G123" s="223"/>
      <c r="H123" s="222"/>
      <c r="I123" s="223"/>
      <c r="J123" s="222"/>
      <c r="K123" s="222"/>
      <c r="L123" s="222"/>
      <c r="M123" s="223"/>
      <c r="N123" s="222"/>
      <c r="O123" s="222"/>
      <c r="P123" s="222"/>
      <c r="Q123" s="222"/>
      <c r="R123" s="222"/>
      <c r="S123" s="222"/>
      <c r="T123" s="222"/>
      <c r="U123" s="223"/>
      <c r="V123" s="222"/>
      <c r="W123" s="222"/>
      <c r="X123" s="224"/>
      <c r="Y123" s="224"/>
      <c r="Z123" s="224"/>
      <c r="AA123" s="224"/>
      <c r="AB123" s="224"/>
    </row>
    <row r="124" spans="1:28" s="220" customFormat="1" outlineLevel="3">
      <c r="A124" s="218"/>
      <c r="B124" s="219"/>
      <c r="C124" s="219"/>
      <c r="D124" s="222"/>
      <c r="E124" s="223"/>
      <c r="F124" s="222"/>
      <c r="G124" s="223"/>
      <c r="H124" s="222"/>
      <c r="I124" s="223"/>
      <c r="J124" s="222"/>
      <c r="K124" s="222"/>
      <c r="L124" s="222"/>
      <c r="M124" s="223"/>
      <c r="N124" s="222"/>
      <c r="O124" s="222"/>
      <c r="P124" s="222"/>
      <c r="Q124" s="222"/>
      <c r="R124" s="222"/>
      <c r="S124" s="222"/>
      <c r="T124" s="222"/>
      <c r="U124" s="223"/>
      <c r="V124" s="222"/>
      <c r="W124" s="222"/>
      <c r="X124" s="224"/>
      <c r="Y124" s="224"/>
      <c r="Z124" s="224"/>
      <c r="AA124" s="224"/>
      <c r="AB124" s="224"/>
    </row>
    <row r="125" spans="1:28" s="220" customFormat="1" outlineLevel="3">
      <c r="A125" s="229" t="s">
        <v>1126</v>
      </c>
      <c r="B125" s="219"/>
      <c r="C125" s="219" t="s">
        <v>1127</v>
      </c>
      <c r="D125" s="222">
        <f>+'Total Comm PIS_NBV-P5 (Tot)'!B12</f>
        <v>74183.680000000008</v>
      </c>
      <c r="E125" s="223"/>
      <c r="F125" s="222">
        <f>+'Total Comm PIS_NBV-P5 (Tot)'!D12</f>
        <v>0</v>
      </c>
      <c r="G125" s="223"/>
      <c r="H125" s="222">
        <f>+'Total Comm PIS_NBV-P5 (Tot)'!F12</f>
        <v>0</v>
      </c>
      <c r="I125" s="223"/>
      <c r="J125" s="222">
        <f>+'Total Comm PIS_NBV-P5 (Tot)'!H12</f>
        <v>0</v>
      </c>
      <c r="K125" s="222"/>
      <c r="L125" s="222"/>
      <c r="M125" s="223"/>
      <c r="N125" s="222">
        <f>+'Total Comm PIS_NBV-P5 (Tot)'!J12</f>
        <v>0</v>
      </c>
      <c r="O125" s="222"/>
      <c r="P125" s="222"/>
      <c r="Q125" s="222"/>
      <c r="R125" s="222"/>
      <c r="S125" s="222"/>
      <c r="T125" s="222"/>
      <c r="U125" s="223"/>
      <c r="V125" s="222">
        <f>+'Total Comm PIS_NBV-P5 (Tot)'!L12</f>
        <v>74183.680000000008</v>
      </c>
      <c r="W125" s="222"/>
      <c r="X125" s="224"/>
      <c r="Y125" s="224"/>
      <c r="Z125" s="224"/>
      <c r="AA125" s="224"/>
      <c r="AB125" s="224"/>
    </row>
    <row r="126" spans="1:28" s="220" customFormat="1" outlineLevel="3">
      <c r="A126" s="229" t="s">
        <v>1128</v>
      </c>
      <c r="B126" s="219"/>
      <c r="C126" s="219" t="s">
        <v>1129</v>
      </c>
      <c r="D126" s="222">
        <f>+'Total Gas PIS_NBV-P17 (Tot)'!B42</f>
        <v>25162.14</v>
      </c>
      <c r="E126" s="223"/>
      <c r="F126" s="222">
        <f>+'Total Gas PIS_NBV-P17 (Tot)'!D42</f>
        <v>0</v>
      </c>
      <c r="G126" s="223"/>
      <c r="H126" s="222">
        <f>+'Total Gas PIS_NBV-P17 (Tot)'!F42</f>
        <v>0</v>
      </c>
      <c r="I126" s="223"/>
      <c r="J126" s="222">
        <f>+'Total Gas PIS_NBV-P17 (Tot)'!H42</f>
        <v>0</v>
      </c>
      <c r="K126" s="222"/>
      <c r="L126" s="222"/>
      <c r="M126" s="223"/>
      <c r="N126" s="222">
        <f>+'Total Gas PIS_NBV-P17 (Tot)'!J42</f>
        <v>0</v>
      </c>
      <c r="O126" s="222"/>
      <c r="P126" s="222"/>
      <c r="Q126" s="222"/>
      <c r="R126" s="222"/>
      <c r="S126" s="222"/>
      <c r="T126" s="222"/>
      <c r="U126" s="223"/>
      <c r="V126" s="222">
        <f>+'Total Gas PIS_NBV-P17 (Tot)'!L42</f>
        <v>25162.14</v>
      </c>
      <c r="W126" s="222"/>
      <c r="X126" s="224"/>
      <c r="Y126" s="224"/>
      <c r="Z126" s="224"/>
      <c r="AA126" s="224"/>
      <c r="AB126" s="224"/>
    </row>
    <row r="127" spans="1:28" s="220" customFormat="1" outlineLevel="3">
      <c r="A127" s="229" t="s">
        <v>1130</v>
      </c>
      <c r="B127" s="219"/>
      <c r="C127" s="219" t="s">
        <v>1129</v>
      </c>
      <c r="D127" s="222">
        <f>+'Total Gas PIS_NBV-P17 (Tot)'!B12</f>
        <v>-3357.2400000000052</v>
      </c>
      <c r="E127" s="223"/>
      <c r="F127" s="222">
        <f>+'Total Gas PIS_NBV-P17 (Tot)'!D12</f>
        <v>0</v>
      </c>
      <c r="G127" s="223"/>
      <c r="H127" s="222">
        <f>+'Total Gas PIS_NBV-P17 (Tot)'!F12</f>
        <v>0</v>
      </c>
      <c r="I127" s="223"/>
      <c r="J127" s="222">
        <f>+'Total Gas PIS_NBV-P17 (Tot)'!H12</f>
        <v>0</v>
      </c>
      <c r="K127" s="222"/>
      <c r="L127" s="222"/>
      <c r="M127" s="223"/>
      <c r="N127" s="222">
        <f>+'Total Gas PIS_NBV-P17 (Tot)'!J12</f>
        <v>0</v>
      </c>
      <c r="O127" s="222"/>
      <c r="P127" s="222"/>
      <c r="Q127" s="222"/>
      <c r="R127" s="222"/>
      <c r="S127" s="222"/>
      <c r="T127" s="222"/>
      <c r="U127" s="223"/>
      <c r="V127" s="222">
        <f>+'Total Gas PIS_NBV-P17 (Tot)'!L12</f>
        <v>-3357.2400000000052</v>
      </c>
      <c r="W127" s="222"/>
      <c r="X127" s="224"/>
      <c r="Y127" s="224"/>
      <c r="Z127" s="224"/>
      <c r="AA127" s="224"/>
      <c r="AB127" s="224"/>
    </row>
    <row r="128" spans="1:28" s="220" customFormat="1" outlineLevel="3">
      <c r="A128" s="229" t="s">
        <v>1131</v>
      </c>
      <c r="B128" s="219"/>
      <c r="C128" s="219" t="s">
        <v>1129</v>
      </c>
      <c r="D128" s="222">
        <f>+'Total Gas PIS_NBV-P17 (Tot)'!B46</f>
        <v>-21348.819999999949</v>
      </c>
      <c r="E128" s="223"/>
      <c r="F128" s="222">
        <f>+'Total Gas PIS_NBV-P17 (Tot)'!D46</f>
        <v>0</v>
      </c>
      <c r="G128" s="223"/>
      <c r="H128" s="222">
        <f>+'Total Gas PIS_NBV-P17 (Tot)'!F46</f>
        <v>0</v>
      </c>
      <c r="I128" s="223"/>
      <c r="J128" s="222">
        <f>+'Total Gas PIS_NBV-P17 (Tot)'!H46</f>
        <v>0</v>
      </c>
      <c r="K128" s="222"/>
      <c r="L128" s="222"/>
      <c r="M128" s="223"/>
      <c r="N128" s="222">
        <f>+'Total Gas PIS_NBV-P17 (Tot)'!J46</f>
        <v>0</v>
      </c>
      <c r="O128" s="222"/>
      <c r="P128" s="222"/>
      <c r="Q128" s="222"/>
      <c r="R128" s="222"/>
      <c r="S128" s="222"/>
      <c r="T128" s="222"/>
      <c r="U128" s="223"/>
      <c r="V128" s="222">
        <f>+'Total Gas PIS_NBV-P17 (Tot)'!L46</f>
        <v>-21348.819999999949</v>
      </c>
      <c r="W128" s="222"/>
      <c r="X128" s="224"/>
      <c r="Y128" s="224"/>
      <c r="Z128" s="224"/>
      <c r="AA128" s="224"/>
      <c r="AB128" s="224"/>
    </row>
    <row r="129" spans="1:46" s="220" customFormat="1" outlineLevel="3">
      <c r="A129" s="229" t="s">
        <v>1132</v>
      </c>
      <c r="B129" s="219"/>
      <c r="C129" s="219" t="s">
        <v>1129</v>
      </c>
      <c r="D129" s="222">
        <f>+'Total Gas PIS_NBV-P17 (Tot)'!B62</f>
        <v>12516.679999999993</v>
      </c>
      <c r="E129" s="223"/>
      <c r="F129" s="222">
        <f>+'Total Gas PIS_NBV-P17 (Tot)'!D62</f>
        <v>0</v>
      </c>
      <c r="G129" s="223"/>
      <c r="H129" s="222">
        <f>+'Total Gas PIS_NBV-P17 (Tot)'!F62</f>
        <v>0</v>
      </c>
      <c r="I129" s="223"/>
      <c r="J129" s="222">
        <f>+'Total Gas PIS_NBV-P17 (Tot)'!H62</f>
        <v>0</v>
      </c>
      <c r="K129" s="222"/>
      <c r="L129" s="222"/>
      <c r="M129" s="223"/>
      <c r="N129" s="222">
        <f>+'Total Gas PIS_NBV-P17 (Tot)'!J62</f>
        <v>0</v>
      </c>
      <c r="O129" s="222"/>
      <c r="P129" s="222"/>
      <c r="Q129" s="222"/>
      <c r="R129" s="222"/>
      <c r="S129" s="222"/>
      <c r="T129" s="222"/>
      <c r="U129" s="223"/>
      <c r="V129" s="222">
        <f>+'Total Gas PIS_NBV-P17 (Tot)'!L62</f>
        <v>12516.679999999993</v>
      </c>
      <c r="W129" s="222"/>
      <c r="X129" s="224"/>
      <c r="Y129" s="224"/>
      <c r="Z129" s="224"/>
      <c r="AA129" s="224"/>
      <c r="AB129" s="224"/>
    </row>
    <row r="130" spans="1:46" s="220" customFormat="1" outlineLevel="3">
      <c r="A130" s="229" t="s">
        <v>1133</v>
      </c>
      <c r="B130" s="219"/>
      <c r="C130" s="219" t="s">
        <v>1134</v>
      </c>
      <c r="D130" s="222">
        <f>+'Total Elec PIS_NBV-P11 (Tot)'!B81</f>
        <v>5865364.5899999999</v>
      </c>
      <c r="E130" s="223"/>
      <c r="F130" s="222">
        <f>+'Total Elec PIS_NBV-P11 (Tot)'!D81</f>
        <v>10100</v>
      </c>
      <c r="G130" s="223"/>
      <c r="H130" s="222">
        <f>+'Total Elec PIS_NBV-P11 (Tot)'!F81</f>
        <v>0</v>
      </c>
      <c r="I130" s="223"/>
      <c r="J130" s="222">
        <f>+'Total Elec PIS_NBV-P11 (Tot)'!H81</f>
        <v>0</v>
      </c>
      <c r="K130" s="222"/>
      <c r="L130" s="222"/>
      <c r="M130" s="223"/>
      <c r="N130" s="222">
        <f>+'Total Elec PIS_NBV-P11 (Tot)'!J81</f>
        <v>10100</v>
      </c>
      <c r="O130" s="222"/>
      <c r="P130" s="222"/>
      <c r="Q130" s="222"/>
      <c r="R130" s="222"/>
      <c r="S130" s="222"/>
      <c r="T130" s="222"/>
      <c r="U130" s="223"/>
      <c r="V130" s="222">
        <f>+'Total Elec PIS_NBV-P11 (Tot)'!L81</f>
        <v>5875464.5899999999</v>
      </c>
      <c r="W130" s="222"/>
      <c r="X130" s="224"/>
      <c r="Y130" s="224"/>
      <c r="Z130" s="224"/>
      <c r="AA130" s="224"/>
      <c r="AB130" s="224"/>
    </row>
    <row r="131" spans="1:46" s="220" customFormat="1" outlineLevel="3">
      <c r="A131" s="229" t="s">
        <v>1135</v>
      </c>
      <c r="B131" s="219"/>
      <c r="C131" s="219" t="s">
        <v>1136</v>
      </c>
      <c r="D131" s="222">
        <f>+'Total Comm PIS_NBV-P5 (Tot)'!B36</f>
        <v>0</v>
      </c>
      <c r="E131" s="223"/>
      <c r="F131" s="222">
        <f>+'Total Comm PIS_NBV-P5 (Tot)'!D36</f>
        <v>0</v>
      </c>
      <c r="G131" s="223"/>
      <c r="H131" s="222">
        <f>+'Total Comm PIS_NBV-P5 (Tot)'!F36</f>
        <v>0</v>
      </c>
      <c r="I131" s="223"/>
      <c r="J131" s="222">
        <f>+'Total Comm PIS_NBV-P5 (Tot)'!H36</f>
        <v>0</v>
      </c>
      <c r="K131" s="222"/>
      <c r="L131" s="222"/>
      <c r="M131" s="223"/>
      <c r="N131" s="222">
        <f>+'Total Comm PIS_NBV-P5 (Tot)'!J36</f>
        <v>0</v>
      </c>
      <c r="O131" s="222"/>
      <c r="P131" s="222"/>
      <c r="Q131" s="222"/>
      <c r="R131" s="222"/>
      <c r="S131" s="222"/>
      <c r="T131" s="222"/>
      <c r="U131" s="223"/>
      <c r="V131" s="222">
        <f>+'Total Comm PIS_NBV-P5 (Tot)'!L36</f>
        <v>0</v>
      </c>
      <c r="W131" s="222"/>
      <c r="X131" s="224"/>
      <c r="Y131" s="224"/>
      <c r="Z131" s="224"/>
      <c r="AA131" s="224"/>
      <c r="AB131" s="224"/>
    </row>
    <row r="132" spans="1:46" s="220" customFormat="1" outlineLevel="3">
      <c r="A132" s="229" t="s">
        <v>1135</v>
      </c>
      <c r="B132" s="219"/>
      <c r="C132" s="219" t="s">
        <v>1137</v>
      </c>
      <c r="D132" s="222">
        <f>+'Total Elec PIS_NBV-P11 (Tot)'!B51</f>
        <v>0</v>
      </c>
      <c r="E132" s="223"/>
      <c r="F132" s="222">
        <f>+'Total Elec PIS_NBV-P11 (Tot)'!D51</f>
        <v>0</v>
      </c>
      <c r="G132" s="223"/>
      <c r="H132" s="222">
        <f>+'Total Elec PIS_NBV-P11 (Tot)'!F51</f>
        <v>0</v>
      </c>
      <c r="I132" s="223"/>
      <c r="J132" s="222">
        <f>+'Total Elec PIS_NBV-P11 (Tot)'!H51</f>
        <v>0</v>
      </c>
      <c r="K132" s="222"/>
      <c r="L132" s="222"/>
      <c r="M132" s="223"/>
      <c r="N132" s="222">
        <f>+'Total Elec PIS_NBV-P11 (Tot)'!J51</f>
        <v>0</v>
      </c>
      <c r="O132" s="222"/>
      <c r="P132" s="222"/>
      <c r="Q132" s="222"/>
      <c r="R132" s="222"/>
      <c r="S132" s="222"/>
      <c r="T132" s="222"/>
      <c r="U132" s="223"/>
      <c r="V132" s="222">
        <f>+'Total Elec PIS_NBV-P11 (Tot)'!L51</f>
        <v>0</v>
      </c>
      <c r="W132" s="222"/>
      <c r="X132" s="224"/>
      <c r="Y132" s="224"/>
      <c r="Z132" s="224"/>
      <c r="AA132" s="224"/>
      <c r="AB132" s="224"/>
    </row>
    <row r="133" spans="1:46" s="220" customFormat="1" outlineLevel="3">
      <c r="A133" s="229" t="s">
        <v>1135</v>
      </c>
      <c r="B133" s="219"/>
      <c r="C133" s="219" t="s">
        <v>1138</v>
      </c>
      <c r="D133" s="222">
        <f>+'Total Gas PIS_NBV-P17 (Tot)'!B37</f>
        <v>268.33000000000004</v>
      </c>
      <c r="E133" s="223"/>
      <c r="F133" s="222">
        <f>+'Total Gas PIS_NBV-P17 (Tot)'!D37</f>
        <v>0</v>
      </c>
      <c r="G133" s="223"/>
      <c r="H133" s="222">
        <f>+'Total Gas PIS_NBV-P17 (Tot)'!F37</f>
        <v>0</v>
      </c>
      <c r="I133" s="223"/>
      <c r="J133" s="222">
        <f>+'Total Gas PIS_NBV-P17 (Tot)'!H37</f>
        <v>0</v>
      </c>
      <c r="K133" s="222"/>
      <c r="L133" s="222"/>
      <c r="M133" s="223"/>
      <c r="N133" s="222">
        <f>+'Total Gas PIS_NBV-P17 (Tot)'!J37</f>
        <v>0</v>
      </c>
      <c r="O133" s="222"/>
      <c r="P133" s="222"/>
      <c r="Q133" s="222"/>
      <c r="R133" s="222"/>
      <c r="S133" s="222"/>
      <c r="T133" s="222"/>
      <c r="U133" s="223"/>
      <c r="V133" s="222">
        <f>+'Total Gas PIS_NBV-P17 (Tot)'!L37</f>
        <v>268.33000000000004</v>
      </c>
      <c r="W133" s="222"/>
      <c r="X133" s="224"/>
      <c r="Y133" s="224"/>
      <c r="Z133" s="224"/>
      <c r="AA133" s="224"/>
      <c r="AB133" s="224"/>
    </row>
    <row r="134" spans="1:46" s="220" customFormat="1" outlineLevel="3">
      <c r="A134" s="229"/>
      <c r="B134" s="219"/>
      <c r="C134" s="219"/>
      <c r="D134" s="228">
        <f>SUM(D125:D133)</f>
        <v>5952789.3600000003</v>
      </c>
      <c r="E134" s="223"/>
      <c r="F134" s="228">
        <f>SUM(F125:F133)</f>
        <v>10100</v>
      </c>
      <c r="G134" s="223"/>
      <c r="H134" s="228">
        <f>SUM(H125:H133)</f>
        <v>0</v>
      </c>
      <c r="I134" s="223"/>
      <c r="J134" s="228">
        <f>SUM(J125:J133)</f>
        <v>0</v>
      </c>
      <c r="K134" s="222"/>
      <c r="L134" s="222"/>
      <c r="M134" s="223"/>
      <c r="N134" s="228">
        <f>SUM(N125:N133)</f>
        <v>10100</v>
      </c>
      <c r="O134" s="222"/>
      <c r="P134" s="222"/>
      <c r="Q134" s="222"/>
      <c r="R134" s="222"/>
      <c r="S134" s="222"/>
      <c r="T134" s="222"/>
      <c r="U134" s="223"/>
      <c r="V134" s="228">
        <f>SUM(V125:V133)</f>
        <v>5962889.3600000003</v>
      </c>
      <c r="W134" s="222"/>
      <c r="X134" s="224"/>
      <c r="Y134" s="224"/>
      <c r="Z134" s="224"/>
      <c r="AA134" s="224"/>
      <c r="AB134" s="224"/>
    </row>
    <row r="135" spans="1:46" outlineLevel="3">
      <c r="D135" s="181"/>
      <c r="E135" s="181"/>
      <c r="F135" s="181"/>
      <c r="G135" s="181"/>
      <c r="H135" s="181"/>
      <c r="I135" s="181"/>
      <c r="J135" s="181"/>
      <c r="K135" s="181"/>
      <c r="L135" s="181"/>
      <c r="M135" s="181"/>
      <c r="N135" s="181"/>
      <c r="O135" s="181"/>
      <c r="P135" s="181"/>
      <c r="Q135" s="181"/>
      <c r="R135" s="181"/>
      <c r="S135" s="181"/>
      <c r="T135" s="181"/>
      <c r="U135" s="181"/>
      <c r="V135" s="181"/>
      <c r="W135" s="181"/>
      <c r="X135" s="196"/>
      <c r="Y135" s="196"/>
      <c r="Z135" s="196"/>
      <c r="AA135" s="196"/>
      <c r="AB135" s="196"/>
    </row>
    <row r="136" spans="1:46" outlineLevel="3">
      <c r="D136" s="181"/>
      <c r="E136" s="181"/>
      <c r="F136" s="181"/>
      <c r="G136" s="181"/>
      <c r="H136" s="181"/>
      <c r="I136" s="181"/>
      <c r="J136" s="181"/>
      <c r="K136" s="181"/>
      <c r="L136" s="181"/>
      <c r="M136" s="181"/>
      <c r="N136" s="181"/>
      <c r="O136" s="181"/>
      <c r="P136" s="181"/>
      <c r="Q136" s="181"/>
      <c r="R136" s="181"/>
      <c r="S136" s="181"/>
      <c r="T136" s="181"/>
      <c r="U136" s="181"/>
      <c r="V136" s="181"/>
      <c r="W136" s="181"/>
      <c r="X136" s="196"/>
      <c r="Y136" s="196"/>
      <c r="Z136" s="196"/>
      <c r="AA136" s="196"/>
      <c r="AB136" s="196"/>
      <c r="AE136" s="211"/>
    </row>
    <row r="137" spans="1:46" outlineLevel="1">
      <c r="B137" s="231" t="s">
        <v>1119</v>
      </c>
      <c r="D137" s="181">
        <f>+D60+D68+D76+D85+D112+D120-D134</f>
        <v>2956391808.8599992</v>
      </c>
      <c r="E137" s="181"/>
      <c r="F137" s="181">
        <f>+F60+F68+F76+F85+F112+F120-F134</f>
        <v>74293198.920000002</v>
      </c>
      <c r="G137" s="181"/>
      <c r="H137" s="181">
        <f>+H60+H68+H76+H85+H112+H120-H134</f>
        <v>-3799256.8899999997</v>
      </c>
      <c r="I137" s="181"/>
      <c r="J137" s="181">
        <f>+J60+J68+J76+J85+J112+J120-J134</f>
        <v>-23.740000000019791</v>
      </c>
      <c r="K137" s="181"/>
      <c r="L137" s="181"/>
      <c r="M137" s="181"/>
      <c r="N137" s="181">
        <f>+N60+N68+N76+N85+N112+N120-N134</f>
        <v>70493918.289999992</v>
      </c>
      <c r="O137" s="181"/>
      <c r="P137" s="181">
        <f>+P60+P68+P76+P85+P112+P120-P134</f>
        <v>0</v>
      </c>
      <c r="Q137" s="181"/>
      <c r="R137" s="181">
        <f>+R60+R68+R76+R85+R112+R120-R134</f>
        <v>0</v>
      </c>
      <c r="S137" s="181"/>
      <c r="T137" s="181">
        <f>+T60+T68+T76+T85+T112+T120-T134</f>
        <v>0</v>
      </c>
      <c r="U137" s="181"/>
      <c r="V137" s="181">
        <f>+V60+V68+V76+V85+V112+V120-V134</f>
        <v>3026885727.1499987</v>
      </c>
      <c r="W137" s="181"/>
      <c r="X137" s="196"/>
      <c r="Y137" s="196"/>
      <c r="Z137" s="196"/>
      <c r="AA137" s="196"/>
      <c r="AB137" s="196"/>
      <c r="AC137" s="211">
        <f>+F137-AD137</f>
        <v>74293198.920000002</v>
      </c>
      <c r="AD137" s="211">
        <f>+'Summary - Cost - PG 1 (PA)'!F113</f>
        <v>0</v>
      </c>
      <c r="AE137" s="211">
        <f>+H137-AF137</f>
        <v>-6746260.6699999999</v>
      </c>
      <c r="AF137" s="211">
        <f>+'Summary - Cost - PG 1 (PA)'!H119</f>
        <v>2947003.78</v>
      </c>
      <c r="AG137" s="211"/>
      <c r="AH137" s="211"/>
      <c r="AI137" s="211"/>
      <c r="AJ137" s="211"/>
      <c r="AK137" s="211"/>
      <c r="AL137" s="211"/>
      <c r="AM137" s="211"/>
      <c r="AN137" s="211">
        <f>+J137-AG137-AL137-AM137</f>
        <v>-23.740000000019791</v>
      </c>
      <c r="AO137" s="211"/>
      <c r="AP137" s="211"/>
      <c r="AS137" s="211">
        <f>SUM(X137:AQ137)</f>
        <v>70493918.290000007</v>
      </c>
      <c r="AT137" s="211">
        <f>+N137-AS137</f>
        <v>0</v>
      </c>
    </row>
    <row r="138" spans="1:46" outlineLevel="1">
      <c r="C138" s="184" t="s">
        <v>47</v>
      </c>
      <c r="D138" s="181">
        <f>+D137-D10</f>
        <v>0</v>
      </c>
      <c r="E138" s="181"/>
      <c r="F138" s="181"/>
      <c r="G138" s="181"/>
      <c r="H138" s="181"/>
      <c r="I138" s="181"/>
      <c r="J138" s="181"/>
      <c r="K138" s="181"/>
      <c r="L138" s="181"/>
      <c r="M138" s="181"/>
      <c r="N138" s="181"/>
      <c r="O138" s="181"/>
      <c r="P138" s="181"/>
      <c r="Q138" s="181"/>
      <c r="R138" s="181"/>
      <c r="S138" s="181"/>
      <c r="T138" s="181"/>
      <c r="U138" s="181"/>
      <c r="V138" s="181">
        <f>+V137-V10</f>
        <v>0</v>
      </c>
      <c r="W138" s="181"/>
      <c r="X138" s="196"/>
      <c r="Y138" s="196"/>
      <c r="Z138" s="196"/>
      <c r="AA138" s="196"/>
      <c r="AB138" s="196"/>
    </row>
    <row r="139" spans="1:46" outlineLevel="1">
      <c r="D139" s="181"/>
      <c r="E139" s="181"/>
      <c r="F139" s="181"/>
      <c r="G139" s="181"/>
      <c r="H139" s="181"/>
      <c r="I139" s="181"/>
      <c r="J139" s="181"/>
      <c r="K139" s="181"/>
      <c r="L139" s="181"/>
      <c r="M139" s="181"/>
      <c r="N139" s="181"/>
      <c r="O139" s="181"/>
      <c r="P139" s="181"/>
      <c r="Q139" s="181"/>
      <c r="R139" s="181"/>
      <c r="S139" s="181"/>
      <c r="T139" s="181"/>
      <c r="U139" s="181"/>
      <c r="V139" s="181"/>
      <c r="W139" s="181"/>
      <c r="X139" s="196"/>
      <c r="Y139" s="196"/>
      <c r="Z139" s="196"/>
      <c r="AA139" s="196"/>
      <c r="AB139" s="196"/>
    </row>
    <row r="140" spans="1:46" s="220" customFormat="1" outlineLevel="3">
      <c r="A140" s="218">
        <v>121</v>
      </c>
      <c r="B140" s="219" t="s">
        <v>451</v>
      </c>
      <c r="D140" s="223"/>
      <c r="E140" s="223"/>
      <c r="F140" s="223"/>
      <c r="G140" s="223"/>
      <c r="H140" s="223"/>
      <c r="I140" s="223"/>
      <c r="J140" s="223"/>
      <c r="K140" s="223"/>
      <c r="L140" s="223"/>
      <c r="M140" s="223"/>
      <c r="N140" s="223"/>
      <c r="O140" s="223"/>
      <c r="P140" s="223"/>
      <c r="Q140" s="223"/>
      <c r="R140" s="223"/>
      <c r="S140" s="223"/>
      <c r="T140" s="223"/>
      <c r="U140" s="223"/>
      <c r="V140" s="223"/>
      <c r="W140" s="223"/>
      <c r="X140" s="224"/>
      <c r="Y140" s="224"/>
      <c r="Z140" s="224"/>
      <c r="AA140" s="224"/>
      <c r="AB140" s="224"/>
    </row>
    <row r="141" spans="1:46" s="220" customFormat="1" outlineLevel="3">
      <c r="A141" s="218"/>
      <c r="B141" s="219" t="s">
        <v>652</v>
      </c>
      <c r="D141" s="223"/>
      <c r="E141" s="223"/>
      <c r="F141" s="223"/>
      <c r="G141" s="223"/>
      <c r="H141" s="223"/>
      <c r="I141" s="223"/>
      <c r="J141" s="223"/>
      <c r="K141" s="223"/>
      <c r="L141" s="223"/>
      <c r="M141" s="223"/>
      <c r="N141" s="223"/>
      <c r="O141" s="223"/>
      <c r="P141" s="223"/>
      <c r="Q141" s="223"/>
      <c r="R141" s="223"/>
      <c r="S141" s="223"/>
      <c r="T141" s="223"/>
      <c r="U141" s="223"/>
      <c r="V141" s="223"/>
      <c r="W141" s="223"/>
      <c r="X141" s="224"/>
      <c r="Y141" s="224"/>
      <c r="Z141" s="224"/>
      <c r="AA141" s="224"/>
      <c r="AB141" s="224"/>
    </row>
    <row r="142" spans="1:46" s="220" customFormat="1" outlineLevel="3">
      <c r="A142" s="218"/>
      <c r="B142" s="219"/>
      <c r="C142" s="220" t="s">
        <v>131</v>
      </c>
      <c r="D142" s="225">
        <f>+'Summary - Cost - PG 1 (Tot)'!D97</f>
        <v>11879.199999999997</v>
      </c>
      <c r="E142" s="223"/>
      <c r="F142" s="225">
        <f>+'Summary - Cost - PG 1 (Tot)'!F97</f>
        <v>0</v>
      </c>
      <c r="G142" s="223"/>
      <c r="H142" s="225">
        <f>+'Summary - Cost - PG 1 (Tot)'!H97</f>
        <v>0</v>
      </c>
      <c r="I142" s="223"/>
      <c r="J142" s="225">
        <f>+'Summary - Cost - PG 1 (Tot)'!J97</f>
        <v>0</v>
      </c>
      <c r="K142" s="222"/>
      <c r="L142" s="222"/>
      <c r="M142" s="223"/>
      <c r="N142" s="225">
        <f>F142+H142+J142</f>
        <v>0</v>
      </c>
      <c r="O142" s="222"/>
      <c r="P142" s="222"/>
      <c r="Q142" s="222"/>
      <c r="R142" s="222"/>
      <c r="S142" s="222"/>
      <c r="T142" s="222"/>
      <c r="U142" s="223"/>
      <c r="V142" s="225">
        <f>D142+N142</f>
        <v>11879.199999999997</v>
      </c>
      <c r="W142" s="222"/>
      <c r="X142" s="224"/>
      <c r="Y142" s="224"/>
      <c r="Z142" s="224"/>
      <c r="AA142" s="224"/>
      <c r="AB142" s="224"/>
    </row>
    <row r="143" spans="1:46" s="220" customFormat="1" outlineLevel="3">
      <c r="A143" s="218"/>
      <c r="B143" s="219"/>
      <c r="C143" s="227"/>
      <c r="D143" s="222">
        <f>SUM(D142)</f>
        <v>11879.199999999997</v>
      </c>
      <c r="E143" s="222"/>
      <c r="F143" s="222">
        <f>SUM(F142)</f>
        <v>0</v>
      </c>
      <c r="G143" s="222"/>
      <c r="H143" s="222">
        <f>SUM(H142)</f>
        <v>0</v>
      </c>
      <c r="I143" s="222"/>
      <c r="J143" s="222">
        <f>SUM(J142)</f>
        <v>0</v>
      </c>
      <c r="K143" s="222"/>
      <c r="L143" s="222"/>
      <c r="M143" s="222"/>
      <c r="N143" s="222">
        <f>SUM(N142)</f>
        <v>0</v>
      </c>
      <c r="O143" s="222"/>
      <c r="P143" s="222"/>
      <c r="Q143" s="222"/>
      <c r="R143" s="222"/>
      <c r="S143" s="222"/>
      <c r="T143" s="222"/>
      <c r="U143" s="222"/>
      <c r="V143" s="222">
        <f>SUM(V142)</f>
        <v>11879.199999999997</v>
      </c>
      <c r="W143" s="222"/>
      <c r="X143" s="224"/>
      <c r="Y143" s="224"/>
      <c r="Z143" s="224"/>
      <c r="AA143" s="224"/>
      <c r="AB143" s="224"/>
    </row>
    <row r="144" spans="1:46" s="220" customFormat="1" outlineLevel="3">
      <c r="A144" s="218"/>
      <c r="B144" s="219"/>
      <c r="D144" s="223"/>
      <c r="E144" s="223"/>
      <c r="F144" s="223"/>
      <c r="G144" s="223"/>
      <c r="H144" s="223"/>
      <c r="I144" s="223"/>
      <c r="J144" s="223"/>
      <c r="K144" s="223"/>
      <c r="L144" s="223"/>
      <c r="M144" s="223"/>
      <c r="N144" s="223"/>
      <c r="O144" s="223"/>
      <c r="P144" s="223"/>
      <c r="Q144" s="223"/>
      <c r="R144" s="223"/>
      <c r="S144" s="223"/>
      <c r="T144" s="223"/>
      <c r="U144" s="223"/>
      <c r="V144" s="223"/>
      <c r="W144" s="223"/>
      <c r="X144" s="224"/>
      <c r="Y144" s="224"/>
      <c r="Z144" s="224"/>
      <c r="AA144" s="224"/>
      <c r="AB144" s="224"/>
    </row>
    <row r="145" spans="1:46" s="220" customFormat="1" outlineLevel="3">
      <c r="A145" s="218"/>
      <c r="B145" s="219"/>
      <c r="C145" s="219" t="s">
        <v>132</v>
      </c>
      <c r="D145" s="228">
        <f>D143</f>
        <v>11879.199999999997</v>
      </c>
      <c r="E145" s="223"/>
      <c r="F145" s="228">
        <f>F143</f>
        <v>0</v>
      </c>
      <c r="G145" s="223"/>
      <c r="H145" s="228">
        <f>H143</f>
        <v>0</v>
      </c>
      <c r="I145" s="223"/>
      <c r="J145" s="228">
        <f>J143</f>
        <v>0</v>
      </c>
      <c r="K145" s="222"/>
      <c r="L145" s="222"/>
      <c r="M145" s="223"/>
      <c r="N145" s="228">
        <f>N143</f>
        <v>0</v>
      </c>
      <c r="O145" s="222"/>
      <c r="P145" s="222"/>
      <c r="Q145" s="222"/>
      <c r="R145" s="222"/>
      <c r="S145" s="222"/>
      <c r="T145" s="222"/>
      <c r="U145" s="223"/>
      <c r="V145" s="228">
        <f>V143</f>
        <v>11879.199999999997</v>
      </c>
      <c r="W145" s="222"/>
      <c r="X145" s="224"/>
      <c r="Y145" s="224"/>
      <c r="Z145" s="224"/>
      <c r="AA145" s="224"/>
      <c r="AB145" s="224"/>
    </row>
    <row r="146" spans="1:46" outlineLevel="3">
      <c r="D146" s="181"/>
      <c r="E146" s="181"/>
      <c r="F146" s="181"/>
      <c r="G146" s="181"/>
      <c r="H146" s="181"/>
      <c r="I146" s="181"/>
      <c r="J146" s="181"/>
      <c r="K146" s="181"/>
      <c r="L146" s="181"/>
      <c r="M146" s="181"/>
      <c r="N146" s="181"/>
      <c r="O146" s="181"/>
      <c r="P146" s="181"/>
      <c r="Q146" s="181"/>
      <c r="R146" s="181"/>
      <c r="S146" s="181"/>
      <c r="T146" s="181"/>
      <c r="U146" s="181"/>
      <c r="V146" s="181"/>
      <c r="W146" s="181"/>
      <c r="X146" s="196"/>
      <c r="Y146" s="196"/>
      <c r="Z146" s="196"/>
      <c r="AA146" s="196"/>
      <c r="AB146" s="196"/>
    </row>
    <row r="147" spans="1:46" outlineLevel="1">
      <c r="B147" s="231" t="s">
        <v>1120</v>
      </c>
      <c r="D147" s="181">
        <f>+D145</f>
        <v>11879.199999999997</v>
      </c>
      <c r="E147" s="181"/>
      <c r="F147" s="181">
        <f>+F145</f>
        <v>0</v>
      </c>
      <c r="G147" s="181"/>
      <c r="H147" s="181">
        <f>+H145</f>
        <v>0</v>
      </c>
      <c r="I147" s="181"/>
      <c r="J147" s="181">
        <f>+J145</f>
        <v>0</v>
      </c>
      <c r="K147" s="181"/>
      <c r="L147" s="181"/>
      <c r="M147" s="181"/>
      <c r="N147" s="181">
        <f>+N145</f>
        <v>0</v>
      </c>
      <c r="O147" s="181"/>
      <c r="P147" s="181"/>
      <c r="Q147" s="181"/>
      <c r="R147" s="181"/>
      <c r="S147" s="181"/>
      <c r="T147" s="181"/>
      <c r="U147" s="181"/>
      <c r="V147" s="181">
        <f>+V145</f>
        <v>11879.199999999997</v>
      </c>
      <c r="W147" s="181"/>
      <c r="X147" s="196"/>
      <c r="Y147" s="196"/>
      <c r="Z147" s="196"/>
      <c r="AA147" s="196"/>
      <c r="AB147" s="196"/>
      <c r="AM147" s="211">
        <f>+J147</f>
        <v>0</v>
      </c>
      <c r="AS147" s="211">
        <f>SUM(X147:AQ147)</f>
        <v>0</v>
      </c>
      <c r="AT147" s="211">
        <f>+N147-AS147</f>
        <v>0</v>
      </c>
    </row>
    <row r="148" spans="1:46" outlineLevel="1">
      <c r="D148" s="181"/>
      <c r="E148" s="181"/>
      <c r="F148" s="181"/>
      <c r="G148" s="181"/>
      <c r="H148" s="181"/>
      <c r="I148" s="181"/>
      <c r="J148" s="181"/>
      <c r="K148" s="181"/>
      <c r="L148" s="181"/>
      <c r="M148" s="181"/>
      <c r="N148" s="181"/>
      <c r="O148" s="181"/>
      <c r="P148" s="181"/>
      <c r="Q148" s="181"/>
      <c r="R148" s="181"/>
      <c r="S148" s="181"/>
      <c r="T148" s="181"/>
      <c r="U148" s="181"/>
      <c r="V148" s="181"/>
      <c r="W148" s="181"/>
      <c r="X148" s="196"/>
      <c r="Y148" s="196"/>
      <c r="Z148" s="196"/>
      <c r="AA148" s="196"/>
      <c r="AB148" s="196"/>
    </row>
    <row r="149" spans="1:46" s="220" customFormat="1" outlineLevel="2">
      <c r="A149" s="218">
        <v>107</v>
      </c>
      <c r="B149" s="219" t="s">
        <v>452</v>
      </c>
      <c r="D149" s="223"/>
      <c r="E149" s="223"/>
      <c r="F149" s="223"/>
      <c r="G149" s="223"/>
      <c r="H149" s="223"/>
      <c r="I149" s="223"/>
      <c r="J149" s="223"/>
      <c r="K149" s="223"/>
      <c r="L149" s="223"/>
      <c r="M149" s="223"/>
      <c r="N149" s="223"/>
      <c r="O149" s="223"/>
      <c r="P149" s="223"/>
      <c r="Q149" s="223"/>
      <c r="R149" s="223"/>
      <c r="S149" s="223"/>
      <c r="T149" s="223"/>
      <c r="U149" s="223"/>
      <c r="V149" s="223"/>
      <c r="W149" s="223"/>
      <c r="X149" s="224"/>
      <c r="Y149" s="224"/>
      <c r="Z149" s="224"/>
      <c r="AA149" s="224"/>
      <c r="AB149" s="224"/>
    </row>
    <row r="150" spans="1:46" s="220" customFormat="1" outlineLevel="2">
      <c r="A150" s="218"/>
      <c r="B150" s="219" t="s">
        <v>133</v>
      </c>
      <c r="D150" s="223"/>
      <c r="E150" s="223"/>
      <c r="F150" s="223"/>
      <c r="G150" s="223"/>
      <c r="H150" s="223"/>
      <c r="I150" s="223"/>
      <c r="J150" s="223"/>
      <c r="K150" s="223"/>
      <c r="L150" s="223"/>
      <c r="M150" s="223"/>
      <c r="N150" s="223"/>
      <c r="O150" s="223"/>
      <c r="P150" s="223"/>
      <c r="Q150" s="223"/>
      <c r="R150" s="223"/>
      <c r="S150" s="223"/>
      <c r="T150" s="223"/>
      <c r="U150" s="223"/>
      <c r="V150" s="223"/>
      <c r="W150" s="223"/>
      <c r="X150" s="224"/>
      <c r="Y150" s="224"/>
      <c r="Z150" s="224"/>
      <c r="AA150" s="224"/>
      <c r="AB150" s="224"/>
    </row>
    <row r="151" spans="1:46" s="220" customFormat="1" outlineLevel="2">
      <c r="A151" s="218"/>
      <c r="B151" s="219"/>
      <c r="D151" s="223"/>
      <c r="E151" s="223"/>
      <c r="F151" s="223"/>
      <c r="G151" s="223"/>
      <c r="H151" s="223"/>
      <c r="I151" s="223"/>
      <c r="J151" s="223"/>
      <c r="K151" s="223"/>
      <c r="L151" s="223"/>
      <c r="M151" s="223"/>
      <c r="N151" s="223"/>
      <c r="O151" s="223"/>
      <c r="P151" s="223"/>
      <c r="Q151" s="223"/>
      <c r="R151" s="223"/>
      <c r="S151" s="223"/>
      <c r="T151" s="223"/>
      <c r="U151" s="223"/>
      <c r="V151" s="223"/>
      <c r="W151" s="223"/>
      <c r="X151" s="224"/>
      <c r="Y151" s="224"/>
      <c r="Z151" s="224"/>
      <c r="AA151" s="224"/>
      <c r="AB151" s="224"/>
    </row>
    <row r="152" spans="1:46" s="220" customFormat="1" outlineLevel="2">
      <c r="A152" s="218"/>
      <c r="B152" s="219"/>
      <c r="C152" s="220" t="s">
        <v>652</v>
      </c>
      <c r="D152" s="223">
        <f>+'Summary - Cost - PG 1 (Tot)'!D106</f>
        <v>15083939.33</v>
      </c>
      <c r="E152" s="223"/>
      <c r="F152" s="223">
        <f>+'Summary - Cost - PG 1 (Tot)'!F106</f>
        <v>-4281425.5500000007</v>
      </c>
      <c r="G152" s="223"/>
      <c r="H152" s="223">
        <f>+'Summary - Cost - PG 1 (Tot)'!H106</f>
        <v>0</v>
      </c>
      <c r="I152" s="223"/>
      <c r="J152" s="223">
        <f>+'Summary - Cost - PG 1 (Tot)'!J106</f>
        <v>0</v>
      </c>
      <c r="K152" s="223"/>
      <c r="L152" s="223"/>
      <c r="M152" s="223"/>
      <c r="N152" s="223">
        <f>F152+H152+J152</f>
        <v>-4281425.5500000007</v>
      </c>
      <c r="O152" s="223"/>
      <c r="P152" s="223"/>
      <c r="Q152" s="223"/>
      <c r="R152" s="223"/>
      <c r="S152" s="223"/>
      <c r="T152" s="223"/>
      <c r="U152" s="223"/>
      <c r="V152" s="223">
        <f>D152+N152</f>
        <v>10802513.779999999</v>
      </c>
      <c r="W152" s="223"/>
      <c r="X152" s="224"/>
      <c r="Y152" s="224"/>
      <c r="Z152" s="224"/>
      <c r="AA152" s="224"/>
      <c r="AB152" s="224"/>
      <c r="AC152" s="232"/>
      <c r="AD152" s="232"/>
    </row>
    <row r="153" spans="1:46" s="220" customFormat="1" outlineLevel="2">
      <c r="A153" s="218"/>
      <c r="B153" s="219"/>
      <c r="C153" s="220" t="s">
        <v>112</v>
      </c>
      <c r="D153" s="223">
        <f>+'Summary - Cost - PG 1 (Tot)'!D107</f>
        <v>152710828.07999998</v>
      </c>
      <c r="E153" s="223"/>
      <c r="F153" s="223">
        <f>+'Summary - Cost - PG 1 (Tot)'!F107</f>
        <v>-15568539.199999988</v>
      </c>
      <c r="G153" s="223"/>
      <c r="H153" s="223">
        <f>+'Summary - Cost - PG 1 (Tot)'!H107</f>
        <v>0</v>
      </c>
      <c r="I153" s="223"/>
      <c r="J153" s="223">
        <f>+'Summary - Cost - PG 1 (Tot)'!J107</f>
        <v>0</v>
      </c>
      <c r="K153" s="223"/>
      <c r="L153" s="223"/>
      <c r="M153" s="223"/>
      <c r="N153" s="223">
        <f>F153+H153+J153</f>
        <v>-15568539.199999988</v>
      </c>
      <c r="O153" s="223"/>
      <c r="P153" s="223"/>
      <c r="Q153" s="223"/>
      <c r="R153" s="223"/>
      <c r="S153" s="223"/>
      <c r="T153" s="223"/>
      <c r="U153" s="223"/>
      <c r="V153" s="223">
        <f>D153+N153</f>
        <v>137142288.88</v>
      </c>
      <c r="W153" s="223"/>
      <c r="X153" s="224"/>
      <c r="Y153" s="224"/>
      <c r="Z153" s="224"/>
      <c r="AA153" s="224"/>
      <c r="AB153" s="224"/>
      <c r="AC153" s="232"/>
      <c r="AD153" s="232"/>
    </row>
    <row r="154" spans="1:46" s="220" customFormat="1" outlineLevel="2">
      <c r="A154" s="218"/>
      <c r="B154" s="219"/>
      <c r="C154" s="220" t="s">
        <v>120</v>
      </c>
      <c r="D154" s="225">
        <f>+'Summary - Cost - PG 1 (Tot)'!D108</f>
        <v>47481609.939999998</v>
      </c>
      <c r="E154" s="223"/>
      <c r="F154" s="225">
        <f>+'Summary - Cost - PG 1 (Tot)'!F108</f>
        <v>-11297193.25</v>
      </c>
      <c r="G154" s="223"/>
      <c r="H154" s="225">
        <f>+'Summary - Cost - PG 1 (Tot)'!H108</f>
        <v>0</v>
      </c>
      <c r="I154" s="223"/>
      <c r="J154" s="225">
        <f>+'Summary - Cost - PG 1 (Tot)'!J108</f>
        <v>0</v>
      </c>
      <c r="K154" s="222"/>
      <c r="L154" s="222"/>
      <c r="M154" s="223"/>
      <c r="N154" s="225">
        <f>F154+H154+J154</f>
        <v>-11297193.25</v>
      </c>
      <c r="O154" s="222"/>
      <c r="P154" s="222"/>
      <c r="Q154" s="222"/>
      <c r="R154" s="222"/>
      <c r="S154" s="222"/>
      <c r="T154" s="222"/>
      <c r="U154" s="223"/>
      <c r="V154" s="225">
        <f>D154+N154</f>
        <v>36184416.689999998</v>
      </c>
      <c r="W154" s="222"/>
      <c r="X154" s="224"/>
      <c r="Y154" s="224"/>
      <c r="Z154" s="224"/>
      <c r="AA154" s="224"/>
      <c r="AB154" s="224"/>
      <c r="AC154" s="232"/>
      <c r="AD154" s="232"/>
    </row>
    <row r="155" spans="1:46" s="220" customFormat="1" outlineLevel="2">
      <c r="A155" s="218"/>
      <c r="B155" s="219"/>
      <c r="C155" s="227"/>
      <c r="D155" s="222">
        <f>SUM(D152:D154)</f>
        <v>215276377.34999999</v>
      </c>
      <c r="E155" s="222"/>
      <c r="F155" s="222">
        <f>SUM(F152:F154)</f>
        <v>-31147157.999999989</v>
      </c>
      <c r="G155" s="222"/>
      <c r="H155" s="222">
        <f>SUM(H152:H154)</f>
        <v>0</v>
      </c>
      <c r="I155" s="222"/>
      <c r="J155" s="222">
        <f>SUM(J152:J154)</f>
        <v>0</v>
      </c>
      <c r="K155" s="222"/>
      <c r="L155" s="222"/>
      <c r="M155" s="222"/>
      <c r="N155" s="222">
        <f>SUM(N152:N154)</f>
        <v>-31147157.999999989</v>
      </c>
      <c r="O155" s="222"/>
      <c r="P155" s="222"/>
      <c r="Q155" s="222"/>
      <c r="R155" s="222"/>
      <c r="S155" s="222"/>
      <c r="T155" s="222"/>
      <c r="U155" s="222"/>
      <c r="V155" s="222">
        <f>SUM(V152:V154)</f>
        <v>184129219.34999999</v>
      </c>
      <c r="W155" s="222"/>
      <c r="X155" s="224"/>
      <c r="Y155" s="224"/>
      <c r="Z155" s="224"/>
      <c r="AA155" s="224"/>
      <c r="AB155" s="224"/>
    </row>
    <row r="156" spans="1:46" outlineLevel="2">
      <c r="C156" s="11"/>
      <c r="D156" s="188"/>
      <c r="E156" s="181"/>
      <c r="F156" s="188"/>
      <c r="G156" s="181"/>
      <c r="H156" s="188"/>
      <c r="I156" s="181"/>
      <c r="J156" s="188"/>
      <c r="K156" s="188"/>
      <c r="L156" s="188"/>
      <c r="M156" s="181"/>
      <c r="N156" s="188"/>
      <c r="O156" s="188"/>
      <c r="P156" s="188"/>
      <c r="Q156" s="188"/>
      <c r="R156" s="188"/>
      <c r="S156" s="188"/>
      <c r="T156" s="188"/>
      <c r="U156" s="181"/>
      <c r="V156" s="188"/>
      <c r="W156" s="188"/>
      <c r="X156" s="196"/>
      <c r="Y156" s="196"/>
      <c r="Z156" s="196"/>
      <c r="AA156" s="196"/>
      <c r="AB156" s="196"/>
    </row>
    <row r="157" spans="1:46" outlineLevel="2">
      <c r="B157" s="184"/>
      <c r="C157" s="11"/>
      <c r="D157" s="188"/>
      <c r="E157" s="181"/>
      <c r="F157" s="188"/>
      <c r="G157" s="181"/>
      <c r="H157" s="188"/>
      <c r="I157" s="181"/>
      <c r="J157" s="188"/>
      <c r="K157" s="188"/>
      <c r="L157" s="188"/>
      <c r="M157" s="181"/>
      <c r="N157" s="188"/>
      <c r="O157" s="188"/>
      <c r="P157" s="188"/>
      <c r="Q157" s="188"/>
      <c r="R157" s="188"/>
      <c r="S157" s="188"/>
      <c r="T157" s="188"/>
      <c r="U157" s="181"/>
      <c r="V157" s="188"/>
      <c r="W157" s="188"/>
      <c r="X157" s="196"/>
      <c r="Y157" s="196"/>
      <c r="Z157" s="196"/>
      <c r="AA157" s="196"/>
      <c r="AB157" s="196"/>
    </row>
    <row r="158" spans="1:46" outlineLevel="1">
      <c r="B158" s="231" t="s">
        <v>1122</v>
      </c>
      <c r="D158" s="181"/>
      <c r="E158" s="181"/>
      <c r="F158" s="181">
        <f>+F155</f>
        <v>-31147157.999999989</v>
      </c>
      <c r="G158" s="181"/>
      <c r="H158" s="181">
        <f>+H155</f>
        <v>0</v>
      </c>
      <c r="I158" s="181"/>
      <c r="J158" s="181">
        <f>+J155</f>
        <v>0</v>
      </c>
      <c r="K158" s="181"/>
      <c r="L158" s="181"/>
      <c r="M158" s="181"/>
      <c r="N158" s="181">
        <f>+N155</f>
        <v>-31147157.999999989</v>
      </c>
      <c r="O158" s="181"/>
      <c r="P158" s="181"/>
      <c r="Q158" s="181"/>
      <c r="R158" s="181"/>
      <c r="S158" s="181"/>
      <c r="T158" s="181"/>
      <c r="U158" s="181"/>
      <c r="V158" s="181">
        <f>+V155</f>
        <v>184129219.34999999</v>
      </c>
      <c r="W158" s="181"/>
      <c r="X158" s="196"/>
      <c r="Y158" s="196"/>
      <c r="Z158" s="196"/>
      <c r="AA158" s="196"/>
      <c r="AB158" s="196"/>
      <c r="AC158" s="211">
        <f>-AC137-AC187</f>
        <v>-74303298.920000002</v>
      </c>
      <c r="AD158" s="211">
        <f>+'Summary - Cost - PG 1 (PA)'!F109</f>
        <v>0</v>
      </c>
      <c r="AQ158" s="211">
        <f>+'Summary - Cost - PG 1 (Fin)'!F119</f>
        <v>43156140.920000017</v>
      </c>
      <c r="AR158" s="211"/>
      <c r="AS158" s="211">
        <f>SUM(X158:AQ158)</f>
        <v>-31147157.999999985</v>
      </c>
      <c r="AT158" s="211">
        <f>+N158-AS158</f>
        <v>0</v>
      </c>
    </row>
    <row r="159" spans="1:46" outlineLevel="1">
      <c r="D159" s="233"/>
      <c r="E159" s="233"/>
      <c r="F159" s="233"/>
      <c r="G159" s="233"/>
      <c r="H159" s="233"/>
      <c r="I159" s="233"/>
      <c r="J159" s="233"/>
      <c r="K159" s="233"/>
      <c r="L159" s="233"/>
      <c r="M159" s="233"/>
      <c r="N159" s="233"/>
      <c r="O159" s="233"/>
      <c r="P159" s="233"/>
      <c r="Q159" s="233"/>
      <c r="R159" s="233"/>
      <c r="S159" s="233"/>
      <c r="T159" s="233"/>
      <c r="U159" s="233"/>
      <c r="V159" s="233"/>
      <c r="W159" s="233"/>
    </row>
    <row r="160" spans="1:46" s="220" customFormat="1" outlineLevel="2">
      <c r="A160" s="218"/>
      <c r="B160" s="219" t="s">
        <v>1125</v>
      </c>
      <c r="C160" s="219"/>
      <c r="D160" s="222"/>
      <c r="E160" s="223"/>
      <c r="F160" s="222"/>
      <c r="G160" s="223"/>
      <c r="H160" s="222"/>
      <c r="I160" s="223"/>
      <c r="J160" s="222"/>
      <c r="K160" s="222"/>
      <c r="L160" s="222"/>
      <c r="M160" s="223"/>
      <c r="N160" s="222"/>
      <c r="O160" s="222"/>
      <c r="P160" s="222"/>
      <c r="Q160" s="222"/>
      <c r="R160" s="222"/>
      <c r="S160" s="222"/>
      <c r="T160" s="222"/>
      <c r="U160" s="223"/>
      <c r="V160" s="222"/>
      <c r="W160" s="222"/>
      <c r="X160" s="224"/>
      <c r="Y160" s="224"/>
      <c r="Z160" s="224"/>
      <c r="AA160" s="224"/>
      <c r="AB160" s="224"/>
    </row>
    <row r="161" spans="1:28" s="220" customFormat="1" outlineLevel="2">
      <c r="A161" s="218"/>
      <c r="B161" s="219"/>
      <c r="C161" s="219"/>
      <c r="D161" s="222"/>
      <c r="E161" s="223"/>
      <c r="F161" s="222"/>
      <c r="G161" s="223"/>
      <c r="H161" s="222"/>
      <c r="I161" s="223"/>
      <c r="J161" s="222"/>
      <c r="K161" s="222"/>
      <c r="L161" s="222"/>
      <c r="M161" s="223"/>
      <c r="N161" s="222"/>
      <c r="O161" s="222"/>
      <c r="P161" s="222"/>
      <c r="Q161" s="222"/>
      <c r="R161" s="222"/>
      <c r="S161" s="222"/>
      <c r="T161" s="222"/>
      <c r="U161" s="223"/>
      <c r="V161" s="222"/>
      <c r="W161" s="222"/>
      <c r="X161" s="224"/>
      <c r="Y161" s="224"/>
      <c r="Z161" s="224"/>
      <c r="AA161" s="224"/>
      <c r="AB161" s="224"/>
    </row>
    <row r="162" spans="1:28" s="220" customFormat="1" outlineLevel="2">
      <c r="A162" s="229" t="s">
        <v>1126</v>
      </c>
      <c r="B162" s="219"/>
      <c r="C162" s="219" t="s">
        <v>1127</v>
      </c>
      <c r="D162" s="222">
        <f t="shared" ref="D162:D170" si="57">+D125</f>
        <v>74183.680000000008</v>
      </c>
      <c r="E162" s="223"/>
      <c r="F162" s="222">
        <f t="shared" ref="F162:F170" si="58">+F125</f>
        <v>0</v>
      </c>
      <c r="G162" s="223"/>
      <c r="H162" s="222">
        <f t="shared" ref="H162:H170" si="59">+H125</f>
        <v>0</v>
      </c>
      <c r="I162" s="223"/>
      <c r="J162" s="222">
        <f t="shared" ref="J162:J170" si="60">+J125</f>
        <v>0</v>
      </c>
      <c r="K162" s="222"/>
      <c r="L162" s="222"/>
      <c r="M162" s="223"/>
      <c r="N162" s="222">
        <f t="shared" ref="N162:N170" si="61">+N125</f>
        <v>0</v>
      </c>
      <c r="O162" s="222"/>
      <c r="P162" s="222">
        <f t="shared" ref="P162:P170" si="62">+P125</f>
        <v>0</v>
      </c>
      <c r="Q162" s="222"/>
      <c r="R162" s="222">
        <f t="shared" ref="R162:R170" si="63">+R125</f>
        <v>0</v>
      </c>
      <c r="S162" s="222"/>
      <c r="T162" s="222">
        <f t="shared" ref="T162:T170" si="64">+T125</f>
        <v>0</v>
      </c>
      <c r="U162" s="223"/>
      <c r="V162" s="222">
        <f t="shared" ref="V162:V170" si="65">+V125</f>
        <v>74183.680000000008</v>
      </c>
      <c r="W162" s="222"/>
      <c r="X162" s="224"/>
      <c r="Y162" s="224"/>
      <c r="Z162" s="224"/>
      <c r="AA162" s="224"/>
      <c r="AB162" s="224"/>
    </row>
    <row r="163" spans="1:28" s="220" customFormat="1" outlineLevel="2">
      <c r="A163" s="229" t="s">
        <v>1128</v>
      </c>
      <c r="B163" s="219"/>
      <c r="C163" s="219" t="s">
        <v>1129</v>
      </c>
      <c r="D163" s="222">
        <f t="shared" si="57"/>
        <v>25162.14</v>
      </c>
      <c r="E163" s="223"/>
      <c r="F163" s="222">
        <f t="shared" si="58"/>
        <v>0</v>
      </c>
      <c r="G163" s="223"/>
      <c r="H163" s="222">
        <f t="shared" si="59"/>
        <v>0</v>
      </c>
      <c r="I163" s="223"/>
      <c r="J163" s="222">
        <f t="shared" si="60"/>
        <v>0</v>
      </c>
      <c r="K163" s="222"/>
      <c r="L163" s="222"/>
      <c r="M163" s="223"/>
      <c r="N163" s="222">
        <f t="shared" si="61"/>
        <v>0</v>
      </c>
      <c r="O163" s="222"/>
      <c r="P163" s="222">
        <f t="shared" si="62"/>
        <v>0</v>
      </c>
      <c r="Q163" s="222"/>
      <c r="R163" s="222">
        <f t="shared" si="63"/>
        <v>0</v>
      </c>
      <c r="S163" s="222"/>
      <c r="T163" s="222">
        <f t="shared" si="64"/>
        <v>0</v>
      </c>
      <c r="U163" s="223"/>
      <c r="V163" s="222">
        <f t="shared" si="65"/>
        <v>25162.14</v>
      </c>
      <c r="W163" s="222"/>
      <c r="X163" s="224"/>
      <c r="Y163" s="224"/>
      <c r="Z163" s="224"/>
      <c r="AA163" s="224"/>
      <c r="AB163" s="224"/>
    </row>
    <row r="164" spans="1:28" s="220" customFormat="1" outlineLevel="2">
      <c r="A164" s="229" t="s">
        <v>1130</v>
      </c>
      <c r="B164" s="219"/>
      <c r="C164" s="219" t="s">
        <v>1129</v>
      </c>
      <c r="D164" s="222">
        <f t="shared" si="57"/>
        <v>-3357.2400000000052</v>
      </c>
      <c r="E164" s="223"/>
      <c r="F164" s="222">
        <f t="shared" si="58"/>
        <v>0</v>
      </c>
      <c r="G164" s="223"/>
      <c r="H164" s="222">
        <f t="shared" si="59"/>
        <v>0</v>
      </c>
      <c r="I164" s="223"/>
      <c r="J164" s="222">
        <f t="shared" si="60"/>
        <v>0</v>
      </c>
      <c r="K164" s="222"/>
      <c r="L164" s="222"/>
      <c r="M164" s="223"/>
      <c r="N164" s="222">
        <f t="shared" si="61"/>
        <v>0</v>
      </c>
      <c r="O164" s="222"/>
      <c r="P164" s="222">
        <f t="shared" si="62"/>
        <v>0</v>
      </c>
      <c r="Q164" s="222"/>
      <c r="R164" s="222">
        <f t="shared" si="63"/>
        <v>0</v>
      </c>
      <c r="S164" s="222"/>
      <c r="T164" s="222">
        <f t="shared" si="64"/>
        <v>0</v>
      </c>
      <c r="U164" s="223"/>
      <c r="V164" s="222">
        <f t="shared" si="65"/>
        <v>-3357.2400000000052</v>
      </c>
      <c r="W164" s="222"/>
      <c r="X164" s="224"/>
      <c r="Y164" s="224"/>
      <c r="Z164" s="224"/>
      <c r="AA164" s="224"/>
      <c r="AB164" s="224"/>
    </row>
    <row r="165" spans="1:28" s="220" customFormat="1" outlineLevel="2">
      <c r="A165" s="229" t="s">
        <v>1131</v>
      </c>
      <c r="B165" s="219"/>
      <c r="C165" s="219" t="s">
        <v>1129</v>
      </c>
      <c r="D165" s="222">
        <f t="shared" si="57"/>
        <v>-21348.819999999949</v>
      </c>
      <c r="E165" s="223"/>
      <c r="F165" s="222">
        <f t="shared" si="58"/>
        <v>0</v>
      </c>
      <c r="G165" s="223"/>
      <c r="H165" s="222">
        <f t="shared" si="59"/>
        <v>0</v>
      </c>
      <c r="I165" s="223"/>
      <c r="J165" s="222">
        <f t="shared" si="60"/>
        <v>0</v>
      </c>
      <c r="K165" s="222"/>
      <c r="L165" s="222"/>
      <c r="M165" s="223"/>
      <c r="N165" s="222">
        <f t="shared" si="61"/>
        <v>0</v>
      </c>
      <c r="O165" s="222"/>
      <c r="P165" s="222">
        <f t="shared" si="62"/>
        <v>0</v>
      </c>
      <c r="Q165" s="222"/>
      <c r="R165" s="222">
        <f t="shared" si="63"/>
        <v>0</v>
      </c>
      <c r="S165" s="222"/>
      <c r="T165" s="222">
        <f t="shared" si="64"/>
        <v>0</v>
      </c>
      <c r="U165" s="223"/>
      <c r="V165" s="222">
        <f t="shared" si="65"/>
        <v>-21348.819999999949</v>
      </c>
      <c r="W165" s="222"/>
      <c r="X165" s="224"/>
      <c r="Y165" s="224"/>
      <c r="Z165" s="224"/>
      <c r="AA165" s="224"/>
      <c r="AB165" s="224"/>
    </row>
    <row r="166" spans="1:28" s="220" customFormat="1" outlineLevel="2">
      <c r="A166" s="229" t="s">
        <v>1132</v>
      </c>
      <c r="B166" s="219"/>
      <c r="C166" s="219" t="s">
        <v>1129</v>
      </c>
      <c r="D166" s="222">
        <f t="shared" si="57"/>
        <v>12516.679999999993</v>
      </c>
      <c r="E166" s="223"/>
      <c r="F166" s="222">
        <f t="shared" si="58"/>
        <v>0</v>
      </c>
      <c r="G166" s="223"/>
      <c r="H166" s="222">
        <f t="shared" si="59"/>
        <v>0</v>
      </c>
      <c r="I166" s="223"/>
      <c r="J166" s="222">
        <f t="shared" si="60"/>
        <v>0</v>
      </c>
      <c r="K166" s="222"/>
      <c r="L166" s="222"/>
      <c r="M166" s="223"/>
      <c r="N166" s="222">
        <f t="shared" si="61"/>
        <v>0</v>
      </c>
      <c r="O166" s="222"/>
      <c r="P166" s="222">
        <f t="shared" si="62"/>
        <v>0</v>
      </c>
      <c r="Q166" s="222"/>
      <c r="R166" s="222">
        <f t="shared" si="63"/>
        <v>0</v>
      </c>
      <c r="S166" s="222"/>
      <c r="T166" s="222">
        <f t="shared" si="64"/>
        <v>0</v>
      </c>
      <c r="U166" s="223"/>
      <c r="V166" s="222">
        <f t="shared" si="65"/>
        <v>12516.679999999993</v>
      </c>
      <c r="W166" s="222"/>
      <c r="X166" s="224"/>
      <c r="Y166" s="224"/>
      <c r="Z166" s="224"/>
      <c r="AA166" s="224"/>
      <c r="AB166" s="224"/>
    </row>
    <row r="167" spans="1:28" s="220" customFormat="1" outlineLevel="2">
      <c r="A167" s="229" t="s">
        <v>1133</v>
      </c>
      <c r="B167" s="219"/>
      <c r="C167" s="219" t="s">
        <v>1134</v>
      </c>
      <c r="D167" s="222">
        <f t="shared" si="57"/>
        <v>5865364.5899999999</v>
      </c>
      <c r="E167" s="223"/>
      <c r="F167" s="222">
        <f t="shared" si="58"/>
        <v>10100</v>
      </c>
      <c r="G167" s="223"/>
      <c r="H167" s="222">
        <f t="shared" si="59"/>
        <v>0</v>
      </c>
      <c r="I167" s="223"/>
      <c r="J167" s="222">
        <f t="shared" si="60"/>
        <v>0</v>
      </c>
      <c r="K167" s="222"/>
      <c r="L167" s="222"/>
      <c r="M167" s="223"/>
      <c r="N167" s="222">
        <f t="shared" si="61"/>
        <v>10100</v>
      </c>
      <c r="O167" s="222"/>
      <c r="P167" s="222">
        <f t="shared" si="62"/>
        <v>0</v>
      </c>
      <c r="Q167" s="222"/>
      <c r="R167" s="222">
        <f t="shared" si="63"/>
        <v>0</v>
      </c>
      <c r="S167" s="222"/>
      <c r="T167" s="222">
        <f t="shared" si="64"/>
        <v>0</v>
      </c>
      <c r="U167" s="223"/>
      <c r="V167" s="222">
        <f t="shared" si="65"/>
        <v>5875464.5899999999</v>
      </c>
      <c r="W167" s="222"/>
      <c r="X167" s="224"/>
      <c r="Y167" s="224"/>
      <c r="Z167" s="224"/>
      <c r="AA167" s="224"/>
      <c r="AB167" s="224"/>
    </row>
    <row r="168" spans="1:28" s="220" customFormat="1" outlineLevel="2">
      <c r="A168" s="229" t="s">
        <v>1135</v>
      </c>
      <c r="B168" s="219"/>
      <c r="C168" s="219" t="s">
        <v>1136</v>
      </c>
      <c r="D168" s="222">
        <f t="shared" si="57"/>
        <v>0</v>
      </c>
      <c r="E168" s="223"/>
      <c r="F168" s="222">
        <f t="shared" si="58"/>
        <v>0</v>
      </c>
      <c r="G168" s="223"/>
      <c r="H168" s="222">
        <f t="shared" si="59"/>
        <v>0</v>
      </c>
      <c r="I168" s="223"/>
      <c r="J168" s="222">
        <f t="shared" si="60"/>
        <v>0</v>
      </c>
      <c r="K168" s="222"/>
      <c r="L168" s="222"/>
      <c r="M168" s="223"/>
      <c r="N168" s="222">
        <f t="shared" si="61"/>
        <v>0</v>
      </c>
      <c r="O168" s="222"/>
      <c r="P168" s="222">
        <f t="shared" si="62"/>
        <v>0</v>
      </c>
      <c r="Q168" s="222"/>
      <c r="R168" s="222">
        <f t="shared" si="63"/>
        <v>0</v>
      </c>
      <c r="S168" s="222"/>
      <c r="T168" s="222">
        <f t="shared" si="64"/>
        <v>0</v>
      </c>
      <c r="U168" s="223"/>
      <c r="V168" s="222">
        <f t="shared" si="65"/>
        <v>0</v>
      </c>
      <c r="W168" s="222"/>
      <c r="X168" s="224"/>
      <c r="Y168" s="224"/>
      <c r="Z168" s="224"/>
      <c r="AA168" s="224"/>
      <c r="AB168" s="224"/>
    </row>
    <row r="169" spans="1:28" s="220" customFormat="1" outlineLevel="2">
      <c r="A169" s="229" t="s">
        <v>1135</v>
      </c>
      <c r="B169" s="219"/>
      <c r="C169" s="219" t="s">
        <v>1137</v>
      </c>
      <c r="D169" s="222">
        <f t="shared" si="57"/>
        <v>0</v>
      </c>
      <c r="E169" s="223"/>
      <c r="F169" s="222">
        <f t="shared" si="58"/>
        <v>0</v>
      </c>
      <c r="G169" s="223"/>
      <c r="H169" s="222">
        <f t="shared" si="59"/>
        <v>0</v>
      </c>
      <c r="I169" s="223"/>
      <c r="J169" s="222">
        <f t="shared" si="60"/>
        <v>0</v>
      </c>
      <c r="K169" s="222"/>
      <c r="L169" s="222"/>
      <c r="M169" s="223"/>
      <c r="N169" s="222">
        <f t="shared" si="61"/>
        <v>0</v>
      </c>
      <c r="O169" s="222"/>
      <c r="P169" s="222">
        <f t="shared" si="62"/>
        <v>0</v>
      </c>
      <c r="Q169" s="222"/>
      <c r="R169" s="222">
        <f t="shared" si="63"/>
        <v>0</v>
      </c>
      <c r="S169" s="222"/>
      <c r="T169" s="222">
        <f t="shared" si="64"/>
        <v>0</v>
      </c>
      <c r="U169" s="223"/>
      <c r="V169" s="222">
        <f t="shared" si="65"/>
        <v>0</v>
      </c>
      <c r="W169" s="222"/>
      <c r="X169" s="224"/>
      <c r="Y169" s="224"/>
      <c r="Z169" s="224"/>
      <c r="AA169" s="224"/>
      <c r="AB169" s="224"/>
    </row>
    <row r="170" spans="1:28" s="220" customFormat="1" outlineLevel="2">
      <c r="A170" s="229" t="s">
        <v>1135</v>
      </c>
      <c r="B170" s="219"/>
      <c r="C170" s="219" t="s">
        <v>1138</v>
      </c>
      <c r="D170" s="222">
        <f t="shared" si="57"/>
        <v>268.33000000000004</v>
      </c>
      <c r="E170" s="223"/>
      <c r="F170" s="222">
        <f t="shared" si="58"/>
        <v>0</v>
      </c>
      <c r="G170" s="223"/>
      <c r="H170" s="222">
        <f t="shared" si="59"/>
        <v>0</v>
      </c>
      <c r="I170" s="223"/>
      <c r="J170" s="222">
        <f t="shared" si="60"/>
        <v>0</v>
      </c>
      <c r="K170" s="222"/>
      <c r="L170" s="222"/>
      <c r="M170" s="223"/>
      <c r="N170" s="222">
        <f t="shared" si="61"/>
        <v>0</v>
      </c>
      <c r="O170" s="222"/>
      <c r="P170" s="222">
        <f t="shared" si="62"/>
        <v>0</v>
      </c>
      <c r="Q170" s="222"/>
      <c r="R170" s="222">
        <f t="shared" si="63"/>
        <v>0</v>
      </c>
      <c r="S170" s="222"/>
      <c r="T170" s="222">
        <f t="shared" si="64"/>
        <v>0</v>
      </c>
      <c r="U170" s="223"/>
      <c r="V170" s="222">
        <f t="shared" si="65"/>
        <v>268.33000000000004</v>
      </c>
      <c r="W170" s="222"/>
      <c r="X170" s="224"/>
      <c r="Y170" s="224"/>
      <c r="Z170" s="224"/>
      <c r="AA170" s="224"/>
      <c r="AB170" s="224"/>
    </row>
    <row r="171" spans="1:28" s="220" customFormat="1" ht="12" customHeight="1" outlineLevel="2">
      <c r="A171" s="229"/>
      <c r="B171" s="219"/>
      <c r="C171" s="219" t="s">
        <v>1139</v>
      </c>
      <c r="D171" s="228">
        <f>SUM(D162:D170)</f>
        <v>5952789.3600000003</v>
      </c>
      <c r="E171" s="223"/>
      <c r="F171" s="228">
        <f>SUM(F162:F170)</f>
        <v>10100</v>
      </c>
      <c r="G171" s="223"/>
      <c r="H171" s="228">
        <f>SUM(H162:H170)</f>
        <v>0</v>
      </c>
      <c r="I171" s="223"/>
      <c r="J171" s="228">
        <f>SUM(J162:J170)</f>
        <v>0</v>
      </c>
      <c r="K171" s="222"/>
      <c r="L171" s="222"/>
      <c r="M171" s="223"/>
      <c r="N171" s="228">
        <f>SUM(N162:N170)</f>
        <v>10100</v>
      </c>
      <c r="O171" s="222"/>
      <c r="P171" s="228">
        <f>SUM(P162:P170)</f>
        <v>0</v>
      </c>
      <c r="Q171" s="222"/>
      <c r="R171" s="228">
        <f>SUM(R162:R170)</f>
        <v>0</v>
      </c>
      <c r="S171" s="222"/>
      <c r="T171" s="228">
        <f>SUM(T162:T170)</f>
        <v>0</v>
      </c>
      <c r="U171" s="223"/>
      <c r="V171" s="228">
        <f>SUM(V162:V170)</f>
        <v>5962889.3600000003</v>
      </c>
      <c r="W171" s="222"/>
      <c r="X171" s="224"/>
      <c r="Y171" s="224"/>
      <c r="Z171" s="224"/>
      <c r="AA171" s="224"/>
      <c r="AB171" s="224"/>
    </row>
    <row r="172" spans="1:28" s="220" customFormat="1" outlineLevel="2">
      <c r="A172" s="218"/>
      <c r="B172" s="219"/>
      <c r="D172" s="234"/>
      <c r="E172" s="234"/>
      <c r="F172" s="234"/>
      <c r="G172" s="234"/>
      <c r="H172" s="234"/>
      <c r="I172" s="234"/>
      <c r="J172" s="234"/>
      <c r="K172" s="234"/>
      <c r="L172" s="234"/>
      <c r="M172" s="234"/>
      <c r="N172" s="234"/>
      <c r="O172" s="234"/>
      <c r="P172" s="234"/>
      <c r="Q172" s="234"/>
      <c r="R172" s="234"/>
      <c r="S172" s="234"/>
      <c r="T172" s="234"/>
      <c r="U172" s="234"/>
      <c r="V172" s="234"/>
      <c r="W172" s="234"/>
      <c r="X172" s="221"/>
      <c r="Y172" s="221"/>
      <c r="Z172" s="221"/>
      <c r="AA172" s="221"/>
      <c r="AB172" s="221"/>
    </row>
    <row r="173" spans="1:28" s="220" customFormat="1" outlineLevel="2">
      <c r="A173" s="218"/>
      <c r="B173" s="219"/>
      <c r="D173" s="234"/>
      <c r="E173" s="234"/>
      <c r="F173" s="234"/>
      <c r="G173" s="234"/>
      <c r="H173" s="234"/>
      <c r="I173" s="234"/>
      <c r="J173" s="234"/>
      <c r="K173" s="234"/>
      <c r="L173" s="234"/>
      <c r="M173" s="234"/>
      <c r="N173" s="234"/>
      <c r="O173" s="234"/>
      <c r="P173" s="234"/>
      <c r="Q173" s="234"/>
      <c r="R173" s="234"/>
      <c r="S173" s="234"/>
      <c r="T173" s="234"/>
      <c r="U173" s="234"/>
      <c r="V173" s="234"/>
      <c r="W173" s="234"/>
      <c r="X173" s="221"/>
      <c r="Y173" s="221"/>
      <c r="Z173" s="221"/>
      <c r="AA173" s="221"/>
      <c r="AB173" s="221"/>
    </row>
    <row r="174" spans="1:28" s="220" customFormat="1" outlineLevel="2">
      <c r="A174" s="218"/>
      <c r="D174" s="235" t="s">
        <v>25</v>
      </c>
      <c r="F174" s="223"/>
      <c r="H174" s="223"/>
      <c r="J174" s="235" t="s">
        <v>612</v>
      </c>
      <c r="K174" s="235"/>
      <c r="L174" s="235" t="s">
        <v>1377</v>
      </c>
      <c r="N174" s="235" t="s">
        <v>28</v>
      </c>
      <c r="P174" s="236" t="s">
        <v>37</v>
      </c>
      <c r="R174" s="235"/>
      <c r="T174" s="235" t="s">
        <v>39</v>
      </c>
      <c r="V174" s="235" t="s">
        <v>26</v>
      </c>
      <c r="W174" s="235"/>
      <c r="X174" s="221"/>
      <c r="Y174" s="221"/>
      <c r="Z174" s="221"/>
      <c r="AA174" s="221"/>
      <c r="AB174" s="221"/>
    </row>
    <row r="175" spans="1:28" s="220" customFormat="1" outlineLevel="2">
      <c r="A175" s="218"/>
      <c r="D175" s="237" t="s">
        <v>27</v>
      </c>
      <c r="F175" s="237" t="s">
        <v>954</v>
      </c>
      <c r="H175" s="237" t="s">
        <v>108</v>
      </c>
      <c r="J175" s="237" t="s">
        <v>613</v>
      </c>
      <c r="K175" s="236"/>
      <c r="L175" s="237" t="s">
        <v>1378</v>
      </c>
      <c r="N175" s="237" t="s">
        <v>29</v>
      </c>
      <c r="P175" s="237" t="s">
        <v>38</v>
      </c>
      <c r="R175" s="237" t="s">
        <v>955</v>
      </c>
      <c r="T175" s="237" t="s">
        <v>105</v>
      </c>
      <c r="V175" s="237" t="s">
        <v>27</v>
      </c>
      <c r="W175" s="236"/>
      <c r="X175" s="221"/>
      <c r="Y175" s="221"/>
      <c r="Z175" s="221"/>
      <c r="AA175" s="221"/>
      <c r="AB175" s="221"/>
    </row>
    <row r="176" spans="1:28" s="220" customFormat="1" outlineLevel="2">
      <c r="A176" s="229" t="s">
        <v>1133</v>
      </c>
      <c r="B176" s="219"/>
      <c r="C176" s="219" t="s">
        <v>1140</v>
      </c>
      <c r="D176" s="234">
        <f>+'KY_Res by Plant Acct-P29 (Tot)'!B305+'IN_Res by Plant Acct-P30 (Tot)'!B15</f>
        <v>-355869.96000000031</v>
      </c>
      <c r="E176" s="234"/>
      <c r="F176" s="234">
        <f>+'KY_Res by Plant Acct-P29 (Tot)'!D305+'IN_Res by Plant Acct-P30 (Tot)'!D15</f>
        <v>-76274.33</v>
      </c>
      <c r="G176" s="234"/>
      <c r="H176" s="234">
        <f>+'KY_Res by Plant Acct-P29 (Tot)'!F305+'IN_Res by Plant Acct-P30 (Tot)'!F15</f>
        <v>0</v>
      </c>
      <c r="I176" s="234"/>
      <c r="J176" s="234">
        <f>+'KY_Res by Plant Acct-P29 (Tot)'!H305+'IN_Res by Plant Acct-P30 (Tot)'!H15+J231</f>
        <v>0</v>
      </c>
      <c r="K176" s="234"/>
      <c r="L176" s="234"/>
      <c r="M176" s="234"/>
      <c r="N176" s="234">
        <f>+'KY_Res by Plant Acct-P29 (Tot)'!J305+'IN_Res by Plant Acct-P30 (Tot)'!J15</f>
        <v>0</v>
      </c>
      <c r="O176" s="234"/>
      <c r="P176" s="234">
        <f>+'KY_Res by Plant Acct-P29 (Tot)'!L305+'IN_Res by Plant Acct-P30 (Tot)'!L15</f>
        <v>0</v>
      </c>
      <c r="Q176" s="234"/>
      <c r="R176" s="234">
        <f>+'KY_Res by Plant Acct-P29 (Tot)'!N305+'IN_Res by Plant Acct-P30 (Tot)'!N15</f>
        <v>0</v>
      </c>
      <c r="S176" s="234"/>
      <c r="T176" s="234">
        <f>+'KY_Res by Plant Acct-P29 (Tot)'!P305+'IN_Res by Plant Acct-P30 (Tot)'!P15</f>
        <v>0</v>
      </c>
      <c r="U176" s="234"/>
      <c r="V176" s="223">
        <f>T176+R176+P176+N176+J176+H176+F176+D176+0.04</f>
        <v>-432144.25000000035</v>
      </c>
      <c r="W176" s="234"/>
      <c r="X176" s="221"/>
      <c r="Y176" s="221"/>
      <c r="Z176" s="221"/>
      <c r="AA176" s="221"/>
      <c r="AB176" s="221"/>
    </row>
    <row r="177" spans="1:46" s="220" customFormat="1" outlineLevel="2">
      <c r="A177" s="229" t="s">
        <v>1128</v>
      </c>
      <c r="B177" s="219"/>
      <c r="C177" s="219" t="s">
        <v>1129</v>
      </c>
      <c r="D177" s="223">
        <f>+'KY_Res by Plant Acct-P29 (Tot)'!B367</f>
        <v>0</v>
      </c>
      <c r="E177" s="223"/>
      <c r="F177" s="223">
        <f>+'KY_Res by Plant Acct-P29 (Tot)'!D367</f>
        <v>0</v>
      </c>
      <c r="G177" s="223"/>
      <c r="H177" s="223">
        <f>+'KY_Res by Plant Acct-P29 (Tot)'!F367</f>
        <v>0</v>
      </c>
      <c r="I177" s="223"/>
      <c r="J177" s="223">
        <f>+'KY_Res by Plant Acct-P29 (Tot)'!H367</f>
        <v>0</v>
      </c>
      <c r="K177" s="223"/>
      <c r="L177" s="223"/>
      <c r="M177" s="223"/>
      <c r="N177" s="223">
        <f>+'KY_Res by Plant Acct-P29 (Tot)'!J367</f>
        <v>0</v>
      </c>
      <c r="O177" s="223"/>
      <c r="P177" s="223">
        <f>+'KY_Res by Plant Acct-P29 (Tot)'!L367</f>
        <v>0</v>
      </c>
      <c r="Q177" s="223"/>
      <c r="R177" s="223">
        <f>+'KY_Res by Plant Acct-P29 (Tot)'!N367</f>
        <v>0</v>
      </c>
      <c r="S177" s="223"/>
      <c r="T177" s="223">
        <f>+'KY_Res by Plant Acct-P29 (Tot)'!P367</f>
        <v>0</v>
      </c>
      <c r="U177" s="223"/>
      <c r="V177" s="223">
        <f t="shared" ref="V177:V183" si="66">T177+R177+P177+N177+J177+H177+F177+D177</f>
        <v>0</v>
      </c>
      <c r="W177" s="223"/>
      <c r="X177" s="221"/>
      <c r="Y177" s="221"/>
      <c r="Z177" s="221"/>
      <c r="AA177" s="221"/>
      <c r="AB177" s="221"/>
    </row>
    <row r="178" spans="1:46" s="220" customFormat="1" outlineLevel="2">
      <c r="A178" s="229" t="s">
        <v>1130</v>
      </c>
      <c r="B178" s="219"/>
      <c r="C178" s="219" t="s">
        <v>1129</v>
      </c>
      <c r="D178" s="223">
        <f>+'KY_Res by Plant Acct-P29 (Tot)'!B340</f>
        <v>-34.580000000001746</v>
      </c>
      <c r="E178" s="223"/>
      <c r="F178" s="223">
        <f>+'KY_Res by Plant Acct-P29 (Tot)'!D340</f>
        <v>-7.41</v>
      </c>
      <c r="G178" s="223"/>
      <c r="H178" s="223">
        <f>+'KY_Res by Plant Acct-P29 (Tot)'!F340</f>
        <v>0</v>
      </c>
      <c r="I178" s="223"/>
      <c r="J178" s="223">
        <f>+'KY_Res by Plant Acct-P29 (Tot)'!H340</f>
        <v>0</v>
      </c>
      <c r="K178" s="223"/>
      <c r="L178" s="223"/>
      <c r="M178" s="223"/>
      <c r="N178" s="223">
        <f>+'KY_Res by Plant Acct-P29 (Tot)'!J340</f>
        <v>0</v>
      </c>
      <c r="O178" s="223"/>
      <c r="P178" s="223">
        <f>+'KY_Res by Plant Acct-P29 (Tot)'!L340</f>
        <v>0</v>
      </c>
      <c r="Q178" s="223"/>
      <c r="R178" s="223">
        <f>+'KY_Res by Plant Acct-P29 (Tot)'!N340</f>
        <v>0</v>
      </c>
      <c r="S178" s="223"/>
      <c r="T178" s="223">
        <f>+'KY_Res by Plant Acct-P29 (Tot)'!P340</f>
        <v>0</v>
      </c>
      <c r="U178" s="223"/>
      <c r="V178" s="223">
        <f t="shared" si="66"/>
        <v>-41.990000000001743</v>
      </c>
      <c r="W178" s="223"/>
      <c r="X178" s="221"/>
      <c r="Y178" s="221"/>
      <c r="Z178" s="221"/>
      <c r="AA178" s="221"/>
      <c r="AB178" s="221"/>
    </row>
    <row r="179" spans="1:46" s="220" customFormat="1" outlineLevel="2">
      <c r="A179" s="229" t="s">
        <v>1131</v>
      </c>
      <c r="B179" s="219"/>
      <c r="C179" s="219" t="s">
        <v>1129</v>
      </c>
      <c r="D179" s="223">
        <f>+'KY_Res by Plant Acct-P29 (Tot)'!B371</f>
        <v>0</v>
      </c>
      <c r="E179" s="223"/>
      <c r="F179" s="223">
        <f>+'KY_Res by Plant Acct-P29 (Tot)'!D371</f>
        <v>0</v>
      </c>
      <c r="G179" s="223"/>
      <c r="H179" s="223">
        <f>+'KY_Res by Plant Acct-P29 (Tot)'!F371</f>
        <v>0</v>
      </c>
      <c r="I179" s="223"/>
      <c r="J179" s="223">
        <f>+'KY_Res by Plant Acct-P29 (Tot)'!H371</f>
        <v>0</v>
      </c>
      <c r="K179" s="223"/>
      <c r="L179" s="223"/>
      <c r="M179" s="223"/>
      <c r="N179" s="223">
        <f>+'KY_Res by Plant Acct-P29 (Tot)'!J371</f>
        <v>0</v>
      </c>
      <c r="O179" s="223"/>
      <c r="P179" s="223">
        <f>+'KY_Res by Plant Acct-P29 (Tot)'!L371</f>
        <v>0</v>
      </c>
      <c r="Q179" s="223"/>
      <c r="R179" s="223">
        <f>+'KY_Res by Plant Acct-P29 (Tot)'!N371</f>
        <v>0</v>
      </c>
      <c r="S179" s="223"/>
      <c r="T179" s="223">
        <f>+'KY_Res by Plant Acct-P29 (Tot)'!P371</f>
        <v>0</v>
      </c>
      <c r="U179" s="223"/>
      <c r="V179" s="223">
        <f t="shared" si="66"/>
        <v>0</v>
      </c>
      <c r="W179" s="223"/>
      <c r="X179" s="221"/>
      <c r="Y179" s="221"/>
      <c r="Z179" s="221"/>
      <c r="AA179" s="221"/>
      <c r="AB179" s="221"/>
    </row>
    <row r="180" spans="1:46" s="220" customFormat="1" outlineLevel="2">
      <c r="A180" s="229" t="s">
        <v>1132</v>
      </c>
      <c r="B180" s="219"/>
      <c r="C180" s="219" t="s">
        <v>1129</v>
      </c>
      <c r="D180" s="223">
        <f>+'KY_Res by Plant Acct-P29 (Tot)'!B387</f>
        <v>-695.09999999997672</v>
      </c>
      <c r="E180" s="223"/>
      <c r="F180" s="223">
        <f>+'KY_Res by Plant Acct-P29 (Tot)'!D387</f>
        <v>-148.94999999999999</v>
      </c>
      <c r="G180" s="223"/>
      <c r="H180" s="223">
        <f>+'KY_Res by Plant Acct-P29 (Tot)'!F387</f>
        <v>0</v>
      </c>
      <c r="I180" s="223"/>
      <c r="J180" s="223">
        <f>+'KY_Res by Plant Acct-P29 (Tot)'!H387</f>
        <v>0</v>
      </c>
      <c r="K180" s="223"/>
      <c r="L180" s="223"/>
      <c r="M180" s="223"/>
      <c r="N180" s="223">
        <f>+'KY_Res by Plant Acct-P29 (Tot)'!J387</f>
        <v>0</v>
      </c>
      <c r="O180" s="223"/>
      <c r="P180" s="223">
        <f>+'KY_Res by Plant Acct-P29 (Tot)'!L387</f>
        <v>0</v>
      </c>
      <c r="Q180" s="223"/>
      <c r="R180" s="223">
        <f>+'KY_Res by Plant Acct-P29 (Tot)'!N387</f>
        <v>0</v>
      </c>
      <c r="S180" s="223"/>
      <c r="T180" s="223">
        <f>+'KY_Res by Plant Acct-P29 (Tot)'!P387</f>
        <v>0</v>
      </c>
      <c r="U180" s="223"/>
      <c r="V180" s="223">
        <f t="shared" si="66"/>
        <v>-844.04999999997676</v>
      </c>
      <c r="W180" s="223"/>
      <c r="X180" s="221"/>
      <c r="Y180" s="221"/>
      <c r="Z180" s="221"/>
      <c r="AA180" s="221"/>
      <c r="AB180" s="221"/>
    </row>
    <row r="181" spans="1:46" s="220" customFormat="1" outlineLevel="2">
      <c r="A181" s="229" t="s">
        <v>1126</v>
      </c>
      <c r="B181" s="219"/>
      <c r="C181" s="219" t="s">
        <v>1127</v>
      </c>
      <c r="D181" s="223">
        <f>+'KY_Res by Plant Acct-P29 (Tot)'!B406</f>
        <v>-6955.4799999999959</v>
      </c>
      <c r="E181" s="223"/>
      <c r="F181" s="223">
        <f>+'KY_Res by Plant Acct-P29 (Tot)'!D406</f>
        <v>-1490.46</v>
      </c>
      <c r="G181" s="223"/>
      <c r="H181" s="223">
        <f>+'KY_Res by Plant Acct-P29 (Tot)'!F406</f>
        <v>0</v>
      </c>
      <c r="I181" s="223"/>
      <c r="J181" s="223">
        <f>+'KY_Res by Plant Acct-P29 (Tot)'!H406</f>
        <v>0</v>
      </c>
      <c r="K181" s="223"/>
      <c r="L181" s="223"/>
      <c r="M181" s="223"/>
      <c r="N181" s="223">
        <f>+'KY_Res by Plant Acct-P29 (Tot)'!J406</f>
        <v>0</v>
      </c>
      <c r="O181" s="223"/>
      <c r="P181" s="223">
        <f>+'KY_Res by Plant Acct-P29 (Tot)'!L406</f>
        <v>0</v>
      </c>
      <c r="Q181" s="223"/>
      <c r="R181" s="223">
        <f>+'KY_Res by Plant Acct-P29 (Tot)'!N406</f>
        <v>0</v>
      </c>
      <c r="S181" s="223"/>
      <c r="T181" s="223">
        <f>+'KY_Res by Plant Acct-P29 (Tot)'!P406</f>
        <v>0</v>
      </c>
      <c r="U181" s="223"/>
      <c r="V181" s="223">
        <f t="shared" si="66"/>
        <v>-8445.9399999999951</v>
      </c>
      <c r="W181" s="223"/>
      <c r="X181" s="221"/>
      <c r="Y181" s="221"/>
      <c r="Z181" s="221"/>
      <c r="AA181" s="221"/>
      <c r="AB181" s="221"/>
    </row>
    <row r="182" spans="1:46" s="220" customFormat="1" outlineLevel="2">
      <c r="A182" s="229" t="s">
        <v>1135</v>
      </c>
      <c r="B182" s="219"/>
      <c r="C182" s="219" t="s">
        <v>1136</v>
      </c>
      <c r="D182" s="223">
        <f>+'KY_Res by Plant Acct-P29 (Tot)'!B448</f>
        <v>0</v>
      </c>
      <c r="E182" s="223"/>
      <c r="F182" s="223">
        <f>+'KY_Res by Plant Acct-P29 (Tot)'!D448</f>
        <v>0</v>
      </c>
      <c r="G182" s="223"/>
      <c r="H182" s="223">
        <f>+'KY_Res by Plant Acct-P29 (Tot)'!F448</f>
        <v>0</v>
      </c>
      <c r="I182" s="223"/>
      <c r="J182" s="223">
        <f>+'KY_Res by Plant Acct-P29 (Tot)'!H448</f>
        <v>0</v>
      </c>
      <c r="K182" s="223"/>
      <c r="L182" s="223"/>
      <c r="M182" s="223"/>
      <c r="N182" s="223">
        <f>+'KY_Res by Plant Acct-P29 (Tot)'!J448</f>
        <v>0</v>
      </c>
      <c r="O182" s="223"/>
      <c r="P182" s="223">
        <f>+'KY_Res by Plant Acct-P29 (Tot)'!L448</f>
        <v>0</v>
      </c>
      <c r="Q182" s="223"/>
      <c r="R182" s="223">
        <f>+'KY_Res by Plant Acct-P29 (Tot)'!N448</f>
        <v>0</v>
      </c>
      <c r="S182" s="223"/>
      <c r="T182" s="223">
        <f>+'KY_Res by Plant Acct-P29 (Tot)'!P448</f>
        <v>0</v>
      </c>
      <c r="U182" s="223"/>
      <c r="V182" s="223">
        <f t="shared" si="66"/>
        <v>0</v>
      </c>
      <c r="W182" s="223"/>
      <c r="X182" s="221"/>
      <c r="Y182" s="221"/>
      <c r="Z182" s="221"/>
      <c r="AA182" s="221"/>
      <c r="AB182" s="221"/>
    </row>
    <row r="183" spans="1:46" s="220" customFormat="1" outlineLevel="2">
      <c r="A183" s="229" t="s">
        <v>1135</v>
      </c>
      <c r="B183" s="219"/>
      <c r="C183" s="219" t="s">
        <v>1137</v>
      </c>
      <c r="D183" s="223">
        <f>+'KY_Res by Plant Acct-P29 (Tot)'!B330</f>
        <v>0</v>
      </c>
      <c r="E183" s="223"/>
      <c r="F183" s="223">
        <f>+'KY_Res by Plant Acct-P29 (Tot)'!D330</f>
        <v>0</v>
      </c>
      <c r="G183" s="223"/>
      <c r="H183" s="223">
        <f>+'KY_Res by Plant Acct-P29 (Tot)'!F330</f>
        <v>0</v>
      </c>
      <c r="I183" s="223"/>
      <c r="J183" s="223">
        <f>+'KY_Res by Plant Acct-P29 (Tot)'!H330</f>
        <v>0</v>
      </c>
      <c r="K183" s="223"/>
      <c r="L183" s="223"/>
      <c r="M183" s="223"/>
      <c r="N183" s="223">
        <f>+'KY_Res by Plant Acct-P29 (Tot)'!J330</f>
        <v>0</v>
      </c>
      <c r="O183" s="223"/>
      <c r="P183" s="223">
        <f>+'KY_Res by Plant Acct-P29 (Tot)'!L330</f>
        <v>0</v>
      </c>
      <c r="Q183" s="223"/>
      <c r="R183" s="223">
        <f>+'KY_Res by Plant Acct-P29 (Tot)'!N330</f>
        <v>0</v>
      </c>
      <c r="S183" s="223"/>
      <c r="T183" s="223">
        <f>+'KY_Res by Plant Acct-P29 (Tot)'!P330</f>
        <v>0</v>
      </c>
      <c r="U183" s="223"/>
      <c r="V183" s="223">
        <f t="shared" si="66"/>
        <v>0</v>
      </c>
      <c r="W183" s="223"/>
      <c r="X183" s="221"/>
      <c r="Y183" s="221"/>
      <c r="Z183" s="221"/>
      <c r="AA183" s="221"/>
      <c r="AB183" s="221"/>
    </row>
    <row r="184" spans="1:46" s="220" customFormat="1" outlineLevel="2">
      <c r="A184" s="229" t="s">
        <v>1135</v>
      </c>
      <c r="B184" s="219"/>
      <c r="C184" s="219" t="s">
        <v>1138</v>
      </c>
      <c r="D184" s="223">
        <f>+'KY_Res by Plant Acct-P29 (Tot)'!B397</f>
        <v>119.15999999999997</v>
      </c>
      <c r="E184" s="223"/>
      <c r="F184" s="223">
        <f>+'KY_Res by Plant Acct-P29 (Tot)'!D397</f>
        <v>0</v>
      </c>
      <c r="G184" s="223"/>
      <c r="H184" s="223">
        <f>+'KY_Res by Plant Acct-P29 (Tot)'!F397</f>
        <v>0</v>
      </c>
      <c r="I184" s="223"/>
      <c r="J184" s="223">
        <f>+'KY_Res by Plant Acct-P29 (Tot)'!H397</f>
        <v>0</v>
      </c>
      <c r="K184" s="223"/>
      <c r="L184" s="223"/>
      <c r="M184" s="223"/>
      <c r="N184" s="223">
        <f>+'KY_Res by Plant Acct-P29 (Tot)'!J397</f>
        <v>0</v>
      </c>
      <c r="O184" s="223"/>
      <c r="P184" s="223">
        <f>+'KY_Res by Plant Acct-P29 (Tot)'!L397</f>
        <v>0</v>
      </c>
      <c r="Q184" s="223"/>
      <c r="R184" s="223">
        <f>+'KY_Res by Plant Acct-P29 (Tot)'!N397</f>
        <v>0</v>
      </c>
      <c r="S184" s="223"/>
      <c r="T184" s="223">
        <f>+'KY_Res by Plant Acct-P29 (Tot)'!P397</f>
        <v>0</v>
      </c>
      <c r="U184" s="223"/>
      <c r="V184" s="223">
        <f>+'KY_Res by Plant Acct-P29 (Tot)'!R397</f>
        <v>119.15999999999997</v>
      </c>
      <c r="W184" s="223"/>
      <c r="X184" s="221"/>
      <c r="Y184" s="221"/>
      <c r="Z184" s="221"/>
      <c r="AA184" s="221"/>
      <c r="AB184" s="221"/>
    </row>
    <row r="185" spans="1:46" s="220" customFormat="1" outlineLevel="2">
      <c r="A185" s="218"/>
      <c r="B185" s="219"/>
      <c r="C185" s="220" t="s">
        <v>1141</v>
      </c>
      <c r="D185" s="228">
        <f>SUM(D176:D184)</f>
        <v>-363435.96000000031</v>
      </c>
      <c r="E185" s="223"/>
      <c r="F185" s="228">
        <f>SUM(F176:F184)</f>
        <v>-77921.150000000009</v>
      </c>
      <c r="G185" s="223"/>
      <c r="H185" s="228">
        <f>SUM(H176:H184)</f>
        <v>0</v>
      </c>
      <c r="I185" s="223"/>
      <c r="J185" s="228">
        <f>SUM(J176:J184)</f>
        <v>0</v>
      </c>
      <c r="K185" s="222"/>
      <c r="L185" s="222"/>
      <c r="M185" s="223"/>
      <c r="N185" s="228">
        <f>SUM(N176:N184)</f>
        <v>0</v>
      </c>
      <c r="O185" s="222"/>
      <c r="P185" s="228">
        <f>SUM(P176:P184)</f>
        <v>0</v>
      </c>
      <c r="Q185" s="222"/>
      <c r="R185" s="228">
        <f>SUM(R176:R184)</f>
        <v>0</v>
      </c>
      <c r="S185" s="222"/>
      <c r="T185" s="228">
        <f>SUM(T176:T184)</f>
        <v>0</v>
      </c>
      <c r="U185" s="223"/>
      <c r="V185" s="228">
        <f>SUM(V176:V184)</f>
        <v>-441357.07000000036</v>
      </c>
      <c r="W185" s="222"/>
      <c r="X185" s="221"/>
      <c r="Y185" s="221"/>
      <c r="Z185" s="221"/>
      <c r="AA185" s="221"/>
      <c r="AB185" s="221"/>
    </row>
    <row r="186" spans="1:46" outlineLevel="2">
      <c r="D186" s="233"/>
      <c r="E186" s="233"/>
      <c r="F186" s="233"/>
      <c r="G186" s="233"/>
      <c r="H186" s="233"/>
      <c r="I186" s="233"/>
      <c r="J186" s="233"/>
      <c r="K186" s="233"/>
      <c r="L186" s="233"/>
      <c r="M186" s="233"/>
      <c r="N186" s="233"/>
      <c r="O186" s="233"/>
      <c r="P186" s="233"/>
      <c r="Q186" s="233"/>
      <c r="R186" s="233"/>
      <c r="S186" s="233"/>
      <c r="T186" s="233"/>
      <c r="U186" s="233"/>
      <c r="V186" s="233"/>
      <c r="W186" s="233"/>
    </row>
    <row r="187" spans="1:46" outlineLevel="1">
      <c r="B187" s="215" t="s">
        <v>1142</v>
      </c>
      <c r="D187" s="233">
        <f>+D171+D185</f>
        <v>5589353.4000000004</v>
      </c>
      <c r="E187" s="233"/>
      <c r="F187" s="233">
        <f>+F171+F185</f>
        <v>-67821.150000000009</v>
      </c>
      <c r="G187" s="233"/>
      <c r="H187" s="233">
        <f>+H171+H185</f>
        <v>0</v>
      </c>
      <c r="I187" s="233"/>
      <c r="J187" s="233">
        <f>+J171+J185</f>
        <v>0</v>
      </c>
      <c r="K187" s="233"/>
      <c r="L187" s="233"/>
      <c r="M187" s="233"/>
      <c r="N187" s="233">
        <f>+N185</f>
        <v>0</v>
      </c>
      <c r="O187" s="233"/>
      <c r="P187" s="233">
        <f>+P171+P185</f>
        <v>0</v>
      </c>
      <c r="Q187" s="233"/>
      <c r="R187" s="233">
        <f>+R171+R185</f>
        <v>0</v>
      </c>
      <c r="S187" s="233"/>
      <c r="T187" s="233">
        <f>+T171+T185</f>
        <v>0</v>
      </c>
      <c r="U187" s="233"/>
      <c r="V187" s="233">
        <f>+V171+V185</f>
        <v>5521532.29</v>
      </c>
      <c r="W187" s="233"/>
      <c r="X187" s="238">
        <f>+F185</f>
        <v>-77921.150000000009</v>
      </c>
      <c r="Y187" s="238"/>
      <c r="Z187" s="238"/>
      <c r="AA187" s="238"/>
      <c r="AB187" s="238"/>
      <c r="AC187" s="211">
        <f>+F171</f>
        <v>10100</v>
      </c>
      <c r="AD187" s="211"/>
      <c r="AL187" s="211"/>
      <c r="AN187" s="211">
        <f>+J171+J185</f>
        <v>0</v>
      </c>
      <c r="AS187" s="211">
        <f>SUM(X187:AQ187)</f>
        <v>-67821.150000000009</v>
      </c>
      <c r="AT187" s="211">
        <f>+V187-D187-AS187</f>
        <v>3.9999999673455022E-2</v>
      </c>
    </row>
    <row r="188" spans="1:46" outlineLevel="1">
      <c r="D188" s="233"/>
      <c r="E188" s="233"/>
      <c r="F188" s="233"/>
      <c r="G188" s="233"/>
      <c r="H188" s="233"/>
      <c r="I188" s="233"/>
      <c r="J188" s="233"/>
      <c r="K188" s="233"/>
      <c r="L188" s="233"/>
      <c r="M188" s="233"/>
      <c r="N188" s="233"/>
      <c r="O188" s="233"/>
      <c r="P188" s="233"/>
      <c r="Q188" s="233"/>
      <c r="R188" s="233"/>
      <c r="S188" s="233"/>
      <c r="T188" s="233"/>
      <c r="U188" s="233"/>
      <c r="V188" s="233">
        <f>+V187-V14</f>
        <v>0</v>
      </c>
      <c r="W188" s="233"/>
    </row>
    <row r="189" spans="1:46" outlineLevel="1">
      <c r="D189" s="233"/>
      <c r="E189" s="233"/>
      <c r="F189" s="233"/>
      <c r="G189" s="233"/>
      <c r="H189" s="233"/>
      <c r="I189" s="233"/>
      <c r="J189" s="233"/>
      <c r="K189" s="233"/>
      <c r="L189" s="233"/>
      <c r="M189" s="233"/>
      <c r="N189" s="233"/>
      <c r="O189" s="233"/>
      <c r="P189" s="233"/>
      <c r="Q189" s="233"/>
      <c r="R189" s="233"/>
      <c r="S189" s="233"/>
      <c r="T189" s="233"/>
      <c r="U189" s="233"/>
      <c r="V189" s="233"/>
      <c r="W189" s="233"/>
    </row>
    <row r="190" spans="1:46" s="220" customFormat="1" outlineLevel="3">
      <c r="A190" s="218"/>
      <c r="D190" s="235" t="s">
        <v>25</v>
      </c>
      <c r="F190" s="223"/>
      <c r="H190" s="223"/>
      <c r="J190" s="235" t="s">
        <v>612</v>
      </c>
      <c r="K190" s="235"/>
      <c r="L190" s="235" t="s">
        <v>1377</v>
      </c>
      <c r="N190" s="235" t="s">
        <v>28</v>
      </c>
      <c r="P190" s="236" t="s">
        <v>37</v>
      </c>
      <c r="R190" s="235"/>
      <c r="T190" s="235" t="s">
        <v>39</v>
      </c>
      <c r="V190" s="235" t="s">
        <v>26</v>
      </c>
      <c r="W190" s="235"/>
      <c r="X190" s="221"/>
      <c r="Y190" s="221"/>
      <c r="Z190" s="221"/>
      <c r="AA190" s="221"/>
      <c r="AB190" s="221"/>
    </row>
    <row r="191" spans="1:46" s="220" customFormat="1" outlineLevel="3">
      <c r="A191" s="218"/>
      <c r="D191" s="237" t="s">
        <v>27</v>
      </c>
      <c r="F191" s="237" t="s">
        <v>954</v>
      </c>
      <c r="H191" s="237" t="s">
        <v>108</v>
      </c>
      <c r="J191" s="237" t="s">
        <v>613</v>
      </c>
      <c r="K191" s="236"/>
      <c r="L191" s="237" t="s">
        <v>1378</v>
      </c>
      <c r="N191" s="237" t="s">
        <v>29</v>
      </c>
      <c r="P191" s="237" t="s">
        <v>38</v>
      </c>
      <c r="R191" s="237" t="s">
        <v>955</v>
      </c>
      <c r="T191" s="237" t="s">
        <v>105</v>
      </c>
      <c r="V191" s="237" t="s">
        <v>27</v>
      </c>
      <c r="W191" s="236"/>
      <c r="X191" s="221"/>
      <c r="Y191" s="221"/>
      <c r="Z191" s="221"/>
      <c r="AA191" s="221"/>
      <c r="AB191" s="221"/>
    </row>
    <row r="192" spans="1:46" s="220" customFormat="1" outlineLevel="3">
      <c r="A192" s="218"/>
      <c r="D192" s="236"/>
      <c r="F192" s="236"/>
      <c r="H192" s="236"/>
      <c r="J192" s="236"/>
      <c r="K192" s="236"/>
      <c r="L192" s="236"/>
      <c r="N192" s="236"/>
      <c r="P192" s="236"/>
      <c r="R192" s="236"/>
      <c r="T192" s="236"/>
      <c r="V192" s="236"/>
      <c r="W192" s="236"/>
      <c r="X192" s="221"/>
      <c r="Y192" s="221"/>
      <c r="Z192" s="221"/>
      <c r="AA192" s="221"/>
      <c r="AB192" s="221"/>
    </row>
    <row r="193" spans="1:28" s="220" customFormat="1" outlineLevel="3">
      <c r="A193" s="218"/>
      <c r="B193" s="219" t="s">
        <v>137</v>
      </c>
      <c r="D193" s="224"/>
      <c r="E193" s="224"/>
      <c r="F193" s="224"/>
      <c r="G193" s="224"/>
      <c r="H193" s="224"/>
      <c r="I193" s="224"/>
      <c r="J193" s="224"/>
      <c r="K193" s="224"/>
      <c r="L193" s="224"/>
      <c r="M193" s="224"/>
      <c r="N193" s="224"/>
      <c r="O193" s="224"/>
      <c r="P193" s="224"/>
      <c r="Q193" s="224"/>
      <c r="R193" s="224"/>
      <c r="S193" s="224"/>
      <c r="T193" s="224"/>
      <c r="U193" s="224"/>
      <c r="V193" s="224"/>
      <c r="W193" s="224"/>
      <c r="X193" s="221"/>
      <c r="Y193" s="221"/>
      <c r="Z193" s="221"/>
      <c r="AA193" s="221"/>
      <c r="AB193" s="221"/>
    </row>
    <row r="194" spans="1:28" s="220" customFormat="1" outlineLevel="3">
      <c r="A194" s="218"/>
      <c r="C194" s="220" t="s">
        <v>455</v>
      </c>
      <c r="D194" s="223">
        <f>+'Summary - Reserve - PG 2 (Tot)'!C10</f>
        <v>-13908691.209999986</v>
      </c>
      <c r="E194" s="223"/>
      <c r="F194" s="223">
        <f>+'Summary - Reserve - PG 2 (Tot)'!E10</f>
        <v>-3031758.62</v>
      </c>
      <c r="G194" s="223"/>
      <c r="H194" s="223">
        <f>+'Summary - Reserve - PG 2 (Tot)'!G10</f>
        <v>96055.439999999944</v>
      </c>
      <c r="I194" s="223"/>
      <c r="J194" s="223">
        <f>+'Summary - Reserve - PG 2 (Tot)'!I10</f>
        <v>0</v>
      </c>
      <c r="K194" s="223"/>
      <c r="L194" s="223"/>
      <c r="M194" s="223"/>
      <c r="N194" s="223">
        <f>+'Summary - Reserve - PG 2 (Tot)'!M10</f>
        <v>0</v>
      </c>
      <c r="O194" s="223"/>
      <c r="P194" s="223">
        <f>+'Summary - Reserve - PG 2 (Tot)'!O10</f>
        <v>0</v>
      </c>
      <c r="Q194" s="223"/>
      <c r="R194" s="223">
        <f>+'Summary - Reserve - PG 2 (Tot)'!Q10</f>
        <v>0</v>
      </c>
      <c r="S194" s="223"/>
      <c r="T194" s="223">
        <f>+'Summary - Reserve - PG 2 (Tot)'!S10</f>
        <v>0</v>
      </c>
      <c r="U194" s="223"/>
      <c r="V194" s="223">
        <f>T194+R194+P194+N194+J194+H194+F194+D194</f>
        <v>-16844394.389999986</v>
      </c>
      <c r="W194" s="223"/>
      <c r="X194" s="221"/>
      <c r="Y194" s="221"/>
      <c r="Z194" s="221"/>
      <c r="AA194" s="221"/>
      <c r="AB194" s="221"/>
    </row>
    <row r="195" spans="1:28" s="220" customFormat="1" outlineLevel="3">
      <c r="A195" s="218"/>
      <c r="C195" s="220" t="s">
        <v>851</v>
      </c>
      <c r="D195" s="223">
        <f>+'Summary - Reserve - PG 2 (Tot)'!C11</f>
        <v>-2403.5899999999979</v>
      </c>
      <c r="E195" s="223"/>
      <c r="F195" s="223">
        <f>+'Summary - Reserve - PG 2 (Tot)'!E11</f>
        <v>-515.09999999999991</v>
      </c>
      <c r="G195" s="223"/>
      <c r="H195" s="223">
        <f>+'Summary - Reserve - PG 2 (Tot)'!G11</f>
        <v>0</v>
      </c>
      <c r="I195" s="223"/>
      <c r="J195" s="223">
        <f>+'Summary - Reserve - PG 2 (Tot)'!I11</f>
        <v>0</v>
      </c>
      <c r="K195" s="223"/>
      <c r="L195" s="223"/>
      <c r="M195" s="223"/>
      <c r="N195" s="223">
        <f>+'Summary - Reserve - PG 2 (Tot)'!M11</f>
        <v>0</v>
      </c>
      <c r="O195" s="223"/>
      <c r="P195" s="223">
        <f>+'Summary - Reserve - PG 2 (Tot)'!O11</f>
        <v>0</v>
      </c>
      <c r="Q195" s="223"/>
      <c r="R195" s="223">
        <f>+'Summary - Reserve - PG 2 (Tot)'!Q11</f>
        <v>0</v>
      </c>
      <c r="S195" s="223"/>
      <c r="T195" s="223">
        <f>+'Summary - Reserve - PG 2 (Tot)'!S11</f>
        <v>0</v>
      </c>
      <c r="U195" s="223"/>
      <c r="V195" s="223">
        <f t="shared" ref="V195:V215" si="67">T195+R195+P195+N195+J195+H195+F195+D195</f>
        <v>-2918.6899999999978</v>
      </c>
      <c r="W195" s="223"/>
      <c r="X195" s="221"/>
      <c r="Y195" s="221"/>
      <c r="Z195" s="221"/>
      <c r="AA195" s="221"/>
      <c r="AB195" s="221"/>
    </row>
    <row r="196" spans="1:28" s="220" customFormat="1" outlineLevel="3">
      <c r="A196" s="218"/>
      <c r="C196" s="220" t="s">
        <v>113</v>
      </c>
      <c r="D196" s="223">
        <f>+'Summary - Reserve - PG 2 (Tot)'!C12</f>
        <v>-16168909.800000072</v>
      </c>
      <c r="E196" s="223"/>
      <c r="F196" s="223">
        <f>+'Summary - Reserve - PG 2 (Tot)'!E12</f>
        <v>-4544838.4800000004</v>
      </c>
      <c r="G196" s="223"/>
      <c r="H196" s="223">
        <f>+'Summary - Reserve - PG 2 (Tot)'!G12</f>
        <v>1212153.9299999997</v>
      </c>
      <c r="I196" s="223"/>
      <c r="J196" s="223">
        <f>+'Summary - Reserve - PG 2 (Tot)'!I12</f>
        <v>0</v>
      </c>
      <c r="K196" s="223"/>
      <c r="L196" s="223"/>
      <c r="M196" s="223"/>
      <c r="N196" s="223">
        <f>+'Summary - Reserve - PG 2 (Tot)'!M12</f>
        <v>0</v>
      </c>
      <c r="O196" s="223"/>
      <c r="P196" s="223">
        <f>+'Summary - Reserve - PG 2 (Tot)'!O12</f>
        <v>0</v>
      </c>
      <c r="Q196" s="223"/>
      <c r="R196" s="223">
        <f>+'Summary - Reserve - PG 2 (Tot)'!Q12</f>
        <v>0</v>
      </c>
      <c r="S196" s="223"/>
      <c r="T196" s="223">
        <f>+'Summary - Reserve - PG 2 (Tot)'!S12</f>
        <v>0</v>
      </c>
      <c r="U196" s="223"/>
      <c r="V196" s="223">
        <f t="shared" si="67"/>
        <v>-19501594.350000072</v>
      </c>
      <c r="W196" s="223"/>
      <c r="X196" s="221"/>
      <c r="Y196" s="221"/>
      <c r="Z196" s="221"/>
      <c r="AA196" s="221"/>
      <c r="AB196" s="221"/>
    </row>
    <row r="197" spans="1:28" s="220" customFormat="1" outlineLevel="3">
      <c r="A197" s="218"/>
      <c r="C197" s="220" t="s">
        <v>852</v>
      </c>
      <c r="D197" s="223">
        <f>+'Summary - Reserve - PG 2 (Tot)'!C13</f>
        <v>-7290.4000000000697</v>
      </c>
      <c r="E197" s="223"/>
      <c r="F197" s="223">
        <f>+'Summary - Reserve - PG 2 (Tot)'!E13</f>
        <v>-2849.7799999999997</v>
      </c>
      <c r="G197" s="223"/>
      <c r="H197" s="223">
        <f>+'Summary - Reserve - PG 2 (Tot)'!G13</f>
        <v>0</v>
      </c>
      <c r="I197" s="223"/>
      <c r="J197" s="223">
        <f>+'Summary - Reserve - PG 2 (Tot)'!I13</f>
        <v>-223.56</v>
      </c>
      <c r="K197" s="223"/>
      <c r="L197" s="223"/>
      <c r="M197" s="223"/>
      <c r="N197" s="223">
        <f>+'Summary - Reserve - PG 2 (Tot)'!M13</f>
        <v>0</v>
      </c>
      <c r="O197" s="223"/>
      <c r="P197" s="223">
        <f>+'Summary - Reserve - PG 2 (Tot)'!O13</f>
        <v>0</v>
      </c>
      <c r="Q197" s="223"/>
      <c r="R197" s="223">
        <f>+'Summary - Reserve - PG 2 (Tot)'!Q13</f>
        <v>0</v>
      </c>
      <c r="S197" s="223"/>
      <c r="T197" s="223">
        <f>+'Summary - Reserve - PG 2 (Tot)'!S13</f>
        <v>0</v>
      </c>
      <c r="U197" s="223"/>
      <c r="V197" s="223">
        <f t="shared" si="67"/>
        <v>-10363.740000000069</v>
      </c>
      <c r="W197" s="223"/>
      <c r="X197" s="221"/>
      <c r="Y197" s="221"/>
      <c r="Z197" s="221"/>
      <c r="AA197" s="221"/>
      <c r="AB197" s="221"/>
    </row>
    <row r="198" spans="1:28" s="220" customFormat="1" outlineLevel="3">
      <c r="A198" s="218"/>
      <c r="C198" s="220" t="s">
        <v>114</v>
      </c>
      <c r="D198" s="223">
        <f>+'Summary - Reserve - PG 2 (Tot)'!C14</f>
        <v>-479919.43999999762</v>
      </c>
      <c r="E198" s="223"/>
      <c r="F198" s="223">
        <f>+'Summary - Reserve - PG 2 (Tot)'!E14</f>
        <v>-138484.76</v>
      </c>
      <c r="G198" s="223"/>
      <c r="H198" s="223">
        <f>+'Summary - Reserve - PG 2 (Tot)'!G14</f>
        <v>0</v>
      </c>
      <c r="I198" s="223"/>
      <c r="J198" s="223">
        <f>+'Summary - Reserve - PG 2 (Tot)'!I14</f>
        <v>0</v>
      </c>
      <c r="K198" s="223"/>
      <c r="L198" s="223"/>
      <c r="M198" s="223"/>
      <c r="N198" s="223">
        <f>+'Summary - Reserve - PG 2 (Tot)'!M14</f>
        <v>0</v>
      </c>
      <c r="O198" s="223"/>
      <c r="P198" s="223">
        <f>+'Summary - Reserve - PG 2 (Tot)'!O14</f>
        <v>0</v>
      </c>
      <c r="Q198" s="223"/>
      <c r="R198" s="223">
        <f>+'Summary - Reserve - PG 2 (Tot)'!Q14</f>
        <v>0</v>
      </c>
      <c r="S198" s="223"/>
      <c r="T198" s="223">
        <f>+'Summary - Reserve - PG 2 (Tot)'!S14</f>
        <v>0</v>
      </c>
      <c r="U198" s="223"/>
      <c r="V198" s="223">
        <f t="shared" si="67"/>
        <v>-618404.19999999763</v>
      </c>
      <c r="W198" s="223"/>
      <c r="X198" s="221"/>
      <c r="Y198" s="221"/>
      <c r="Z198" s="221"/>
      <c r="AA198" s="221"/>
      <c r="AB198" s="221"/>
    </row>
    <row r="199" spans="1:28" s="220" customFormat="1" outlineLevel="3">
      <c r="A199" s="218"/>
      <c r="C199" s="220" t="s">
        <v>115</v>
      </c>
      <c r="D199" s="223">
        <f>+'Summary - Reserve - PG 2 (Tot)'!C15</f>
        <v>-530664.77000000142</v>
      </c>
      <c r="E199" s="223"/>
      <c r="F199" s="223">
        <f>+'Summary - Reserve - PG 2 (Tot)'!E15</f>
        <v>-141469.07</v>
      </c>
      <c r="G199" s="223"/>
      <c r="H199" s="223">
        <f>+'Summary - Reserve - PG 2 (Tot)'!G15</f>
        <v>-18.109999999999957</v>
      </c>
      <c r="I199" s="223"/>
      <c r="J199" s="223">
        <f>+'Summary - Reserve - PG 2 (Tot)'!I15</f>
        <v>0</v>
      </c>
      <c r="K199" s="223"/>
      <c r="L199" s="223"/>
      <c r="M199" s="223"/>
      <c r="N199" s="223">
        <f>+'Summary - Reserve - PG 2 (Tot)'!M15</f>
        <v>0</v>
      </c>
      <c r="O199" s="223"/>
      <c r="P199" s="223">
        <f>+'Summary - Reserve - PG 2 (Tot)'!O15</f>
        <v>0</v>
      </c>
      <c r="Q199" s="223"/>
      <c r="R199" s="223">
        <f>+'Summary - Reserve - PG 2 (Tot)'!Q15</f>
        <v>0</v>
      </c>
      <c r="S199" s="223"/>
      <c r="T199" s="223">
        <f>+'Summary - Reserve - PG 2 (Tot)'!S15</f>
        <v>0</v>
      </c>
      <c r="U199" s="223"/>
      <c r="V199" s="223">
        <f t="shared" si="67"/>
        <v>-672151.95000000135</v>
      </c>
      <c r="W199" s="223"/>
      <c r="X199" s="221"/>
      <c r="Y199" s="221"/>
      <c r="Z199" s="221"/>
      <c r="AA199" s="221"/>
      <c r="AB199" s="221"/>
    </row>
    <row r="200" spans="1:28" s="220" customFormat="1" outlineLevel="3">
      <c r="A200" s="218"/>
      <c r="C200" s="220" t="s">
        <v>853</v>
      </c>
      <c r="D200" s="223">
        <f>+'Summary - Reserve - PG 2 (Tot)'!C16</f>
        <v>-2112.6200000000099</v>
      </c>
      <c r="E200" s="223"/>
      <c r="F200" s="223">
        <f>+'Summary - Reserve - PG 2 (Tot)'!E16</f>
        <v>-437.13</v>
      </c>
      <c r="G200" s="223"/>
      <c r="H200" s="223">
        <f>+'Summary - Reserve - PG 2 (Tot)'!G16</f>
        <v>0</v>
      </c>
      <c r="I200" s="223"/>
      <c r="J200" s="223">
        <f>+'Summary - Reserve - PG 2 (Tot)'!I16</f>
        <v>0</v>
      </c>
      <c r="K200" s="223"/>
      <c r="L200" s="223"/>
      <c r="M200" s="223"/>
      <c r="N200" s="223">
        <f>+'Summary - Reserve - PG 2 (Tot)'!M16</f>
        <v>0</v>
      </c>
      <c r="O200" s="223"/>
      <c r="P200" s="223">
        <f>+'Summary - Reserve - PG 2 (Tot)'!O16</f>
        <v>0</v>
      </c>
      <c r="Q200" s="223"/>
      <c r="R200" s="223">
        <f>+'Summary - Reserve - PG 2 (Tot)'!Q16</f>
        <v>0</v>
      </c>
      <c r="S200" s="223"/>
      <c r="T200" s="223">
        <f>+'Summary - Reserve - PG 2 (Tot)'!S16</f>
        <v>0</v>
      </c>
      <c r="U200" s="223"/>
      <c r="V200" s="223">
        <f t="shared" si="67"/>
        <v>-2549.75000000001</v>
      </c>
      <c r="W200" s="223"/>
      <c r="X200" s="221"/>
      <c r="Y200" s="221"/>
      <c r="Z200" s="221"/>
      <c r="AA200" s="221"/>
      <c r="AB200" s="221"/>
    </row>
    <row r="201" spans="1:28" s="220" customFormat="1" outlineLevel="3">
      <c r="A201" s="218"/>
      <c r="C201" s="220" t="s">
        <v>117</v>
      </c>
      <c r="D201" s="223">
        <f>+'Summary - Reserve - PG 2 (Tot)'!C17</f>
        <v>-8823709.549999997</v>
      </c>
      <c r="E201" s="223"/>
      <c r="F201" s="223">
        <f>+'Summary - Reserve - PG 2 (Tot)'!E17</f>
        <v>-2095352.7999999998</v>
      </c>
      <c r="G201" s="223"/>
      <c r="H201" s="223">
        <f>+'Summary - Reserve - PG 2 (Tot)'!G17</f>
        <v>482249.92000000004</v>
      </c>
      <c r="I201" s="223"/>
      <c r="J201" s="223">
        <f>+'Summary - Reserve - PG 2 (Tot)'!I17</f>
        <v>0</v>
      </c>
      <c r="K201" s="223"/>
      <c r="L201" s="223"/>
      <c r="M201" s="223"/>
      <c r="N201" s="223">
        <f>+'Summary - Reserve - PG 2 (Tot)'!M17</f>
        <v>0</v>
      </c>
      <c r="O201" s="223"/>
      <c r="P201" s="223">
        <f>+'Summary - Reserve - PG 2 (Tot)'!O17</f>
        <v>0</v>
      </c>
      <c r="Q201" s="223"/>
      <c r="R201" s="223">
        <f>+'Summary - Reserve - PG 2 (Tot)'!Q17</f>
        <v>0</v>
      </c>
      <c r="S201" s="223"/>
      <c r="T201" s="223">
        <f>+'Summary - Reserve - PG 2 (Tot)'!S17</f>
        <v>0</v>
      </c>
      <c r="U201" s="223"/>
      <c r="V201" s="223">
        <f t="shared" si="67"/>
        <v>-10436812.429999996</v>
      </c>
      <c r="W201" s="223"/>
      <c r="X201" s="221"/>
      <c r="Y201" s="221"/>
      <c r="Z201" s="221"/>
      <c r="AA201" s="221"/>
      <c r="AB201" s="221"/>
    </row>
    <row r="202" spans="1:28" s="220" customFormat="1" outlineLevel="3">
      <c r="A202" s="218"/>
      <c r="C202" s="220" t="s">
        <v>953</v>
      </c>
      <c r="D202" s="223">
        <f>+'Summary - Reserve - PG 2 (Tot)'!C18</f>
        <v>-1302.8200000001236</v>
      </c>
      <c r="E202" s="223"/>
      <c r="F202" s="223">
        <f>+'Summary - Reserve - PG 2 (Tot)'!E18</f>
        <v>-289.68</v>
      </c>
      <c r="G202" s="223"/>
      <c r="H202" s="223">
        <f>+'Summary - Reserve - PG 2 (Tot)'!G18</f>
        <v>0</v>
      </c>
      <c r="I202" s="223"/>
      <c r="J202" s="223">
        <f>+'Summary - Reserve - PG 2 (Tot)'!I18</f>
        <v>0</v>
      </c>
      <c r="K202" s="223"/>
      <c r="L202" s="223"/>
      <c r="M202" s="223"/>
      <c r="N202" s="223">
        <f>+'Summary - Reserve - PG 2 (Tot)'!M18</f>
        <v>0</v>
      </c>
      <c r="O202" s="223"/>
      <c r="P202" s="223">
        <f>+'Summary - Reserve - PG 2 (Tot)'!O18</f>
        <v>0</v>
      </c>
      <c r="Q202" s="223"/>
      <c r="R202" s="223">
        <f>+'Summary - Reserve - PG 2 (Tot)'!Q18</f>
        <v>0</v>
      </c>
      <c r="S202" s="223"/>
      <c r="T202" s="223">
        <f>+'Summary - Reserve - PG 2 (Tot)'!S18</f>
        <v>0</v>
      </c>
      <c r="U202" s="223"/>
      <c r="V202" s="223">
        <f>T202+R202+P202+N202+J202+H202+F202+D202</f>
        <v>-1592.5000000001237</v>
      </c>
      <c r="W202" s="223"/>
      <c r="X202" s="221"/>
      <c r="Y202" s="221"/>
      <c r="Z202" s="221"/>
      <c r="AA202" s="221"/>
      <c r="AB202" s="221"/>
    </row>
    <row r="203" spans="1:28" s="220" customFormat="1" outlineLevel="3">
      <c r="A203" s="218"/>
      <c r="C203" s="220" t="s">
        <v>118</v>
      </c>
      <c r="D203" s="223">
        <f>+'Summary - Reserve - PG 2 (Tot)'!C19</f>
        <v>-52257477.750000119</v>
      </c>
      <c r="E203" s="223"/>
      <c r="F203" s="223">
        <f>+'Summary - Reserve - PG 2 (Tot)'!E19</f>
        <v>-14361072.620000001</v>
      </c>
      <c r="G203" s="223"/>
      <c r="H203" s="223">
        <f>+'Summary - Reserve - PG 2 (Tot)'!G19</f>
        <v>1121933.4899999998</v>
      </c>
      <c r="I203" s="223"/>
      <c r="J203" s="223">
        <f>+'Summary - Reserve - PG 2 (Tot)'!I19</f>
        <v>0</v>
      </c>
      <c r="K203" s="223"/>
      <c r="L203" s="223"/>
      <c r="M203" s="223"/>
      <c r="N203" s="223">
        <f>+'Summary - Reserve - PG 2 (Tot)'!M19</f>
        <v>0</v>
      </c>
      <c r="O203" s="223"/>
      <c r="P203" s="223">
        <f>+'Summary - Reserve - PG 2 (Tot)'!O19</f>
        <v>0</v>
      </c>
      <c r="Q203" s="223"/>
      <c r="R203" s="223">
        <f>+'Summary - Reserve - PG 2 (Tot)'!Q19</f>
        <v>0</v>
      </c>
      <c r="S203" s="223"/>
      <c r="T203" s="223">
        <f>+'Summary - Reserve - PG 2 (Tot)'!S19</f>
        <v>0</v>
      </c>
      <c r="U203" s="223"/>
      <c r="V203" s="223">
        <f t="shared" si="67"/>
        <v>-65496616.880000122</v>
      </c>
      <c r="W203" s="223"/>
      <c r="X203" s="221"/>
      <c r="Y203" s="221"/>
      <c r="Z203" s="221"/>
      <c r="AA203" s="221"/>
      <c r="AB203" s="221"/>
    </row>
    <row r="204" spans="1:28" s="220" customFormat="1" outlineLevel="3">
      <c r="A204" s="218"/>
      <c r="C204" s="220" t="s">
        <v>949</v>
      </c>
      <c r="D204" s="223">
        <f>+'Summary - Reserve - PG 2 (Tot)'!C20</f>
        <v>-1402047.92</v>
      </c>
      <c r="E204" s="223"/>
      <c r="F204" s="223">
        <f>+'Summary - Reserve - PG 2 (Tot)'!E20</f>
        <v>-448236.04999999993</v>
      </c>
      <c r="G204" s="223"/>
      <c r="H204" s="223">
        <f>+'Summary - Reserve - PG 2 (Tot)'!G20</f>
        <v>0</v>
      </c>
      <c r="I204" s="223"/>
      <c r="J204" s="223">
        <f>+'Summary - Reserve - PG 2 (Tot)'!I20</f>
        <v>0</v>
      </c>
      <c r="K204" s="223"/>
      <c r="L204" s="223"/>
      <c r="M204" s="223"/>
      <c r="N204" s="223">
        <f>+'Summary - Reserve - PG 2 (Tot)'!M20</f>
        <v>0</v>
      </c>
      <c r="O204" s="223"/>
      <c r="P204" s="223">
        <f>+'Summary - Reserve - PG 2 (Tot)'!O20</f>
        <v>0</v>
      </c>
      <c r="Q204" s="223"/>
      <c r="R204" s="223">
        <f>+'Summary - Reserve - PG 2 (Tot)'!Q20</f>
        <v>0</v>
      </c>
      <c r="S204" s="223"/>
      <c r="T204" s="223">
        <f>+'Summary - Reserve - PG 2 (Tot)'!S20</f>
        <v>0</v>
      </c>
      <c r="U204" s="223"/>
      <c r="V204" s="223">
        <f t="shared" si="67"/>
        <v>-1850283.9699999997</v>
      </c>
      <c r="W204" s="223"/>
      <c r="X204" s="221"/>
      <c r="Y204" s="221"/>
      <c r="Z204" s="221"/>
      <c r="AA204" s="221"/>
      <c r="AB204" s="221"/>
    </row>
    <row r="205" spans="1:28" s="220" customFormat="1" outlineLevel="3">
      <c r="A205" s="218"/>
      <c r="C205" s="220" t="s">
        <v>119</v>
      </c>
      <c r="D205" s="223">
        <f>+'Summary - Reserve - PG 2 (Tot)'!C21</f>
        <v>-4410990.1799999923</v>
      </c>
      <c r="E205" s="223"/>
      <c r="F205" s="223">
        <f>+'Summary - Reserve - PG 2 (Tot)'!E21</f>
        <v>-1131896.19</v>
      </c>
      <c r="G205" s="223"/>
      <c r="H205" s="223">
        <f>+'Summary - Reserve - PG 2 (Tot)'!G21</f>
        <v>456718.33000000007</v>
      </c>
      <c r="I205" s="223"/>
      <c r="J205" s="223">
        <f>+'Summary - Reserve - PG 2 (Tot)'!I21</f>
        <v>0</v>
      </c>
      <c r="K205" s="223"/>
      <c r="L205" s="223"/>
      <c r="M205" s="223"/>
      <c r="N205" s="223">
        <f>+'Summary - Reserve - PG 2 (Tot)'!M21</f>
        <v>0</v>
      </c>
      <c r="O205" s="223"/>
      <c r="P205" s="223">
        <f>+'Summary - Reserve - PG 2 (Tot)'!O21</f>
        <v>0</v>
      </c>
      <c r="Q205" s="223"/>
      <c r="R205" s="223">
        <f>+'Summary - Reserve - PG 2 (Tot)'!Q21</f>
        <v>0</v>
      </c>
      <c r="S205" s="223"/>
      <c r="T205" s="223">
        <f>+'Summary - Reserve - PG 2 (Tot)'!S21</f>
        <v>0</v>
      </c>
      <c r="U205" s="223"/>
      <c r="V205" s="223">
        <f t="shared" si="67"/>
        <v>-5086168.0399999917</v>
      </c>
      <c r="W205" s="223"/>
      <c r="X205" s="221"/>
      <c r="Y205" s="221"/>
      <c r="Z205" s="221"/>
      <c r="AA205" s="221"/>
      <c r="AB205" s="221"/>
    </row>
    <row r="206" spans="1:28" s="220" customFormat="1" outlineLevel="3">
      <c r="A206" s="218"/>
      <c r="C206" s="220" t="s">
        <v>950</v>
      </c>
      <c r="D206" s="223">
        <f>+'Summary - Reserve - PG 2 (Tot)'!C22</f>
        <v>-903.27999999999975</v>
      </c>
      <c r="E206" s="223"/>
      <c r="F206" s="223">
        <f>+'Summary - Reserve - PG 2 (Tot)'!E22</f>
        <v>-2038.83</v>
      </c>
      <c r="G206" s="223"/>
      <c r="H206" s="223">
        <f>+'Summary - Reserve - PG 2 (Tot)'!G22</f>
        <v>0</v>
      </c>
      <c r="I206" s="223"/>
      <c r="J206" s="223">
        <f>+'Summary - Reserve - PG 2 (Tot)'!I22</f>
        <v>0</v>
      </c>
      <c r="K206" s="223"/>
      <c r="L206" s="223"/>
      <c r="M206" s="223"/>
      <c r="N206" s="223">
        <f>+'Summary - Reserve - PG 2 (Tot)'!M22</f>
        <v>0</v>
      </c>
      <c r="O206" s="223"/>
      <c r="P206" s="223">
        <f>+'Summary - Reserve - PG 2 (Tot)'!O22</f>
        <v>0</v>
      </c>
      <c r="Q206" s="223"/>
      <c r="R206" s="223">
        <f>+'Summary - Reserve - PG 2 (Tot)'!Q22</f>
        <v>0</v>
      </c>
      <c r="S206" s="223"/>
      <c r="T206" s="223">
        <f>+'Summary - Reserve - PG 2 (Tot)'!S22</f>
        <v>0</v>
      </c>
      <c r="U206" s="223"/>
      <c r="V206" s="223">
        <f t="shared" si="67"/>
        <v>-2942.1099999999997</v>
      </c>
      <c r="W206" s="223"/>
      <c r="X206" s="221"/>
      <c r="Y206" s="221"/>
      <c r="Z206" s="221"/>
      <c r="AA206" s="221"/>
      <c r="AB206" s="221"/>
    </row>
    <row r="207" spans="1:28" s="220" customFormat="1" outlineLevel="3">
      <c r="A207" s="218"/>
      <c r="C207" s="220" t="s">
        <v>121</v>
      </c>
      <c r="D207" s="223">
        <f>+'Summary - Reserve - PG 2 (Tot)'!C23</f>
        <v>-8640643.2799999863</v>
      </c>
      <c r="E207" s="223"/>
      <c r="F207" s="223">
        <f>+'Summary - Reserve - PG 2 (Tot)'!E23</f>
        <v>-3045800.2800000003</v>
      </c>
      <c r="G207" s="223"/>
      <c r="H207" s="223">
        <f>+'Summary - Reserve - PG 2 (Tot)'!G23</f>
        <v>9131.720000000003</v>
      </c>
      <c r="I207" s="223"/>
      <c r="J207" s="223">
        <f>+'Summary - Reserve - PG 2 (Tot)'!I23</f>
        <v>1037.44</v>
      </c>
      <c r="K207" s="223"/>
      <c r="L207" s="223"/>
      <c r="M207" s="223"/>
      <c r="N207" s="223">
        <f>+'Summary - Reserve - PG 2 (Tot)'!M23</f>
        <v>0</v>
      </c>
      <c r="O207" s="223"/>
      <c r="P207" s="223">
        <f>+'Summary - Reserve - PG 2 (Tot)'!O23</f>
        <v>0</v>
      </c>
      <c r="Q207" s="223"/>
      <c r="R207" s="223">
        <f>+'Summary - Reserve - PG 2 (Tot)'!Q23</f>
        <v>0</v>
      </c>
      <c r="S207" s="223"/>
      <c r="T207" s="223">
        <f>+'Summary - Reserve - PG 2 (Tot)'!S23</f>
        <v>0</v>
      </c>
      <c r="U207" s="223"/>
      <c r="V207" s="223">
        <f t="shared" si="67"/>
        <v>-11676274.399999987</v>
      </c>
      <c r="W207" s="223"/>
      <c r="X207" s="221"/>
      <c r="Y207" s="221"/>
      <c r="Z207" s="221"/>
      <c r="AA207" s="221"/>
      <c r="AB207" s="221"/>
    </row>
    <row r="208" spans="1:28" s="220" customFormat="1" outlineLevel="3">
      <c r="A208" s="218"/>
      <c r="C208" s="220" t="s">
        <v>951</v>
      </c>
      <c r="D208" s="223">
        <f>+'Summary - Reserve - PG 2 (Tot)'!C24</f>
        <v>-346237.50999999919</v>
      </c>
      <c r="E208" s="223"/>
      <c r="F208" s="223">
        <f>+'Summary - Reserve - PG 2 (Tot)'!E24</f>
        <v>-74185.929999999993</v>
      </c>
      <c r="G208" s="223"/>
      <c r="H208" s="223">
        <f>+'Summary - Reserve - PG 2 (Tot)'!G24</f>
        <v>0</v>
      </c>
      <c r="I208" s="223"/>
      <c r="J208" s="223">
        <f>+'Summary - Reserve - PG 2 (Tot)'!I24</f>
        <v>0</v>
      </c>
      <c r="K208" s="223"/>
      <c r="L208" s="223"/>
      <c r="M208" s="223"/>
      <c r="N208" s="223">
        <f>+'Summary - Reserve - PG 2 (Tot)'!M24</f>
        <v>0</v>
      </c>
      <c r="O208" s="223"/>
      <c r="P208" s="223">
        <f>+'Summary - Reserve - PG 2 (Tot)'!O24</f>
        <v>0</v>
      </c>
      <c r="Q208" s="223"/>
      <c r="R208" s="223">
        <f>+'Summary - Reserve - PG 2 (Tot)'!Q24</f>
        <v>0</v>
      </c>
      <c r="S208" s="223"/>
      <c r="T208" s="223">
        <f>+'Summary - Reserve - PG 2 (Tot)'!S24</f>
        <v>0</v>
      </c>
      <c r="U208" s="223"/>
      <c r="V208" s="223">
        <f t="shared" si="67"/>
        <v>-420423.43999999919</v>
      </c>
      <c r="W208" s="223"/>
      <c r="X208" s="221"/>
      <c r="Y208" s="221"/>
      <c r="Z208" s="221"/>
      <c r="AA208" s="221"/>
      <c r="AB208" s="221"/>
    </row>
    <row r="209" spans="1:28" s="220" customFormat="1" outlineLevel="3">
      <c r="A209" s="218"/>
      <c r="C209" s="220" t="s">
        <v>122</v>
      </c>
      <c r="D209" s="223">
        <f>+'Summary - Reserve - PG 2 (Tot)'!C25</f>
        <v>-329885.63999999966</v>
      </c>
      <c r="E209" s="223"/>
      <c r="F209" s="223">
        <f>+'Summary - Reserve - PG 2 (Tot)'!E25</f>
        <v>-93208.87000000001</v>
      </c>
      <c r="G209" s="223"/>
      <c r="H209" s="223">
        <f>+'Summary - Reserve - PG 2 (Tot)'!G25</f>
        <v>0</v>
      </c>
      <c r="I209" s="223"/>
      <c r="J209" s="223">
        <f>+'Summary - Reserve - PG 2 (Tot)'!I25</f>
        <v>0</v>
      </c>
      <c r="K209" s="223"/>
      <c r="L209" s="223"/>
      <c r="M209" s="223"/>
      <c r="N209" s="223">
        <f>+'Summary - Reserve - PG 2 (Tot)'!M25</f>
        <v>0</v>
      </c>
      <c r="O209" s="223"/>
      <c r="P209" s="223">
        <f>+'Summary - Reserve - PG 2 (Tot)'!O25</f>
        <v>0</v>
      </c>
      <c r="Q209" s="223"/>
      <c r="R209" s="223">
        <f>+'Summary - Reserve - PG 2 (Tot)'!Q25</f>
        <v>0</v>
      </c>
      <c r="S209" s="223"/>
      <c r="T209" s="223">
        <f>+'Summary - Reserve - PG 2 (Tot)'!S25</f>
        <v>0</v>
      </c>
      <c r="U209" s="223"/>
      <c r="V209" s="223">
        <f t="shared" si="67"/>
        <v>-423094.50999999966</v>
      </c>
      <c r="W209" s="223"/>
      <c r="X209" s="221"/>
      <c r="Y209" s="221"/>
      <c r="Z209" s="221"/>
      <c r="AA209" s="221"/>
      <c r="AB209" s="221"/>
    </row>
    <row r="210" spans="1:28" s="220" customFormat="1" outlineLevel="3">
      <c r="A210" s="218"/>
      <c r="C210" s="220" t="s">
        <v>124</v>
      </c>
      <c r="D210" s="223">
        <f>+'Summary - Reserve - PG 2 (Tot)'!C26</f>
        <v>397670.12999999523</v>
      </c>
      <c r="E210" s="223"/>
      <c r="F210" s="223">
        <f>+'Summary - Reserve - PG 2 (Tot)'!E26</f>
        <v>-304911.95999999996</v>
      </c>
      <c r="G210" s="223"/>
      <c r="H210" s="223">
        <f>+'Summary - Reserve - PG 2 (Tot)'!G26</f>
        <v>19463.049999999996</v>
      </c>
      <c r="I210" s="223"/>
      <c r="J210" s="223">
        <f>+'Summary - Reserve - PG 2 (Tot)'!I26</f>
        <v>0</v>
      </c>
      <c r="K210" s="223"/>
      <c r="L210" s="223"/>
      <c r="M210" s="223"/>
      <c r="N210" s="223">
        <f>+'Summary - Reserve - PG 2 (Tot)'!M26</f>
        <v>0</v>
      </c>
      <c r="O210" s="223"/>
      <c r="P210" s="223">
        <f>+'Summary - Reserve - PG 2 (Tot)'!O26</f>
        <v>0</v>
      </c>
      <c r="Q210" s="223"/>
      <c r="R210" s="223">
        <f>+'Summary - Reserve - PG 2 (Tot)'!Q26</f>
        <v>0</v>
      </c>
      <c r="S210" s="223"/>
      <c r="T210" s="223">
        <f>+'Summary - Reserve - PG 2 (Tot)'!S26</f>
        <v>0</v>
      </c>
      <c r="U210" s="223"/>
      <c r="V210" s="223">
        <f t="shared" si="67"/>
        <v>112221.21999999526</v>
      </c>
      <c r="W210" s="223"/>
      <c r="X210" s="221"/>
      <c r="Y210" s="221"/>
      <c r="Z210" s="221"/>
      <c r="AA210" s="221"/>
      <c r="AB210" s="221"/>
    </row>
    <row r="211" spans="1:28" s="220" customFormat="1" outlineLevel="3">
      <c r="A211" s="218"/>
      <c r="C211" s="220" t="s">
        <v>952</v>
      </c>
      <c r="D211" s="223">
        <f>+'Summary - Reserve - PG 2 (Tot)'!C27</f>
        <v>-257551.23999999993</v>
      </c>
      <c r="E211" s="223"/>
      <c r="F211" s="223">
        <f>+'Summary - Reserve - PG 2 (Tot)'!E27</f>
        <v>-55045.34</v>
      </c>
      <c r="G211" s="223"/>
      <c r="H211" s="223">
        <f>+'Summary - Reserve - PG 2 (Tot)'!G27</f>
        <v>0</v>
      </c>
      <c r="I211" s="223"/>
      <c r="J211" s="223">
        <f>+'Summary - Reserve - PG 2 (Tot)'!I27</f>
        <v>0</v>
      </c>
      <c r="K211" s="223"/>
      <c r="L211" s="223"/>
      <c r="M211" s="223"/>
      <c r="N211" s="223">
        <f>+'Summary - Reserve - PG 2 (Tot)'!M27</f>
        <v>0</v>
      </c>
      <c r="O211" s="223"/>
      <c r="P211" s="223">
        <f>+'Summary - Reserve - PG 2 (Tot)'!O27</f>
        <v>0</v>
      </c>
      <c r="Q211" s="223"/>
      <c r="R211" s="223">
        <f>+'Summary - Reserve - PG 2 (Tot)'!Q27</f>
        <v>0</v>
      </c>
      <c r="S211" s="223"/>
      <c r="T211" s="223">
        <f>+'Summary - Reserve - PG 2 (Tot)'!S27</f>
        <v>0</v>
      </c>
      <c r="U211" s="223"/>
      <c r="V211" s="223">
        <f t="shared" si="67"/>
        <v>-312596.57999999996</v>
      </c>
      <c r="W211" s="223"/>
      <c r="X211" s="221"/>
      <c r="Y211" s="221"/>
      <c r="Z211" s="221"/>
      <c r="AA211" s="221"/>
      <c r="AB211" s="221"/>
    </row>
    <row r="212" spans="1:28" s="220" customFormat="1" outlineLevel="3">
      <c r="A212" s="218"/>
      <c r="C212" s="220" t="s">
        <v>129</v>
      </c>
      <c r="D212" s="223">
        <f>+'Summary - Reserve - PG 2 (Tot)'!C28</f>
        <v>0</v>
      </c>
      <c r="E212" s="223"/>
      <c r="F212" s="223">
        <f>+'Summary - Reserve - PG 2 (Tot)'!E28</f>
        <v>0</v>
      </c>
      <c r="G212" s="223"/>
      <c r="H212" s="223">
        <f>+'Summary - Reserve - PG 2 (Tot)'!G28</f>
        <v>0</v>
      </c>
      <c r="I212" s="223"/>
      <c r="J212" s="223">
        <f>+'Summary - Reserve - PG 2 (Tot)'!I28</f>
        <v>0</v>
      </c>
      <c r="K212" s="223"/>
      <c r="L212" s="223"/>
      <c r="M212" s="223"/>
      <c r="N212" s="223">
        <f>+'Summary - Reserve - PG 2 (Tot)'!M28</f>
        <v>0</v>
      </c>
      <c r="O212" s="223"/>
      <c r="P212" s="223">
        <f>+'Summary - Reserve - PG 2 (Tot)'!O28</f>
        <v>0</v>
      </c>
      <c r="Q212" s="223"/>
      <c r="R212" s="223">
        <f>+'Summary - Reserve - PG 2 (Tot)'!Q28</f>
        <v>0</v>
      </c>
      <c r="S212" s="223"/>
      <c r="T212" s="223">
        <f>+'Summary - Reserve - PG 2 (Tot)'!S28</f>
        <v>0</v>
      </c>
      <c r="U212" s="223"/>
      <c r="V212" s="223">
        <f t="shared" si="67"/>
        <v>0</v>
      </c>
      <c r="W212" s="223"/>
      <c r="X212" s="221"/>
      <c r="Y212" s="221"/>
      <c r="Z212" s="221"/>
      <c r="AA212" s="221"/>
      <c r="AB212" s="221"/>
    </row>
    <row r="213" spans="1:28" s="220" customFormat="1" outlineLevel="3">
      <c r="A213" s="218"/>
      <c r="C213" s="220" t="s">
        <v>125</v>
      </c>
      <c r="D213" s="223">
        <f>+'Summary - Reserve - PG 2 (Tot)'!C29</f>
        <v>-59742.240000003949</v>
      </c>
      <c r="E213" s="222"/>
      <c r="F213" s="223">
        <f>+'Summary - Reserve - PG 2 (Tot)'!E29</f>
        <v>-15224.29</v>
      </c>
      <c r="G213" s="222"/>
      <c r="H213" s="223">
        <f>+'Summary - Reserve - PG 2 (Tot)'!G29</f>
        <v>691.69</v>
      </c>
      <c r="I213" s="222"/>
      <c r="J213" s="223">
        <f>+'Summary - Reserve - PG 2 (Tot)'!I29</f>
        <v>-1037.44</v>
      </c>
      <c r="K213" s="223"/>
      <c r="L213" s="223"/>
      <c r="M213" s="222"/>
      <c r="N213" s="223">
        <f>+'Summary - Reserve - PG 2 (Tot)'!M29</f>
        <v>0</v>
      </c>
      <c r="O213" s="222"/>
      <c r="P213" s="223">
        <f>+'Summary - Reserve - PG 2 (Tot)'!O29</f>
        <v>0</v>
      </c>
      <c r="Q213" s="222"/>
      <c r="R213" s="223">
        <f>+'Summary - Reserve - PG 2 (Tot)'!Q29</f>
        <v>0</v>
      </c>
      <c r="S213" s="222"/>
      <c r="T213" s="223">
        <f>+'Summary - Reserve - PG 2 (Tot)'!S29</f>
        <v>0</v>
      </c>
      <c r="U213" s="222"/>
      <c r="V213" s="222">
        <f t="shared" si="67"/>
        <v>-75312.280000003957</v>
      </c>
      <c r="W213" s="222"/>
      <c r="X213" s="221"/>
      <c r="Y213" s="221"/>
      <c r="Z213" s="221"/>
      <c r="AA213" s="221"/>
      <c r="AB213" s="221"/>
    </row>
    <row r="214" spans="1:28" s="220" customFormat="1" outlineLevel="3">
      <c r="A214" s="218"/>
      <c r="C214" s="220" t="s">
        <v>125</v>
      </c>
      <c r="D214" s="223">
        <f>+'Summary - Reserve - PG 2 (Tot)'!C30</f>
        <v>-35270.86</v>
      </c>
      <c r="E214" s="222"/>
      <c r="F214" s="223">
        <f>+'Summary - Reserve - PG 2 (Tot)'!E30</f>
        <v>-26453.13</v>
      </c>
      <c r="G214" s="222"/>
      <c r="H214" s="223">
        <f>+'Summary - Reserve - PG 2 (Tot)'!G30</f>
        <v>0</v>
      </c>
      <c r="I214" s="222"/>
      <c r="J214" s="223">
        <f>+'Summary - Reserve - PG 2 (Tot)'!I30</f>
        <v>0</v>
      </c>
      <c r="K214" s="223"/>
      <c r="L214" s="223"/>
      <c r="M214" s="222"/>
      <c r="N214" s="223">
        <f>+'Summary - Reserve - PG 2 (Tot)'!M30</f>
        <v>0</v>
      </c>
      <c r="O214" s="222"/>
      <c r="P214" s="223">
        <f>+'Summary - Reserve - PG 2 (Tot)'!O30</f>
        <v>0</v>
      </c>
      <c r="Q214" s="222"/>
      <c r="R214" s="223">
        <f>+'Summary - Reserve - PG 2 (Tot)'!Q30</f>
        <v>0</v>
      </c>
      <c r="S214" s="222"/>
      <c r="T214" s="223">
        <f>+'Summary - Reserve - PG 2 (Tot)'!S30</f>
        <v>0</v>
      </c>
      <c r="U214" s="222"/>
      <c r="V214" s="222">
        <f t="shared" ref="V214" si="68">T214+R214+P214+N214+J214+H214+F214+D214</f>
        <v>-61723.990000000005</v>
      </c>
      <c r="W214" s="222"/>
      <c r="X214" s="221"/>
      <c r="Y214" s="221"/>
      <c r="Z214" s="221"/>
      <c r="AA214" s="221"/>
      <c r="AB214" s="221"/>
    </row>
    <row r="215" spans="1:28" s="220" customFormat="1" outlineLevel="3">
      <c r="A215" s="218"/>
      <c r="C215" s="220" t="s">
        <v>131</v>
      </c>
      <c r="D215" s="225">
        <f>+'Summary - Reserve - PG 2 (Tot)'!C31</f>
        <v>0</v>
      </c>
      <c r="E215" s="222"/>
      <c r="F215" s="225">
        <f>+'Summary - Reserve - PG 2 (Tot)'!E31</f>
        <v>0</v>
      </c>
      <c r="G215" s="222"/>
      <c r="H215" s="225">
        <f>+'Summary - Reserve - PG 2 (Tot)'!G31</f>
        <v>0</v>
      </c>
      <c r="I215" s="222"/>
      <c r="J215" s="225">
        <f>+'Summary - Reserve - PG 2 (Tot)'!I31</f>
        <v>0</v>
      </c>
      <c r="K215" s="222"/>
      <c r="L215" s="222"/>
      <c r="M215" s="222"/>
      <c r="N215" s="225">
        <f>+'Summary - Reserve - PG 2 (Tot)'!M31</f>
        <v>0</v>
      </c>
      <c r="O215" s="222"/>
      <c r="P215" s="225">
        <f>+'Summary - Reserve - PG 2 (Tot)'!O31</f>
        <v>0</v>
      </c>
      <c r="Q215" s="222"/>
      <c r="R215" s="225">
        <f>+'Summary - Reserve - PG 2 (Tot)'!Q31</f>
        <v>0</v>
      </c>
      <c r="S215" s="222"/>
      <c r="T215" s="225">
        <f>+'Summary - Reserve - PG 2 (Tot)'!S31</f>
        <v>0</v>
      </c>
      <c r="U215" s="222"/>
      <c r="V215" s="225">
        <f t="shared" si="67"/>
        <v>0</v>
      </c>
      <c r="W215" s="222"/>
      <c r="X215" s="221"/>
      <c r="Y215" s="221"/>
      <c r="Z215" s="221"/>
      <c r="AA215" s="221"/>
      <c r="AB215" s="221"/>
    </row>
    <row r="216" spans="1:28" s="220" customFormat="1" outlineLevel="3">
      <c r="A216" s="218"/>
      <c r="C216" s="227"/>
      <c r="D216" s="222">
        <f>SUM(D194:D215)</f>
        <v>-107268083.97000016</v>
      </c>
      <c r="E216" s="222"/>
      <c r="F216" s="222">
        <f>SUM(F194:F215)</f>
        <v>-29514068.910000004</v>
      </c>
      <c r="G216" s="222"/>
      <c r="H216" s="222">
        <f>SUM(H194:H215)</f>
        <v>3398379.4599999995</v>
      </c>
      <c r="I216" s="222"/>
      <c r="J216" s="222">
        <f>SUM(J194:J215)</f>
        <v>-223.55999999999995</v>
      </c>
      <c r="K216" s="222"/>
      <c r="L216" s="222"/>
      <c r="M216" s="222"/>
      <c r="N216" s="222">
        <f>SUM(N194:N215)</f>
        <v>0</v>
      </c>
      <c r="O216" s="222"/>
      <c r="P216" s="222">
        <f>SUM(P194:P215)</f>
        <v>0</v>
      </c>
      <c r="Q216" s="222"/>
      <c r="R216" s="222">
        <f>SUM(R194:R215)</f>
        <v>0</v>
      </c>
      <c r="S216" s="222"/>
      <c r="T216" s="222">
        <f>SUM(T194:T215)</f>
        <v>0</v>
      </c>
      <c r="U216" s="222"/>
      <c r="V216" s="222">
        <f>SUM(V194:V215)</f>
        <v>-133383996.98000015</v>
      </c>
      <c r="W216" s="222"/>
      <c r="X216" s="221"/>
      <c r="Y216" s="221"/>
      <c r="Z216" s="221"/>
      <c r="AA216" s="221"/>
      <c r="AB216" s="221"/>
    </row>
    <row r="217" spans="1:28" s="220" customFormat="1" outlineLevel="3">
      <c r="A217" s="218"/>
      <c r="D217" s="239"/>
      <c r="E217" s="239"/>
      <c r="F217" s="239"/>
      <c r="G217" s="239"/>
      <c r="H217" s="239"/>
      <c r="I217" s="239"/>
      <c r="J217" s="226"/>
      <c r="K217" s="226"/>
      <c r="L217" s="226"/>
      <c r="M217" s="239"/>
      <c r="N217" s="239"/>
      <c r="O217" s="239"/>
      <c r="P217" s="239"/>
      <c r="Q217" s="239"/>
      <c r="R217" s="239"/>
      <c r="S217" s="239"/>
      <c r="T217" s="239"/>
      <c r="U217" s="239"/>
      <c r="V217" s="239"/>
      <c r="W217" s="239"/>
      <c r="X217" s="221"/>
      <c r="Y217" s="221"/>
      <c r="Z217" s="221"/>
      <c r="AA217" s="221"/>
      <c r="AB217" s="221"/>
    </row>
    <row r="218" spans="1:28" s="220" customFormat="1" outlineLevel="3">
      <c r="A218" s="218"/>
      <c r="B218" s="219" t="s">
        <v>658</v>
      </c>
      <c r="D218" s="223"/>
      <c r="E218" s="223"/>
      <c r="F218" s="223"/>
      <c r="G218" s="223"/>
      <c r="H218" s="223"/>
      <c r="I218" s="223"/>
      <c r="J218" s="223"/>
      <c r="K218" s="223"/>
      <c r="L218" s="223"/>
      <c r="M218" s="223"/>
      <c r="N218" s="223"/>
      <c r="O218" s="223"/>
      <c r="P218" s="223"/>
      <c r="Q218" s="223"/>
      <c r="R218" s="223"/>
      <c r="S218" s="223"/>
      <c r="T218" s="223"/>
      <c r="U218" s="223"/>
      <c r="V218" s="223"/>
      <c r="W218" s="223"/>
      <c r="X218" s="221"/>
      <c r="Y218" s="221"/>
      <c r="Z218" s="221"/>
      <c r="AA218" s="221"/>
      <c r="AB218" s="221"/>
    </row>
    <row r="219" spans="1:28" s="220" customFormat="1" outlineLevel="3">
      <c r="A219" s="218"/>
      <c r="C219" s="220" t="s">
        <v>652</v>
      </c>
      <c r="D219" s="223">
        <f>+'Summary - Reserve - PG 2 (Tot)'!C81</f>
        <v>-8803310.8000000045</v>
      </c>
      <c r="E219" s="223"/>
      <c r="F219" s="223">
        <f>+'Summary - Reserve - PG 2 (Tot)'!E81</f>
        <v>-2177175.2999999998</v>
      </c>
      <c r="G219" s="223"/>
      <c r="H219" s="223">
        <f>+'Summary - Reserve - PG 2 (Tot)'!G81</f>
        <v>400877.43000000005</v>
      </c>
      <c r="I219" s="223"/>
      <c r="J219" s="223">
        <f>+'Summary - Reserve - PG 2 (Tot)'!I81</f>
        <v>0</v>
      </c>
      <c r="K219" s="223"/>
      <c r="L219" s="223"/>
      <c r="M219" s="223"/>
      <c r="N219" s="223">
        <f>+'Summary - Reserve - PG 2 (Tot)'!M81</f>
        <v>0</v>
      </c>
      <c r="O219" s="223"/>
      <c r="P219" s="223">
        <f>+'Summary - Reserve - PG 2 (Tot)'!O81</f>
        <v>0</v>
      </c>
      <c r="Q219" s="223"/>
      <c r="R219" s="223">
        <f>+'Summary - Reserve - PG 2 (Tot)'!Q81</f>
        <v>0</v>
      </c>
      <c r="S219" s="223"/>
      <c r="T219" s="223">
        <f>+'Summary - Reserve - PG 2 (Tot)'!S81</f>
        <v>0</v>
      </c>
      <c r="U219" s="223"/>
      <c r="V219" s="223">
        <f>T219+R219+P219+N219+J219+H219+F219+D219</f>
        <v>-10579608.670000004</v>
      </c>
      <c r="W219" s="223"/>
      <c r="X219" s="221"/>
      <c r="Y219" s="221"/>
      <c r="Z219" s="221"/>
      <c r="AA219" s="221"/>
      <c r="AB219" s="221"/>
    </row>
    <row r="220" spans="1:28" s="220" customFormat="1" outlineLevel="3">
      <c r="A220" s="218"/>
      <c r="C220" s="220" t="s">
        <v>112</v>
      </c>
      <c r="D220" s="223">
        <f>+'Summary - Reserve - PG 2 (Tot)'!C82</f>
        <v>0</v>
      </c>
      <c r="E220" s="223"/>
      <c r="F220" s="223">
        <f>+'Summary - Reserve - PG 2 (Tot)'!E82</f>
        <v>0</v>
      </c>
      <c r="G220" s="223"/>
      <c r="H220" s="223">
        <f>+'Summary - Reserve - PG 2 (Tot)'!G82</f>
        <v>0</v>
      </c>
      <c r="I220" s="223"/>
      <c r="J220" s="223">
        <f>+'Summary - Reserve - PG 2 (Tot)'!I82</f>
        <v>0</v>
      </c>
      <c r="K220" s="223"/>
      <c r="L220" s="223"/>
      <c r="M220" s="223"/>
      <c r="N220" s="223">
        <f>+'Summary - Reserve - PG 2 (Tot)'!M82</f>
        <v>0</v>
      </c>
      <c r="O220" s="223"/>
      <c r="P220" s="223">
        <f>+'Summary - Reserve - PG 2 (Tot)'!O82</f>
        <v>0</v>
      </c>
      <c r="Q220" s="223"/>
      <c r="R220" s="223">
        <f>+'Summary - Reserve - PG 2 (Tot)'!Q82</f>
        <v>0</v>
      </c>
      <c r="S220" s="223"/>
      <c r="T220" s="223">
        <f>+'Summary - Reserve - PG 2 (Tot)'!S82</f>
        <v>0</v>
      </c>
      <c r="U220" s="223"/>
      <c r="V220" s="223">
        <f>T220+R220+P220+N220+J220+H220+F220+D220</f>
        <v>0</v>
      </c>
      <c r="W220" s="223"/>
      <c r="X220" s="221"/>
      <c r="Y220" s="221"/>
      <c r="Z220" s="221"/>
      <c r="AA220" s="221"/>
      <c r="AB220" s="221"/>
    </row>
    <row r="221" spans="1:28" s="220" customFormat="1" outlineLevel="3">
      <c r="A221" s="218"/>
      <c r="C221" s="220" t="s">
        <v>120</v>
      </c>
      <c r="D221" s="225">
        <f>+'Summary - Reserve - PG 2 (Tot)'!C83</f>
        <v>119.15999999999997</v>
      </c>
      <c r="E221" s="223"/>
      <c r="F221" s="225">
        <f>+'Summary - Reserve - PG 2 (Tot)'!E83</f>
        <v>0</v>
      </c>
      <c r="G221" s="223"/>
      <c r="H221" s="225">
        <f>+'Summary - Reserve - PG 2 (Tot)'!G83</f>
        <v>0</v>
      </c>
      <c r="I221" s="223"/>
      <c r="J221" s="225">
        <f>+'Summary - Reserve - PG 2 (Tot)'!I83</f>
        <v>0</v>
      </c>
      <c r="K221" s="222"/>
      <c r="L221" s="222"/>
      <c r="M221" s="223"/>
      <c r="N221" s="225">
        <f>+'Summary - Reserve - PG 2 (Tot)'!M83</f>
        <v>0</v>
      </c>
      <c r="O221" s="223"/>
      <c r="P221" s="225">
        <f>+'Summary - Reserve - PG 2 (Tot)'!O83</f>
        <v>0</v>
      </c>
      <c r="Q221" s="223"/>
      <c r="R221" s="225">
        <f>+'Summary - Reserve - PG 2 (Tot)'!Q83</f>
        <v>0</v>
      </c>
      <c r="S221" s="223"/>
      <c r="T221" s="225">
        <f>+'Summary - Reserve - PG 2 (Tot)'!S83</f>
        <v>0</v>
      </c>
      <c r="U221" s="223"/>
      <c r="V221" s="225">
        <f>T221+R221+P221+N221+J221+H221+F221+D221</f>
        <v>119.15999999999997</v>
      </c>
      <c r="W221" s="222"/>
      <c r="X221" s="221"/>
      <c r="Y221" s="221"/>
      <c r="Z221" s="221"/>
      <c r="AA221" s="221"/>
      <c r="AB221" s="221"/>
    </row>
    <row r="222" spans="1:28" s="220" customFormat="1" outlineLevel="3">
      <c r="A222" s="218"/>
      <c r="C222" s="227" t="s">
        <v>659</v>
      </c>
      <c r="D222" s="222">
        <f>SUM(D219:D221)</f>
        <v>-8803191.6400000043</v>
      </c>
      <c r="E222" s="222"/>
      <c r="F222" s="222">
        <f>SUM(F219:F221)</f>
        <v>-2177175.2999999998</v>
      </c>
      <c r="G222" s="222"/>
      <c r="H222" s="222">
        <f>SUM(H219:H221)</f>
        <v>400877.43000000005</v>
      </c>
      <c r="I222" s="222"/>
      <c r="J222" s="222">
        <f>SUM(J219:J221)</f>
        <v>0</v>
      </c>
      <c r="K222" s="222"/>
      <c r="L222" s="222"/>
      <c r="M222" s="222"/>
      <c r="N222" s="222">
        <f>SUM(N219:N221)</f>
        <v>0</v>
      </c>
      <c r="O222" s="222"/>
      <c r="P222" s="222">
        <f>SUM(P219:P221)</f>
        <v>0</v>
      </c>
      <c r="Q222" s="222"/>
      <c r="R222" s="222">
        <f>SUM(R219:R221)</f>
        <v>0</v>
      </c>
      <c r="S222" s="222"/>
      <c r="T222" s="222">
        <f>SUM(T219:T221)</f>
        <v>0</v>
      </c>
      <c r="U222" s="222"/>
      <c r="V222" s="222">
        <f>SUM(V219:V221)</f>
        <v>-10579489.510000004</v>
      </c>
      <c r="W222" s="222"/>
      <c r="X222" s="221"/>
      <c r="Y222" s="221"/>
      <c r="Z222" s="221"/>
      <c r="AA222" s="221"/>
      <c r="AB222" s="221"/>
    </row>
    <row r="223" spans="1:28" s="220" customFormat="1" outlineLevel="3">
      <c r="A223" s="218"/>
      <c r="C223" s="227"/>
      <c r="D223" s="222"/>
      <c r="E223" s="222"/>
      <c r="F223" s="222"/>
      <c r="G223" s="222"/>
      <c r="H223" s="222"/>
      <c r="I223" s="222"/>
      <c r="J223" s="222"/>
      <c r="K223" s="222"/>
      <c r="L223" s="222"/>
      <c r="M223" s="222"/>
      <c r="N223" s="222"/>
      <c r="O223" s="222"/>
      <c r="P223" s="222"/>
      <c r="Q223" s="222"/>
      <c r="R223" s="222"/>
      <c r="S223" s="222"/>
      <c r="T223" s="222"/>
      <c r="U223" s="222"/>
      <c r="V223" s="222"/>
      <c r="W223" s="222"/>
      <c r="X223" s="221"/>
      <c r="Y223" s="221"/>
      <c r="Z223" s="221"/>
      <c r="AA223" s="221"/>
      <c r="AB223" s="221"/>
    </row>
    <row r="224" spans="1:28" s="220" customFormat="1" outlineLevel="3">
      <c r="A224" s="220" t="s">
        <v>1143</v>
      </c>
      <c r="B224" s="219" t="s">
        <v>1094</v>
      </c>
    </row>
    <row r="225" spans="1:28" s="220" customFormat="1" outlineLevel="3">
      <c r="C225" s="220" t="s">
        <v>652</v>
      </c>
      <c r="D225" s="223">
        <f>+'RWIP BY ACCOUNT - PG 2A (Tot)'!C17</f>
        <v>0</v>
      </c>
      <c r="F225" s="223">
        <f>+'RWIP BY ACCOUNT - PG 2A (Tot)'!E17</f>
        <v>0</v>
      </c>
      <c r="H225" s="223">
        <f>+'RWIP BY ACCOUNT - PG 2A (Tot)'!G17</f>
        <v>0</v>
      </c>
      <c r="J225" s="223">
        <f>+'RWIP BY ACCOUNT - PG 2A (Tot)'!I17</f>
        <v>0</v>
      </c>
      <c r="K225" s="223"/>
      <c r="L225" s="223"/>
      <c r="N225" s="223">
        <f>+'RWIP BY ACCOUNT - PG 2A (Tot)'!M17</f>
        <v>0</v>
      </c>
      <c r="P225" s="223">
        <f>+'RWIP BY ACCOUNT - PG 2A (Tot)'!O17</f>
        <v>0</v>
      </c>
      <c r="R225" s="223">
        <f>+'RWIP BY ACCOUNT - PG 2A (Tot)'!Q17</f>
        <v>0</v>
      </c>
      <c r="T225" s="223">
        <f>+'RWIP BY ACCOUNT - PG 2A (Tot)'!S17</f>
        <v>0</v>
      </c>
      <c r="V225" s="223">
        <f>+'RWIP BY ACCOUNT - PG 2A (Tot)'!U17</f>
        <v>0</v>
      </c>
      <c r="W225" s="223"/>
    </row>
    <row r="226" spans="1:28" s="220" customFormat="1" outlineLevel="3">
      <c r="C226" s="220" t="s">
        <v>112</v>
      </c>
      <c r="D226" s="223">
        <f>+'RWIP BY ACCOUNT - PG 2A (Tot)'!C18</f>
        <v>0</v>
      </c>
      <c r="F226" s="223">
        <f>+'RWIP BY ACCOUNT - PG 2A (Tot)'!E18</f>
        <v>0</v>
      </c>
      <c r="H226" s="223">
        <f>+'RWIP BY ACCOUNT - PG 2A (Tot)'!G18</f>
        <v>0</v>
      </c>
      <c r="J226" s="223">
        <f>+'RWIP BY ACCOUNT - PG 2A (Tot)'!I18</f>
        <v>0</v>
      </c>
      <c r="K226" s="223"/>
      <c r="L226" s="223"/>
      <c r="N226" s="223">
        <f>+'RWIP BY ACCOUNT - PG 2A (Tot)'!M18</f>
        <v>0</v>
      </c>
      <c r="P226" s="223">
        <f>+'RWIP BY ACCOUNT - PG 2A (Tot)'!O18</f>
        <v>0</v>
      </c>
      <c r="R226" s="223">
        <f>+'RWIP BY ACCOUNT - PG 2A (Tot)'!Q18</f>
        <v>0</v>
      </c>
      <c r="T226" s="223">
        <f>+'RWIP BY ACCOUNT - PG 2A (Tot)'!S18</f>
        <v>0</v>
      </c>
      <c r="V226" s="223">
        <f>+'RWIP BY ACCOUNT - PG 2A (Tot)'!U18</f>
        <v>0</v>
      </c>
      <c r="W226" s="223"/>
    </row>
    <row r="227" spans="1:28" s="220" customFormat="1" outlineLevel="3">
      <c r="C227" s="220" t="s">
        <v>120</v>
      </c>
      <c r="D227" s="223">
        <f>+'RWIP BY ACCOUNT - PG 2A (Tot)'!C19</f>
        <v>0</v>
      </c>
      <c r="F227" s="223">
        <f>+'RWIP BY ACCOUNT - PG 2A (Tot)'!E19</f>
        <v>0</v>
      </c>
      <c r="H227" s="223">
        <f>+'RWIP BY ACCOUNT - PG 2A (Tot)'!G19</f>
        <v>0</v>
      </c>
      <c r="J227" s="223">
        <f>+'RWIP BY ACCOUNT - PG 2A (Tot)'!I19</f>
        <v>0</v>
      </c>
      <c r="K227" s="223"/>
      <c r="L227" s="223"/>
      <c r="N227" s="223">
        <f>+'RWIP BY ACCOUNT - PG 2A (Tot)'!M19</f>
        <v>0</v>
      </c>
      <c r="P227" s="223">
        <f>+'RWIP BY ACCOUNT - PG 2A (Tot)'!O19</f>
        <v>0</v>
      </c>
      <c r="R227" s="223">
        <f>+'RWIP BY ACCOUNT - PG 2A (Tot)'!Q19</f>
        <v>0</v>
      </c>
      <c r="T227" s="223">
        <f>+'RWIP BY ACCOUNT - PG 2A (Tot)'!S19</f>
        <v>0</v>
      </c>
      <c r="V227" s="223">
        <f>+'RWIP BY ACCOUNT - PG 2A (Tot)'!U19</f>
        <v>0</v>
      </c>
      <c r="W227" s="223"/>
    </row>
    <row r="228" spans="1:28" s="220" customFormat="1" outlineLevel="3">
      <c r="D228" s="228">
        <f>SUM(D225:D227)</f>
        <v>0</v>
      </c>
      <c r="F228" s="228">
        <f>SUM(F225:F227)</f>
        <v>0</v>
      </c>
      <c r="H228" s="228">
        <f>SUM(H225:H227)</f>
        <v>0</v>
      </c>
      <c r="J228" s="228">
        <f>SUM(J225:J227)</f>
        <v>0</v>
      </c>
      <c r="K228" s="222"/>
      <c r="L228" s="222"/>
      <c r="N228" s="228">
        <f>SUM(N225:N227)</f>
        <v>0</v>
      </c>
      <c r="P228" s="228">
        <f>SUM(P225:P227)</f>
        <v>0</v>
      </c>
      <c r="R228" s="228">
        <f>SUM(R225:R227)</f>
        <v>0</v>
      </c>
      <c r="T228" s="228">
        <f>SUM(T225:T227)</f>
        <v>0</v>
      </c>
      <c r="V228" s="228">
        <f>SUM(V225:V227)</f>
        <v>0</v>
      </c>
      <c r="W228" s="222"/>
    </row>
    <row r="229" spans="1:28" s="220" customFormat="1" outlineLevel="3">
      <c r="A229" s="218"/>
      <c r="B229" s="219" t="s">
        <v>1125</v>
      </c>
      <c r="C229" s="227"/>
      <c r="D229" s="222"/>
      <c r="E229" s="222"/>
      <c r="F229" s="222"/>
      <c r="G229" s="222"/>
      <c r="H229" s="222"/>
      <c r="I229" s="222"/>
      <c r="J229" s="222"/>
      <c r="K229" s="222"/>
      <c r="L229" s="222"/>
      <c r="M229" s="222"/>
      <c r="N229" s="222"/>
      <c r="O229" s="222"/>
      <c r="P229" s="222"/>
      <c r="Q229" s="222"/>
      <c r="R229" s="222"/>
      <c r="S229" s="222"/>
      <c r="T229" s="222"/>
      <c r="U229" s="222"/>
      <c r="V229" s="222"/>
      <c r="W229" s="222"/>
      <c r="X229" s="221"/>
      <c r="Y229" s="221"/>
      <c r="Z229" s="221"/>
      <c r="AA229" s="221"/>
      <c r="AB229" s="221"/>
    </row>
    <row r="230" spans="1:28" s="220" customFormat="1" outlineLevel="3">
      <c r="A230" s="218"/>
      <c r="C230" s="227"/>
      <c r="D230" s="222"/>
      <c r="E230" s="222"/>
      <c r="F230" s="222"/>
      <c r="G230" s="222"/>
      <c r="H230" s="222"/>
      <c r="I230" s="222"/>
      <c r="J230" s="222"/>
      <c r="K230" s="222"/>
      <c r="L230" s="222"/>
      <c r="M230" s="222"/>
      <c r="N230" s="222"/>
      <c r="O230" s="222"/>
      <c r="P230" s="222"/>
      <c r="Q230" s="222"/>
      <c r="R230" s="222"/>
      <c r="S230" s="222"/>
      <c r="T230" s="222"/>
      <c r="U230" s="222"/>
      <c r="V230" s="222"/>
      <c r="W230" s="222"/>
      <c r="X230" s="221"/>
      <c r="Y230" s="221"/>
      <c r="Z230" s="221"/>
      <c r="AA230" s="221"/>
      <c r="AB230" s="221"/>
    </row>
    <row r="231" spans="1:28" s="220" customFormat="1" outlineLevel="3">
      <c r="A231" s="229" t="s">
        <v>1133</v>
      </c>
      <c r="B231" s="219"/>
      <c r="C231" s="219" t="s">
        <v>1140</v>
      </c>
      <c r="D231" s="223">
        <f>+D176+0.04</f>
        <v>-355869.92000000033</v>
      </c>
      <c r="E231" s="234"/>
      <c r="F231" s="223">
        <f>+F176</f>
        <v>-76274.33</v>
      </c>
      <c r="G231" s="234"/>
      <c r="H231" s="223">
        <f>+H176</f>
        <v>0</v>
      </c>
      <c r="I231" s="234"/>
      <c r="J231" s="223">
        <v>0</v>
      </c>
      <c r="K231" s="223"/>
      <c r="L231" s="223"/>
      <c r="M231" s="234"/>
      <c r="N231" s="223">
        <f>+N176</f>
        <v>0</v>
      </c>
      <c r="O231" s="234"/>
      <c r="P231" s="223">
        <f>+P176</f>
        <v>0</v>
      </c>
      <c r="Q231" s="234"/>
      <c r="R231" s="223">
        <f>+R176</f>
        <v>0</v>
      </c>
      <c r="S231" s="234"/>
      <c r="T231" s="223">
        <f>+T176</f>
        <v>0</v>
      </c>
      <c r="U231" s="234"/>
      <c r="V231" s="223">
        <f>+V176</f>
        <v>-432144.25000000035</v>
      </c>
      <c r="W231" s="223"/>
      <c r="X231" s="221"/>
      <c r="Y231" s="221"/>
      <c r="Z231" s="221"/>
      <c r="AA231" s="221"/>
      <c r="AB231" s="221"/>
    </row>
    <row r="232" spans="1:28" s="220" customFormat="1" outlineLevel="3">
      <c r="A232" s="229" t="s">
        <v>1128</v>
      </c>
      <c r="B232" s="219"/>
      <c r="C232" s="219" t="s">
        <v>1129</v>
      </c>
      <c r="D232" s="223">
        <f t="shared" ref="D232:F239" si="69">+D177</f>
        <v>0</v>
      </c>
      <c r="E232" s="234"/>
      <c r="F232" s="223">
        <f t="shared" si="69"/>
        <v>0</v>
      </c>
      <c r="G232" s="234"/>
      <c r="H232" s="223">
        <f t="shared" ref="H232:H239" si="70">+H177</f>
        <v>0</v>
      </c>
      <c r="I232" s="234"/>
      <c r="J232" s="223">
        <f t="shared" ref="J232:J239" si="71">+J177</f>
        <v>0</v>
      </c>
      <c r="K232" s="223"/>
      <c r="L232" s="223"/>
      <c r="M232" s="234"/>
      <c r="N232" s="223">
        <f t="shared" ref="N232:N239" si="72">+N177</f>
        <v>0</v>
      </c>
      <c r="O232" s="234"/>
      <c r="P232" s="223">
        <f t="shared" ref="P232:P239" si="73">+P177</f>
        <v>0</v>
      </c>
      <c r="Q232" s="234"/>
      <c r="R232" s="223">
        <f t="shared" ref="R232:R239" si="74">+R177</f>
        <v>0</v>
      </c>
      <c r="S232" s="234"/>
      <c r="T232" s="223">
        <f t="shared" ref="T232:T239" si="75">+T177</f>
        <v>0</v>
      </c>
      <c r="U232" s="234"/>
      <c r="V232" s="223">
        <f t="shared" ref="V232:V239" si="76">+V177</f>
        <v>0</v>
      </c>
      <c r="W232" s="223"/>
      <c r="X232" s="221"/>
      <c r="Y232" s="221"/>
      <c r="Z232" s="221"/>
      <c r="AA232" s="221"/>
      <c r="AB232" s="221"/>
    </row>
    <row r="233" spans="1:28" s="220" customFormat="1" outlineLevel="3">
      <c r="A233" s="229" t="s">
        <v>1130</v>
      </c>
      <c r="B233" s="219"/>
      <c r="C233" s="219" t="s">
        <v>1129</v>
      </c>
      <c r="D233" s="223">
        <f t="shared" si="69"/>
        <v>-34.580000000001746</v>
      </c>
      <c r="E233" s="234"/>
      <c r="F233" s="223">
        <f t="shared" si="69"/>
        <v>-7.41</v>
      </c>
      <c r="G233" s="234"/>
      <c r="H233" s="223">
        <f t="shared" si="70"/>
        <v>0</v>
      </c>
      <c r="I233" s="234"/>
      <c r="J233" s="223">
        <f t="shared" si="71"/>
        <v>0</v>
      </c>
      <c r="K233" s="223"/>
      <c r="L233" s="223"/>
      <c r="M233" s="234"/>
      <c r="N233" s="223">
        <f t="shared" si="72"/>
        <v>0</v>
      </c>
      <c r="O233" s="234"/>
      <c r="P233" s="223">
        <f t="shared" si="73"/>
        <v>0</v>
      </c>
      <c r="Q233" s="234"/>
      <c r="R233" s="223">
        <f t="shared" si="74"/>
        <v>0</v>
      </c>
      <c r="S233" s="234"/>
      <c r="T233" s="223">
        <f t="shared" si="75"/>
        <v>0</v>
      </c>
      <c r="U233" s="234"/>
      <c r="V233" s="223">
        <f t="shared" si="76"/>
        <v>-41.990000000001743</v>
      </c>
      <c r="W233" s="223"/>
      <c r="X233" s="221"/>
      <c r="Y233" s="221"/>
      <c r="Z233" s="221"/>
      <c r="AA233" s="221"/>
      <c r="AB233" s="221"/>
    </row>
    <row r="234" spans="1:28" s="220" customFormat="1" outlineLevel="3">
      <c r="A234" s="229" t="s">
        <v>1131</v>
      </c>
      <c r="B234" s="219"/>
      <c r="C234" s="219" t="s">
        <v>1129</v>
      </c>
      <c r="D234" s="223">
        <f t="shared" si="69"/>
        <v>0</v>
      </c>
      <c r="E234" s="234"/>
      <c r="F234" s="223">
        <f t="shared" si="69"/>
        <v>0</v>
      </c>
      <c r="G234" s="234"/>
      <c r="H234" s="223">
        <f t="shared" si="70"/>
        <v>0</v>
      </c>
      <c r="I234" s="234"/>
      <c r="J234" s="223">
        <f t="shared" si="71"/>
        <v>0</v>
      </c>
      <c r="K234" s="223"/>
      <c r="L234" s="223"/>
      <c r="M234" s="234"/>
      <c r="N234" s="223">
        <f t="shared" si="72"/>
        <v>0</v>
      </c>
      <c r="O234" s="234"/>
      <c r="P234" s="223">
        <f t="shared" si="73"/>
        <v>0</v>
      </c>
      <c r="Q234" s="234"/>
      <c r="R234" s="223">
        <f t="shared" si="74"/>
        <v>0</v>
      </c>
      <c r="S234" s="234"/>
      <c r="T234" s="223">
        <f t="shared" si="75"/>
        <v>0</v>
      </c>
      <c r="U234" s="234"/>
      <c r="V234" s="223">
        <f t="shared" si="76"/>
        <v>0</v>
      </c>
      <c r="W234" s="223"/>
      <c r="X234" s="221"/>
      <c r="Y234" s="221"/>
      <c r="Z234" s="221"/>
      <c r="AA234" s="221"/>
      <c r="AB234" s="221"/>
    </row>
    <row r="235" spans="1:28" s="220" customFormat="1" outlineLevel="3">
      <c r="A235" s="229" t="s">
        <v>1132</v>
      </c>
      <c r="B235" s="219"/>
      <c r="C235" s="219" t="s">
        <v>1129</v>
      </c>
      <c r="D235" s="223">
        <f t="shared" si="69"/>
        <v>-695.09999999997672</v>
      </c>
      <c r="E235" s="234"/>
      <c r="F235" s="223">
        <f t="shared" si="69"/>
        <v>-148.94999999999999</v>
      </c>
      <c r="G235" s="234"/>
      <c r="H235" s="223">
        <f t="shared" si="70"/>
        <v>0</v>
      </c>
      <c r="I235" s="234"/>
      <c r="J235" s="223">
        <f t="shared" si="71"/>
        <v>0</v>
      </c>
      <c r="K235" s="223"/>
      <c r="L235" s="223"/>
      <c r="M235" s="234"/>
      <c r="N235" s="223">
        <f t="shared" si="72"/>
        <v>0</v>
      </c>
      <c r="O235" s="234"/>
      <c r="P235" s="223">
        <f t="shared" si="73"/>
        <v>0</v>
      </c>
      <c r="Q235" s="234"/>
      <c r="R235" s="223">
        <f t="shared" si="74"/>
        <v>0</v>
      </c>
      <c r="S235" s="234"/>
      <c r="T235" s="223">
        <f t="shared" si="75"/>
        <v>0</v>
      </c>
      <c r="U235" s="234"/>
      <c r="V235" s="223">
        <f t="shared" si="76"/>
        <v>-844.04999999997676</v>
      </c>
      <c r="W235" s="223"/>
      <c r="X235" s="221"/>
      <c r="Y235" s="221"/>
      <c r="Z235" s="221"/>
      <c r="AA235" s="221"/>
      <c r="AB235" s="221"/>
    </row>
    <row r="236" spans="1:28" s="220" customFormat="1" outlineLevel="3">
      <c r="A236" s="229" t="s">
        <v>1126</v>
      </c>
      <c r="B236" s="219"/>
      <c r="C236" s="219" t="s">
        <v>1127</v>
      </c>
      <c r="D236" s="223">
        <f t="shared" si="69"/>
        <v>-6955.4799999999959</v>
      </c>
      <c r="E236" s="234"/>
      <c r="F236" s="223">
        <f t="shared" si="69"/>
        <v>-1490.46</v>
      </c>
      <c r="G236" s="234"/>
      <c r="H236" s="223">
        <f t="shared" si="70"/>
        <v>0</v>
      </c>
      <c r="I236" s="234"/>
      <c r="J236" s="223">
        <f t="shared" si="71"/>
        <v>0</v>
      </c>
      <c r="K236" s="223"/>
      <c r="L236" s="223"/>
      <c r="M236" s="234"/>
      <c r="N236" s="223">
        <f t="shared" si="72"/>
        <v>0</v>
      </c>
      <c r="O236" s="234"/>
      <c r="P236" s="223">
        <f t="shared" si="73"/>
        <v>0</v>
      </c>
      <c r="Q236" s="234"/>
      <c r="R236" s="223">
        <f t="shared" si="74"/>
        <v>0</v>
      </c>
      <c r="S236" s="234"/>
      <c r="T236" s="223">
        <f t="shared" si="75"/>
        <v>0</v>
      </c>
      <c r="U236" s="234"/>
      <c r="V236" s="223">
        <f t="shared" si="76"/>
        <v>-8445.9399999999951</v>
      </c>
      <c r="W236" s="223"/>
      <c r="X236" s="221"/>
      <c r="Y236" s="221"/>
      <c r="Z236" s="221"/>
      <c r="AA236" s="221"/>
      <c r="AB236" s="221"/>
    </row>
    <row r="237" spans="1:28" s="220" customFormat="1" outlineLevel="3">
      <c r="A237" s="229" t="s">
        <v>1135</v>
      </c>
      <c r="B237" s="219"/>
      <c r="C237" s="219" t="s">
        <v>1136</v>
      </c>
      <c r="D237" s="223">
        <f t="shared" si="69"/>
        <v>0</v>
      </c>
      <c r="E237" s="234"/>
      <c r="F237" s="223">
        <f t="shared" si="69"/>
        <v>0</v>
      </c>
      <c r="G237" s="234"/>
      <c r="H237" s="223">
        <f t="shared" si="70"/>
        <v>0</v>
      </c>
      <c r="I237" s="234"/>
      <c r="J237" s="223">
        <f t="shared" si="71"/>
        <v>0</v>
      </c>
      <c r="K237" s="223"/>
      <c r="L237" s="223"/>
      <c r="M237" s="234"/>
      <c r="N237" s="223">
        <f t="shared" si="72"/>
        <v>0</v>
      </c>
      <c r="O237" s="234"/>
      <c r="P237" s="223">
        <f t="shared" si="73"/>
        <v>0</v>
      </c>
      <c r="Q237" s="234"/>
      <c r="R237" s="223">
        <f t="shared" si="74"/>
        <v>0</v>
      </c>
      <c r="S237" s="234"/>
      <c r="T237" s="223">
        <f t="shared" si="75"/>
        <v>0</v>
      </c>
      <c r="U237" s="234"/>
      <c r="V237" s="223">
        <f t="shared" si="76"/>
        <v>0</v>
      </c>
      <c r="W237" s="223"/>
      <c r="X237" s="221"/>
      <c r="Y237" s="221"/>
      <c r="Z237" s="221"/>
      <c r="AA237" s="221"/>
      <c r="AB237" s="221"/>
    </row>
    <row r="238" spans="1:28" s="220" customFormat="1" outlineLevel="3">
      <c r="A238" s="229" t="s">
        <v>1135</v>
      </c>
      <c r="B238" s="219"/>
      <c r="C238" s="219" t="s">
        <v>1137</v>
      </c>
      <c r="D238" s="223">
        <f t="shared" si="69"/>
        <v>0</v>
      </c>
      <c r="E238" s="234"/>
      <c r="F238" s="223">
        <f t="shared" si="69"/>
        <v>0</v>
      </c>
      <c r="G238" s="234"/>
      <c r="H238" s="223">
        <f t="shared" si="70"/>
        <v>0</v>
      </c>
      <c r="I238" s="234"/>
      <c r="J238" s="223">
        <f t="shared" si="71"/>
        <v>0</v>
      </c>
      <c r="K238" s="223"/>
      <c r="L238" s="223"/>
      <c r="M238" s="234"/>
      <c r="N238" s="223">
        <f t="shared" si="72"/>
        <v>0</v>
      </c>
      <c r="O238" s="234"/>
      <c r="P238" s="223">
        <f t="shared" si="73"/>
        <v>0</v>
      </c>
      <c r="Q238" s="234"/>
      <c r="R238" s="223">
        <f t="shared" si="74"/>
        <v>0</v>
      </c>
      <c r="S238" s="234"/>
      <c r="T238" s="223">
        <f t="shared" si="75"/>
        <v>0</v>
      </c>
      <c r="U238" s="234"/>
      <c r="V238" s="223">
        <f t="shared" si="76"/>
        <v>0</v>
      </c>
      <c r="W238" s="223"/>
      <c r="X238" s="221"/>
      <c r="Y238" s="221"/>
      <c r="Z238" s="221"/>
      <c r="AA238" s="221"/>
      <c r="AB238" s="221"/>
    </row>
    <row r="239" spans="1:28" s="220" customFormat="1" outlineLevel="3">
      <c r="A239" s="229" t="s">
        <v>1135</v>
      </c>
      <c r="B239" s="219"/>
      <c r="C239" s="219" t="s">
        <v>1138</v>
      </c>
      <c r="D239" s="223">
        <f t="shared" si="69"/>
        <v>119.15999999999997</v>
      </c>
      <c r="E239" s="234"/>
      <c r="F239" s="223">
        <f t="shared" si="69"/>
        <v>0</v>
      </c>
      <c r="G239" s="234"/>
      <c r="H239" s="223">
        <f t="shared" si="70"/>
        <v>0</v>
      </c>
      <c r="I239" s="234"/>
      <c r="J239" s="223">
        <f t="shared" si="71"/>
        <v>0</v>
      </c>
      <c r="K239" s="223"/>
      <c r="L239" s="223"/>
      <c r="M239" s="234"/>
      <c r="N239" s="223">
        <f t="shared" si="72"/>
        <v>0</v>
      </c>
      <c r="O239" s="234"/>
      <c r="P239" s="223">
        <f t="shared" si="73"/>
        <v>0</v>
      </c>
      <c r="Q239" s="234"/>
      <c r="R239" s="223">
        <f t="shared" si="74"/>
        <v>0</v>
      </c>
      <c r="S239" s="234"/>
      <c r="T239" s="223">
        <f t="shared" si="75"/>
        <v>0</v>
      </c>
      <c r="U239" s="234"/>
      <c r="V239" s="223">
        <f t="shared" si="76"/>
        <v>119.15999999999997</v>
      </c>
      <c r="W239" s="223"/>
      <c r="X239" s="221"/>
      <c r="Y239" s="221"/>
      <c r="Z239" s="221"/>
      <c r="AA239" s="221"/>
      <c r="AB239" s="221"/>
    </row>
    <row r="240" spans="1:28" s="220" customFormat="1" outlineLevel="3">
      <c r="A240" s="218"/>
      <c r="B240" s="219"/>
      <c r="C240" s="220" t="s">
        <v>1141</v>
      </c>
      <c r="D240" s="228">
        <f>SUM(D231:D239)</f>
        <v>-363435.92000000033</v>
      </c>
      <c r="E240" s="223"/>
      <c r="F240" s="228">
        <f>SUM(F231:F239)</f>
        <v>-77921.150000000009</v>
      </c>
      <c r="G240" s="223"/>
      <c r="H240" s="228">
        <f>SUM(H231:H239)</f>
        <v>0</v>
      </c>
      <c r="I240" s="223"/>
      <c r="J240" s="228">
        <f>SUM(J231:J239)</f>
        <v>0</v>
      </c>
      <c r="K240" s="222"/>
      <c r="L240" s="222"/>
      <c r="M240" s="223"/>
      <c r="N240" s="228">
        <f>SUM(N231:N239)</f>
        <v>0</v>
      </c>
      <c r="O240" s="222"/>
      <c r="P240" s="228">
        <f>SUM(P231:P239)</f>
        <v>0</v>
      </c>
      <c r="Q240" s="222"/>
      <c r="R240" s="228">
        <f>SUM(R231:R239)</f>
        <v>0</v>
      </c>
      <c r="S240" s="222"/>
      <c r="T240" s="228">
        <f>SUM(T231:T239)</f>
        <v>0</v>
      </c>
      <c r="U240" s="223"/>
      <c r="V240" s="228">
        <f>SUM(V231:V239)</f>
        <v>-441357.07000000036</v>
      </c>
      <c r="W240" s="222"/>
      <c r="X240" s="221"/>
      <c r="Y240" s="221"/>
      <c r="Z240" s="221"/>
      <c r="AA240" s="221"/>
      <c r="AB240" s="221"/>
    </row>
    <row r="241" spans="1:46" s="220" customFormat="1" outlineLevel="3">
      <c r="A241" s="218"/>
      <c r="B241" s="219"/>
      <c r="D241" s="222"/>
      <c r="E241" s="223"/>
      <c r="F241" s="222"/>
      <c r="G241" s="223"/>
      <c r="H241" s="222"/>
      <c r="I241" s="223"/>
      <c r="J241" s="222"/>
      <c r="K241" s="222"/>
      <c r="L241" s="222"/>
      <c r="M241" s="223"/>
      <c r="N241" s="222"/>
      <c r="O241" s="222"/>
      <c r="P241" s="222"/>
      <c r="Q241" s="222"/>
      <c r="R241" s="222"/>
      <c r="S241" s="222"/>
      <c r="T241" s="222"/>
      <c r="U241" s="223"/>
      <c r="V241" s="222"/>
      <c r="W241" s="222"/>
      <c r="X241" s="221"/>
      <c r="Y241" s="221"/>
      <c r="Z241" s="221"/>
      <c r="AA241" s="221"/>
      <c r="AB241" s="221"/>
    </row>
    <row r="242" spans="1:46" s="220" customFormat="1" outlineLevel="3">
      <c r="A242" s="218"/>
      <c r="B242" s="219"/>
      <c r="D242" s="222"/>
      <c r="E242" s="223"/>
      <c r="F242" s="222"/>
      <c r="G242" s="223"/>
      <c r="H242" s="222"/>
      <c r="I242" s="223"/>
      <c r="J242" s="222"/>
      <c r="K242" s="222"/>
      <c r="L242" s="222"/>
      <c r="M242" s="223"/>
      <c r="N242" s="222"/>
      <c r="O242" s="222"/>
      <c r="P242" s="222"/>
      <c r="Q242" s="222"/>
      <c r="R242" s="222"/>
      <c r="S242" s="222"/>
      <c r="T242" s="222"/>
      <c r="U242" s="223"/>
      <c r="V242" s="222"/>
      <c r="W242" s="222"/>
      <c r="X242" s="221"/>
      <c r="Y242" s="221"/>
      <c r="Z242" s="221"/>
      <c r="AA242" s="221"/>
      <c r="AB242" s="221"/>
    </row>
    <row r="243" spans="1:46" s="220" customFormat="1" outlineLevel="3">
      <c r="A243" s="218"/>
      <c r="B243" s="219"/>
      <c r="D243" s="222"/>
      <c r="E243" s="223"/>
      <c r="F243" s="222"/>
      <c r="G243" s="223"/>
      <c r="H243" s="222"/>
      <c r="I243" s="223"/>
      <c r="J243" s="222"/>
      <c r="K243" s="222"/>
      <c r="L243" s="222"/>
      <c r="M243" s="223"/>
      <c r="N243" s="222"/>
      <c r="O243" s="222"/>
      <c r="P243" s="222"/>
      <c r="Q243" s="222"/>
      <c r="R243" s="222"/>
      <c r="S243" s="222"/>
      <c r="T243" s="222"/>
      <c r="U243" s="223"/>
      <c r="V243" s="222"/>
      <c r="W243" s="222"/>
      <c r="X243" s="221"/>
      <c r="Y243" s="221"/>
      <c r="Z243" s="221"/>
      <c r="AA243" s="221"/>
      <c r="AB243" s="221"/>
    </row>
    <row r="244" spans="1:46" outlineLevel="3">
      <c r="B244" s="184"/>
      <c r="C244" s="11"/>
      <c r="D244" s="188"/>
      <c r="E244" s="181"/>
      <c r="F244" s="188"/>
      <c r="G244" s="181"/>
      <c r="H244" s="188"/>
      <c r="I244" s="181"/>
      <c r="J244" s="188"/>
      <c r="K244" s="188"/>
      <c r="L244" s="188"/>
      <c r="M244" s="181"/>
      <c r="N244" s="188"/>
      <c r="O244" s="181"/>
      <c r="P244" s="188"/>
      <c r="Q244" s="181"/>
      <c r="R244" s="188"/>
      <c r="S244" s="181"/>
      <c r="T244" s="188"/>
      <c r="U244" s="181"/>
      <c r="V244" s="188"/>
      <c r="W244" s="188"/>
    </row>
    <row r="245" spans="1:46" outlineLevel="1">
      <c r="B245" s="231" t="s">
        <v>1121</v>
      </c>
      <c r="D245" s="233">
        <f>+D216+D222-D240+D228</f>
        <v>-115707839.69000016</v>
      </c>
      <c r="E245" s="233"/>
      <c r="F245" s="233">
        <f>+F216+F222-F240+F228</f>
        <v>-31613323.060000006</v>
      </c>
      <c r="G245" s="233"/>
      <c r="H245" s="233">
        <f>+H216+H222-H240+H228</f>
        <v>3799256.8899999997</v>
      </c>
      <c r="I245" s="233"/>
      <c r="J245" s="233">
        <f>+J216+J222-J240+J228</f>
        <v>-223.55999999999995</v>
      </c>
      <c r="K245" s="233"/>
      <c r="L245" s="233"/>
      <c r="M245" s="233"/>
      <c r="N245" s="233">
        <f>+N216+N222-N240+N228</f>
        <v>0</v>
      </c>
      <c r="O245" s="233"/>
      <c r="P245" s="233">
        <f>+P216+P222-P240+P228</f>
        <v>0</v>
      </c>
      <c r="Q245" s="233"/>
      <c r="R245" s="233">
        <f>+R216+R222-R240+R228</f>
        <v>0</v>
      </c>
      <c r="S245" s="233"/>
      <c r="T245" s="233">
        <f>+T216+T222-T240+T228</f>
        <v>0</v>
      </c>
      <c r="U245" s="233"/>
      <c r="V245" s="233">
        <f>+V216+V222+V228-V240</f>
        <v>-143522129.42000017</v>
      </c>
      <c r="W245" s="233"/>
      <c r="X245" s="242">
        <f>+F245-Z245-AO245-Y245</f>
        <v>-30846817.990000006</v>
      </c>
      <c r="Y245" s="242">
        <f>+'Summary - Reserve - PG 2 (PA)'!E32</f>
        <v>0</v>
      </c>
      <c r="Z245" s="242">
        <f>-209773.17+223.56-197151.21-203350.15</f>
        <v>-610050.97</v>
      </c>
      <c r="AA245" s="242"/>
      <c r="AB245" s="242"/>
      <c r="AE245" s="243">
        <f>+H245-AF245</f>
        <v>6746260.6699999999</v>
      </c>
      <c r="AF245" s="243">
        <f>+'Summary - Reserve - PG 2 (PA)'!G87</f>
        <v>-2947003.78</v>
      </c>
      <c r="AG245" s="243"/>
      <c r="AH245" s="243"/>
      <c r="AI245" s="243"/>
      <c r="AJ245" s="243">
        <v>0</v>
      </c>
      <c r="AK245" s="243"/>
      <c r="AL245" s="243"/>
      <c r="AM245" s="243"/>
      <c r="AN245" s="243">
        <f>+J245-J228-AG245-AL245-AM245-AJ245</f>
        <v>-223.55999999999995</v>
      </c>
      <c r="AO245" s="242">
        <f>+'Recon Depr Exp to IS P4 (Fin)'!E21+'Recon Depr Exp to IS P4 (Fin)'!E30-'Recon Depr Exp to IS P4 (Fin)'!G21-'Recon Depr Exp to IS P4 (Fin)'!I21-'Recon Depr Exp to IS P4 (Fin)'!K19-'Recon Depr Exp to IS P4 (Fin)'!M29-'Recon Depr Exp to IS P4 (Fin)'!M16-'Recon Depr Exp to IS P4 (Fin)'!M10</f>
        <v>-156454.1</v>
      </c>
      <c r="AP245" s="211">
        <f>+P245+R245+T245</f>
        <v>0</v>
      </c>
      <c r="AS245" s="211">
        <f>SUM(X245:AQ245)</f>
        <v>-27814289.730000008</v>
      </c>
      <c r="AT245" s="211">
        <f>+V245-D245-AS245</f>
        <v>0</v>
      </c>
    </row>
    <row r="246" spans="1:46" outlineLevel="1">
      <c r="B246" s="184"/>
      <c r="C246" s="11"/>
      <c r="D246" s="188">
        <f>+D245-D12</f>
        <v>-1.6391277313232422E-7</v>
      </c>
      <c r="E246" s="181"/>
      <c r="F246" s="188"/>
      <c r="G246" s="181"/>
      <c r="H246" s="188"/>
      <c r="I246" s="181"/>
      <c r="J246" s="188"/>
      <c r="K246" s="188"/>
      <c r="L246" s="188"/>
      <c r="M246" s="181"/>
      <c r="N246" s="188"/>
      <c r="O246" s="181"/>
      <c r="P246" s="188"/>
      <c r="Q246" s="181"/>
      <c r="R246" s="188"/>
      <c r="S246" s="181"/>
      <c r="T246" s="188"/>
      <c r="U246" s="181"/>
      <c r="V246" s="188">
        <f>+V245-V12</f>
        <v>0</v>
      </c>
      <c r="W246" s="188"/>
      <c r="X246" s="238"/>
      <c r="Y246" s="238"/>
      <c r="Z246" s="238"/>
      <c r="AA246" s="238"/>
      <c r="AB246" s="238"/>
    </row>
    <row r="247" spans="1:46" outlineLevel="1">
      <c r="B247" s="184"/>
      <c r="C247" s="11"/>
      <c r="D247" s="188"/>
      <c r="E247" s="181"/>
      <c r="F247" s="188"/>
      <c r="G247" s="181"/>
      <c r="H247" s="188"/>
      <c r="I247" s="181"/>
      <c r="J247" s="188"/>
      <c r="K247" s="188"/>
      <c r="L247" s="188"/>
      <c r="M247" s="181"/>
      <c r="N247" s="188"/>
      <c r="O247" s="181"/>
      <c r="P247" s="188"/>
      <c r="Q247" s="181"/>
      <c r="R247" s="188"/>
      <c r="S247" s="181"/>
      <c r="T247" s="188"/>
      <c r="U247" s="181"/>
      <c r="V247" s="188">
        <f>+V245-T245-R245-P245-N245-J245-H245-F245-D245</f>
        <v>0</v>
      </c>
      <c r="W247" s="188"/>
    </row>
    <row r="248" spans="1:46" s="220" customFormat="1" ht="15" outlineLevel="3">
      <c r="A248" s="218"/>
      <c r="B248" s="219" t="s">
        <v>653</v>
      </c>
      <c r="D248" s="244"/>
      <c r="E248" s="226"/>
      <c r="F248" s="244"/>
      <c r="G248" s="226"/>
      <c r="H248" s="244"/>
      <c r="I248" s="226"/>
      <c r="J248" s="244"/>
      <c r="K248" s="244"/>
      <c r="L248" s="244"/>
      <c r="M248" s="226"/>
      <c r="N248" s="244"/>
      <c r="O248" s="226"/>
      <c r="P248" s="244"/>
      <c r="Q248" s="226"/>
      <c r="R248" s="244"/>
      <c r="S248" s="226"/>
      <c r="T248" s="244"/>
      <c r="U248" s="226"/>
      <c r="V248" s="244"/>
      <c r="W248" s="244"/>
      <c r="X248" s="221"/>
      <c r="Y248" s="221"/>
      <c r="Z248" s="221"/>
      <c r="AA248" s="221"/>
      <c r="AB248" s="221"/>
    </row>
    <row r="249" spans="1:46" s="220" customFormat="1" outlineLevel="3">
      <c r="A249" s="218"/>
      <c r="C249" s="220" t="s">
        <v>455</v>
      </c>
      <c r="D249" s="222">
        <f>+'Summary - Reserve - PG 2 (Tot)'!C35</f>
        <v>-637762.44000000006</v>
      </c>
      <c r="E249" s="222"/>
      <c r="F249" s="222">
        <f>+'Summary - Reserve - PG 2 (Tot)'!E35</f>
        <v>-72227.920000000013</v>
      </c>
      <c r="G249" s="222"/>
      <c r="H249" s="222">
        <f>+'Summary - Reserve - PG 2 (Tot)'!G35</f>
        <v>0</v>
      </c>
      <c r="I249" s="222"/>
      <c r="J249" s="222">
        <f>+'Summary - Reserve - PG 2 (Tot)'!I35</f>
        <v>0</v>
      </c>
      <c r="K249" s="222"/>
      <c r="L249" s="222"/>
      <c r="M249" s="222"/>
      <c r="N249" s="222">
        <f>+'Summary - Reserve - PG 2 (Tot)'!M35</f>
        <v>0</v>
      </c>
      <c r="O249" s="222"/>
      <c r="P249" s="222">
        <f>+'Summary - Reserve - PG 2 (Tot)'!O35</f>
        <v>16557.84</v>
      </c>
      <c r="Q249" s="222"/>
      <c r="R249" s="222">
        <f>+'Summary - Reserve - PG 2 (Tot)'!Q35</f>
        <v>0</v>
      </c>
      <c r="S249" s="222"/>
      <c r="T249" s="222">
        <f>+'Summary - Reserve - PG 2 (Tot)'!S35</f>
        <v>0</v>
      </c>
      <c r="U249" s="222"/>
      <c r="V249" s="222">
        <f t="shared" ref="V249:V261" si="77">T249+R249+P249+N249+J249+H249+F249+D249</f>
        <v>-693432.52</v>
      </c>
      <c r="W249" s="222"/>
      <c r="X249" s="221"/>
      <c r="Y249" s="221"/>
      <c r="Z249" s="221"/>
      <c r="AA249" s="221"/>
      <c r="AB249" s="221"/>
    </row>
    <row r="250" spans="1:46" s="220" customFormat="1" outlineLevel="3">
      <c r="A250" s="218"/>
      <c r="C250" s="220" t="s">
        <v>113</v>
      </c>
      <c r="D250" s="222">
        <f>+'Summary - Reserve - PG 2 (Tot)'!C36</f>
        <v>-148949763.17000002</v>
      </c>
      <c r="E250" s="222"/>
      <c r="F250" s="222">
        <f>+'Summary - Reserve - PG 2 (Tot)'!E36</f>
        <v>-1805735.27</v>
      </c>
      <c r="G250" s="222"/>
      <c r="H250" s="222">
        <f>+'Summary - Reserve - PG 2 (Tot)'!G36</f>
        <v>0</v>
      </c>
      <c r="I250" s="222"/>
      <c r="J250" s="222">
        <f>+'Summary - Reserve - PG 2 (Tot)'!I36</f>
        <v>0</v>
      </c>
      <c r="K250" s="222"/>
      <c r="L250" s="222"/>
      <c r="M250" s="222"/>
      <c r="N250" s="222">
        <f>+'Summary - Reserve - PG 2 (Tot)'!M36</f>
        <v>0</v>
      </c>
      <c r="O250" s="222"/>
      <c r="P250" s="222">
        <f>+'Summary - Reserve - PG 2 (Tot)'!O36</f>
        <v>2613761.9900000002</v>
      </c>
      <c r="Q250" s="222"/>
      <c r="R250" s="222">
        <f>+'Summary - Reserve - PG 2 (Tot)'!Q36</f>
        <v>0</v>
      </c>
      <c r="S250" s="222"/>
      <c r="T250" s="222">
        <f>+'Summary - Reserve - PG 2 (Tot)'!S36</f>
        <v>0</v>
      </c>
      <c r="U250" s="222"/>
      <c r="V250" s="222">
        <f t="shared" si="77"/>
        <v>-148141736.45000002</v>
      </c>
      <c r="W250" s="222"/>
      <c r="X250" s="221"/>
      <c r="Y250" s="221"/>
      <c r="Z250" s="221"/>
      <c r="AA250" s="221"/>
      <c r="AB250" s="221"/>
    </row>
    <row r="251" spans="1:46" s="220" customFormat="1" outlineLevel="3">
      <c r="A251" s="218"/>
      <c r="C251" s="220" t="s">
        <v>114</v>
      </c>
      <c r="D251" s="222">
        <f>+'Summary - Reserve - PG 2 (Tot)'!C37</f>
        <v>3866.64</v>
      </c>
      <c r="E251" s="222"/>
      <c r="F251" s="222">
        <f>+'Summary - Reserve - PG 2 (Tot)'!E37</f>
        <v>0</v>
      </c>
      <c r="G251" s="222"/>
      <c r="H251" s="222">
        <f>+'Summary - Reserve - PG 2 (Tot)'!G37</f>
        <v>0</v>
      </c>
      <c r="I251" s="222"/>
      <c r="J251" s="222">
        <f>+'Summary - Reserve - PG 2 (Tot)'!I37</f>
        <v>0</v>
      </c>
      <c r="K251" s="222"/>
      <c r="L251" s="222"/>
      <c r="M251" s="222"/>
      <c r="N251" s="222">
        <f>+'Summary - Reserve - PG 2 (Tot)'!M37</f>
        <v>0</v>
      </c>
      <c r="O251" s="222"/>
      <c r="P251" s="222">
        <f>+'Summary - Reserve - PG 2 (Tot)'!O37</f>
        <v>0</v>
      </c>
      <c r="Q251" s="222"/>
      <c r="R251" s="222">
        <f>+'Summary - Reserve - PG 2 (Tot)'!Q37</f>
        <v>0</v>
      </c>
      <c r="S251" s="222"/>
      <c r="T251" s="222">
        <f>+'Summary - Reserve - PG 2 (Tot)'!S37</f>
        <v>0</v>
      </c>
      <c r="U251" s="222"/>
      <c r="V251" s="222">
        <f t="shared" si="77"/>
        <v>3866.64</v>
      </c>
      <c r="W251" s="222"/>
      <c r="X251" s="221"/>
      <c r="Y251" s="221"/>
      <c r="Z251" s="221"/>
      <c r="AA251" s="221"/>
      <c r="AB251" s="221"/>
    </row>
    <row r="252" spans="1:46" s="220" customFormat="1" outlineLevel="3">
      <c r="A252" s="218"/>
      <c r="C252" s="220" t="s">
        <v>115</v>
      </c>
      <c r="D252" s="222">
        <f>+'Summary - Reserve - PG 2 (Tot)'!C38</f>
        <v>732455.1100000001</v>
      </c>
      <c r="E252" s="222"/>
      <c r="F252" s="222">
        <f>+'Summary - Reserve - PG 2 (Tot)'!E38</f>
        <v>-10738.08</v>
      </c>
      <c r="G252" s="222"/>
      <c r="H252" s="222">
        <f>+'Summary - Reserve - PG 2 (Tot)'!G38</f>
        <v>0</v>
      </c>
      <c r="I252" s="222"/>
      <c r="J252" s="222">
        <f>+'Summary - Reserve - PG 2 (Tot)'!I38</f>
        <v>0</v>
      </c>
      <c r="K252" s="222"/>
      <c r="L252" s="222"/>
      <c r="M252" s="222"/>
      <c r="N252" s="222">
        <f>+'Summary - Reserve - PG 2 (Tot)'!M38</f>
        <v>0</v>
      </c>
      <c r="O252" s="222"/>
      <c r="P252" s="222">
        <f>+'Summary - Reserve - PG 2 (Tot)'!O38</f>
        <v>1017.4</v>
      </c>
      <c r="Q252" s="222"/>
      <c r="R252" s="222">
        <f>+'Summary - Reserve - PG 2 (Tot)'!Q38</f>
        <v>0</v>
      </c>
      <c r="S252" s="222"/>
      <c r="T252" s="222">
        <f>+'Summary - Reserve - PG 2 (Tot)'!S38</f>
        <v>0</v>
      </c>
      <c r="U252" s="222"/>
      <c r="V252" s="222">
        <f t="shared" si="77"/>
        <v>722734.43</v>
      </c>
      <c r="W252" s="222"/>
      <c r="X252" s="221"/>
      <c r="Y252" s="221"/>
      <c r="Z252" s="221"/>
      <c r="AA252" s="221"/>
      <c r="AB252" s="221"/>
    </row>
    <row r="253" spans="1:46" s="220" customFormat="1" outlineLevel="3">
      <c r="A253" s="218"/>
      <c r="C253" s="220" t="s">
        <v>117</v>
      </c>
      <c r="D253" s="222">
        <f>+'Summary - Reserve - PG 2 (Tot)'!C39</f>
        <v>-2535958.7100000004</v>
      </c>
      <c r="E253" s="222"/>
      <c r="F253" s="222">
        <f>+'Summary - Reserve - PG 2 (Tot)'!E39</f>
        <v>-89811.36</v>
      </c>
      <c r="G253" s="222"/>
      <c r="H253" s="222">
        <f>+'Summary - Reserve - PG 2 (Tot)'!G39</f>
        <v>0</v>
      </c>
      <c r="I253" s="222"/>
      <c r="J253" s="222">
        <f>+'Summary - Reserve - PG 2 (Tot)'!I39</f>
        <v>0</v>
      </c>
      <c r="K253" s="222"/>
      <c r="L253" s="222"/>
      <c r="M253" s="222"/>
      <c r="N253" s="222">
        <f>+'Summary - Reserve - PG 2 (Tot)'!M39</f>
        <v>0</v>
      </c>
      <c r="O253" s="222"/>
      <c r="P253" s="222">
        <f>+'Summary - Reserve - PG 2 (Tot)'!O39</f>
        <v>170979.16</v>
      </c>
      <c r="Q253" s="222"/>
      <c r="R253" s="222">
        <f>+'Summary - Reserve - PG 2 (Tot)'!Q39</f>
        <v>0</v>
      </c>
      <c r="S253" s="222"/>
      <c r="T253" s="222">
        <f>+'Summary - Reserve - PG 2 (Tot)'!S39</f>
        <v>0</v>
      </c>
      <c r="U253" s="222"/>
      <c r="V253" s="222">
        <f t="shared" si="77"/>
        <v>-2454790.9100000006</v>
      </c>
      <c r="W253" s="222"/>
      <c r="X253" s="221"/>
      <c r="Y253" s="221"/>
      <c r="Z253" s="221"/>
      <c r="AA253" s="221"/>
      <c r="AB253" s="221"/>
    </row>
    <row r="254" spans="1:46" s="220" customFormat="1" outlineLevel="3">
      <c r="A254" s="218"/>
      <c r="C254" s="220" t="s">
        <v>118</v>
      </c>
      <c r="D254" s="222">
        <f>+'Summary - Reserve - PG 2 (Tot)'!C40</f>
        <v>-108291391.5</v>
      </c>
      <c r="E254" s="222"/>
      <c r="F254" s="222">
        <f>+'Summary - Reserve - PG 2 (Tot)'!E40</f>
        <v>-4302848.84</v>
      </c>
      <c r="G254" s="222"/>
      <c r="H254" s="222">
        <f>+'Summary - Reserve - PG 2 (Tot)'!G40</f>
        <v>0</v>
      </c>
      <c r="I254" s="222"/>
      <c r="J254" s="222">
        <f>+'Summary - Reserve - PG 2 (Tot)'!I40</f>
        <v>0</v>
      </c>
      <c r="K254" s="222"/>
      <c r="L254" s="222"/>
      <c r="M254" s="222"/>
      <c r="N254" s="222">
        <f>+'Summary - Reserve - PG 2 (Tot)'!M40</f>
        <v>0</v>
      </c>
      <c r="O254" s="222"/>
      <c r="P254" s="222">
        <f>+'Summary - Reserve - PG 2 (Tot)'!O40</f>
        <v>1387859.46</v>
      </c>
      <c r="Q254" s="222"/>
      <c r="R254" s="222">
        <f>+'Summary - Reserve - PG 2 (Tot)'!Q40</f>
        <v>0</v>
      </c>
      <c r="S254" s="222"/>
      <c r="T254" s="222">
        <f>+'Summary - Reserve - PG 2 (Tot)'!S40</f>
        <v>0</v>
      </c>
      <c r="U254" s="222"/>
      <c r="V254" s="222">
        <f t="shared" si="77"/>
        <v>-111206380.88</v>
      </c>
      <c r="W254" s="222"/>
      <c r="X254" s="221"/>
      <c r="Y254" s="221"/>
      <c r="Z254" s="221"/>
      <c r="AA254" s="221"/>
      <c r="AB254" s="221"/>
    </row>
    <row r="255" spans="1:46" s="220" customFormat="1" outlineLevel="3">
      <c r="A255" s="218"/>
      <c r="C255" s="220" t="s">
        <v>119</v>
      </c>
      <c r="D255" s="222">
        <f>+'Summary - Reserve - PG 2 (Tot)'!C41</f>
        <v>-25759724.870000001</v>
      </c>
      <c r="E255" s="222"/>
      <c r="F255" s="222">
        <f>+'Summary - Reserve - PG 2 (Tot)'!E41</f>
        <v>-362863.86</v>
      </c>
      <c r="G255" s="222"/>
      <c r="H255" s="222">
        <f>+'Summary - Reserve - PG 2 (Tot)'!G41</f>
        <v>0</v>
      </c>
      <c r="I255" s="222"/>
      <c r="J255" s="222">
        <f>+'Summary - Reserve - PG 2 (Tot)'!I41</f>
        <v>0</v>
      </c>
      <c r="K255" s="222"/>
      <c r="L255" s="222"/>
      <c r="M255" s="222"/>
      <c r="N255" s="222">
        <f>+'Summary - Reserve - PG 2 (Tot)'!M41</f>
        <v>0</v>
      </c>
      <c r="O255" s="222"/>
      <c r="P255" s="222">
        <f>+'Summary - Reserve - PG 2 (Tot)'!O41</f>
        <v>404164.79</v>
      </c>
      <c r="Q255" s="222"/>
      <c r="R255" s="222">
        <f>+'Summary - Reserve - PG 2 (Tot)'!Q41</f>
        <v>0</v>
      </c>
      <c r="S255" s="222"/>
      <c r="T255" s="222">
        <f>+'Summary - Reserve - PG 2 (Tot)'!S41</f>
        <v>0</v>
      </c>
      <c r="U255" s="222"/>
      <c r="V255" s="222">
        <f t="shared" si="77"/>
        <v>-25718423.940000001</v>
      </c>
      <c r="W255" s="222"/>
      <c r="X255" s="221"/>
      <c r="Y255" s="221"/>
      <c r="Z255" s="221"/>
      <c r="AA255" s="221"/>
      <c r="AB255" s="221"/>
    </row>
    <row r="256" spans="1:46" s="220" customFormat="1" outlineLevel="3">
      <c r="A256" s="218"/>
      <c r="C256" s="220" t="s">
        <v>121</v>
      </c>
      <c r="D256" s="222">
        <f>+'Summary - Reserve - PG 2 (Tot)'!C42</f>
        <v>-62001399.829999998</v>
      </c>
      <c r="E256" s="222"/>
      <c r="F256" s="222">
        <f>+'Summary - Reserve - PG 2 (Tot)'!E42</f>
        <v>-858648.40999999992</v>
      </c>
      <c r="G256" s="222"/>
      <c r="H256" s="222">
        <f>+'Summary - Reserve - PG 2 (Tot)'!G42</f>
        <v>0</v>
      </c>
      <c r="I256" s="222"/>
      <c r="J256" s="222">
        <f>+'Summary - Reserve - PG 2 (Tot)'!I42</f>
        <v>300.39</v>
      </c>
      <c r="K256" s="222"/>
      <c r="L256" s="222"/>
      <c r="M256" s="222"/>
      <c r="N256" s="222">
        <f>+'Summary - Reserve - PG 2 (Tot)'!M42</f>
        <v>0</v>
      </c>
      <c r="O256" s="222"/>
      <c r="P256" s="222">
        <f>+'Summary - Reserve - PG 2 (Tot)'!O42</f>
        <v>60363.729999999996</v>
      </c>
      <c r="Q256" s="222"/>
      <c r="R256" s="222">
        <f>+'Summary - Reserve - PG 2 (Tot)'!Q42</f>
        <v>0</v>
      </c>
      <c r="S256" s="222"/>
      <c r="T256" s="222">
        <f>+'Summary - Reserve - PG 2 (Tot)'!S42</f>
        <v>0</v>
      </c>
      <c r="U256" s="222"/>
      <c r="V256" s="222">
        <f t="shared" si="77"/>
        <v>-62799384.119999997</v>
      </c>
      <c r="W256" s="222"/>
      <c r="X256" s="221"/>
      <c r="Y256" s="221"/>
      <c r="Z256" s="221"/>
      <c r="AA256" s="221"/>
      <c r="AB256" s="221"/>
    </row>
    <row r="257" spans="1:28" s="220" customFormat="1" outlineLevel="3">
      <c r="A257" s="218"/>
      <c r="C257" s="220" t="s">
        <v>122</v>
      </c>
      <c r="D257" s="222">
        <f>+'Summary - Reserve - PG 2 (Tot)'!C43</f>
        <v>-0.02</v>
      </c>
      <c r="E257" s="222"/>
      <c r="F257" s="222">
        <f>+'Summary - Reserve - PG 2 (Tot)'!E43</f>
        <v>0</v>
      </c>
      <c r="G257" s="222"/>
      <c r="H257" s="222">
        <f>+'Summary - Reserve - PG 2 (Tot)'!G43</f>
        <v>0</v>
      </c>
      <c r="I257" s="222"/>
      <c r="J257" s="222">
        <f>+'Summary - Reserve - PG 2 (Tot)'!I43</f>
        <v>0</v>
      </c>
      <c r="K257" s="222"/>
      <c r="L257" s="222"/>
      <c r="M257" s="222"/>
      <c r="N257" s="222">
        <f>+'Summary - Reserve - PG 2 (Tot)'!M43</f>
        <v>0</v>
      </c>
      <c r="O257" s="222"/>
      <c r="P257" s="222">
        <f>+'Summary - Reserve - PG 2 (Tot)'!O43</f>
        <v>0</v>
      </c>
      <c r="Q257" s="222"/>
      <c r="R257" s="222">
        <f>+'Summary - Reserve - PG 2 (Tot)'!Q43</f>
        <v>0</v>
      </c>
      <c r="S257" s="222"/>
      <c r="T257" s="222">
        <f>+'Summary - Reserve - PG 2 (Tot)'!S43</f>
        <v>0</v>
      </c>
      <c r="U257" s="222"/>
      <c r="V257" s="222">
        <f t="shared" si="77"/>
        <v>-0.02</v>
      </c>
      <c r="W257" s="222"/>
      <c r="X257" s="221"/>
      <c r="Y257" s="221"/>
      <c r="Z257" s="221"/>
      <c r="AA257" s="221"/>
      <c r="AB257" s="221"/>
    </row>
    <row r="258" spans="1:28" s="220" customFormat="1" outlineLevel="3">
      <c r="A258" s="218"/>
      <c r="C258" s="220" t="s">
        <v>124</v>
      </c>
      <c r="D258" s="222">
        <f>+'Summary - Reserve - PG 2 (Tot)'!C44</f>
        <v>262470.53999999992</v>
      </c>
      <c r="E258" s="222"/>
      <c r="F258" s="222">
        <f>+'Summary - Reserve - PG 2 (Tot)'!E44</f>
        <v>-39237.25</v>
      </c>
      <c r="G258" s="222"/>
      <c r="H258" s="222">
        <f>+'Summary - Reserve - PG 2 (Tot)'!G44</f>
        <v>0</v>
      </c>
      <c r="I258" s="222"/>
      <c r="J258" s="222">
        <f>+'Summary - Reserve - PG 2 (Tot)'!I44</f>
        <v>0</v>
      </c>
      <c r="K258" s="222"/>
      <c r="L258" s="222"/>
      <c r="M258" s="222"/>
      <c r="N258" s="222">
        <f>+'Summary - Reserve - PG 2 (Tot)'!M44</f>
        <v>0</v>
      </c>
      <c r="O258" s="222"/>
      <c r="P258" s="222">
        <f>+'Summary - Reserve - PG 2 (Tot)'!O44</f>
        <v>0</v>
      </c>
      <c r="Q258" s="222"/>
      <c r="R258" s="222">
        <f>+'Summary - Reserve - PG 2 (Tot)'!Q44</f>
        <v>0</v>
      </c>
      <c r="S258" s="222"/>
      <c r="T258" s="222">
        <f>+'Summary - Reserve - PG 2 (Tot)'!S44</f>
        <v>0</v>
      </c>
      <c r="U258" s="222"/>
      <c r="V258" s="222">
        <f t="shared" si="77"/>
        <v>223233.28999999992</v>
      </c>
      <c r="W258" s="222"/>
      <c r="X258" s="221"/>
      <c r="Y258" s="221"/>
      <c r="Z258" s="221"/>
      <c r="AA258" s="221"/>
      <c r="AB258" s="221"/>
    </row>
    <row r="259" spans="1:28" s="220" customFormat="1" outlineLevel="3">
      <c r="A259" s="218"/>
      <c r="C259" s="220" t="s">
        <v>129</v>
      </c>
      <c r="D259" s="222">
        <f>+'Summary - Reserve - PG 2 (Tot)'!C45</f>
        <v>0</v>
      </c>
      <c r="E259" s="222"/>
      <c r="F259" s="222">
        <f>+'Summary - Reserve - PG 2 (Tot)'!E45</f>
        <v>0</v>
      </c>
      <c r="G259" s="222"/>
      <c r="H259" s="222">
        <f>+'Summary - Reserve - PG 2 (Tot)'!G45</f>
        <v>0</v>
      </c>
      <c r="I259" s="222"/>
      <c r="J259" s="222">
        <f>+'Summary - Reserve - PG 2 (Tot)'!I45</f>
        <v>0</v>
      </c>
      <c r="K259" s="222"/>
      <c r="L259" s="222"/>
      <c r="M259" s="222"/>
      <c r="N259" s="222">
        <f>+'Summary - Reserve - PG 2 (Tot)'!M45</f>
        <v>0</v>
      </c>
      <c r="O259" s="222"/>
      <c r="P259" s="222">
        <f>+'Summary - Reserve - PG 2 (Tot)'!O45</f>
        <v>0</v>
      </c>
      <c r="Q259" s="222"/>
      <c r="R259" s="222">
        <f>+'Summary - Reserve - PG 2 (Tot)'!Q45</f>
        <v>0</v>
      </c>
      <c r="S259" s="222"/>
      <c r="T259" s="222">
        <f>+'Summary - Reserve - PG 2 (Tot)'!S45</f>
        <v>0</v>
      </c>
      <c r="U259" s="222"/>
      <c r="V259" s="222">
        <f t="shared" si="77"/>
        <v>0</v>
      </c>
      <c r="W259" s="222"/>
      <c r="X259" s="221"/>
      <c r="Y259" s="221"/>
      <c r="Z259" s="221"/>
      <c r="AA259" s="221"/>
      <c r="AB259" s="221"/>
    </row>
    <row r="260" spans="1:28" s="220" customFormat="1" outlineLevel="3">
      <c r="A260" s="218"/>
      <c r="C260" s="220" t="s">
        <v>125</v>
      </c>
      <c r="D260" s="222">
        <f>+'Summary - Reserve - PG 2 (Tot)'!C46</f>
        <v>-2984857.77</v>
      </c>
      <c r="E260" s="222"/>
      <c r="F260" s="222">
        <f>+'Summary - Reserve - PG 2 (Tot)'!E46</f>
        <v>-3768.83</v>
      </c>
      <c r="G260" s="222"/>
      <c r="H260" s="222">
        <f>+'Summary - Reserve - PG 2 (Tot)'!G46</f>
        <v>0</v>
      </c>
      <c r="I260" s="222"/>
      <c r="J260" s="222">
        <f>+'Summary - Reserve - PG 2 (Tot)'!I46</f>
        <v>-300.39</v>
      </c>
      <c r="K260" s="222"/>
      <c r="L260" s="222"/>
      <c r="M260" s="222"/>
      <c r="N260" s="222">
        <f>+'Summary - Reserve - PG 2 (Tot)'!M46</f>
        <v>0</v>
      </c>
      <c r="O260" s="222"/>
      <c r="P260" s="222">
        <f>+'Summary - Reserve - PG 2 (Tot)'!O46</f>
        <v>21090.05</v>
      </c>
      <c r="Q260" s="222"/>
      <c r="R260" s="222">
        <f>+'Summary - Reserve - PG 2 (Tot)'!Q46</f>
        <v>0</v>
      </c>
      <c r="S260" s="222"/>
      <c r="T260" s="222">
        <f>+'Summary - Reserve - PG 2 (Tot)'!S46</f>
        <v>0</v>
      </c>
      <c r="U260" s="222"/>
      <c r="V260" s="222">
        <f t="shared" si="77"/>
        <v>-2967836.94</v>
      </c>
      <c r="W260" s="222"/>
      <c r="X260" s="221"/>
      <c r="Y260" s="221"/>
      <c r="Z260" s="221"/>
      <c r="AA260" s="221"/>
      <c r="AB260" s="221"/>
    </row>
    <row r="261" spans="1:28" s="220" customFormat="1" outlineLevel="3">
      <c r="A261" s="218"/>
      <c r="C261" s="220" t="s">
        <v>131</v>
      </c>
      <c r="D261" s="225">
        <f>+'Summary - Reserve - PG 2 (Tot)'!C47</f>
        <v>0</v>
      </c>
      <c r="E261" s="222"/>
      <c r="F261" s="225">
        <f>+'Summary - Reserve - PG 2 (Tot)'!E47</f>
        <v>0</v>
      </c>
      <c r="G261" s="222"/>
      <c r="H261" s="225">
        <f>+'Summary - Reserve - PG 2 (Tot)'!G47</f>
        <v>0</v>
      </c>
      <c r="I261" s="222"/>
      <c r="J261" s="225">
        <f>+'Summary - Reserve - PG 2 (Tot)'!I47</f>
        <v>0</v>
      </c>
      <c r="K261" s="222"/>
      <c r="L261" s="222"/>
      <c r="M261" s="222"/>
      <c r="N261" s="225">
        <f>+'Summary - Reserve - PG 2 (Tot)'!M47</f>
        <v>0</v>
      </c>
      <c r="O261" s="222"/>
      <c r="P261" s="225">
        <f>+'Summary - Reserve - PG 2 (Tot)'!O47</f>
        <v>0</v>
      </c>
      <c r="Q261" s="222"/>
      <c r="R261" s="225">
        <f>+'Summary - Reserve - PG 2 (Tot)'!Q47</f>
        <v>0</v>
      </c>
      <c r="S261" s="222"/>
      <c r="T261" s="225">
        <f>+'Summary - Reserve - PG 2 (Tot)'!S47</f>
        <v>0</v>
      </c>
      <c r="U261" s="222"/>
      <c r="V261" s="225">
        <f t="shared" si="77"/>
        <v>0</v>
      </c>
      <c r="W261" s="222"/>
      <c r="X261" s="221"/>
      <c r="Y261" s="221"/>
      <c r="Z261" s="221"/>
      <c r="AA261" s="221"/>
      <c r="AB261" s="221"/>
    </row>
    <row r="262" spans="1:28" s="220" customFormat="1" outlineLevel="3">
      <c r="A262" s="218"/>
      <c r="C262" s="227"/>
      <c r="D262" s="222">
        <f>SUM(D249:D261)</f>
        <v>-350162066.01999992</v>
      </c>
      <c r="E262" s="222"/>
      <c r="F262" s="222">
        <f>SUM(F249:F261)</f>
        <v>-7545879.8200000003</v>
      </c>
      <c r="G262" s="222"/>
      <c r="H262" s="222">
        <f>SUM(H249:H261)</f>
        <v>0</v>
      </c>
      <c r="I262" s="222"/>
      <c r="J262" s="222">
        <f>SUM(J249:J261)</f>
        <v>0</v>
      </c>
      <c r="K262" s="222"/>
      <c r="L262" s="222"/>
      <c r="M262" s="222"/>
      <c r="N262" s="222">
        <f>SUM(N249:N261)</f>
        <v>0</v>
      </c>
      <c r="O262" s="222"/>
      <c r="P262" s="222">
        <f>SUM(P249:P261)</f>
        <v>4675794.42</v>
      </c>
      <c r="Q262" s="222"/>
      <c r="R262" s="222">
        <f>SUM(R249:R261)</f>
        <v>0</v>
      </c>
      <c r="S262" s="222"/>
      <c r="T262" s="222">
        <f>SUM(T249:T261)</f>
        <v>0</v>
      </c>
      <c r="U262" s="222"/>
      <c r="V262" s="222">
        <f>SUM(V249:V261)</f>
        <v>-353032151.42000002</v>
      </c>
      <c r="W262" s="222"/>
      <c r="X262" s="221"/>
      <c r="Y262" s="221"/>
      <c r="Z262" s="221"/>
      <c r="AA262" s="221"/>
      <c r="AB262" s="221"/>
    </row>
    <row r="263" spans="1:28" s="220" customFormat="1" outlineLevel="3">
      <c r="A263" s="218"/>
      <c r="D263" s="239"/>
      <c r="E263" s="239"/>
      <c r="F263" s="239"/>
      <c r="G263" s="239"/>
      <c r="H263" s="239"/>
      <c r="I263" s="239"/>
      <c r="J263" s="226"/>
      <c r="K263" s="226"/>
      <c r="L263" s="226"/>
      <c r="M263" s="239"/>
      <c r="N263" s="239"/>
      <c r="O263" s="239"/>
      <c r="P263" s="239"/>
      <c r="Q263" s="239"/>
      <c r="R263" s="239"/>
      <c r="S263" s="239"/>
      <c r="T263" s="239"/>
      <c r="U263" s="239"/>
      <c r="V263" s="239"/>
      <c r="W263" s="239"/>
      <c r="X263" s="221"/>
      <c r="Y263" s="221"/>
      <c r="Z263" s="221"/>
      <c r="AA263" s="221"/>
      <c r="AB263" s="221"/>
    </row>
    <row r="264" spans="1:28" s="220" customFormat="1" ht="15" outlineLevel="3">
      <c r="A264" s="218"/>
      <c r="B264" s="219" t="s">
        <v>654</v>
      </c>
      <c r="D264" s="244"/>
      <c r="E264" s="226"/>
      <c r="F264" s="244"/>
      <c r="G264" s="226"/>
      <c r="H264" s="244"/>
      <c r="I264" s="226"/>
      <c r="J264" s="244"/>
      <c r="K264" s="244"/>
      <c r="L264" s="244"/>
      <c r="M264" s="226"/>
      <c r="N264" s="244"/>
      <c r="O264" s="226"/>
      <c r="P264" s="244"/>
      <c r="Q264" s="226"/>
      <c r="R264" s="244"/>
      <c r="S264" s="226"/>
      <c r="T264" s="244"/>
      <c r="U264" s="226"/>
      <c r="V264" s="244"/>
      <c r="W264" s="244"/>
      <c r="X264" s="221"/>
      <c r="Y264" s="221"/>
      <c r="Z264" s="221"/>
      <c r="AA264" s="221"/>
      <c r="AB264" s="221"/>
    </row>
    <row r="265" spans="1:28" s="220" customFormat="1" outlineLevel="3">
      <c r="A265" s="218"/>
      <c r="C265" s="220" t="s">
        <v>455</v>
      </c>
      <c r="D265" s="222">
        <f>+'Summary - Reserve - PG 2 (Tot)'!C51</f>
        <v>278457.83</v>
      </c>
      <c r="E265" s="222"/>
      <c r="F265" s="222">
        <f>+'Summary - Reserve - PG 2 (Tot)'!E51</f>
        <v>95.820000000000007</v>
      </c>
      <c r="G265" s="222"/>
      <c r="H265" s="222">
        <f>+'Summary - Reserve - PG 2 (Tot)'!G51</f>
        <v>0</v>
      </c>
      <c r="I265" s="222"/>
      <c r="J265" s="222">
        <f>+'Summary - Reserve - PG 2 (Tot)'!I51</f>
        <v>0</v>
      </c>
      <c r="K265" s="222"/>
      <c r="L265" s="222"/>
      <c r="M265" s="222"/>
      <c r="N265" s="222">
        <f>+'Summary - Reserve - PG 2 (Tot)'!M51</f>
        <v>0</v>
      </c>
      <c r="O265" s="222"/>
      <c r="P265" s="222">
        <f>+'Summary - Reserve - PG 2 (Tot)'!O51</f>
        <v>0</v>
      </c>
      <c r="Q265" s="222"/>
      <c r="R265" s="222">
        <f>+'Summary - Reserve - PG 2 (Tot)'!Q51</f>
        <v>-3000</v>
      </c>
      <c r="S265" s="222"/>
      <c r="T265" s="222">
        <f>+'Summary - Reserve - PG 2 (Tot)'!S51</f>
        <v>0</v>
      </c>
      <c r="U265" s="222"/>
      <c r="V265" s="222">
        <f t="shared" ref="V265:V277" si="78">T265+R265+P265+N265+J265+H265+F265+D265</f>
        <v>275553.65000000002</v>
      </c>
      <c r="W265" s="222"/>
      <c r="X265" s="221"/>
      <c r="Y265" s="221"/>
      <c r="Z265" s="221"/>
      <c r="AA265" s="221"/>
      <c r="AB265" s="221"/>
    </row>
    <row r="266" spans="1:28" s="220" customFormat="1" outlineLevel="3">
      <c r="A266" s="218"/>
      <c r="C266" s="220" t="s">
        <v>113</v>
      </c>
      <c r="D266" s="222">
        <f>+'Summary - Reserve - PG 2 (Tot)'!C52</f>
        <v>18531222.48</v>
      </c>
      <c r="E266" s="222"/>
      <c r="F266" s="222">
        <f>+'Summary - Reserve - PG 2 (Tot)'!E52</f>
        <v>368163.38</v>
      </c>
      <c r="G266" s="222"/>
      <c r="H266" s="222">
        <f>+'Summary - Reserve - PG 2 (Tot)'!G52</f>
        <v>0</v>
      </c>
      <c r="I266" s="222"/>
      <c r="J266" s="222">
        <f>+'Summary - Reserve - PG 2 (Tot)'!I52</f>
        <v>0</v>
      </c>
      <c r="K266" s="222"/>
      <c r="L266" s="222"/>
      <c r="M266" s="222"/>
      <c r="N266" s="222">
        <f>+'Summary - Reserve - PG 2 (Tot)'!M52</f>
        <v>0</v>
      </c>
      <c r="O266" s="222"/>
      <c r="P266" s="222">
        <f>+'Summary - Reserve - PG 2 (Tot)'!O52</f>
        <v>0</v>
      </c>
      <c r="Q266" s="222"/>
      <c r="R266" s="222">
        <f>+'Summary - Reserve - PG 2 (Tot)'!Q52</f>
        <v>-54967.23</v>
      </c>
      <c r="S266" s="222"/>
      <c r="T266" s="222">
        <f>+'Summary - Reserve - PG 2 (Tot)'!S52</f>
        <v>0</v>
      </c>
      <c r="U266" s="222"/>
      <c r="V266" s="222">
        <f t="shared" si="78"/>
        <v>18844418.629999999</v>
      </c>
      <c r="W266" s="222"/>
      <c r="X266" s="221"/>
      <c r="Y266" s="221"/>
      <c r="Z266" s="221"/>
      <c r="AA266" s="221"/>
      <c r="AB266" s="221"/>
    </row>
    <row r="267" spans="1:28" s="220" customFormat="1" outlineLevel="3">
      <c r="A267" s="218"/>
      <c r="C267" s="220" t="s">
        <v>114</v>
      </c>
      <c r="D267" s="222">
        <f>+'Summary - Reserve - PG 2 (Tot)'!C53</f>
        <v>140589.22</v>
      </c>
      <c r="E267" s="222"/>
      <c r="F267" s="222">
        <f>+'Summary - Reserve - PG 2 (Tot)'!E53</f>
        <v>596.79</v>
      </c>
      <c r="G267" s="222"/>
      <c r="H267" s="222">
        <f>+'Summary - Reserve - PG 2 (Tot)'!G53</f>
        <v>0</v>
      </c>
      <c r="I267" s="222"/>
      <c r="J267" s="222">
        <f>+'Summary - Reserve - PG 2 (Tot)'!I53</f>
        <v>0</v>
      </c>
      <c r="K267" s="222"/>
      <c r="L267" s="222"/>
      <c r="M267" s="222"/>
      <c r="N267" s="222">
        <f>+'Summary - Reserve - PG 2 (Tot)'!M53</f>
        <v>0</v>
      </c>
      <c r="O267" s="222"/>
      <c r="P267" s="222">
        <f>+'Summary - Reserve - PG 2 (Tot)'!O53</f>
        <v>0</v>
      </c>
      <c r="Q267" s="222"/>
      <c r="R267" s="222">
        <f>+'Summary - Reserve - PG 2 (Tot)'!Q53</f>
        <v>0</v>
      </c>
      <c r="S267" s="222"/>
      <c r="T267" s="222">
        <f>+'Summary - Reserve - PG 2 (Tot)'!S53</f>
        <v>0</v>
      </c>
      <c r="U267" s="222"/>
      <c r="V267" s="222">
        <f t="shared" si="78"/>
        <v>141186.01</v>
      </c>
      <c r="W267" s="222"/>
      <c r="X267" s="221"/>
      <c r="Y267" s="221"/>
      <c r="Z267" s="221"/>
      <c r="AA267" s="221"/>
      <c r="AB267" s="221"/>
    </row>
    <row r="268" spans="1:28" s="220" customFormat="1" outlineLevel="3">
      <c r="A268" s="218"/>
      <c r="C268" s="220" t="s">
        <v>115</v>
      </c>
      <c r="D268" s="222">
        <f>+'Summary - Reserve - PG 2 (Tot)'!C54</f>
        <v>376638.17</v>
      </c>
      <c r="E268" s="222"/>
      <c r="F268" s="222">
        <f>+'Summary - Reserve - PG 2 (Tot)'!E54</f>
        <v>0</v>
      </c>
      <c r="G268" s="222"/>
      <c r="H268" s="222">
        <f>+'Summary - Reserve - PG 2 (Tot)'!G54</f>
        <v>0</v>
      </c>
      <c r="I268" s="222"/>
      <c r="J268" s="222">
        <f>+'Summary - Reserve - PG 2 (Tot)'!I54</f>
        <v>0</v>
      </c>
      <c r="K268" s="222"/>
      <c r="L268" s="222"/>
      <c r="M268" s="222"/>
      <c r="N268" s="222">
        <f>+'Summary - Reserve - PG 2 (Tot)'!M54</f>
        <v>0</v>
      </c>
      <c r="O268" s="222"/>
      <c r="P268" s="222">
        <f>+'Summary - Reserve - PG 2 (Tot)'!O54</f>
        <v>0</v>
      </c>
      <c r="Q268" s="222"/>
      <c r="R268" s="222">
        <f>+'Summary - Reserve - PG 2 (Tot)'!Q54</f>
        <v>0</v>
      </c>
      <c r="S268" s="222"/>
      <c r="T268" s="222">
        <f>+'Summary - Reserve - PG 2 (Tot)'!S54</f>
        <v>0</v>
      </c>
      <c r="U268" s="222"/>
      <c r="V268" s="222">
        <f t="shared" si="78"/>
        <v>376638.17</v>
      </c>
      <c r="W268" s="222"/>
      <c r="X268" s="221"/>
      <c r="Y268" s="221"/>
      <c r="Z268" s="221"/>
      <c r="AA268" s="221"/>
      <c r="AB268" s="221"/>
    </row>
    <row r="269" spans="1:28" s="220" customFormat="1" outlineLevel="3">
      <c r="A269" s="218"/>
      <c r="C269" s="220" t="s">
        <v>117</v>
      </c>
      <c r="D269" s="222">
        <f>+'Summary - Reserve - PG 2 (Tot)'!C55</f>
        <v>-18998.669999999998</v>
      </c>
      <c r="E269" s="222"/>
      <c r="F269" s="222">
        <f>+'Summary - Reserve - PG 2 (Tot)'!E55</f>
        <v>0</v>
      </c>
      <c r="G269" s="222"/>
      <c r="H269" s="222">
        <f>+'Summary - Reserve - PG 2 (Tot)'!G55</f>
        <v>0</v>
      </c>
      <c r="I269" s="222"/>
      <c r="J269" s="222">
        <f>+'Summary - Reserve - PG 2 (Tot)'!I55</f>
        <v>0</v>
      </c>
      <c r="K269" s="222"/>
      <c r="L269" s="222"/>
      <c r="M269" s="222"/>
      <c r="N269" s="222">
        <f>+'Summary - Reserve - PG 2 (Tot)'!M55</f>
        <v>0</v>
      </c>
      <c r="O269" s="222"/>
      <c r="P269" s="222">
        <f>+'Summary - Reserve - PG 2 (Tot)'!O55</f>
        <v>0</v>
      </c>
      <c r="Q269" s="222"/>
      <c r="R269" s="222">
        <f>+'Summary - Reserve - PG 2 (Tot)'!Q55</f>
        <v>0</v>
      </c>
      <c r="S269" s="222"/>
      <c r="T269" s="222">
        <f>+'Summary - Reserve - PG 2 (Tot)'!S55</f>
        <v>0</v>
      </c>
      <c r="U269" s="222"/>
      <c r="V269" s="222">
        <f t="shared" si="78"/>
        <v>-18998.669999999998</v>
      </c>
      <c r="W269" s="222"/>
      <c r="X269" s="221"/>
      <c r="Y269" s="221"/>
      <c r="Z269" s="221"/>
      <c r="AA269" s="221"/>
      <c r="AB269" s="221"/>
    </row>
    <row r="270" spans="1:28" s="220" customFormat="1" outlineLevel="3">
      <c r="A270" s="218"/>
      <c r="C270" s="220" t="s">
        <v>118</v>
      </c>
      <c r="D270" s="222">
        <f>+'Summary - Reserve - PG 2 (Tot)'!C56</f>
        <v>24020678.649999999</v>
      </c>
      <c r="E270" s="222"/>
      <c r="F270" s="222">
        <f>+'Summary - Reserve - PG 2 (Tot)'!E56</f>
        <v>512183.75</v>
      </c>
      <c r="G270" s="222"/>
      <c r="H270" s="222">
        <f>+'Summary - Reserve - PG 2 (Tot)'!G56</f>
        <v>0</v>
      </c>
      <c r="I270" s="222"/>
      <c r="J270" s="222">
        <f>+'Summary - Reserve - PG 2 (Tot)'!I56</f>
        <v>0</v>
      </c>
      <c r="K270" s="222"/>
      <c r="L270" s="222"/>
      <c r="M270" s="222"/>
      <c r="N270" s="222">
        <f>+'Summary - Reserve - PG 2 (Tot)'!M56</f>
        <v>0</v>
      </c>
      <c r="O270" s="222"/>
      <c r="P270" s="222">
        <f>+'Summary - Reserve - PG 2 (Tot)'!O56</f>
        <v>0</v>
      </c>
      <c r="Q270" s="222"/>
      <c r="R270" s="222">
        <f>+'Summary - Reserve - PG 2 (Tot)'!Q56</f>
        <v>-126226.16</v>
      </c>
      <c r="S270" s="222"/>
      <c r="T270" s="222">
        <f>+'Summary - Reserve - PG 2 (Tot)'!S56</f>
        <v>0</v>
      </c>
      <c r="U270" s="222"/>
      <c r="V270" s="222">
        <f t="shared" si="78"/>
        <v>24406636.239999998</v>
      </c>
      <c r="W270" s="222"/>
      <c r="X270" s="221"/>
      <c r="Y270" s="221"/>
      <c r="Z270" s="221"/>
      <c r="AA270" s="221"/>
      <c r="AB270" s="221"/>
    </row>
    <row r="271" spans="1:28" s="220" customFormat="1" outlineLevel="3">
      <c r="A271" s="218"/>
      <c r="C271" s="220" t="s">
        <v>119</v>
      </c>
      <c r="D271" s="222">
        <f>+'Summary - Reserve - PG 2 (Tot)'!C57</f>
        <v>6511015.7699999996</v>
      </c>
      <c r="E271" s="222"/>
      <c r="F271" s="222">
        <f>+'Summary - Reserve - PG 2 (Tot)'!E57</f>
        <v>66958.760000000009</v>
      </c>
      <c r="G271" s="222"/>
      <c r="H271" s="222">
        <f>+'Summary - Reserve - PG 2 (Tot)'!G57</f>
        <v>0</v>
      </c>
      <c r="I271" s="222"/>
      <c r="J271" s="222">
        <f>+'Summary - Reserve - PG 2 (Tot)'!I57</f>
        <v>0</v>
      </c>
      <c r="K271" s="222"/>
      <c r="L271" s="222"/>
      <c r="M271" s="222"/>
      <c r="N271" s="222">
        <f>+'Summary - Reserve - PG 2 (Tot)'!M57</f>
        <v>0</v>
      </c>
      <c r="O271" s="222"/>
      <c r="P271" s="222">
        <f>+'Summary - Reserve - PG 2 (Tot)'!O57</f>
        <v>0</v>
      </c>
      <c r="Q271" s="222"/>
      <c r="R271" s="222">
        <f>+'Summary - Reserve - PG 2 (Tot)'!Q57</f>
        <v>-357106.44</v>
      </c>
      <c r="S271" s="222"/>
      <c r="T271" s="222">
        <f>+'Summary - Reserve - PG 2 (Tot)'!S57</f>
        <v>0</v>
      </c>
      <c r="U271" s="222"/>
      <c r="V271" s="222">
        <f t="shared" si="78"/>
        <v>6220868.0899999999</v>
      </c>
      <c r="W271" s="222"/>
      <c r="X271" s="221"/>
      <c r="Y271" s="221"/>
      <c r="Z271" s="221"/>
      <c r="AA271" s="221"/>
      <c r="AB271" s="221"/>
    </row>
    <row r="272" spans="1:28" s="220" customFormat="1" outlineLevel="3">
      <c r="A272" s="218"/>
      <c r="C272" s="220" t="s">
        <v>121</v>
      </c>
      <c r="D272" s="222">
        <f>+'Summary - Reserve - PG 2 (Tot)'!C58</f>
        <v>3791455.11</v>
      </c>
      <c r="E272" s="222"/>
      <c r="F272" s="222">
        <f>+'Summary - Reserve - PG 2 (Tot)'!E58</f>
        <v>51510.74</v>
      </c>
      <c r="G272" s="222"/>
      <c r="H272" s="222">
        <f>+'Summary - Reserve - PG 2 (Tot)'!G58</f>
        <v>0</v>
      </c>
      <c r="I272" s="222"/>
      <c r="J272" s="222">
        <f>+'Summary - Reserve - PG 2 (Tot)'!I58</f>
        <v>0</v>
      </c>
      <c r="K272" s="222"/>
      <c r="L272" s="222"/>
      <c r="M272" s="222"/>
      <c r="N272" s="222">
        <f>+'Summary - Reserve - PG 2 (Tot)'!M58</f>
        <v>0</v>
      </c>
      <c r="O272" s="222"/>
      <c r="P272" s="222">
        <f>+'Summary - Reserve - PG 2 (Tot)'!O58</f>
        <v>0</v>
      </c>
      <c r="Q272" s="222"/>
      <c r="R272" s="222">
        <f>+'Summary - Reserve - PG 2 (Tot)'!Q58</f>
        <v>0</v>
      </c>
      <c r="S272" s="222"/>
      <c r="T272" s="222">
        <f>+'Summary - Reserve - PG 2 (Tot)'!S58</f>
        <v>0</v>
      </c>
      <c r="U272" s="222"/>
      <c r="V272" s="222">
        <f t="shared" si="78"/>
        <v>3842965.85</v>
      </c>
      <c r="W272" s="222"/>
      <c r="X272" s="221"/>
      <c r="Y272" s="221"/>
      <c r="Z272" s="221"/>
      <c r="AA272" s="221"/>
      <c r="AB272" s="221"/>
    </row>
    <row r="273" spans="1:28" s="220" customFormat="1" outlineLevel="3">
      <c r="A273" s="218"/>
      <c r="C273" s="220" t="s">
        <v>122</v>
      </c>
      <c r="D273" s="222">
        <f>+'Summary - Reserve - PG 2 (Tot)'!C59</f>
        <v>228159.61000000002</v>
      </c>
      <c r="E273" s="222"/>
      <c r="F273" s="222">
        <f>+'Summary - Reserve - PG 2 (Tot)'!E59</f>
        <v>727.46</v>
      </c>
      <c r="G273" s="222"/>
      <c r="H273" s="222">
        <f>+'Summary - Reserve - PG 2 (Tot)'!G59</f>
        <v>0</v>
      </c>
      <c r="I273" s="222"/>
      <c r="J273" s="222">
        <f>+'Summary - Reserve - PG 2 (Tot)'!I59</f>
        <v>0</v>
      </c>
      <c r="K273" s="222"/>
      <c r="L273" s="222"/>
      <c r="M273" s="222"/>
      <c r="N273" s="222">
        <f>+'Summary - Reserve - PG 2 (Tot)'!M59</f>
        <v>0</v>
      </c>
      <c r="O273" s="222"/>
      <c r="P273" s="222">
        <f>+'Summary - Reserve - PG 2 (Tot)'!O59</f>
        <v>0</v>
      </c>
      <c r="Q273" s="222"/>
      <c r="R273" s="222">
        <f>+'Summary - Reserve - PG 2 (Tot)'!Q59</f>
        <v>0</v>
      </c>
      <c r="S273" s="222"/>
      <c r="T273" s="222">
        <f>+'Summary - Reserve - PG 2 (Tot)'!S59</f>
        <v>0</v>
      </c>
      <c r="U273" s="222"/>
      <c r="V273" s="222">
        <f t="shared" si="78"/>
        <v>228887.07</v>
      </c>
      <c r="W273" s="222"/>
      <c r="X273" s="221"/>
      <c r="Y273" s="221"/>
      <c r="Z273" s="221"/>
      <c r="AA273" s="221"/>
      <c r="AB273" s="221"/>
    </row>
    <row r="274" spans="1:28" s="220" customFormat="1" outlineLevel="3">
      <c r="A274" s="218"/>
      <c r="C274" s="220" t="s">
        <v>124</v>
      </c>
      <c r="D274" s="222">
        <f>+'Summary - Reserve - PG 2 (Tot)'!C60</f>
        <v>287152.20999999996</v>
      </c>
      <c r="E274" s="222"/>
      <c r="F274" s="222">
        <f>+'Summary - Reserve - PG 2 (Tot)'!E60</f>
        <v>4482.2800000000007</v>
      </c>
      <c r="G274" s="222"/>
      <c r="H274" s="222">
        <f>+'Summary - Reserve - PG 2 (Tot)'!G60</f>
        <v>0</v>
      </c>
      <c r="I274" s="222"/>
      <c r="J274" s="222">
        <f>+'Summary - Reserve - PG 2 (Tot)'!I60</f>
        <v>0</v>
      </c>
      <c r="K274" s="222"/>
      <c r="L274" s="222"/>
      <c r="M274" s="222"/>
      <c r="N274" s="222">
        <f>+'Summary - Reserve - PG 2 (Tot)'!M60</f>
        <v>0</v>
      </c>
      <c r="O274" s="222"/>
      <c r="P274" s="222">
        <f>+'Summary - Reserve - PG 2 (Tot)'!O60</f>
        <v>0</v>
      </c>
      <c r="Q274" s="222"/>
      <c r="R274" s="222">
        <f>+'Summary - Reserve - PG 2 (Tot)'!Q60</f>
        <v>0</v>
      </c>
      <c r="S274" s="222"/>
      <c r="T274" s="222">
        <f>+'Summary - Reserve - PG 2 (Tot)'!S60</f>
        <v>0</v>
      </c>
      <c r="U274" s="222"/>
      <c r="V274" s="222">
        <f t="shared" si="78"/>
        <v>291634.49</v>
      </c>
      <c r="W274" s="222"/>
      <c r="X274" s="221"/>
      <c r="Y274" s="221"/>
      <c r="Z274" s="221"/>
      <c r="AA274" s="221"/>
      <c r="AB274" s="221"/>
    </row>
    <row r="275" spans="1:28" s="220" customFormat="1" outlineLevel="3">
      <c r="A275" s="218"/>
      <c r="C275" s="220" t="s">
        <v>129</v>
      </c>
      <c r="D275" s="222">
        <f>+'Summary - Reserve - PG 2 (Tot)'!C61</f>
        <v>0</v>
      </c>
      <c r="E275" s="222"/>
      <c r="F275" s="222">
        <f>+'Summary - Reserve - PG 2 (Tot)'!E61</f>
        <v>0</v>
      </c>
      <c r="G275" s="222"/>
      <c r="H275" s="222">
        <f>+'Summary - Reserve - PG 2 (Tot)'!G61</f>
        <v>0</v>
      </c>
      <c r="I275" s="222"/>
      <c r="J275" s="222">
        <f>+'Summary - Reserve - PG 2 (Tot)'!I61</f>
        <v>0</v>
      </c>
      <c r="K275" s="222"/>
      <c r="L275" s="222"/>
      <c r="M275" s="222"/>
      <c r="N275" s="222">
        <f>+'Summary - Reserve - PG 2 (Tot)'!M61</f>
        <v>0</v>
      </c>
      <c r="O275" s="222"/>
      <c r="P275" s="222">
        <f>+'Summary - Reserve - PG 2 (Tot)'!O61</f>
        <v>0</v>
      </c>
      <c r="Q275" s="222"/>
      <c r="R275" s="222">
        <f>+'Summary - Reserve - PG 2 (Tot)'!Q61</f>
        <v>0</v>
      </c>
      <c r="S275" s="222"/>
      <c r="T275" s="222">
        <f>+'Summary - Reserve - PG 2 (Tot)'!S61</f>
        <v>0</v>
      </c>
      <c r="U275" s="222"/>
      <c r="V275" s="222">
        <f t="shared" si="78"/>
        <v>0</v>
      </c>
      <c r="W275" s="222"/>
      <c r="X275" s="221"/>
      <c r="Y275" s="221"/>
      <c r="Z275" s="221"/>
      <c r="AA275" s="221"/>
      <c r="AB275" s="221"/>
    </row>
    <row r="276" spans="1:28" s="220" customFormat="1" outlineLevel="3">
      <c r="A276" s="218"/>
      <c r="C276" s="220" t="s">
        <v>125</v>
      </c>
      <c r="D276" s="222">
        <f>+'Summary - Reserve - PG 2 (Tot)'!C62</f>
        <v>223309.53000000003</v>
      </c>
      <c r="E276" s="222"/>
      <c r="F276" s="222">
        <f>+'Summary - Reserve - PG 2 (Tot)'!E62</f>
        <v>1413.32</v>
      </c>
      <c r="G276" s="222"/>
      <c r="H276" s="222">
        <f>+'Summary - Reserve - PG 2 (Tot)'!G62</f>
        <v>0</v>
      </c>
      <c r="I276" s="222"/>
      <c r="J276" s="222">
        <f>+'Summary - Reserve - PG 2 (Tot)'!I62</f>
        <v>0</v>
      </c>
      <c r="K276" s="222"/>
      <c r="L276" s="222"/>
      <c r="M276" s="222"/>
      <c r="N276" s="222">
        <f>+'Summary - Reserve - PG 2 (Tot)'!M62</f>
        <v>0</v>
      </c>
      <c r="O276" s="222"/>
      <c r="P276" s="222">
        <f>+'Summary - Reserve - PG 2 (Tot)'!O62</f>
        <v>0</v>
      </c>
      <c r="Q276" s="222"/>
      <c r="R276" s="222">
        <f>+'Summary - Reserve - PG 2 (Tot)'!Q62</f>
        <v>0</v>
      </c>
      <c r="S276" s="222"/>
      <c r="T276" s="222">
        <f>+'Summary - Reserve - PG 2 (Tot)'!S62</f>
        <v>0</v>
      </c>
      <c r="U276" s="222"/>
      <c r="V276" s="222">
        <f t="shared" si="78"/>
        <v>224722.85000000003</v>
      </c>
      <c r="W276" s="222"/>
      <c r="X276" s="221"/>
      <c r="Y276" s="221"/>
      <c r="Z276" s="221"/>
      <c r="AA276" s="221"/>
      <c r="AB276" s="221"/>
    </row>
    <row r="277" spans="1:28" s="220" customFormat="1" outlineLevel="3">
      <c r="A277" s="218"/>
      <c r="C277" s="220" t="s">
        <v>131</v>
      </c>
      <c r="D277" s="225">
        <f>+'Summary - Reserve - PG 2 (Tot)'!C63</f>
        <v>0</v>
      </c>
      <c r="E277" s="222"/>
      <c r="F277" s="225">
        <f>+'Summary - Reserve - PG 2 (Tot)'!E63</f>
        <v>0</v>
      </c>
      <c r="G277" s="222"/>
      <c r="H277" s="225">
        <f>+'Summary - Reserve - PG 2 (Tot)'!G63</f>
        <v>0</v>
      </c>
      <c r="I277" s="222"/>
      <c r="J277" s="225">
        <f>+'Summary - Reserve - PG 2 (Tot)'!I63</f>
        <v>0</v>
      </c>
      <c r="K277" s="222"/>
      <c r="L277" s="222"/>
      <c r="M277" s="222"/>
      <c r="N277" s="225">
        <f>+'Summary - Reserve - PG 2 (Tot)'!M63</f>
        <v>0</v>
      </c>
      <c r="O277" s="222"/>
      <c r="P277" s="225">
        <f>+'Summary - Reserve - PG 2 (Tot)'!O63</f>
        <v>0</v>
      </c>
      <c r="Q277" s="222"/>
      <c r="R277" s="225">
        <f>+'Summary - Reserve - PG 2 (Tot)'!Q63</f>
        <v>0</v>
      </c>
      <c r="S277" s="222"/>
      <c r="T277" s="225">
        <f>+'Summary - Reserve - PG 2 (Tot)'!S63</f>
        <v>0</v>
      </c>
      <c r="U277" s="222"/>
      <c r="V277" s="225">
        <f t="shared" si="78"/>
        <v>0</v>
      </c>
      <c r="W277" s="222"/>
      <c r="X277" s="221"/>
      <c r="Y277" s="221"/>
      <c r="Z277" s="221"/>
      <c r="AA277" s="221"/>
      <c r="AB277" s="221"/>
    </row>
    <row r="278" spans="1:28" s="220" customFormat="1" outlineLevel="3">
      <c r="A278" s="218"/>
      <c r="C278" s="227"/>
      <c r="D278" s="222">
        <f>SUM(D265:D277)</f>
        <v>54369679.909999989</v>
      </c>
      <c r="E278" s="222"/>
      <c r="F278" s="222">
        <f>SUM(F265:F277)</f>
        <v>1006132.2999999999</v>
      </c>
      <c r="G278" s="222"/>
      <c r="H278" s="222">
        <f>SUM(H265:H277)</f>
        <v>0</v>
      </c>
      <c r="I278" s="222"/>
      <c r="J278" s="222">
        <f>SUM(J265:J277)</f>
        <v>0</v>
      </c>
      <c r="K278" s="222"/>
      <c r="L278" s="222"/>
      <c r="M278" s="222"/>
      <c r="N278" s="222">
        <f>SUM(N265:N277)</f>
        <v>0</v>
      </c>
      <c r="O278" s="222"/>
      <c r="P278" s="222">
        <f>SUM(P265:P277)</f>
        <v>0</v>
      </c>
      <c r="Q278" s="222"/>
      <c r="R278" s="222">
        <f>SUM(R265:R277)</f>
        <v>-541299.83000000007</v>
      </c>
      <c r="S278" s="222"/>
      <c r="T278" s="222">
        <f>SUM(T265:T277)</f>
        <v>0</v>
      </c>
      <c r="U278" s="222"/>
      <c r="V278" s="222">
        <f>SUM(V265:V277)</f>
        <v>54834512.38000001</v>
      </c>
      <c r="W278" s="222"/>
      <c r="X278" s="221"/>
      <c r="Y278" s="221"/>
      <c r="Z278" s="221"/>
      <c r="AA278" s="221"/>
      <c r="AB278" s="221"/>
    </row>
    <row r="279" spans="1:28" s="220" customFormat="1" outlineLevel="3">
      <c r="A279" s="218"/>
      <c r="D279" s="222"/>
      <c r="E279" s="222"/>
      <c r="F279" s="222"/>
      <c r="G279" s="222"/>
      <c r="H279" s="222"/>
      <c r="I279" s="222"/>
      <c r="J279" s="222"/>
      <c r="K279" s="222"/>
      <c r="L279" s="222"/>
      <c r="M279" s="222"/>
      <c r="N279" s="222"/>
      <c r="O279" s="222"/>
      <c r="P279" s="222"/>
      <c r="Q279" s="222"/>
      <c r="R279" s="222"/>
      <c r="S279" s="222"/>
      <c r="T279" s="222"/>
      <c r="U279" s="222"/>
      <c r="V279" s="222"/>
      <c r="W279" s="222"/>
      <c r="X279" s="221"/>
      <c r="Y279" s="221"/>
      <c r="Z279" s="221"/>
      <c r="AA279" s="221"/>
      <c r="AB279" s="221"/>
    </row>
    <row r="280" spans="1:28" s="220" customFormat="1" outlineLevel="3">
      <c r="A280" s="218"/>
      <c r="B280" s="219" t="s">
        <v>656</v>
      </c>
      <c r="D280" s="223"/>
      <c r="E280" s="223"/>
      <c r="F280" s="223"/>
      <c r="G280" s="223"/>
      <c r="H280" s="223"/>
      <c r="I280" s="223"/>
      <c r="J280" s="223"/>
      <c r="K280" s="223"/>
      <c r="L280" s="223"/>
      <c r="M280" s="223"/>
      <c r="N280" s="223"/>
      <c r="O280" s="223"/>
      <c r="P280" s="223"/>
      <c r="Q280" s="223"/>
      <c r="R280" s="223"/>
      <c r="S280" s="223"/>
      <c r="T280" s="223"/>
      <c r="U280" s="223"/>
      <c r="V280" s="223"/>
      <c r="W280" s="223"/>
      <c r="X280" s="221"/>
      <c r="Y280" s="221"/>
      <c r="Z280" s="221"/>
      <c r="AA280" s="221"/>
      <c r="AB280" s="221"/>
    </row>
    <row r="281" spans="1:28" s="220" customFormat="1" outlineLevel="3">
      <c r="A281" s="218"/>
      <c r="C281" s="220" t="s">
        <v>652</v>
      </c>
      <c r="D281" s="223">
        <f>+'Summary - Reserve - PG 2 (Tot)'!C73</f>
        <v>149762.35</v>
      </c>
      <c r="E281" s="223"/>
      <c r="F281" s="223">
        <f>+'Summary - Reserve - PG 2 (Tot)'!E73</f>
        <v>0</v>
      </c>
      <c r="G281" s="223"/>
      <c r="H281" s="223">
        <f>+'Summary - Reserve - PG 2 (Tot)'!G73</f>
        <v>0</v>
      </c>
      <c r="I281" s="223"/>
      <c r="J281" s="223">
        <f>+'Summary - Reserve - PG 2 (Tot)'!I73</f>
        <v>0</v>
      </c>
      <c r="K281" s="223"/>
      <c r="L281" s="223">
        <f>+'Summary - Reserve - PG 2 (Tot)'!K73</f>
        <v>0</v>
      </c>
      <c r="M281" s="223"/>
      <c r="N281" s="223">
        <f>+'Summary - Reserve - PG 2 (Tot)'!M73</f>
        <v>-13557.84</v>
      </c>
      <c r="O281" s="223"/>
      <c r="P281" s="223">
        <f>+'Summary - Reserve - PG 2 (Tot)'!O73</f>
        <v>-17161.189999999999</v>
      </c>
      <c r="Q281" s="223"/>
      <c r="R281" s="223">
        <f>+'Summary - Reserve - PG 2 (Tot)'!Q73</f>
        <v>-10496.95</v>
      </c>
      <c r="S281" s="223"/>
      <c r="T281" s="223">
        <f>+'Summary - Reserve - PG 2 (Tot)'!S73</f>
        <v>0</v>
      </c>
      <c r="U281" s="223"/>
      <c r="V281" s="223">
        <f>T281+R281+P281+N281+J281+H281+F281+D281+L281</f>
        <v>108546.37000000001</v>
      </c>
      <c r="W281" s="223"/>
      <c r="X281" s="221"/>
      <c r="Y281" s="221"/>
      <c r="Z281" s="221"/>
      <c r="AA281" s="221"/>
      <c r="AB281" s="221"/>
    </row>
    <row r="282" spans="1:28" s="220" customFormat="1" outlineLevel="3">
      <c r="A282" s="218"/>
      <c r="C282" s="220" t="s">
        <v>112</v>
      </c>
      <c r="D282" s="223">
        <f>+'Summary - Reserve - PG 2 (Tot)'!C74</f>
        <v>11924715.030000003</v>
      </c>
      <c r="E282" s="223"/>
      <c r="F282" s="223">
        <f>+'Summary - Reserve - PG 2 (Tot)'!E74</f>
        <v>0</v>
      </c>
      <c r="G282" s="223"/>
      <c r="H282" s="223">
        <f>+'Summary - Reserve - PG 2 (Tot)'!G74</f>
        <v>0</v>
      </c>
      <c r="I282" s="223"/>
      <c r="J282" s="223">
        <f>+'Summary - Reserve - PG 2 (Tot)'!I74</f>
        <v>-14615.87</v>
      </c>
      <c r="K282" s="223"/>
      <c r="L282" s="223">
        <f>+'Summary - Reserve - PG 2 (Tot)'!K74</f>
        <v>0</v>
      </c>
      <c r="M282" s="223"/>
      <c r="N282" s="223">
        <f>+'Summary - Reserve - PG 2 (Tot)'!M74</f>
        <v>-4039482.9699999997</v>
      </c>
      <c r="O282" s="223"/>
      <c r="P282" s="223">
        <f>+'Summary - Reserve - PG 2 (Tot)'!O74</f>
        <v>5226585.53</v>
      </c>
      <c r="Q282" s="223"/>
      <c r="R282" s="223">
        <f>+'Summary - Reserve - PG 2 (Tot)'!Q74</f>
        <v>-301510.06</v>
      </c>
      <c r="S282" s="223"/>
      <c r="T282" s="223">
        <f>+'Summary - Reserve - PG 2 (Tot)'!S74</f>
        <v>-83094.73</v>
      </c>
      <c r="U282" s="223"/>
      <c r="V282" s="223">
        <f>T282+R282+P282+N282+J282+H282+F282+D282+L282</f>
        <v>12712596.930000003</v>
      </c>
      <c r="W282" s="223"/>
      <c r="X282" s="221"/>
      <c r="Y282" s="221"/>
      <c r="Z282" s="221"/>
      <c r="AA282" s="221"/>
      <c r="AB282" s="221"/>
    </row>
    <row r="283" spans="1:28" s="220" customFormat="1" outlineLevel="3">
      <c r="A283" s="218"/>
      <c r="C283" s="220" t="s">
        <v>120</v>
      </c>
      <c r="D283" s="225">
        <f>+'Summary - Reserve - PG 2 (Tot)'!C75</f>
        <v>1590687.7799999993</v>
      </c>
      <c r="E283" s="223"/>
      <c r="F283" s="225">
        <f>+'Summary - Reserve - PG 2 (Tot)'!E75</f>
        <v>0</v>
      </c>
      <c r="G283" s="223"/>
      <c r="H283" s="225">
        <f>+'Summary - Reserve - PG 2 (Tot)'!G75</f>
        <v>0</v>
      </c>
      <c r="I283" s="223"/>
      <c r="J283" s="225">
        <f>+'Summary - Reserve - PG 2 (Tot)'!I75</f>
        <v>14615.87</v>
      </c>
      <c r="K283" s="223"/>
      <c r="L283" s="225">
        <f>+'Summary - Reserve - PG 2 (Tot)'!K75</f>
        <v>0</v>
      </c>
      <c r="M283" s="223"/>
      <c r="N283" s="225">
        <f>+'Summary - Reserve - PG 2 (Tot)'!M75</f>
        <v>-81453.78</v>
      </c>
      <c r="O283" s="223"/>
      <c r="P283" s="225">
        <f>+'Summary - Reserve - PG 2 (Tot)'!O75</f>
        <v>284819.84999999998</v>
      </c>
      <c r="Q283" s="223"/>
      <c r="R283" s="225">
        <f>+'Summary - Reserve - PG 2 (Tot)'!Q75</f>
        <v>-1181.0900000000001</v>
      </c>
      <c r="S283" s="223"/>
      <c r="T283" s="225">
        <f>+'Summary - Reserve - PG 2 (Tot)'!S75</f>
        <v>0</v>
      </c>
      <c r="U283" s="223"/>
      <c r="V283" s="223">
        <f>T283+R283+P283+N283+J283+H283+F283+D283+L283</f>
        <v>1807488.6299999992</v>
      </c>
      <c r="W283" s="223"/>
      <c r="X283" s="221"/>
      <c r="Y283" s="221"/>
      <c r="Z283" s="221"/>
      <c r="AA283" s="221"/>
      <c r="AB283" s="221"/>
    </row>
    <row r="284" spans="1:28" s="220" customFormat="1" outlineLevel="3">
      <c r="A284" s="218"/>
      <c r="C284" s="227"/>
      <c r="D284" s="228">
        <f>SUM(D281:D283)</f>
        <v>13665165.160000002</v>
      </c>
      <c r="E284" s="223"/>
      <c r="F284" s="228">
        <f>SUM(F281:F283)</f>
        <v>0</v>
      </c>
      <c r="G284" s="223"/>
      <c r="H284" s="228">
        <f>SUM(H281:H283)</f>
        <v>0</v>
      </c>
      <c r="I284" s="223"/>
      <c r="J284" s="228">
        <f>SUM(J281:J283)</f>
        <v>0</v>
      </c>
      <c r="K284" s="223"/>
      <c r="L284" s="228">
        <f t="shared" ref="L284" si="79">SUM(L281:L283)</f>
        <v>0</v>
      </c>
      <c r="M284" s="223"/>
      <c r="N284" s="228">
        <f>SUM(N281:N283)</f>
        <v>-4134494.5899999994</v>
      </c>
      <c r="O284" s="223"/>
      <c r="P284" s="228">
        <f>SUM(P281:P283)</f>
        <v>5494244.1899999995</v>
      </c>
      <c r="Q284" s="223"/>
      <c r="R284" s="228">
        <f>SUM(R281:R283)</f>
        <v>-313188.10000000003</v>
      </c>
      <c r="S284" s="223"/>
      <c r="T284" s="228">
        <f>SUM(T281:T283)</f>
        <v>-83094.73</v>
      </c>
      <c r="U284" s="223"/>
      <c r="V284" s="228">
        <f>SUM(V281:V283)</f>
        <v>14628631.930000002</v>
      </c>
      <c r="W284" s="222"/>
      <c r="X284" s="221"/>
      <c r="Y284" s="221"/>
      <c r="Z284" s="221"/>
      <c r="AA284" s="221"/>
      <c r="AB284" s="221"/>
    </row>
    <row r="285" spans="1:28" s="220" customFormat="1" outlineLevel="3">
      <c r="A285" s="218"/>
      <c r="D285" s="223"/>
      <c r="E285" s="223"/>
      <c r="F285" s="223"/>
      <c r="G285" s="223"/>
      <c r="H285" s="223"/>
      <c r="I285" s="223"/>
      <c r="J285" s="223"/>
      <c r="K285" s="223"/>
      <c r="L285" s="223"/>
      <c r="M285" s="223"/>
      <c r="N285" s="223"/>
      <c r="O285" s="223"/>
      <c r="P285" s="223"/>
      <c r="Q285" s="223"/>
      <c r="R285" s="223"/>
      <c r="S285" s="223"/>
      <c r="T285" s="223"/>
      <c r="U285" s="223"/>
      <c r="V285" s="223"/>
      <c r="W285" s="223"/>
      <c r="X285" s="221"/>
      <c r="Y285" s="221"/>
      <c r="Z285" s="221"/>
      <c r="AA285" s="221"/>
      <c r="AB285" s="221"/>
    </row>
    <row r="286" spans="1:28" s="220" customFormat="1" outlineLevel="3">
      <c r="A286" s="220" t="s">
        <v>1144</v>
      </c>
      <c r="B286" s="219" t="s">
        <v>1094</v>
      </c>
    </row>
    <row r="287" spans="1:28" s="220" customFormat="1" outlineLevel="3">
      <c r="C287" s="220" t="s">
        <v>652</v>
      </c>
      <c r="D287" s="223">
        <f>+'RWIP BY ACCOUNT - PG 2A (Tot)'!C17</f>
        <v>0</v>
      </c>
      <c r="F287" s="223">
        <f>+'RWIP BY ACCOUNT - PG 2A (Tot)'!E17</f>
        <v>0</v>
      </c>
      <c r="H287" s="223">
        <f>+'RWIP BY ACCOUNT - PG 2A (Tot)'!G17</f>
        <v>0</v>
      </c>
      <c r="J287" s="223">
        <f>+'RWIP BY ACCOUNT - PG 2A (Tot)'!I17</f>
        <v>0</v>
      </c>
      <c r="K287" s="223"/>
      <c r="L287" s="223"/>
      <c r="N287" s="223">
        <f>+'RWIP BY ACCOUNT - PG 2A (Tot)'!M17</f>
        <v>0</v>
      </c>
      <c r="P287" s="223">
        <f>+'RWIP BY ACCOUNT - PG 2A (Tot)'!O17</f>
        <v>0</v>
      </c>
      <c r="R287" s="223">
        <f>+'RWIP BY ACCOUNT - PG 2A (Tot)'!Q17</f>
        <v>0</v>
      </c>
      <c r="T287" s="223">
        <f>+'RWIP BY ACCOUNT - PG 2A (Tot)'!S17</f>
        <v>0</v>
      </c>
      <c r="V287" s="223">
        <f>+'RWIP BY ACCOUNT - PG 2A (Tot)'!U17</f>
        <v>0</v>
      </c>
      <c r="W287" s="223"/>
    </row>
    <row r="288" spans="1:28" s="220" customFormat="1" outlineLevel="3">
      <c r="C288" s="220" t="s">
        <v>112</v>
      </c>
      <c r="D288" s="223">
        <f>+'RWIP BY ACCOUNT - PG 2A (Tot)'!C18</f>
        <v>0</v>
      </c>
      <c r="F288" s="223">
        <f>+'RWIP BY ACCOUNT - PG 2A (Tot)'!E18</f>
        <v>0</v>
      </c>
      <c r="H288" s="223">
        <f>+'RWIP BY ACCOUNT - PG 2A (Tot)'!G18</f>
        <v>0</v>
      </c>
      <c r="J288" s="223">
        <f>+'RWIP BY ACCOUNT - PG 2A (Tot)'!I18</f>
        <v>0</v>
      </c>
      <c r="K288" s="223"/>
      <c r="L288" s="223"/>
      <c r="N288" s="223">
        <f>+'RWIP BY ACCOUNT - PG 2A (Tot)'!M18</f>
        <v>0</v>
      </c>
      <c r="P288" s="223">
        <f>+'RWIP BY ACCOUNT - PG 2A (Tot)'!O18</f>
        <v>0</v>
      </c>
      <c r="R288" s="223">
        <f>+'RWIP BY ACCOUNT - PG 2A (Tot)'!Q18</f>
        <v>0</v>
      </c>
      <c r="T288" s="223">
        <f>+'RWIP BY ACCOUNT - PG 2A (Tot)'!S18</f>
        <v>0</v>
      </c>
      <c r="V288" s="223">
        <f>+'RWIP BY ACCOUNT - PG 2A (Tot)'!U18</f>
        <v>0</v>
      </c>
      <c r="W288" s="223"/>
    </row>
    <row r="289" spans="1:46" s="220" customFormat="1" outlineLevel="3">
      <c r="C289" s="220" t="s">
        <v>120</v>
      </c>
      <c r="D289" s="223">
        <f>+'RWIP BY ACCOUNT - PG 2A (Tot)'!C19</f>
        <v>0</v>
      </c>
      <c r="F289" s="223">
        <f>+'RWIP BY ACCOUNT - PG 2A (Tot)'!E19</f>
        <v>0</v>
      </c>
      <c r="H289" s="223">
        <f>+'RWIP BY ACCOUNT - PG 2A (Tot)'!G19</f>
        <v>0</v>
      </c>
      <c r="J289" s="223">
        <f>+'RWIP BY ACCOUNT - PG 2A (Tot)'!I19</f>
        <v>0</v>
      </c>
      <c r="K289" s="223"/>
      <c r="L289" s="223"/>
      <c r="N289" s="223">
        <f>+'RWIP BY ACCOUNT - PG 2A (Tot)'!M19</f>
        <v>0</v>
      </c>
      <c r="P289" s="223">
        <f>+'RWIP BY ACCOUNT - PG 2A (Tot)'!O19</f>
        <v>0</v>
      </c>
      <c r="R289" s="223">
        <f>+'RWIP BY ACCOUNT - PG 2A (Tot)'!Q19</f>
        <v>0</v>
      </c>
      <c r="T289" s="223">
        <f>+'RWIP BY ACCOUNT - PG 2A (Tot)'!S19</f>
        <v>0</v>
      </c>
      <c r="V289" s="223">
        <f>+'RWIP BY ACCOUNT - PG 2A (Tot)'!U19</f>
        <v>0</v>
      </c>
      <c r="W289" s="223"/>
    </row>
    <row r="290" spans="1:46" s="220" customFormat="1" outlineLevel="3">
      <c r="D290" s="228">
        <f>SUM(D287:D289)</f>
        <v>0</v>
      </c>
      <c r="F290" s="228">
        <f>SUM(F287:F289)</f>
        <v>0</v>
      </c>
      <c r="H290" s="228">
        <f>SUM(H287:H289)</f>
        <v>0</v>
      </c>
      <c r="J290" s="228">
        <f>SUM(J287:J289)</f>
        <v>0</v>
      </c>
      <c r="K290" s="222"/>
      <c r="L290" s="222"/>
      <c r="N290" s="228">
        <f>SUM(N287:N289)</f>
        <v>0</v>
      </c>
      <c r="P290" s="228">
        <f>SUM(P287:P289)</f>
        <v>0</v>
      </c>
      <c r="R290" s="228">
        <f>SUM(R287:R289)</f>
        <v>0</v>
      </c>
      <c r="T290" s="228">
        <f>SUM(T287:T289)</f>
        <v>0</v>
      </c>
      <c r="V290" s="228">
        <f>+'RWIP BY ACCOUNT - PG 2A (Tot)'!U20</f>
        <v>0</v>
      </c>
      <c r="W290" s="222"/>
    </row>
    <row r="291" spans="1:46" s="220" customFormat="1" outlineLevel="3">
      <c r="A291" s="220" t="s">
        <v>1144</v>
      </c>
      <c r="B291" s="219" t="s">
        <v>1095</v>
      </c>
    </row>
    <row r="292" spans="1:46" s="220" customFormat="1" outlineLevel="3">
      <c r="C292" s="220" t="s">
        <v>652</v>
      </c>
      <c r="D292" s="223">
        <f>+'RWIP BY ACCOUNT - PG 2A (Tot)'!C22</f>
        <v>0</v>
      </c>
      <c r="F292" s="223">
        <f>+'RWIP BY ACCOUNT - PG 2A (Tot)'!E22</f>
        <v>0</v>
      </c>
      <c r="H292" s="223">
        <f>+'RWIP BY ACCOUNT - PG 2A (Tot)'!G22</f>
        <v>0</v>
      </c>
      <c r="J292" s="223">
        <f>+'RWIP BY ACCOUNT - PG 2A (Tot)'!I22</f>
        <v>0</v>
      </c>
      <c r="K292" s="223"/>
      <c r="L292" s="223">
        <f>+'RWIP BY ACCOUNT - PG 2A (Tot)'!K22</f>
        <v>0</v>
      </c>
      <c r="N292" s="223">
        <f>+'RWIP BY ACCOUNT - PG 2A (Tot)'!M22</f>
        <v>0</v>
      </c>
      <c r="P292" s="223">
        <f>+'RWIP BY ACCOUNT - PG 2A (Tot)'!O22</f>
        <v>0</v>
      </c>
      <c r="R292" s="223">
        <f>+'RWIP BY ACCOUNT - PG 2A (Tot)'!Q22</f>
        <v>0</v>
      </c>
      <c r="T292" s="223">
        <f>+'RWIP BY ACCOUNT - PG 2A (Tot)'!S22</f>
        <v>0</v>
      </c>
      <c r="V292" s="223">
        <f>T292+R292+P292+N292+J292+H292+F292+D292+L292</f>
        <v>0</v>
      </c>
      <c r="W292" s="223"/>
    </row>
    <row r="293" spans="1:46" s="220" customFormat="1" outlineLevel="3">
      <c r="C293" s="220" t="s">
        <v>112</v>
      </c>
      <c r="D293" s="223">
        <f>+'RWIP BY ACCOUNT - PG 2A (Tot)'!C23</f>
        <v>1543397.0899999994</v>
      </c>
      <c r="F293" s="223">
        <f>+'RWIP BY ACCOUNT - PG 2A (Tot)'!E23</f>
        <v>0</v>
      </c>
      <c r="H293" s="223">
        <f>+'RWIP BY ACCOUNT - PG 2A (Tot)'!G23</f>
        <v>0</v>
      </c>
      <c r="J293" s="223">
        <f>+'RWIP BY ACCOUNT - PG 2A (Tot)'!I23</f>
        <v>0</v>
      </c>
      <c r="K293" s="223"/>
      <c r="L293" s="223">
        <f>+'RWIP BY ACCOUNT - PG 2A (Tot)'!K23</f>
        <v>0</v>
      </c>
      <c r="N293" s="223">
        <f>+'RWIP BY ACCOUNT - PG 2A (Tot)'!M23</f>
        <v>0</v>
      </c>
      <c r="P293" s="223">
        <f>+'RWIP BY ACCOUNT - PG 2A (Tot)'!O23</f>
        <v>27883.1</v>
      </c>
      <c r="R293" s="223">
        <f>+'RWIP BY ACCOUNT - PG 2A (Tot)'!Q23</f>
        <v>0</v>
      </c>
      <c r="T293" s="223">
        <f>+'RWIP BY ACCOUNT - PG 2A (Tot)'!S23</f>
        <v>0</v>
      </c>
      <c r="V293" s="223">
        <f>T293+R293+P293+N293+J293+H293+F293+D293+L293</f>
        <v>1571280.1899999995</v>
      </c>
      <c r="W293" s="223"/>
    </row>
    <row r="294" spans="1:46" s="220" customFormat="1" outlineLevel="3">
      <c r="C294" s="220" t="s">
        <v>120</v>
      </c>
      <c r="D294" s="223">
        <f>+'RWIP BY ACCOUNT - PG 2A (Tot)'!C24</f>
        <v>206491.79999999958</v>
      </c>
      <c r="F294" s="223">
        <f>+'RWIP BY ACCOUNT - PG 2A (Tot)'!E24</f>
        <v>0</v>
      </c>
      <c r="H294" s="223">
        <f>+'RWIP BY ACCOUNT - PG 2A (Tot)'!G24</f>
        <v>0</v>
      </c>
      <c r="J294" s="223">
        <f>+'RWIP BY ACCOUNT - PG 2A (Tot)'!I24</f>
        <v>0</v>
      </c>
      <c r="K294" s="223"/>
      <c r="L294" s="223">
        <f>+'RWIP BY ACCOUNT - PG 2A (Tot)'!K24</f>
        <v>0</v>
      </c>
      <c r="N294" s="223">
        <f>+'RWIP BY ACCOUNT - PG 2A (Tot)'!M24</f>
        <v>0</v>
      </c>
      <c r="P294" s="223">
        <f>+'RWIP BY ACCOUNT - PG 2A (Tot)'!O24</f>
        <v>14447.33</v>
      </c>
      <c r="R294" s="223">
        <f>+'RWIP BY ACCOUNT - PG 2A (Tot)'!Q24</f>
        <v>0</v>
      </c>
      <c r="T294" s="223">
        <f>+'RWIP BY ACCOUNT - PG 2A (Tot)'!S24</f>
        <v>0</v>
      </c>
      <c r="V294" s="223">
        <f>T294+R294+P294+N294+J294+H294+F294+D294+L294</f>
        <v>220939.12999999957</v>
      </c>
      <c r="W294" s="223"/>
    </row>
    <row r="295" spans="1:46" s="220" customFormat="1" outlineLevel="3">
      <c r="D295" s="228">
        <f>SUM(D292:D294)</f>
        <v>1749888.889999999</v>
      </c>
      <c r="F295" s="228">
        <f>SUM(F292:F294)</f>
        <v>0</v>
      </c>
      <c r="H295" s="228">
        <f>SUM(H292:H294)</f>
        <v>0</v>
      </c>
      <c r="J295" s="228">
        <f>SUM(J292:J294)</f>
        <v>0</v>
      </c>
      <c r="K295" s="222"/>
      <c r="L295" s="228">
        <f>SUM(L292:L294)</f>
        <v>0</v>
      </c>
      <c r="N295" s="228">
        <f>SUM(N292:N294)</f>
        <v>0</v>
      </c>
      <c r="P295" s="228">
        <f>SUM(P292:P294)</f>
        <v>42330.43</v>
      </c>
      <c r="R295" s="228">
        <f>SUM(R292:R294)</f>
        <v>0</v>
      </c>
      <c r="T295" s="228">
        <f>SUM(T292:T294)</f>
        <v>0</v>
      </c>
      <c r="V295" s="228">
        <f>SUM(V292:V294)</f>
        <v>1792219.3199999991</v>
      </c>
      <c r="W295" s="222"/>
    </row>
    <row r="296" spans="1:46" s="220" customFormat="1" outlineLevel="3">
      <c r="A296" s="218"/>
      <c r="D296" s="223"/>
      <c r="E296" s="223"/>
      <c r="F296" s="223"/>
      <c r="G296" s="223"/>
      <c r="H296" s="223"/>
      <c r="I296" s="223"/>
      <c r="J296" s="223"/>
      <c r="K296" s="223"/>
      <c r="L296" s="223"/>
      <c r="M296" s="223"/>
      <c r="N296" s="223"/>
      <c r="O296" s="223"/>
      <c r="P296" s="223"/>
      <c r="Q296" s="223"/>
      <c r="R296" s="223"/>
      <c r="S296" s="223"/>
      <c r="T296" s="223"/>
      <c r="U296" s="223"/>
      <c r="V296" s="223">
        <f>+V295-T295-R295-P295-N295-J295-H295-F295-D295-L295</f>
        <v>2.3283064365386963E-10</v>
      </c>
      <c r="W296" s="223"/>
      <c r="X296" s="221"/>
      <c r="Y296" s="221"/>
      <c r="Z296" s="221"/>
      <c r="AA296" s="221"/>
      <c r="AB296" s="221"/>
    </row>
    <row r="297" spans="1:46" s="220" customFormat="1" outlineLevel="3">
      <c r="A297" s="218" t="s">
        <v>1143</v>
      </c>
      <c r="B297" s="219" t="s">
        <v>1272</v>
      </c>
      <c r="D297" s="223"/>
      <c r="E297" s="223"/>
      <c r="F297" s="223"/>
      <c r="G297" s="223"/>
      <c r="H297" s="223"/>
      <c r="I297" s="223"/>
      <c r="J297" s="223"/>
      <c r="K297" s="223"/>
      <c r="L297" s="223"/>
      <c r="M297" s="223"/>
      <c r="N297" s="223"/>
      <c r="O297" s="223"/>
      <c r="P297" s="223"/>
      <c r="Q297" s="223"/>
      <c r="R297" s="223"/>
      <c r="S297" s="223"/>
      <c r="T297" s="223"/>
      <c r="U297" s="223"/>
      <c r="V297" s="223"/>
      <c r="W297" s="223"/>
      <c r="X297" s="221"/>
      <c r="Y297" s="221"/>
      <c r="Z297" s="221"/>
      <c r="AA297" s="221"/>
      <c r="AB297" s="221"/>
    </row>
    <row r="298" spans="1:46" s="220" customFormat="1" outlineLevel="3">
      <c r="A298" s="218"/>
      <c r="C298" s="220" t="s">
        <v>1273</v>
      </c>
      <c r="D298" s="223">
        <v>-188608.63</v>
      </c>
      <c r="E298" s="223"/>
      <c r="F298" s="223">
        <f>-204350.68-D298</f>
        <v>-15742.049999999988</v>
      </c>
      <c r="G298" s="223"/>
      <c r="H298" s="223"/>
      <c r="I298" s="223"/>
      <c r="J298" s="223"/>
      <c r="K298" s="223"/>
      <c r="L298" s="223"/>
      <c r="M298" s="223"/>
      <c r="N298" s="223"/>
      <c r="O298" s="223"/>
      <c r="P298" s="223"/>
      <c r="Q298" s="223"/>
      <c r="R298" s="223"/>
      <c r="S298" s="223"/>
      <c r="T298" s="223"/>
      <c r="U298" s="223"/>
      <c r="V298" s="223">
        <f>T298+R298+P298+N298+J298+H298+F298+D298</f>
        <v>-204350.68</v>
      </c>
      <c r="W298" s="223"/>
      <c r="X298" s="221"/>
      <c r="Y298" s="221"/>
      <c r="Z298" s="221"/>
      <c r="AA298" s="221"/>
      <c r="AB298" s="221"/>
    </row>
    <row r="299" spans="1:46" s="220" customFormat="1" outlineLevel="3">
      <c r="A299" s="218"/>
      <c r="C299" s="220" t="s">
        <v>120</v>
      </c>
      <c r="D299" s="223">
        <v>-2149408.34</v>
      </c>
      <c r="E299" s="223"/>
      <c r="F299" s="223">
        <f>-2155824.27-D299</f>
        <v>-6415.9300000001676</v>
      </c>
      <c r="G299" s="223"/>
      <c r="H299" s="223"/>
      <c r="I299" s="223"/>
      <c r="J299" s="223"/>
      <c r="K299" s="223"/>
      <c r="L299" s="223"/>
      <c r="M299" s="223"/>
      <c r="N299" s="223"/>
      <c r="O299" s="223"/>
      <c r="P299" s="223"/>
      <c r="Q299" s="223"/>
      <c r="R299" s="223"/>
      <c r="S299" s="223"/>
      <c r="T299" s="223"/>
      <c r="U299" s="223"/>
      <c r="V299" s="223">
        <f>T299+R299+P299+N299+J299+H299+F299+D299</f>
        <v>-2155824.27</v>
      </c>
      <c r="W299" s="223"/>
      <c r="X299" s="221"/>
      <c r="Y299" s="221"/>
      <c r="Z299" s="221"/>
      <c r="AA299" s="221"/>
      <c r="AB299" s="221"/>
    </row>
    <row r="300" spans="1:46" s="220" customFormat="1" outlineLevel="3">
      <c r="A300" s="218"/>
      <c r="D300" s="228">
        <f>SUM(D297:D299)</f>
        <v>-2338016.9699999997</v>
      </c>
      <c r="E300" s="223"/>
      <c r="F300" s="228">
        <f>SUM(F297:F299)</f>
        <v>-22157.980000000156</v>
      </c>
      <c r="G300" s="223"/>
      <c r="H300" s="228">
        <f>SUM(H297:H299)</f>
        <v>0</v>
      </c>
      <c r="I300" s="223"/>
      <c r="J300" s="228">
        <f>SUM(J297:J299)</f>
        <v>0</v>
      </c>
      <c r="K300" s="222"/>
      <c r="L300" s="222"/>
      <c r="M300" s="223"/>
      <c r="N300" s="228">
        <f>SUM(N297:N299)</f>
        <v>0</v>
      </c>
      <c r="O300" s="223"/>
      <c r="P300" s="228">
        <f>SUM(P297:P299)</f>
        <v>0</v>
      </c>
      <c r="Q300" s="223"/>
      <c r="R300" s="228">
        <f>SUM(R297:R299)</f>
        <v>0</v>
      </c>
      <c r="S300" s="223"/>
      <c r="T300" s="228">
        <f>SUM(T297:T299)</f>
        <v>0</v>
      </c>
      <c r="U300" s="223"/>
      <c r="V300" s="228">
        <f>SUM(V297:V299)</f>
        <v>-2360174.9500000002</v>
      </c>
      <c r="W300" s="223"/>
      <c r="X300" s="221"/>
      <c r="Y300" s="221"/>
      <c r="Z300" s="221"/>
      <c r="AA300" s="221"/>
      <c r="AB300" s="221"/>
    </row>
    <row r="301" spans="1:46" s="220" customFormat="1" outlineLevel="3">
      <c r="A301" s="218"/>
      <c r="D301" s="223"/>
      <c r="E301" s="223"/>
      <c r="F301" s="223"/>
      <c r="G301" s="223"/>
      <c r="H301" s="223"/>
      <c r="I301" s="223"/>
      <c r="J301" s="223"/>
      <c r="K301" s="223"/>
      <c r="L301" s="223"/>
      <c r="M301" s="223"/>
      <c r="N301" s="223"/>
      <c r="O301" s="223"/>
      <c r="P301" s="223"/>
      <c r="Q301" s="223"/>
      <c r="R301" s="223"/>
      <c r="S301" s="223"/>
      <c r="T301" s="223"/>
      <c r="U301" s="223"/>
      <c r="V301" s="223"/>
      <c r="W301" s="223"/>
      <c r="X301" s="221"/>
      <c r="Y301" s="221"/>
      <c r="Z301" s="221"/>
      <c r="AA301" s="221"/>
      <c r="AB301" s="221"/>
    </row>
    <row r="302" spans="1:46" outlineLevel="3">
      <c r="B302" s="184"/>
      <c r="D302" s="181"/>
      <c r="E302" s="181"/>
      <c r="F302" s="181"/>
      <c r="G302" s="181"/>
      <c r="H302" s="181"/>
      <c r="I302" s="181"/>
      <c r="J302" s="181"/>
      <c r="K302" s="181"/>
      <c r="L302" s="181"/>
      <c r="M302" s="181"/>
      <c r="N302" s="181"/>
      <c r="O302" s="181"/>
      <c r="P302" s="181"/>
      <c r="Q302" s="181"/>
      <c r="R302" s="181"/>
      <c r="S302" s="181"/>
      <c r="T302" s="181"/>
      <c r="U302" s="181"/>
      <c r="V302" s="181"/>
      <c r="W302" s="181"/>
    </row>
    <row r="303" spans="1:46" outlineLevel="3">
      <c r="B303" s="184"/>
      <c r="D303" s="181"/>
      <c r="E303" s="181"/>
      <c r="F303" s="181"/>
      <c r="G303" s="181"/>
      <c r="H303" s="181"/>
      <c r="I303" s="181"/>
      <c r="J303" s="181"/>
      <c r="K303" s="181"/>
      <c r="L303" s="181"/>
      <c r="M303" s="181"/>
      <c r="N303" s="181"/>
      <c r="O303" s="181"/>
      <c r="P303" s="181"/>
      <c r="Q303" s="181"/>
      <c r="R303" s="181"/>
      <c r="S303" s="181"/>
      <c r="T303" s="181"/>
      <c r="U303" s="181"/>
      <c r="V303" s="181"/>
      <c r="W303" s="181"/>
    </row>
    <row r="304" spans="1:46" outlineLevel="1">
      <c r="B304" s="245" t="s">
        <v>1124</v>
      </c>
      <c r="D304" s="211">
        <f>+D262+D278+D284-D295-D290+D300</f>
        <v>-286215126.80999994</v>
      </c>
      <c r="E304" s="211"/>
      <c r="F304" s="211">
        <f>+F262+F278+F284-F295-F290+F300</f>
        <v>-6561905.5000000009</v>
      </c>
      <c r="G304" s="211"/>
      <c r="H304" s="211">
        <f>+H262+H278+H284-H295-H290+H300</f>
        <v>0</v>
      </c>
      <c r="I304" s="211"/>
      <c r="J304" s="211">
        <f>+J262+J278+J284-J295-J290+J300</f>
        <v>0</v>
      </c>
      <c r="K304" s="211"/>
      <c r="L304" s="211">
        <f>+L262+L278+L284-L295-L290+L300</f>
        <v>0</v>
      </c>
      <c r="M304" s="211"/>
      <c r="N304" s="211">
        <f>+N262+N278+N284-N295-N290+N300</f>
        <v>-4134494.5899999994</v>
      </c>
      <c r="O304" s="211"/>
      <c r="P304" s="211">
        <f>+P262+P278+P284-P295-P290+P300</f>
        <v>10127708.18</v>
      </c>
      <c r="Q304" s="211"/>
      <c r="R304" s="211">
        <f>+R262+R278+R284-R295-R290+R300</f>
        <v>-854487.93000000017</v>
      </c>
      <c r="S304" s="211"/>
      <c r="T304" s="211">
        <f>+T262+T278+T284-T295-T290+T300</f>
        <v>-83094.73</v>
      </c>
      <c r="U304" s="211"/>
      <c r="V304" s="211">
        <f>+V262+V278+V284-V295-V290+V300</f>
        <v>-287721401.38</v>
      </c>
      <c r="W304" s="211"/>
      <c r="X304" s="211">
        <f>+F304-Y304-AA304</f>
        <v>-6539747.5200000005</v>
      </c>
      <c r="Y304" s="211">
        <f>+'Summary - Reserve - PG 2 (PA)'!E64</f>
        <v>0</v>
      </c>
      <c r="Z304" s="211"/>
      <c r="AA304" s="211">
        <f>+F300</f>
        <v>-22157.980000000156</v>
      </c>
      <c r="AB304" s="211"/>
      <c r="AC304" s="163"/>
      <c r="AD304" s="163"/>
      <c r="AE304" s="243">
        <f>+H304</f>
        <v>0</v>
      </c>
      <c r="AF304" s="243"/>
      <c r="AG304" s="243">
        <f>-'Land &amp; Vehicle Retire P3A(Fin)'!K11</f>
        <v>0</v>
      </c>
      <c r="AH304" s="243"/>
      <c r="AI304" s="243"/>
      <c r="AJ304" s="243"/>
      <c r="AK304" s="243"/>
      <c r="AL304" s="243"/>
      <c r="AM304" s="243"/>
      <c r="AN304" s="243">
        <f>+J304+J290-AG304-AL304</f>
        <v>0</v>
      </c>
      <c r="AO304" s="211"/>
      <c r="AP304" s="211">
        <f>+P284+R284+T284-P295</f>
        <v>5055630.93</v>
      </c>
      <c r="AS304" s="211">
        <f>SUM(X304:AQ304)</f>
        <v>-1506274.5700000012</v>
      </c>
      <c r="AT304" s="211">
        <f>+V304-D304-AS304</f>
        <v>-5.1222741603851318E-8</v>
      </c>
    </row>
    <row r="305" spans="2:46" outlineLevel="1">
      <c r="D305" s="211">
        <f>+D304-D15</f>
        <v>0</v>
      </c>
      <c r="V305" s="211">
        <f>+V304-V15</f>
        <v>0</v>
      </c>
      <c r="W305" s="211"/>
    </row>
    <row r="306" spans="2:46" outlineLevel="1">
      <c r="D306" s="211"/>
      <c r="V306" s="211">
        <f>+V304-D304-F304-H304-J304-N304-P304-R304-T304-L304</f>
        <v>-5.213951226323843E-8</v>
      </c>
      <c r="W306" s="211"/>
      <c r="X306" s="246">
        <f t="shared" ref="X306:AO306" si="80">SUM(X35:X305)</f>
        <v>-37464486.660000004</v>
      </c>
      <c r="Y306" s="246"/>
      <c r="Z306" s="246"/>
      <c r="AA306" s="246"/>
      <c r="AB306" s="246"/>
      <c r="AC306" s="246">
        <f t="shared" si="80"/>
        <v>0</v>
      </c>
      <c r="AD306" s="246"/>
      <c r="AE306" s="246">
        <f t="shared" si="80"/>
        <v>0</v>
      </c>
      <c r="AF306" s="246"/>
      <c r="AG306" s="246"/>
      <c r="AH306" s="246"/>
      <c r="AI306" s="246"/>
      <c r="AJ306" s="246"/>
      <c r="AK306" s="246"/>
      <c r="AL306" s="246"/>
      <c r="AM306" s="246"/>
      <c r="AN306" s="246">
        <f t="shared" si="80"/>
        <v>-247.30000000001974</v>
      </c>
      <c r="AO306" s="246">
        <f t="shared" si="80"/>
        <v>-156454.1</v>
      </c>
      <c r="AP306" s="246">
        <f>SUM(AP27:AP305)</f>
        <v>5055630.93</v>
      </c>
      <c r="AQ306" s="246">
        <f>SUM(AQ27:AQ305)</f>
        <v>43156140.920000017</v>
      </c>
      <c r="AR306" s="246"/>
      <c r="AS306" s="246"/>
      <c r="AT306" s="246"/>
    </row>
    <row r="307" spans="2:46" outlineLevel="1">
      <c r="B307" s="184"/>
      <c r="D307" s="243"/>
      <c r="E307" s="243"/>
      <c r="F307" s="243"/>
      <c r="G307" s="243"/>
      <c r="H307" s="243"/>
      <c r="I307" s="243"/>
      <c r="J307" s="243"/>
      <c r="K307" s="243"/>
      <c r="L307" s="243"/>
      <c r="M307" s="243"/>
      <c r="N307" s="243"/>
      <c r="O307" s="243"/>
      <c r="P307" s="243"/>
      <c r="Q307" s="243"/>
      <c r="R307" s="243"/>
      <c r="S307" s="243"/>
      <c r="T307" s="243"/>
      <c r="U307" s="243"/>
      <c r="V307" s="243"/>
      <c r="W307" s="243"/>
    </row>
    <row r="308" spans="2:46" outlineLevel="1">
      <c r="B308" s="184"/>
      <c r="D308" s="243"/>
      <c r="E308" s="243"/>
      <c r="F308" s="243"/>
      <c r="G308" s="243"/>
      <c r="H308" s="243"/>
      <c r="I308" s="243"/>
      <c r="J308" s="243"/>
      <c r="K308" s="243"/>
      <c r="L308" s="243"/>
      <c r="M308" s="243"/>
      <c r="N308" s="243"/>
      <c r="O308" s="243"/>
      <c r="P308" s="243"/>
      <c r="Q308" s="243"/>
      <c r="R308" s="243"/>
      <c r="S308" s="243"/>
      <c r="T308" s="243"/>
      <c r="U308" s="243"/>
      <c r="V308" s="243"/>
      <c r="W308" s="243"/>
    </row>
    <row r="309" spans="2:46" outlineLevel="1">
      <c r="B309" s="184"/>
      <c r="D309" s="243"/>
      <c r="E309" s="243"/>
      <c r="F309" s="243"/>
      <c r="G309" s="243"/>
      <c r="H309" s="243"/>
      <c r="I309" s="243"/>
      <c r="J309" s="243"/>
      <c r="K309" s="243"/>
      <c r="L309" s="243"/>
      <c r="M309" s="243"/>
      <c r="N309" s="243"/>
      <c r="O309" s="243"/>
      <c r="P309" s="243"/>
      <c r="Q309" s="243"/>
      <c r="R309" s="243"/>
      <c r="S309" s="243"/>
      <c r="T309" s="243"/>
      <c r="U309" s="243"/>
      <c r="V309" s="243"/>
      <c r="W309" s="243"/>
    </row>
    <row r="310" spans="2:46" outlineLevel="1"/>
  </sheetData>
  <mergeCells count="5">
    <mergeCell ref="A1:AT1"/>
    <mergeCell ref="A2:AT2"/>
    <mergeCell ref="A3:AT3"/>
    <mergeCell ref="X6:AO6"/>
    <mergeCell ref="AP6:AQ6"/>
  </mergeCells>
  <pageMargins left="0.45" right="0.45" top="0.75" bottom="0.75" header="0.3" footer="0.3"/>
  <pageSetup paperSize="5" scale="45" fitToHeight="0" orientation="landscape" r:id="rId1"/>
  <headerFooter>
    <oddFooter>&amp;L&amp;Z
&amp;F&amp;C&amp;A&amp;R2B.&amp;P</oddFooter>
  </headerFooter>
  <legacyDrawing r:id="rId2"/>
</worksheet>
</file>

<file path=xl/worksheets/sheet54.xml><?xml version="1.0" encoding="utf-8"?>
<worksheet xmlns="http://schemas.openxmlformats.org/spreadsheetml/2006/main" xmlns:r="http://schemas.openxmlformats.org/officeDocument/2006/relationships">
  <sheetPr codeName="Sheet91">
    <pageSetUpPr fitToPage="1"/>
  </sheetPr>
  <dimension ref="A1:AU362"/>
  <sheetViews>
    <sheetView zoomScale="80" workbookViewId="0">
      <pane xSplit="2" ySplit="8" topLeftCell="C9" activePane="bottomRight" state="frozen"/>
      <selection sqref="A1:P1"/>
      <selection pane="topRight" sqref="A1:P1"/>
      <selection pane="bottomLeft" sqref="A1:P1"/>
      <selection pane="bottomRight" sqref="A1:P1"/>
    </sheetView>
  </sheetViews>
  <sheetFormatPr defaultRowHeight="12.75"/>
  <cols>
    <col min="1" max="1" width="14.140625" style="10" customWidth="1"/>
    <col min="2" max="2" width="38.140625" style="10" customWidth="1"/>
    <col min="3" max="3" width="17.7109375" style="10" customWidth="1"/>
    <col min="4" max="4" width="3" style="10" customWidth="1"/>
    <col min="5" max="5" width="17.7109375" style="10" customWidth="1"/>
    <col min="6" max="6" width="1.7109375" style="10" customWidth="1"/>
    <col min="7" max="7" width="17.7109375" style="10" customWidth="1"/>
    <col min="8" max="8" width="1.7109375" style="10" customWidth="1"/>
    <col min="9" max="9" width="17.7109375" style="10" customWidth="1"/>
    <col min="10" max="10" width="2" style="10" customWidth="1"/>
    <col min="11" max="11" width="17.7109375" style="10" customWidth="1"/>
    <col min="12" max="12" width="1.7109375" style="10" customWidth="1"/>
    <col min="13" max="13" width="17.7109375" style="10" customWidth="1"/>
    <col min="14" max="14" width="1.7109375" style="10" customWidth="1"/>
    <col min="15" max="15" width="17.7109375" style="10" hidden="1" customWidth="1"/>
    <col min="16" max="16" width="2.28515625" style="10" hidden="1" customWidth="1"/>
    <col min="17" max="17" width="17.7109375" style="10" hidden="1" customWidth="1"/>
    <col min="18" max="18" width="2.28515625" style="10" hidden="1" customWidth="1"/>
    <col min="19" max="19" width="17.7109375" style="10" hidden="1" customWidth="1"/>
    <col min="20" max="20" width="2.28515625" style="10" hidden="1" customWidth="1"/>
    <col min="21" max="21" width="17.7109375" style="10" hidden="1" customWidth="1"/>
    <col min="22" max="22" width="2.28515625" style="10" hidden="1" customWidth="1"/>
    <col min="23" max="23" width="17.7109375" style="10" hidden="1" customWidth="1"/>
    <col min="24" max="24" width="2.28515625" style="10" hidden="1" customWidth="1"/>
    <col min="25" max="25" width="17.7109375" style="10" hidden="1" customWidth="1"/>
    <col min="26" max="26" width="2.28515625" style="10" hidden="1" customWidth="1"/>
    <col min="27" max="27" width="17.7109375" style="10" hidden="1" customWidth="1"/>
    <col min="28" max="28" width="2.28515625" style="10" hidden="1" customWidth="1"/>
    <col min="29" max="29" width="17.7109375" style="10" hidden="1" customWidth="1"/>
    <col min="30" max="30" width="2.28515625" style="10" hidden="1" customWidth="1"/>
    <col min="31" max="31" width="17.7109375" style="10" hidden="1" customWidth="1"/>
    <col min="32" max="32" width="2.28515625" style="10" hidden="1" customWidth="1"/>
    <col min="33" max="33" width="17.7109375" style="10" hidden="1" customWidth="1"/>
    <col min="34" max="34" width="2.28515625" style="10" hidden="1" customWidth="1"/>
    <col min="35" max="35" width="17.7109375" style="10" hidden="1" customWidth="1"/>
    <col min="36" max="36" width="2.28515625" style="10" hidden="1" customWidth="1"/>
    <col min="37" max="37" width="17.7109375" style="10" hidden="1" customWidth="1"/>
    <col min="38" max="38" width="2.28515625" style="10" hidden="1" customWidth="1"/>
    <col min="39" max="39" width="17.7109375" style="10" hidden="1" customWidth="1"/>
    <col min="40" max="40" width="2.28515625" style="10" customWidth="1"/>
    <col min="41" max="41" width="18.7109375" style="10" bestFit="1" customWidth="1"/>
    <col min="42" max="16384" width="9.140625" style="10"/>
  </cols>
  <sheetData>
    <row r="1" spans="1:47">
      <c r="A1" s="359" t="s">
        <v>134</v>
      </c>
      <c r="B1" s="359"/>
      <c r="C1" s="359"/>
      <c r="D1" s="359"/>
      <c r="E1" s="359"/>
      <c r="F1" s="359"/>
      <c r="G1" s="359"/>
      <c r="H1" s="359"/>
      <c r="I1" s="359"/>
      <c r="J1" s="359"/>
      <c r="K1" s="359"/>
      <c r="L1" s="359"/>
      <c r="M1" s="359"/>
      <c r="N1" s="359"/>
      <c r="O1" s="359"/>
      <c r="P1" s="359"/>
      <c r="Q1" s="359"/>
      <c r="R1" s="359"/>
      <c r="S1" s="359"/>
      <c r="T1" s="359"/>
      <c r="U1" s="359"/>
      <c r="V1" s="359"/>
      <c r="W1" s="359"/>
      <c r="X1" s="359"/>
      <c r="Y1" s="359"/>
      <c r="Z1" s="359"/>
      <c r="AA1" s="359"/>
      <c r="AB1" s="359"/>
      <c r="AC1" s="359"/>
      <c r="AD1" s="359"/>
      <c r="AE1" s="359"/>
      <c r="AF1" s="359"/>
      <c r="AG1" s="359"/>
      <c r="AH1" s="359"/>
      <c r="AI1" s="359"/>
      <c r="AJ1" s="359"/>
      <c r="AK1" s="359"/>
      <c r="AL1" s="359"/>
      <c r="AM1" s="359"/>
      <c r="AN1" s="359"/>
      <c r="AO1" s="359"/>
    </row>
    <row r="2" spans="1:47">
      <c r="A2" s="359" t="s">
        <v>1180</v>
      </c>
      <c r="B2" s="359"/>
      <c r="C2" s="359"/>
      <c r="D2" s="359"/>
      <c r="E2" s="359"/>
      <c r="F2" s="359"/>
      <c r="G2" s="359"/>
      <c r="H2" s="359"/>
      <c r="I2" s="359"/>
      <c r="J2" s="359"/>
      <c r="K2" s="359"/>
      <c r="L2" s="359"/>
      <c r="M2" s="359"/>
      <c r="N2" s="359"/>
      <c r="O2" s="359"/>
      <c r="P2" s="359"/>
      <c r="Q2" s="359"/>
      <c r="R2" s="359"/>
      <c r="S2" s="359"/>
      <c r="T2" s="359"/>
      <c r="U2" s="359"/>
      <c r="V2" s="359"/>
      <c r="W2" s="359"/>
      <c r="X2" s="359"/>
      <c r="Y2" s="359"/>
      <c r="Z2" s="359"/>
      <c r="AA2" s="359"/>
      <c r="AB2" s="359"/>
      <c r="AC2" s="359"/>
      <c r="AD2" s="359"/>
      <c r="AE2" s="359"/>
      <c r="AF2" s="359"/>
      <c r="AG2" s="359"/>
      <c r="AH2" s="359"/>
      <c r="AI2" s="359"/>
      <c r="AJ2" s="359"/>
      <c r="AK2" s="359"/>
      <c r="AL2" s="359"/>
      <c r="AM2" s="359"/>
      <c r="AN2" s="359"/>
      <c r="AO2" s="359"/>
    </row>
    <row r="3" spans="1:47">
      <c r="A3" s="361" t="str">
        <f>'Summary - Cost - PG 1 (Tot)'!A3:N3</f>
        <v>MARCH 2012</v>
      </c>
      <c r="B3" s="361"/>
      <c r="C3" s="361"/>
      <c r="D3" s="361"/>
      <c r="E3" s="361"/>
      <c r="F3" s="361"/>
      <c r="G3" s="361"/>
      <c r="H3" s="361"/>
      <c r="I3" s="361"/>
      <c r="J3" s="361"/>
      <c r="K3" s="361"/>
      <c r="L3" s="361"/>
      <c r="M3" s="361"/>
      <c r="N3" s="361"/>
      <c r="O3" s="361"/>
      <c r="P3" s="361"/>
      <c r="Q3" s="361"/>
      <c r="R3" s="361"/>
      <c r="S3" s="361"/>
      <c r="T3" s="361"/>
      <c r="U3" s="361"/>
      <c r="V3" s="361"/>
      <c r="W3" s="361"/>
      <c r="X3" s="361"/>
      <c r="Y3" s="361"/>
      <c r="Z3" s="361"/>
      <c r="AA3" s="361"/>
      <c r="AB3" s="361"/>
      <c r="AC3" s="361"/>
      <c r="AD3" s="361"/>
      <c r="AE3" s="361"/>
      <c r="AF3" s="361"/>
      <c r="AG3" s="361"/>
      <c r="AH3" s="361"/>
      <c r="AI3" s="361"/>
      <c r="AJ3" s="361"/>
      <c r="AK3" s="361"/>
      <c r="AL3" s="361"/>
      <c r="AM3" s="361"/>
      <c r="AN3" s="361"/>
      <c r="AO3" s="361"/>
    </row>
    <row r="4" spans="1:47">
      <c r="A4" s="191"/>
      <c r="B4" s="191"/>
      <c r="C4" s="191"/>
      <c r="D4" s="191"/>
      <c r="E4" s="191"/>
      <c r="F4" s="191"/>
      <c r="G4" s="191"/>
      <c r="H4" s="191"/>
      <c r="I4" s="191"/>
      <c r="J4" s="191"/>
      <c r="K4" s="191"/>
      <c r="L4" s="191"/>
      <c r="M4" s="191"/>
      <c r="N4" s="191"/>
      <c r="O4" s="191"/>
      <c r="P4" s="191"/>
      <c r="Q4" s="305"/>
      <c r="R4" s="305"/>
      <c r="S4" s="308"/>
      <c r="T4" s="317"/>
      <c r="U4" s="317"/>
      <c r="V4" s="317"/>
      <c r="W4" s="317"/>
      <c r="X4" s="317"/>
      <c r="Y4" s="329"/>
      <c r="Z4" s="329"/>
      <c r="AA4" s="317"/>
      <c r="AB4" s="318"/>
      <c r="AC4" s="318"/>
      <c r="AD4" s="319"/>
      <c r="AE4" s="329"/>
      <c r="AF4" s="329"/>
      <c r="AG4" s="319"/>
      <c r="AH4" s="333"/>
      <c r="AI4" s="333"/>
      <c r="AJ4" s="333"/>
      <c r="AK4" s="333"/>
      <c r="AL4" s="308"/>
      <c r="AM4" s="247"/>
      <c r="AN4" s="247"/>
      <c r="AO4" s="191"/>
      <c r="AP4" s="191"/>
      <c r="AQ4" s="191"/>
      <c r="AR4" s="191"/>
      <c r="AS4" s="191"/>
      <c r="AT4" s="191"/>
      <c r="AU4" s="191"/>
    </row>
    <row r="5" spans="1:47" ht="13.5" customHeight="1">
      <c r="A5" s="191"/>
      <c r="B5" s="191"/>
      <c r="C5" s="191"/>
      <c r="D5" s="191"/>
      <c r="E5" s="191"/>
      <c r="F5" s="191"/>
      <c r="G5" s="191"/>
      <c r="H5" s="191"/>
      <c r="I5" s="191"/>
      <c r="J5" s="191"/>
      <c r="K5" s="191"/>
      <c r="L5" s="191"/>
      <c r="M5" s="191"/>
      <c r="N5" s="191"/>
      <c r="O5" s="191"/>
      <c r="P5" s="191"/>
      <c r="Q5" s="305"/>
      <c r="R5" s="305"/>
      <c r="S5" s="308"/>
      <c r="T5" s="317"/>
      <c r="U5" s="317"/>
      <c r="V5" s="317"/>
      <c r="W5" s="317"/>
      <c r="X5" s="317"/>
      <c r="Y5" s="329"/>
      <c r="Z5" s="329"/>
      <c r="AA5" s="317"/>
      <c r="AB5" s="318"/>
      <c r="AC5" s="318"/>
      <c r="AD5" s="319"/>
      <c r="AE5" s="329"/>
      <c r="AF5" s="329"/>
      <c r="AG5" s="319"/>
      <c r="AH5" s="333"/>
      <c r="AI5" s="333"/>
      <c r="AJ5" s="333"/>
      <c r="AK5" s="333"/>
      <c r="AL5" s="308"/>
      <c r="AM5" s="247"/>
      <c r="AN5" s="247"/>
      <c r="AO5" s="191"/>
      <c r="AP5" s="191"/>
      <c r="AQ5" s="191"/>
      <c r="AR5" s="191"/>
      <c r="AS5" s="191"/>
      <c r="AT5" s="191"/>
      <c r="AU5" s="191"/>
    </row>
    <row r="6" spans="1:47">
      <c r="A6" s="31"/>
      <c r="B6" s="57"/>
      <c r="C6" s="266">
        <v>40909</v>
      </c>
      <c r="D6" s="191"/>
      <c r="E6" s="339" t="s">
        <v>1961</v>
      </c>
      <c r="F6" s="191"/>
      <c r="G6" s="339" t="s">
        <v>1962</v>
      </c>
      <c r="H6" s="191"/>
      <c r="I6" s="339" t="s">
        <v>1963</v>
      </c>
      <c r="J6" s="271"/>
      <c r="K6" s="271"/>
      <c r="L6" s="191"/>
      <c r="M6" s="191"/>
      <c r="N6" s="191"/>
      <c r="O6" s="304"/>
      <c r="P6" s="191"/>
      <c r="Q6" s="304"/>
      <c r="R6" s="305"/>
      <c r="S6" s="308"/>
      <c r="T6" s="317"/>
      <c r="U6" s="317"/>
      <c r="V6" s="317"/>
      <c r="W6" s="317"/>
      <c r="X6" s="317"/>
      <c r="Y6" s="333"/>
      <c r="Z6" s="329"/>
      <c r="AA6" s="333"/>
      <c r="AB6" s="318"/>
      <c r="AC6" s="318"/>
      <c r="AD6" s="319"/>
      <c r="AE6" s="329"/>
      <c r="AF6" s="329"/>
      <c r="AG6" s="330"/>
      <c r="AH6" s="333"/>
      <c r="AI6" s="333"/>
      <c r="AJ6" s="333"/>
      <c r="AK6" s="333"/>
      <c r="AL6" s="333"/>
      <c r="AM6" s="333"/>
      <c r="AN6" s="247"/>
      <c r="AO6" s="191"/>
      <c r="AP6" s="9"/>
      <c r="AQ6" s="191"/>
      <c r="AR6" s="191"/>
      <c r="AS6" s="191"/>
      <c r="AT6" s="191"/>
      <c r="AU6" s="191"/>
    </row>
    <row r="7" spans="1:47">
      <c r="A7" s="31"/>
      <c r="B7" s="9"/>
      <c r="C7" s="84" t="s">
        <v>612</v>
      </c>
      <c r="D7" s="84"/>
      <c r="E7" s="84" t="s">
        <v>612</v>
      </c>
      <c r="F7" s="22"/>
      <c r="G7" s="84" t="s">
        <v>612</v>
      </c>
      <c r="H7" s="84"/>
      <c r="I7" s="84" t="s">
        <v>612</v>
      </c>
      <c r="J7" s="84"/>
      <c r="K7" s="84" t="s">
        <v>612</v>
      </c>
      <c r="L7" s="22"/>
      <c r="M7" s="84" t="s">
        <v>612</v>
      </c>
      <c r="N7" s="22"/>
      <c r="O7" s="84" t="s">
        <v>612</v>
      </c>
      <c r="P7" s="22"/>
      <c r="Q7" s="84" t="s">
        <v>612</v>
      </c>
      <c r="R7" s="22"/>
      <c r="S7" s="84" t="s">
        <v>612</v>
      </c>
      <c r="T7" s="22"/>
      <c r="U7" s="84" t="s">
        <v>612</v>
      </c>
      <c r="V7" s="22"/>
      <c r="W7" s="84" t="s">
        <v>612</v>
      </c>
      <c r="X7" s="22"/>
      <c r="Y7" s="84" t="s">
        <v>612</v>
      </c>
      <c r="Z7" s="22"/>
      <c r="AA7" s="84" t="s">
        <v>612</v>
      </c>
      <c r="AB7" s="22"/>
      <c r="AC7" s="84" t="s">
        <v>612</v>
      </c>
      <c r="AD7" s="22"/>
      <c r="AE7" s="84" t="s">
        <v>612</v>
      </c>
      <c r="AF7" s="22"/>
      <c r="AG7" s="84" t="s">
        <v>612</v>
      </c>
      <c r="AH7" s="22"/>
      <c r="AI7" s="84" t="s">
        <v>612</v>
      </c>
      <c r="AJ7" s="22"/>
      <c r="AK7" s="84" t="s">
        <v>612</v>
      </c>
      <c r="AL7" s="22"/>
      <c r="AM7" s="84" t="s">
        <v>612</v>
      </c>
      <c r="AN7" s="22"/>
      <c r="AO7" s="84" t="s">
        <v>26</v>
      </c>
      <c r="AP7" s="191"/>
      <c r="AQ7" s="191"/>
      <c r="AR7" s="191"/>
      <c r="AS7" s="191"/>
      <c r="AT7" s="191"/>
    </row>
    <row r="8" spans="1:47">
      <c r="A8" s="59"/>
      <c r="B8" s="12"/>
      <c r="C8" s="43" t="s">
        <v>613</v>
      </c>
      <c r="D8" s="85"/>
      <c r="E8" s="43" t="s">
        <v>613</v>
      </c>
      <c r="F8" s="23"/>
      <c r="G8" s="43" t="s">
        <v>613</v>
      </c>
      <c r="H8" s="85"/>
      <c r="I8" s="43" t="s">
        <v>613</v>
      </c>
      <c r="J8" s="85"/>
      <c r="K8" s="43" t="s">
        <v>613</v>
      </c>
      <c r="L8" s="23"/>
      <c r="M8" s="43" t="s">
        <v>613</v>
      </c>
      <c r="N8" s="23"/>
      <c r="O8" s="43" t="s">
        <v>613</v>
      </c>
      <c r="P8" s="23"/>
      <c r="Q8" s="43" t="s">
        <v>613</v>
      </c>
      <c r="R8" s="23"/>
      <c r="S8" s="43" t="s">
        <v>613</v>
      </c>
      <c r="T8" s="23"/>
      <c r="U8" s="43" t="s">
        <v>613</v>
      </c>
      <c r="V8" s="23"/>
      <c r="W8" s="43" t="s">
        <v>613</v>
      </c>
      <c r="X8" s="23"/>
      <c r="Y8" s="43" t="s">
        <v>613</v>
      </c>
      <c r="Z8" s="23"/>
      <c r="AA8" s="43" t="s">
        <v>613</v>
      </c>
      <c r="AB8" s="23"/>
      <c r="AC8" s="43" t="s">
        <v>613</v>
      </c>
      <c r="AD8" s="23"/>
      <c r="AE8" s="43" t="s">
        <v>613</v>
      </c>
      <c r="AF8" s="23"/>
      <c r="AG8" s="43" t="s">
        <v>613</v>
      </c>
      <c r="AH8" s="23"/>
      <c r="AI8" s="43" t="s">
        <v>613</v>
      </c>
      <c r="AJ8" s="23"/>
      <c r="AK8" s="43" t="s">
        <v>613</v>
      </c>
      <c r="AL8" s="23"/>
      <c r="AM8" s="43" t="s">
        <v>613</v>
      </c>
      <c r="AN8" s="23"/>
      <c r="AO8" s="43" t="s">
        <v>27</v>
      </c>
      <c r="AP8" s="191"/>
      <c r="AQ8" s="191"/>
      <c r="AR8" s="191"/>
      <c r="AS8" s="191"/>
      <c r="AT8" s="191"/>
    </row>
    <row r="9" spans="1:47">
      <c r="A9" s="32">
        <v>101</v>
      </c>
      <c r="B9" s="12" t="s">
        <v>610</v>
      </c>
      <c r="AQ9" s="191"/>
      <c r="AR9" s="191"/>
      <c r="AS9" s="191"/>
      <c r="AT9" s="191"/>
      <c r="AU9" s="191"/>
    </row>
    <row r="10" spans="1:47">
      <c r="A10" s="32"/>
      <c r="B10" s="58" t="s">
        <v>652</v>
      </c>
      <c r="AQ10" s="191"/>
      <c r="AR10" s="191"/>
      <c r="AS10" s="191"/>
      <c r="AT10" s="191"/>
      <c r="AU10" s="191"/>
    </row>
    <row r="11" spans="1:47">
      <c r="A11" s="32"/>
      <c r="B11" s="10" t="s">
        <v>455</v>
      </c>
      <c r="C11" s="24">
        <v>0</v>
      </c>
      <c r="D11" s="24"/>
      <c r="E11" s="24">
        <v>0</v>
      </c>
      <c r="F11" s="24"/>
      <c r="G11" s="24">
        <v>0</v>
      </c>
      <c r="H11" s="24"/>
      <c r="I11" s="24">
        <v>0</v>
      </c>
      <c r="J11" s="24"/>
      <c r="K11" s="24">
        <v>0</v>
      </c>
      <c r="L11" s="24"/>
      <c r="M11" s="24">
        <v>0</v>
      </c>
      <c r="N11" s="24"/>
      <c r="O11" s="24">
        <v>0</v>
      </c>
      <c r="P11" s="24"/>
      <c r="Q11" s="24">
        <v>0</v>
      </c>
      <c r="R11" s="24"/>
      <c r="S11" s="24">
        <v>0</v>
      </c>
      <c r="T11" s="24"/>
      <c r="U11" s="24">
        <f>+'Transfer Detail PG 3 (Fin)'!S14+'Transfer Detail PG 3 (PA)'!K11</f>
        <v>0</v>
      </c>
      <c r="V11" s="24"/>
      <c r="W11" s="24">
        <v>0</v>
      </c>
      <c r="X11" s="24"/>
      <c r="Y11" s="24">
        <v>0</v>
      </c>
      <c r="Z11" s="24"/>
      <c r="AA11" s="24">
        <v>0</v>
      </c>
      <c r="AB11" s="24"/>
      <c r="AC11" s="24">
        <v>0</v>
      </c>
      <c r="AD11" s="24"/>
      <c r="AE11" s="24">
        <v>0</v>
      </c>
      <c r="AF11" s="24"/>
      <c r="AG11" s="24">
        <v>0</v>
      </c>
      <c r="AH11" s="24"/>
      <c r="AI11" s="24">
        <v>0</v>
      </c>
      <c r="AJ11" s="24"/>
      <c r="AK11" s="24">
        <v>0</v>
      </c>
      <c r="AL11" s="24"/>
      <c r="AM11" s="24">
        <v>0</v>
      </c>
      <c r="AN11" s="24"/>
      <c r="AO11" s="24">
        <f>SUM(C11:AN11)</f>
        <v>0</v>
      </c>
      <c r="AP11" s="191"/>
      <c r="AQ11" s="191"/>
      <c r="AR11" s="191"/>
      <c r="AS11" s="191"/>
      <c r="AT11" s="191"/>
    </row>
    <row r="12" spans="1:47">
      <c r="A12" s="32"/>
      <c r="B12" s="10" t="s">
        <v>111</v>
      </c>
      <c r="C12" s="28">
        <v>0</v>
      </c>
      <c r="D12" s="27"/>
      <c r="E12" s="28">
        <v>0</v>
      </c>
      <c r="F12" s="27"/>
      <c r="G12" s="28">
        <v>0</v>
      </c>
      <c r="H12" s="27"/>
      <c r="I12" s="28">
        <v>0</v>
      </c>
      <c r="J12" s="27"/>
      <c r="K12" s="28">
        <v>0</v>
      </c>
      <c r="L12" s="27"/>
      <c r="M12" s="28">
        <v>0</v>
      </c>
      <c r="N12" s="27"/>
      <c r="O12" s="28">
        <v>0</v>
      </c>
      <c r="P12" s="27"/>
      <c r="Q12" s="28">
        <v>0</v>
      </c>
      <c r="R12" s="27"/>
      <c r="S12" s="28">
        <v>0</v>
      </c>
      <c r="T12" s="27"/>
      <c r="U12" s="28">
        <v>0</v>
      </c>
      <c r="V12" s="27"/>
      <c r="W12" s="28">
        <v>0</v>
      </c>
      <c r="X12" s="27"/>
      <c r="Y12" s="28">
        <v>0</v>
      </c>
      <c r="Z12" s="27"/>
      <c r="AA12" s="28">
        <v>0</v>
      </c>
      <c r="AB12" s="27"/>
      <c r="AC12" s="28">
        <v>0</v>
      </c>
      <c r="AD12" s="27"/>
      <c r="AE12" s="28">
        <v>0</v>
      </c>
      <c r="AF12" s="27"/>
      <c r="AG12" s="28">
        <v>0</v>
      </c>
      <c r="AH12" s="27"/>
      <c r="AI12" s="28">
        <v>0</v>
      </c>
      <c r="AJ12" s="27"/>
      <c r="AK12" s="28">
        <v>0</v>
      </c>
      <c r="AL12" s="27"/>
      <c r="AM12" s="28">
        <v>0</v>
      </c>
      <c r="AN12" s="27"/>
      <c r="AO12" s="28">
        <f>SUM(C12:AN12)</f>
        <v>0</v>
      </c>
      <c r="AP12" s="191"/>
      <c r="AQ12" s="191"/>
      <c r="AR12" s="191"/>
      <c r="AS12" s="191"/>
      <c r="AT12" s="191"/>
    </row>
    <row r="13" spans="1:47">
      <c r="A13" s="32"/>
      <c r="B13" s="11"/>
      <c r="C13" s="27">
        <f>C11+C12</f>
        <v>0</v>
      </c>
      <c r="D13" s="27"/>
      <c r="E13" s="27">
        <f>E11+E12</f>
        <v>0</v>
      </c>
      <c r="F13" s="27"/>
      <c r="G13" s="27">
        <f>G11+G12</f>
        <v>0</v>
      </c>
      <c r="H13" s="27"/>
      <c r="I13" s="27">
        <f>I11+I12</f>
        <v>0</v>
      </c>
      <c r="J13" s="27"/>
      <c r="K13" s="27">
        <f>K11+K12</f>
        <v>0</v>
      </c>
      <c r="L13" s="27"/>
      <c r="M13" s="27">
        <f>M11+M12</f>
        <v>0</v>
      </c>
      <c r="N13" s="27"/>
      <c r="O13" s="27">
        <f>O11+O12</f>
        <v>0</v>
      </c>
      <c r="P13" s="27"/>
      <c r="Q13" s="27">
        <f>Q11+Q12</f>
        <v>0</v>
      </c>
      <c r="R13" s="27"/>
      <c r="S13" s="27">
        <f>S11+S12</f>
        <v>0</v>
      </c>
      <c r="T13" s="27"/>
      <c r="U13" s="27">
        <f>U11+U12</f>
        <v>0</v>
      </c>
      <c r="V13" s="27"/>
      <c r="W13" s="27">
        <f>W11+W12</f>
        <v>0</v>
      </c>
      <c r="X13" s="27"/>
      <c r="Y13" s="27">
        <f>Y11+Y12</f>
        <v>0</v>
      </c>
      <c r="Z13" s="27"/>
      <c r="AA13" s="27">
        <f>AA11+AA12</f>
        <v>0</v>
      </c>
      <c r="AB13" s="27"/>
      <c r="AC13" s="27">
        <f>AC11+AC12</f>
        <v>0</v>
      </c>
      <c r="AD13" s="27"/>
      <c r="AE13" s="27">
        <f>AE11+AE12</f>
        <v>0</v>
      </c>
      <c r="AF13" s="27"/>
      <c r="AG13" s="27">
        <f>AG11+AG12</f>
        <v>0</v>
      </c>
      <c r="AH13" s="27"/>
      <c r="AI13" s="27">
        <f>AI11+AI12</f>
        <v>0</v>
      </c>
      <c r="AJ13" s="27"/>
      <c r="AK13" s="27">
        <f>AK11+AK12</f>
        <v>0</v>
      </c>
      <c r="AL13" s="27"/>
      <c r="AM13" s="27">
        <f>AM11+AM12</f>
        <v>0</v>
      </c>
      <c r="AN13" s="27"/>
      <c r="AO13" s="27">
        <f>AO11+AO12</f>
        <v>0</v>
      </c>
      <c r="AP13" s="191"/>
      <c r="AQ13" s="191"/>
      <c r="AR13" s="191"/>
      <c r="AS13" s="191"/>
      <c r="AT13" s="191"/>
    </row>
    <row r="14" spans="1:47">
      <c r="A14" s="32"/>
      <c r="B14" s="12"/>
      <c r="F14" s="27"/>
      <c r="H14" s="27"/>
      <c r="J14" s="27"/>
      <c r="L14" s="27"/>
      <c r="N14" s="27"/>
      <c r="P14" s="27"/>
      <c r="R14" s="27"/>
      <c r="T14" s="27"/>
      <c r="V14" s="27"/>
      <c r="X14" s="27"/>
      <c r="Z14" s="27"/>
      <c r="AB14" s="27"/>
      <c r="AD14" s="27"/>
      <c r="AF14" s="27"/>
      <c r="AH14" s="27"/>
      <c r="AJ14" s="27"/>
      <c r="AL14" s="27"/>
      <c r="AN14" s="27"/>
      <c r="AO14" s="27"/>
      <c r="AP14" s="27"/>
      <c r="AQ14" s="191"/>
      <c r="AR14" s="191"/>
      <c r="AS14" s="191"/>
      <c r="AT14" s="191"/>
      <c r="AU14" s="191"/>
    </row>
    <row r="15" spans="1:47">
      <c r="A15" s="32"/>
      <c r="B15" s="58" t="s">
        <v>112</v>
      </c>
      <c r="F15" s="27"/>
      <c r="H15" s="27"/>
      <c r="J15" s="27"/>
      <c r="L15" s="27"/>
      <c r="N15" s="27"/>
      <c r="P15" s="27"/>
      <c r="R15" s="27"/>
      <c r="T15" s="27"/>
      <c r="V15" s="27"/>
      <c r="X15" s="27"/>
      <c r="Z15" s="27"/>
      <c r="AB15" s="27"/>
      <c r="AD15" s="27"/>
      <c r="AF15" s="27"/>
      <c r="AH15" s="27"/>
      <c r="AJ15" s="27"/>
      <c r="AL15" s="27"/>
      <c r="AN15" s="27"/>
      <c r="AO15" s="27"/>
      <c r="AP15" s="27"/>
      <c r="AQ15" s="191"/>
      <c r="AR15" s="191"/>
      <c r="AS15" s="191"/>
      <c r="AT15" s="191"/>
      <c r="AU15" s="191"/>
    </row>
    <row r="16" spans="1:47">
      <c r="A16" s="32"/>
      <c r="B16" s="10" t="s">
        <v>113</v>
      </c>
      <c r="C16" s="27">
        <f>+'Transfer Detail PG 3 (Fin)'!C19</f>
        <v>-23.74</v>
      </c>
      <c r="D16" s="27"/>
      <c r="E16" s="27">
        <f>+'Transfer Detail PG 3 (Fin)'!E19</f>
        <v>21926.880000000001</v>
      </c>
      <c r="F16" s="27"/>
      <c r="G16" s="27">
        <f>+'Transfer Detail PG 3 (Fin)'!G19+'Transfer Detail PG 3 (PA)'!E16</f>
        <v>0</v>
      </c>
      <c r="H16" s="27"/>
      <c r="I16" s="27">
        <f>+'Transfer Detail PG 3 (Fin)'!I19+'Transfer Detail PG 3 (PA)'!G16</f>
        <v>0</v>
      </c>
      <c r="J16" s="27"/>
      <c r="K16" s="27">
        <v>0</v>
      </c>
      <c r="L16" s="27"/>
      <c r="M16" s="27">
        <v>0</v>
      </c>
      <c r="N16" s="27"/>
      <c r="O16" s="27">
        <v>0</v>
      </c>
      <c r="P16" s="27"/>
      <c r="Q16" s="27">
        <v>0</v>
      </c>
      <c r="R16" s="27"/>
      <c r="S16" s="27">
        <v>0</v>
      </c>
      <c r="T16" s="27"/>
      <c r="U16" s="27">
        <v>0</v>
      </c>
      <c r="V16" s="27"/>
      <c r="W16" s="27">
        <v>0</v>
      </c>
      <c r="X16" s="27"/>
      <c r="Y16" s="27">
        <v>0</v>
      </c>
      <c r="Z16" s="27"/>
      <c r="AA16" s="27">
        <v>0</v>
      </c>
      <c r="AB16" s="27"/>
      <c r="AC16" s="27">
        <v>0</v>
      </c>
      <c r="AD16" s="27"/>
      <c r="AE16" s="27">
        <f>+'Transfer Detail PG 3 (Fin)'!AC19+'Transfer Detail PG 3 (PA)'!M16</f>
        <v>0</v>
      </c>
      <c r="AF16" s="27"/>
      <c r="AG16" s="27">
        <f>+'Transfer Detail PG 3 (Fin)'!AE19+'Transfer Detail PG 3 (PA)'!O16</f>
        <v>0</v>
      </c>
      <c r="AH16" s="27"/>
      <c r="AI16" s="27">
        <v>0</v>
      </c>
      <c r="AJ16" s="27"/>
      <c r="AK16" s="27">
        <f>+'Transfer Detail PG 3 (Fin)'!AI19</f>
        <v>0</v>
      </c>
      <c r="AL16" s="27"/>
      <c r="AM16" s="27">
        <v>0</v>
      </c>
      <c r="AN16" s="27"/>
      <c r="AO16" s="27">
        <f t="shared" ref="AO16:AO22" si="0">SUM(C16:AN16)</f>
        <v>21903.14</v>
      </c>
      <c r="AP16" s="191"/>
      <c r="AQ16" s="191"/>
      <c r="AR16" s="191"/>
      <c r="AS16" s="191"/>
      <c r="AT16" s="191"/>
    </row>
    <row r="17" spans="1:47">
      <c r="A17" s="32"/>
      <c r="B17" s="10" t="s">
        <v>114</v>
      </c>
      <c r="C17" s="27">
        <v>0</v>
      </c>
      <c r="D17" s="27"/>
      <c r="E17" s="27">
        <v>0</v>
      </c>
      <c r="F17" s="27"/>
      <c r="G17" s="27">
        <v>0</v>
      </c>
      <c r="H17" s="27"/>
      <c r="I17" s="27">
        <v>0</v>
      </c>
      <c r="J17" s="27"/>
      <c r="K17" s="27">
        <v>0</v>
      </c>
      <c r="L17" s="27"/>
      <c r="M17" s="27">
        <v>0</v>
      </c>
      <c r="N17" s="27"/>
      <c r="O17" s="27">
        <v>0</v>
      </c>
      <c r="P17" s="27"/>
      <c r="Q17" s="27">
        <v>0</v>
      </c>
      <c r="R17" s="27"/>
      <c r="S17" s="27">
        <v>0</v>
      </c>
      <c r="T17" s="27"/>
      <c r="U17" s="24">
        <f>+'Transfer Detail PG 3 (Fin)'!S20+'Transfer Detail PG 3 (PA)'!K17</f>
        <v>0</v>
      </c>
      <c r="V17" s="27"/>
      <c r="W17" s="27">
        <v>0</v>
      </c>
      <c r="X17" s="27"/>
      <c r="Y17" s="27">
        <v>0</v>
      </c>
      <c r="Z17" s="27"/>
      <c r="AA17" s="27">
        <v>0</v>
      </c>
      <c r="AB17" s="27"/>
      <c r="AC17" s="27">
        <v>0</v>
      </c>
      <c r="AD17" s="27"/>
      <c r="AE17" s="27">
        <f>+'Transfer Detail PG 3 (Fin)'!AC20+'Transfer Detail PG 3 (PA)'!M17</f>
        <v>0</v>
      </c>
      <c r="AF17" s="27"/>
      <c r="AG17" s="27">
        <f>+'Transfer Detail PG 3 (Fin)'!AE20+'Transfer Detail PG 3 (PA)'!O17</f>
        <v>0</v>
      </c>
      <c r="AH17" s="27"/>
      <c r="AI17" s="27">
        <v>0</v>
      </c>
      <c r="AJ17" s="27"/>
      <c r="AK17" s="27">
        <v>0</v>
      </c>
      <c r="AL17" s="27"/>
      <c r="AM17" s="27">
        <v>0</v>
      </c>
      <c r="AN17" s="27"/>
      <c r="AO17" s="27">
        <f t="shared" si="0"/>
        <v>0</v>
      </c>
      <c r="AP17" s="191"/>
      <c r="AQ17" s="191"/>
      <c r="AR17" s="191"/>
      <c r="AS17" s="191"/>
      <c r="AT17" s="191"/>
    </row>
    <row r="18" spans="1:47">
      <c r="A18" s="32"/>
      <c r="B18" s="10" t="s">
        <v>115</v>
      </c>
      <c r="C18" s="27">
        <v>0</v>
      </c>
      <c r="D18" s="27"/>
      <c r="E18" s="27">
        <v>0</v>
      </c>
      <c r="F18" s="27"/>
      <c r="G18" s="27">
        <v>0</v>
      </c>
      <c r="H18" s="27"/>
      <c r="I18" s="27">
        <v>0</v>
      </c>
      <c r="J18" s="27"/>
      <c r="K18" s="27">
        <v>0</v>
      </c>
      <c r="L18" s="27"/>
      <c r="M18" s="27">
        <v>0</v>
      </c>
      <c r="N18" s="27"/>
      <c r="O18" s="27">
        <v>0</v>
      </c>
      <c r="P18" s="27"/>
      <c r="Q18" s="27">
        <v>0</v>
      </c>
      <c r="R18" s="27"/>
      <c r="S18" s="27">
        <v>0</v>
      </c>
      <c r="T18" s="27"/>
      <c r="U18" s="27">
        <v>0</v>
      </c>
      <c r="V18" s="27"/>
      <c r="W18" s="27">
        <v>0</v>
      </c>
      <c r="X18" s="27"/>
      <c r="Y18" s="27">
        <v>0</v>
      </c>
      <c r="Z18" s="27"/>
      <c r="AA18" s="27">
        <v>0</v>
      </c>
      <c r="AB18" s="27"/>
      <c r="AC18" s="27">
        <v>0</v>
      </c>
      <c r="AD18" s="27"/>
      <c r="AE18" s="27">
        <f>+'Transfer Detail PG 3 (Fin)'!AC21+'Transfer Detail PG 3 (PA)'!M18</f>
        <v>0</v>
      </c>
      <c r="AF18" s="27"/>
      <c r="AG18" s="27">
        <f>+'Transfer Detail PG 3 (Fin)'!AE21+'Transfer Detail PG 3 (PA)'!O18</f>
        <v>0</v>
      </c>
      <c r="AH18" s="27"/>
      <c r="AI18" s="27">
        <v>0</v>
      </c>
      <c r="AJ18" s="27"/>
      <c r="AK18" s="27">
        <v>0</v>
      </c>
      <c r="AL18" s="27"/>
      <c r="AM18" s="27">
        <v>0</v>
      </c>
      <c r="AN18" s="27"/>
      <c r="AO18" s="27">
        <f t="shared" si="0"/>
        <v>0</v>
      </c>
      <c r="AP18" s="191"/>
      <c r="AQ18" s="191"/>
      <c r="AR18" s="191"/>
      <c r="AS18" s="191"/>
      <c r="AT18" s="191"/>
    </row>
    <row r="19" spans="1:47">
      <c r="A19" s="32"/>
      <c r="B19" s="10" t="s">
        <v>116</v>
      </c>
      <c r="C19" s="27">
        <v>0</v>
      </c>
      <c r="D19" s="27"/>
      <c r="E19" s="27">
        <v>0</v>
      </c>
      <c r="F19" s="27"/>
      <c r="G19" s="27">
        <v>0</v>
      </c>
      <c r="H19" s="27"/>
      <c r="I19" s="27">
        <v>0</v>
      </c>
      <c r="J19" s="27"/>
      <c r="K19" s="27">
        <v>0</v>
      </c>
      <c r="L19" s="27"/>
      <c r="M19" s="27">
        <v>0</v>
      </c>
      <c r="N19" s="27"/>
      <c r="O19" s="27">
        <v>0</v>
      </c>
      <c r="P19" s="27"/>
      <c r="Q19" s="27">
        <v>0</v>
      </c>
      <c r="R19" s="27"/>
      <c r="S19" s="27">
        <v>0</v>
      </c>
      <c r="T19" s="27"/>
      <c r="U19" s="27">
        <v>0</v>
      </c>
      <c r="V19" s="27"/>
      <c r="W19" s="27">
        <v>0</v>
      </c>
      <c r="X19" s="27"/>
      <c r="Y19" s="27">
        <v>0</v>
      </c>
      <c r="Z19" s="27"/>
      <c r="AA19" s="27">
        <v>0</v>
      </c>
      <c r="AB19" s="27"/>
      <c r="AC19" s="27">
        <v>0</v>
      </c>
      <c r="AD19" s="27"/>
      <c r="AE19" s="27">
        <f>+'Transfer Detail PG 3 (Fin)'!AC22+'Transfer Detail PG 3 (PA)'!M19</f>
        <v>0</v>
      </c>
      <c r="AF19" s="27"/>
      <c r="AG19" s="27">
        <f>+'Transfer Detail PG 3 (Fin)'!AE22+'Transfer Detail PG 3 (PA)'!O19</f>
        <v>0</v>
      </c>
      <c r="AH19" s="27"/>
      <c r="AI19" s="27">
        <v>0</v>
      </c>
      <c r="AJ19" s="27"/>
      <c r="AK19" s="27">
        <v>0</v>
      </c>
      <c r="AL19" s="27"/>
      <c r="AM19" s="27">
        <v>0</v>
      </c>
      <c r="AN19" s="27"/>
      <c r="AO19" s="27">
        <f t="shared" si="0"/>
        <v>0</v>
      </c>
      <c r="AP19" s="191"/>
      <c r="AQ19" s="191"/>
      <c r="AR19" s="191"/>
      <c r="AS19" s="191"/>
      <c r="AT19" s="191"/>
    </row>
    <row r="20" spans="1:47">
      <c r="A20" s="32"/>
      <c r="B20" s="10" t="s">
        <v>117</v>
      </c>
      <c r="C20" s="27">
        <v>0</v>
      </c>
      <c r="D20" s="27"/>
      <c r="E20" s="27">
        <v>0</v>
      </c>
      <c r="F20" s="27"/>
      <c r="G20" s="27">
        <v>0</v>
      </c>
      <c r="H20" s="27"/>
      <c r="I20" s="27">
        <f>+'Transfer Detail PG 3 (Fin)'!I23+'Transfer Detail PG 3 (PA)'!G20</f>
        <v>0</v>
      </c>
      <c r="J20" s="27"/>
      <c r="K20" s="27">
        <v>0</v>
      </c>
      <c r="L20" s="27"/>
      <c r="M20" s="27">
        <v>0</v>
      </c>
      <c r="N20" s="27"/>
      <c r="O20" s="27">
        <v>0</v>
      </c>
      <c r="P20" s="27"/>
      <c r="Q20" s="27">
        <v>0</v>
      </c>
      <c r="R20" s="27"/>
      <c r="S20" s="27">
        <v>0</v>
      </c>
      <c r="T20" s="27"/>
      <c r="U20" s="27">
        <v>0</v>
      </c>
      <c r="V20" s="27"/>
      <c r="W20" s="27">
        <v>0</v>
      </c>
      <c r="X20" s="27"/>
      <c r="Y20" s="27">
        <v>0</v>
      </c>
      <c r="Z20" s="27"/>
      <c r="AA20" s="27">
        <v>0</v>
      </c>
      <c r="AB20" s="27"/>
      <c r="AC20" s="27">
        <v>0</v>
      </c>
      <c r="AD20" s="27"/>
      <c r="AE20" s="27">
        <f>+'Transfer Detail PG 3 (Fin)'!AC23+'Transfer Detail PG 3 (PA)'!M20</f>
        <v>0</v>
      </c>
      <c r="AF20" s="27"/>
      <c r="AG20" s="27">
        <f>+'Transfer Detail PG 3 (Fin)'!AE23+'Transfer Detail PG 3 (PA)'!O20</f>
        <v>0</v>
      </c>
      <c r="AH20" s="27"/>
      <c r="AI20" s="27">
        <v>0</v>
      </c>
      <c r="AJ20" s="27"/>
      <c r="AK20" s="27">
        <v>0</v>
      </c>
      <c r="AL20" s="27"/>
      <c r="AM20" s="27">
        <v>0</v>
      </c>
      <c r="AN20" s="27"/>
      <c r="AO20" s="27">
        <f t="shared" si="0"/>
        <v>0</v>
      </c>
      <c r="AP20" s="191"/>
      <c r="AQ20" s="191"/>
      <c r="AR20" s="191"/>
      <c r="AS20" s="191"/>
      <c r="AT20" s="191"/>
    </row>
    <row r="21" spans="1:47">
      <c r="A21" s="32"/>
      <c r="B21" s="10" t="s">
        <v>118</v>
      </c>
      <c r="C21" s="27">
        <f>+'Transfer Detail PG 3 (Fin)'!C24+'Transfer Detail PG 3 (PA)'!C21</f>
        <v>0</v>
      </c>
      <c r="D21" s="27"/>
      <c r="E21" s="27">
        <v>0</v>
      </c>
      <c r="F21" s="27"/>
      <c r="G21" s="27">
        <v>0</v>
      </c>
      <c r="H21" s="27"/>
      <c r="I21" s="27">
        <f>+'Transfer Detail PG 3 (Fin)'!I24+'Transfer Detail PG 3 (PA)'!G21</f>
        <v>0</v>
      </c>
      <c r="J21" s="27"/>
      <c r="K21" s="27">
        <v>0</v>
      </c>
      <c r="L21" s="27"/>
      <c r="M21" s="27">
        <v>0</v>
      </c>
      <c r="N21" s="27"/>
      <c r="O21" s="27">
        <v>0</v>
      </c>
      <c r="P21" s="27"/>
      <c r="Q21" s="27">
        <v>0</v>
      </c>
      <c r="R21" s="27"/>
      <c r="S21" s="27">
        <f>+'Transfer Detail PG 3 (PA)'!I21</f>
        <v>0</v>
      </c>
      <c r="T21" s="27"/>
      <c r="U21" s="27">
        <v>0</v>
      </c>
      <c r="V21" s="27"/>
      <c r="W21" s="27">
        <v>0</v>
      </c>
      <c r="X21" s="27"/>
      <c r="Y21" s="24">
        <f>+'Transfer Detail PG 3 (Fin)'!W24+'Transfer Detail PG 3 (PA)'!O21</f>
        <v>0</v>
      </c>
      <c r="Z21" s="27"/>
      <c r="AA21" s="24">
        <f>+'Transfer Detail PG 3 (Fin)'!Y24+'Transfer Detail PG 3 (PA)'!Q21</f>
        <v>0</v>
      </c>
      <c r="AB21" s="27"/>
      <c r="AC21" s="27">
        <v>0</v>
      </c>
      <c r="AD21" s="27"/>
      <c r="AE21" s="27">
        <f>+'Transfer Detail PG 3 (Fin)'!AC24+'Transfer Detail PG 3 (PA)'!M21</f>
        <v>0</v>
      </c>
      <c r="AF21" s="27"/>
      <c r="AG21" s="27">
        <f>+'Transfer Detail PG 3 (Fin)'!AE24+'Transfer Detail PG 3 (PA)'!O21</f>
        <v>0</v>
      </c>
      <c r="AH21" s="27"/>
      <c r="AI21" s="27">
        <f>+'Transfer Detail PG 3 (Fin)'!AG24+'Transfer Detail PG 3 (PA)'!Q21</f>
        <v>0</v>
      </c>
      <c r="AJ21" s="27"/>
      <c r="AK21" s="27">
        <f>+'Transfer Detail PG 3 (Fin)'!AI24</f>
        <v>0</v>
      </c>
      <c r="AL21" s="27"/>
      <c r="AM21" s="27">
        <v>0</v>
      </c>
      <c r="AN21" s="27"/>
      <c r="AO21" s="27">
        <f t="shared" si="0"/>
        <v>0</v>
      </c>
      <c r="AP21" s="191"/>
      <c r="AQ21" s="191"/>
      <c r="AR21" s="191"/>
      <c r="AS21" s="191"/>
      <c r="AT21" s="191"/>
    </row>
    <row r="22" spans="1:47">
      <c r="A22" s="32"/>
      <c r="B22" s="10" t="s">
        <v>119</v>
      </c>
      <c r="C22" s="28">
        <v>0</v>
      </c>
      <c r="D22" s="27"/>
      <c r="E22" s="28">
        <v>0</v>
      </c>
      <c r="F22" s="27"/>
      <c r="G22" s="28">
        <f>+'Transfer Detail PG 3 (Fin)'!G25+'Transfer Detail PG 3 (PA)'!E22</f>
        <v>0</v>
      </c>
      <c r="H22" s="27"/>
      <c r="I22" s="28">
        <v>0</v>
      </c>
      <c r="J22" s="27"/>
      <c r="K22" s="28">
        <v>0</v>
      </c>
      <c r="L22" s="27"/>
      <c r="M22" s="28">
        <v>0</v>
      </c>
      <c r="N22" s="27"/>
      <c r="O22" s="28">
        <v>0</v>
      </c>
      <c r="P22" s="27"/>
      <c r="Q22" s="28">
        <v>0</v>
      </c>
      <c r="R22" s="27"/>
      <c r="S22" s="28">
        <v>0</v>
      </c>
      <c r="T22" s="27"/>
      <c r="U22" s="28">
        <v>0</v>
      </c>
      <c r="V22" s="27"/>
      <c r="W22" s="28">
        <v>0</v>
      </c>
      <c r="X22" s="27"/>
      <c r="Y22" s="28">
        <v>0</v>
      </c>
      <c r="Z22" s="27"/>
      <c r="AA22" s="28">
        <v>0</v>
      </c>
      <c r="AB22" s="27"/>
      <c r="AC22" s="28">
        <v>0</v>
      </c>
      <c r="AD22" s="27"/>
      <c r="AE22" s="28">
        <f>+'Transfer Detail PG 3 (Fin)'!AC25+'Transfer Detail PG 3 (PA)'!M22</f>
        <v>0</v>
      </c>
      <c r="AF22" s="27"/>
      <c r="AG22" s="28">
        <f>+'Transfer Detail PG 3 (Fin)'!AE25+'Transfer Detail PG 3 (PA)'!O22</f>
        <v>0</v>
      </c>
      <c r="AH22" s="27"/>
      <c r="AI22" s="28">
        <v>0</v>
      </c>
      <c r="AJ22" s="27"/>
      <c r="AK22" s="28">
        <f>+'Transfer Detail PG 3 (Fin)'!AI25</f>
        <v>0</v>
      </c>
      <c r="AL22" s="27"/>
      <c r="AM22" s="28">
        <v>0</v>
      </c>
      <c r="AN22" s="27"/>
      <c r="AO22" s="28">
        <f t="shared" si="0"/>
        <v>0</v>
      </c>
      <c r="AP22" s="191"/>
      <c r="AQ22" s="191"/>
      <c r="AR22" s="191"/>
      <c r="AS22" s="191"/>
      <c r="AT22" s="191"/>
    </row>
    <row r="23" spans="1:47">
      <c r="A23" s="32"/>
      <c r="B23" s="11"/>
      <c r="C23" s="27">
        <f>SUM(C16:C22)</f>
        <v>-23.74</v>
      </c>
      <c r="D23" s="27"/>
      <c r="E23" s="27">
        <f>SUM(E16:E22)</f>
        <v>21926.880000000001</v>
      </c>
      <c r="F23" s="27"/>
      <c r="G23" s="27">
        <f>SUM(G16:G22)</f>
        <v>0</v>
      </c>
      <c r="H23" s="27"/>
      <c r="I23" s="27">
        <f>SUM(I16:I22)</f>
        <v>0</v>
      </c>
      <c r="J23" s="27"/>
      <c r="K23" s="27">
        <f>SUM(K16:K22)</f>
        <v>0</v>
      </c>
      <c r="L23" s="27"/>
      <c r="M23" s="27">
        <f>SUM(M16:M22)</f>
        <v>0</v>
      </c>
      <c r="N23" s="27"/>
      <c r="O23" s="27">
        <f>SUM(O16:O22)</f>
        <v>0</v>
      </c>
      <c r="P23" s="27"/>
      <c r="Q23" s="27">
        <f>SUM(Q16:Q22)</f>
        <v>0</v>
      </c>
      <c r="R23" s="27"/>
      <c r="S23" s="27">
        <f>SUM(S16:S22)</f>
        <v>0</v>
      </c>
      <c r="T23" s="27"/>
      <c r="U23" s="27">
        <f>SUM(U16:U22)</f>
        <v>0</v>
      </c>
      <c r="V23" s="27"/>
      <c r="W23" s="27">
        <f>SUM(W16:W22)</f>
        <v>0</v>
      </c>
      <c r="X23" s="27"/>
      <c r="Y23" s="27">
        <f>SUM(Y16:Y22)</f>
        <v>0</v>
      </c>
      <c r="Z23" s="27"/>
      <c r="AA23" s="27">
        <f>SUM(AA16:AA22)</f>
        <v>0</v>
      </c>
      <c r="AB23" s="27"/>
      <c r="AC23" s="27">
        <f>SUM(AC16:AC22)</f>
        <v>0</v>
      </c>
      <c r="AD23" s="27"/>
      <c r="AE23" s="27">
        <f>SUM(AE16:AE22)</f>
        <v>0</v>
      </c>
      <c r="AF23" s="27"/>
      <c r="AG23" s="27">
        <f>SUM(AG16:AG22)</f>
        <v>0</v>
      </c>
      <c r="AH23" s="27"/>
      <c r="AI23" s="27">
        <f>SUM(AI16:AI22)</f>
        <v>0</v>
      </c>
      <c r="AJ23" s="27"/>
      <c r="AK23" s="27">
        <f>SUM(AK16:AK22)</f>
        <v>0</v>
      </c>
      <c r="AL23" s="27"/>
      <c r="AM23" s="27">
        <f>SUM(AM16:AM22)</f>
        <v>0</v>
      </c>
      <c r="AN23" s="27"/>
      <c r="AO23" s="27">
        <f>SUM(AO16:AO22)</f>
        <v>21903.14</v>
      </c>
      <c r="AP23" s="191"/>
      <c r="AQ23" s="191"/>
      <c r="AR23" s="191"/>
      <c r="AS23" s="191"/>
      <c r="AT23" s="191"/>
    </row>
    <row r="24" spans="1:47">
      <c r="A24" s="32"/>
      <c r="B24" s="12"/>
      <c r="F24" s="27"/>
      <c r="H24" s="27"/>
      <c r="J24" s="27"/>
      <c r="L24" s="27"/>
      <c r="N24" s="27"/>
      <c r="P24" s="27"/>
      <c r="R24" s="27"/>
      <c r="T24" s="27"/>
      <c r="V24" s="27"/>
      <c r="X24" s="27"/>
      <c r="Z24" s="27"/>
      <c r="AB24" s="27"/>
      <c r="AD24" s="27"/>
      <c r="AF24" s="27"/>
      <c r="AH24" s="27"/>
      <c r="AJ24" s="27"/>
      <c r="AL24" s="27"/>
      <c r="AN24" s="27"/>
      <c r="AO24" s="27"/>
      <c r="AP24" s="27"/>
      <c r="AQ24" s="191"/>
      <c r="AR24" s="191"/>
      <c r="AS24" s="191"/>
      <c r="AT24" s="191"/>
      <c r="AU24" s="191"/>
    </row>
    <row r="25" spans="1:47">
      <c r="A25" s="32"/>
      <c r="B25" s="58" t="s">
        <v>120</v>
      </c>
      <c r="F25" s="24"/>
      <c r="H25" s="24"/>
      <c r="J25" s="24"/>
      <c r="L25" s="24"/>
      <c r="N25" s="24"/>
      <c r="P25" s="24"/>
      <c r="R25" s="24"/>
      <c r="T25" s="24"/>
      <c r="V25" s="24"/>
      <c r="X25" s="24"/>
      <c r="Z25" s="24"/>
      <c r="AB25" s="24"/>
      <c r="AD25" s="24"/>
      <c r="AF25" s="24"/>
      <c r="AH25" s="24"/>
      <c r="AJ25" s="24"/>
      <c r="AL25" s="24"/>
      <c r="AN25" s="24"/>
      <c r="AO25" s="24"/>
      <c r="AP25" s="24"/>
      <c r="AQ25" s="191"/>
      <c r="AR25" s="191"/>
      <c r="AS25" s="191"/>
      <c r="AT25" s="191"/>
      <c r="AU25" s="191"/>
    </row>
    <row r="26" spans="1:47">
      <c r="A26" s="32"/>
      <c r="B26" s="10" t="s">
        <v>121</v>
      </c>
      <c r="C26" s="24">
        <v>0</v>
      </c>
      <c r="D26" s="24"/>
      <c r="E26" s="24">
        <v>0</v>
      </c>
      <c r="F26" s="24"/>
      <c r="G26" s="27">
        <f>+'Transfer Detail PG 3 (Fin)'!G29</f>
        <v>-134900.23000000001</v>
      </c>
      <c r="H26" s="24"/>
      <c r="I26" s="27">
        <f>+'Transfer Detail PG 3 (Fin)'!I29+'Transfer Detail PG 3 (PA)'!G26</f>
        <v>0</v>
      </c>
      <c r="J26" s="24"/>
      <c r="K26" s="24">
        <v>0</v>
      </c>
      <c r="L26" s="24"/>
      <c r="M26" s="24">
        <v>0</v>
      </c>
      <c r="N26" s="24"/>
      <c r="O26" s="24">
        <v>0</v>
      </c>
      <c r="P26" s="24"/>
      <c r="Q26" s="24">
        <v>0</v>
      </c>
      <c r="R26" s="24"/>
      <c r="S26" s="24">
        <v>0</v>
      </c>
      <c r="T26" s="24"/>
      <c r="U26" s="24">
        <v>0</v>
      </c>
      <c r="V26" s="24"/>
      <c r="W26" s="24">
        <v>0</v>
      </c>
      <c r="X26" s="24"/>
      <c r="Y26" s="24">
        <v>0</v>
      </c>
      <c r="Z26" s="24"/>
      <c r="AA26" s="24">
        <v>0</v>
      </c>
      <c r="AB26" s="24"/>
      <c r="AC26" s="24">
        <v>0</v>
      </c>
      <c r="AD26" s="24"/>
      <c r="AE26" s="27">
        <f>+'Transfer Detail PG 3 (Fin)'!AC29+'Transfer Detail PG 3 (PA)'!M26</f>
        <v>0</v>
      </c>
      <c r="AF26" s="24"/>
      <c r="AG26" s="27">
        <f>+'Transfer Detail PG 3 (Fin)'!AE29+'Transfer Detail PG 3 (PA)'!O26</f>
        <v>0</v>
      </c>
      <c r="AH26" s="24"/>
      <c r="AI26" s="27">
        <f>+'Transfer Detail PG 3 (Fin)'!AG29+'Transfer Detail PG 3 (PA)'!Q26</f>
        <v>0</v>
      </c>
      <c r="AJ26" s="24"/>
      <c r="AK26" s="24">
        <v>0</v>
      </c>
      <c r="AL26" s="24"/>
      <c r="AM26" s="24">
        <v>0</v>
      </c>
      <c r="AN26" s="24"/>
      <c r="AO26" s="24">
        <f>SUM(C26:AN26)</f>
        <v>-134900.23000000001</v>
      </c>
      <c r="AP26" s="191"/>
      <c r="AQ26" s="191"/>
      <c r="AR26" s="191"/>
      <c r="AS26" s="191"/>
      <c r="AT26" s="191"/>
    </row>
    <row r="27" spans="1:47">
      <c r="A27" s="32"/>
      <c r="B27" s="10" t="s">
        <v>122</v>
      </c>
      <c r="C27" s="24">
        <v>0</v>
      </c>
      <c r="D27" s="24"/>
      <c r="E27" s="24">
        <v>0</v>
      </c>
      <c r="F27" s="24"/>
      <c r="G27" s="24">
        <v>0</v>
      </c>
      <c r="H27" s="24"/>
      <c r="I27" s="27">
        <f>+'Transfer Detail PG 3 (Fin)'!I30+'Transfer Detail PG 3 (PA)'!G27</f>
        <v>0</v>
      </c>
      <c r="J27" s="24"/>
      <c r="K27" s="24">
        <v>0</v>
      </c>
      <c r="L27" s="24"/>
      <c r="M27" s="24">
        <v>0</v>
      </c>
      <c r="N27" s="24"/>
      <c r="O27" s="24">
        <v>0</v>
      </c>
      <c r="P27" s="24"/>
      <c r="Q27" s="24">
        <v>0</v>
      </c>
      <c r="R27" s="24"/>
      <c r="S27" s="24">
        <v>0</v>
      </c>
      <c r="T27" s="24"/>
      <c r="U27" s="24">
        <v>0</v>
      </c>
      <c r="V27" s="24"/>
      <c r="W27" s="24">
        <v>0</v>
      </c>
      <c r="X27" s="24"/>
      <c r="Y27" s="24">
        <v>0</v>
      </c>
      <c r="Z27" s="24"/>
      <c r="AA27" s="24">
        <v>0</v>
      </c>
      <c r="AB27" s="24"/>
      <c r="AC27" s="24">
        <v>0</v>
      </c>
      <c r="AD27" s="24"/>
      <c r="AE27" s="27">
        <f>+'Transfer Detail PG 3 (Fin)'!AC30+'Transfer Detail PG 3 (PA)'!M27</f>
        <v>0</v>
      </c>
      <c r="AF27" s="24"/>
      <c r="AG27" s="27">
        <f>+'Transfer Detail PG 3 (Fin)'!AE30+'Transfer Detail PG 3 (PA)'!O27</f>
        <v>0</v>
      </c>
      <c r="AH27" s="24"/>
      <c r="AI27" s="24">
        <v>0</v>
      </c>
      <c r="AJ27" s="24"/>
      <c r="AK27" s="24">
        <v>0</v>
      </c>
      <c r="AL27" s="24"/>
      <c r="AM27" s="24">
        <v>0</v>
      </c>
      <c r="AN27" s="24"/>
      <c r="AO27" s="24">
        <f>SUM(C27:AN27)</f>
        <v>0</v>
      </c>
      <c r="AP27" s="191"/>
      <c r="AQ27" s="191"/>
      <c r="AR27" s="191"/>
      <c r="AS27" s="191"/>
      <c r="AT27" s="191"/>
    </row>
    <row r="28" spans="1:47">
      <c r="A28" s="32"/>
      <c r="B28" s="10" t="s">
        <v>123</v>
      </c>
      <c r="C28" s="24">
        <v>0</v>
      </c>
      <c r="D28" s="24"/>
      <c r="E28" s="24">
        <v>0</v>
      </c>
      <c r="F28" s="24"/>
      <c r="G28" s="24">
        <v>0</v>
      </c>
      <c r="H28" s="24"/>
      <c r="I28" s="24">
        <v>0</v>
      </c>
      <c r="J28" s="24"/>
      <c r="K28" s="24">
        <v>0</v>
      </c>
      <c r="L28" s="24"/>
      <c r="M28" s="24">
        <v>0</v>
      </c>
      <c r="N28" s="24"/>
      <c r="O28" s="24">
        <v>0</v>
      </c>
      <c r="P28" s="24"/>
      <c r="Q28" s="24">
        <v>0</v>
      </c>
      <c r="R28" s="24"/>
      <c r="S28" s="24">
        <v>0</v>
      </c>
      <c r="T28" s="24"/>
      <c r="U28" s="24">
        <v>0</v>
      </c>
      <c r="V28" s="24"/>
      <c r="W28" s="24">
        <v>0</v>
      </c>
      <c r="X28" s="24"/>
      <c r="Y28" s="24">
        <v>0</v>
      </c>
      <c r="Z28" s="24"/>
      <c r="AA28" s="24">
        <v>0</v>
      </c>
      <c r="AB28" s="24"/>
      <c r="AC28" s="24">
        <v>0</v>
      </c>
      <c r="AD28" s="24"/>
      <c r="AE28" s="27">
        <f>+'Transfer Detail PG 3 (Fin)'!AC31+'Transfer Detail PG 3 (PA)'!M28</f>
        <v>0</v>
      </c>
      <c r="AF28" s="24"/>
      <c r="AG28" s="27">
        <f>+'Transfer Detail PG 3 (Fin)'!AE31+'Transfer Detail PG 3 (PA)'!O28</f>
        <v>0</v>
      </c>
      <c r="AH28" s="24"/>
      <c r="AI28" s="24">
        <v>0</v>
      </c>
      <c r="AJ28" s="24"/>
      <c r="AK28" s="24">
        <v>0</v>
      </c>
      <c r="AL28" s="24"/>
      <c r="AM28" s="24">
        <v>0</v>
      </c>
      <c r="AN28" s="24"/>
      <c r="AO28" s="24">
        <f>SUM(C28:AN28)</f>
        <v>0</v>
      </c>
      <c r="AP28" s="191"/>
      <c r="AQ28" s="191"/>
      <c r="AR28" s="191"/>
      <c r="AS28" s="191"/>
      <c r="AT28" s="191"/>
    </row>
    <row r="29" spans="1:47">
      <c r="A29" s="32"/>
      <c r="B29" s="10" t="s">
        <v>124</v>
      </c>
      <c r="C29" s="24">
        <v>0</v>
      </c>
      <c r="D29" s="24"/>
      <c r="E29" s="24">
        <v>0</v>
      </c>
      <c r="F29" s="24"/>
      <c r="G29" s="24">
        <v>0</v>
      </c>
      <c r="H29" s="24"/>
      <c r="I29" s="24">
        <v>0</v>
      </c>
      <c r="J29" s="24"/>
      <c r="K29" s="24">
        <v>0</v>
      </c>
      <c r="L29" s="24"/>
      <c r="M29" s="24">
        <v>0</v>
      </c>
      <c r="N29" s="24"/>
      <c r="O29" s="24">
        <v>0</v>
      </c>
      <c r="P29" s="24"/>
      <c r="Q29" s="24">
        <v>0</v>
      </c>
      <c r="R29" s="24"/>
      <c r="S29" s="24">
        <v>0</v>
      </c>
      <c r="T29" s="24"/>
      <c r="U29" s="24">
        <v>0</v>
      </c>
      <c r="V29" s="24"/>
      <c r="W29" s="24">
        <v>0</v>
      </c>
      <c r="X29" s="24"/>
      <c r="Y29" s="24">
        <v>0</v>
      </c>
      <c r="Z29" s="24"/>
      <c r="AA29" s="24">
        <v>0</v>
      </c>
      <c r="AB29" s="24"/>
      <c r="AC29" s="24">
        <v>0</v>
      </c>
      <c r="AD29" s="24"/>
      <c r="AE29" s="27">
        <f>+'Transfer Detail PG 3 (Fin)'!AC32+'Transfer Detail PG 3 (PA)'!M29</f>
        <v>0</v>
      </c>
      <c r="AF29" s="24"/>
      <c r="AG29" s="27">
        <f>+'Transfer Detail PG 3 (Fin)'!AE32+'Transfer Detail PG 3 (PA)'!O29</f>
        <v>0</v>
      </c>
      <c r="AH29" s="24"/>
      <c r="AI29" s="24">
        <v>0</v>
      </c>
      <c r="AJ29" s="24"/>
      <c r="AK29" s="24">
        <v>0</v>
      </c>
      <c r="AL29" s="24"/>
      <c r="AM29" s="24">
        <v>0</v>
      </c>
      <c r="AN29" s="24"/>
      <c r="AO29" s="24">
        <f>SUM(C29:AN29)</f>
        <v>0</v>
      </c>
      <c r="AP29" s="191"/>
      <c r="AQ29" s="191"/>
      <c r="AR29" s="191"/>
      <c r="AS29" s="191"/>
      <c r="AT29" s="191"/>
    </row>
    <row r="30" spans="1:47">
      <c r="A30" s="32"/>
      <c r="B30" s="10" t="s">
        <v>125</v>
      </c>
      <c r="C30" s="28">
        <v>0</v>
      </c>
      <c r="D30" s="27"/>
      <c r="E30" s="28">
        <v>0</v>
      </c>
      <c r="F30" s="24"/>
      <c r="G30" s="28">
        <f>+'Transfer Detail PG 3 (Fin)'!G33</f>
        <v>134900.23000000001</v>
      </c>
      <c r="H30" s="27"/>
      <c r="I30" s="28">
        <v>0</v>
      </c>
      <c r="J30" s="27"/>
      <c r="K30" s="28">
        <v>0</v>
      </c>
      <c r="L30" s="24"/>
      <c r="M30" s="28">
        <v>0</v>
      </c>
      <c r="N30" s="24"/>
      <c r="O30" s="28">
        <v>0</v>
      </c>
      <c r="P30" s="24"/>
      <c r="Q30" s="28">
        <v>0</v>
      </c>
      <c r="R30" s="24"/>
      <c r="S30" s="28">
        <v>0</v>
      </c>
      <c r="T30" s="24"/>
      <c r="U30" s="28">
        <v>0</v>
      </c>
      <c r="V30" s="24"/>
      <c r="W30" s="28">
        <v>0</v>
      </c>
      <c r="X30" s="24"/>
      <c r="Y30" s="28">
        <v>0</v>
      </c>
      <c r="Z30" s="24"/>
      <c r="AA30" s="28">
        <v>0</v>
      </c>
      <c r="AB30" s="24"/>
      <c r="AC30" s="28">
        <f>+'Transfer Detail PG 3 (Fin)'!AA33+'Transfer Detail PG 3 (PA)'!S30</f>
        <v>0</v>
      </c>
      <c r="AD30" s="24"/>
      <c r="AE30" s="28">
        <f>+'Transfer Detail PG 3 (Fin)'!AC33+'Transfer Detail PG 3 (PA)'!M30</f>
        <v>0</v>
      </c>
      <c r="AF30" s="24"/>
      <c r="AG30" s="28">
        <f>+'Transfer Detail PG 3 (Fin)'!AE33+'Transfer Detail PG 3 (PA)'!O30</f>
        <v>0</v>
      </c>
      <c r="AH30" s="24"/>
      <c r="AI30" s="28">
        <v>0</v>
      </c>
      <c r="AJ30" s="24"/>
      <c r="AK30" s="28">
        <v>0</v>
      </c>
      <c r="AL30" s="24"/>
      <c r="AM30" s="28">
        <v>0</v>
      </c>
      <c r="AN30" s="24"/>
      <c r="AO30" s="28">
        <f>SUM(C30:AN30)</f>
        <v>134900.23000000001</v>
      </c>
      <c r="AP30" s="191"/>
      <c r="AQ30" s="191"/>
      <c r="AR30" s="191"/>
      <c r="AS30" s="191"/>
      <c r="AT30" s="191"/>
    </row>
    <row r="31" spans="1:47">
      <c r="A31" s="32"/>
      <c r="B31" s="11"/>
      <c r="C31" s="27">
        <f>SUM(C26:C30)</f>
        <v>0</v>
      </c>
      <c r="D31" s="27"/>
      <c r="E31" s="27">
        <f>SUM(E26:E30)</f>
        <v>0</v>
      </c>
      <c r="F31" s="27"/>
      <c r="G31" s="27">
        <f>SUM(G26:G30)</f>
        <v>0</v>
      </c>
      <c r="H31" s="27"/>
      <c r="I31" s="27">
        <f>SUM(I26:I30)</f>
        <v>0</v>
      </c>
      <c r="J31" s="27"/>
      <c r="K31" s="27">
        <f>SUM(K26:K30)</f>
        <v>0</v>
      </c>
      <c r="L31" s="27"/>
      <c r="M31" s="27">
        <f>SUM(M26:M30)</f>
        <v>0</v>
      </c>
      <c r="N31" s="27"/>
      <c r="O31" s="27">
        <f>SUM(O26:O30)</f>
        <v>0</v>
      </c>
      <c r="P31" s="27"/>
      <c r="Q31" s="27">
        <f>SUM(Q26:Q30)</f>
        <v>0</v>
      </c>
      <c r="R31" s="27"/>
      <c r="S31" s="27">
        <f>SUM(S26:S30)</f>
        <v>0</v>
      </c>
      <c r="T31" s="27"/>
      <c r="U31" s="27">
        <f>SUM(U26:U30)</f>
        <v>0</v>
      </c>
      <c r="V31" s="27"/>
      <c r="W31" s="27">
        <f>SUM(W26:W30)</f>
        <v>0</v>
      </c>
      <c r="X31" s="27"/>
      <c r="Y31" s="27">
        <f>SUM(Y26:Y30)</f>
        <v>0</v>
      </c>
      <c r="Z31" s="27"/>
      <c r="AA31" s="27">
        <f>SUM(AA26:AA30)</f>
        <v>0</v>
      </c>
      <c r="AB31" s="27"/>
      <c r="AC31" s="27">
        <f>SUM(AC26:AC30)</f>
        <v>0</v>
      </c>
      <c r="AD31" s="27"/>
      <c r="AE31" s="27">
        <f>SUM(AE26:AE30)</f>
        <v>0</v>
      </c>
      <c r="AF31" s="27"/>
      <c r="AG31" s="27">
        <f>SUM(AG26:AG30)</f>
        <v>0</v>
      </c>
      <c r="AH31" s="27"/>
      <c r="AI31" s="27">
        <f>SUM(AI26:AI30)</f>
        <v>0</v>
      </c>
      <c r="AJ31" s="27"/>
      <c r="AK31" s="27">
        <f>SUM(AK26:AK30)</f>
        <v>0</v>
      </c>
      <c r="AL31" s="27"/>
      <c r="AM31" s="27">
        <f>SUM(AM26:AM30)</f>
        <v>0</v>
      </c>
      <c r="AN31" s="27"/>
      <c r="AO31" s="27">
        <f>SUM(AO26:AO30)</f>
        <v>0</v>
      </c>
      <c r="AP31" s="191"/>
      <c r="AQ31" s="191"/>
      <c r="AR31" s="191"/>
      <c r="AS31" s="191"/>
      <c r="AT31" s="191"/>
    </row>
    <row r="32" spans="1:47">
      <c r="A32" s="32"/>
      <c r="C32" s="24"/>
      <c r="D32" s="24"/>
      <c r="E32" s="24"/>
      <c r="F32" s="24"/>
      <c r="G32" s="24"/>
      <c r="H32" s="24"/>
      <c r="I32" s="24"/>
      <c r="J32" s="24"/>
      <c r="K32" s="24"/>
      <c r="L32" s="24"/>
      <c r="M32" s="24"/>
      <c r="N32" s="24"/>
      <c r="O32" s="24"/>
      <c r="P32" s="24"/>
      <c r="Q32" s="24"/>
      <c r="R32" s="24"/>
      <c r="S32" s="24"/>
      <c r="T32" s="24"/>
      <c r="U32" s="24"/>
      <c r="V32" s="24"/>
      <c r="W32" s="24"/>
      <c r="X32" s="24"/>
      <c r="Y32" s="24"/>
      <c r="Z32" s="24"/>
      <c r="AA32" s="24"/>
      <c r="AB32" s="24"/>
      <c r="AC32" s="24"/>
      <c r="AD32" s="24"/>
      <c r="AE32" s="24"/>
      <c r="AF32" s="24"/>
      <c r="AG32" s="24"/>
      <c r="AH32" s="24"/>
      <c r="AI32" s="24"/>
      <c r="AJ32" s="24"/>
      <c r="AK32" s="24"/>
      <c r="AL32" s="24"/>
      <c r="AM32" s="24"/>
      <c r="AN32" s="24"/>
      <c r="AO32" s="24"/>
      <c r="AP32" s="191"/>
      <c r="AQ32" s="191"/>
      <c r="AR32" s="191"/>
      <c r="AS32" s="191"/>
      <c r="AT32" s="191"/>
    </row>
    <row r="33" spans="1:47">
      <c r="A33" s="32"/>
      <c r="B33" s="12" t="s">
        <v>126</v>
      </c>
      <c r="C33" s="25">
        <f>C13+C23+C31</f>
        <v>-23.74</v>
      </c>
      <c r="D33" s="27"/>
      <c r="E33" s="25">
        <f>E13+E23+E31</f>
        <v>21926.880000000001</v>
      </c>
      <c r="F33" s="24"/>
      <c r="G33" s="25">
        <f>G13+G23+G31</f>
        <v>0</v>
      </c>
      <c r="H33" s="27"/>
      <c r="I33" s="25">
        <f>I13+I23+I31</f>
        <v>0</v>
      </c>
      <c r="J33" s="27"/>
      <c r="K33" s="25">
        <f>K13+K23+K31</f>
        <v>0</v>
      </c>
      <c r="L33" s="24"/>
      <c r="M33" s="25">
        <f>M13+M23+M31</f>
        <v>0</v>
      </c>
      <c r="N33" s="24"/>
      <c r="O33" s="25">
        <f>O13+O23+O31</f>
        <v>0</v>
      </c>
      <c r="P33" s="24"/>
      <c r="Q33" s="25">
        <f>Q13+Q23+Q31</f>
        <v>0</v>
      </c>
      <c r="R33" s="24"/>
      <c r="S33" s="25">
        <f>S13+S23+S31</f>
        <v>0</v>
      </c>
      <c r="T33" s="24"/>
      <c r="U33" s="25">
        <f>U13+U23+U31</f>
        <v>0</v>
      </c>
      <c r="V33" s="24"/>
      <c r="W33" s="25">
        <f>W13+W23+W31</f>
        <v>0</v>
      </c>
      <c r="X33" s="24"/>
      <c r="Y33" s="25">
        <f>Y13+Y23+Y31</f>
        <v>0</v>
      </c>
      <c r="Z33" s="24"/>
      <c r="AA33" s="25">
        <f>AA13+AA23+AA31</f>
        <v>0</v>
      </c>
      <c r="AB33" s="24"/>
      <c r="AC33" s="25">
        <f>AC13+AC23+AC31</f>
        <v>0</v>
      </c>
      <c r="AD33" s="24"/>
      <c r="AE33" s="25">
        <f>AE13+AE23+AE31</f>
        <v>0</v>
      </c>
      <c r="AF33" s="24"/>
      <c r="AG33" s="25">
        <f>AG13+AG23+AG31</f>
        <v>0</v>
      </c>
      <c r="AH33" s="24"/>
      <c r="AI33" s="25">
        <f>AI13+AI23+AI31</f>
        <v>0</v>
      </c>
      <c r="AJ33" s="24"/>
      <c r="AK33" s="25">
        <f>AK13+AK23+AK31</f>
        <v>0</v>
      </c>
      <c r="AL33" s="24"/>
      <c r="AM33" s="25">
        <f>AM13+AM23+AM31</f>
        <v>0</v>
      </c>
      <c r="AN33" s="24"/>
      <c r="AO33" s="25">
        <f>AO13+AO23+AO31</f>
        <v>21903.14</v>
      </c>
      <c r="AP33" s="191"/>
      <c r="AQ33" s="191"/>
      <c r="AR33" s="191"/>
      <c r="AS33" s="191"/>
      <c r="AT33" s="191"/>
    </row>
    <row r="34" spans="1:47">
      <c r="A34" s="32"/>
      <c r="B34" s="58"/>
      <c r="C34" s="12"/>
      <c r="D34" s="12"/>
      <c r="E34" s="12"/>
      <c r="F34" s="27"/>
      <c r="G34" s="12"/>
      <c r="H34" s="24"/>
      <c r="I34" s="12"/>
      <c r="J34" s="24"/>
      <c r="K34" s="12"/>
      <c r="L34" s="27"/>
      <c r="M34" s="12"/>
      <c r="N34" s="27"/>
      <c r="O34" s="12"/>
      <c r="P34" s="27"/>
      <c r="Q34" s="12"/>
      <c r="R34" s="27"/>
      <c r="S34" s="12"/>
      <c r="T34" s="27"/>
      <c r="U34" s="12"/>
      <c r="V34" s="27"/>
      <c r="W34" s="12"/>
      <c r="X34" s="27"/>
      <c r="Y34" s="12"/>
      <c r="Z34" s="27"/>
      <c r="AA34" s="12"/>
      <c r="AB34" s="27"/>
      <c r="AC34" s="12"/>
      <c r="AD34" s="27"/>
      <c r="AE34" s="12"/>
      <c r="AF34" s="27"/>
      <c r="AG34" s="12"/>
      <c r="AH34" s="27"/>
      <c r="AI34" s="12"/>
      <c r="AJ34" s="27"/>
      <c r="AK34" s="12"/>
      <c r="AL34" s="27"/>
      <c r="AM34" s="12"/>
      <c r="AN34" s="27"/>
      <c r="AO34" s="24"/>
      <c r="AP34" s="27"/>
      <c r="AQ34" s="191"/>
      <c r="AR34" s="191"/>
      <c r="AS34" s="191"/>
      <c r="AT34" s="191"/>
      <c r="AU34" s="191"/>
    </row>
    <row r="35" spans="1:47">
      <c r="A35" s="32"/>
      <c r="B35" s="58"/>
      <c r="F35" s="24"/>
      <c r="H35" s="24"/>
      <c r="J35" s="24"/>
      <c r="L35" s="24"/>
      <c r="N35" s="24"/>
      <c r="P35" s="24"/>
      <c r="R35" s="24"/>
      <c r="T35" s="24"/>
      <c r="V35" s="24"/>
      <c r="X35" s="24"/>
      <c r="Z35" s="24"/>
      <c r="AB35" s="24"/>
      <c r="AD35" s="24"/>
      <c r="AF35" s="24"/>
      <c r="AH35" s="24"/>
      <c r="AJ35" s="24"/>
      <c r="AL35" s="24"/>
      <c r="AN35" s="24"/>
      <c r="AO35" s="24"/>
      <c r="AP35" s="24"/>
      <c r="AQ35" s="191"/>
      <c r="AR35" s="191"/>
      <c r="AS35" s="191"/>
      <c r="AT35" s="191"/>
      <c r="AU35" s="191"/>
    </row>
    <row r="36" spans="1:47">
      <c r="A36" s="32">
        <v>102</v>
      </c>
      <c r="B36" s="12" t="s">
        <v>1108</v>
      </c>
      <c r="F36" s="24"/>
      <c r="H36" s="24"/>
      <c r="J36" s="24"/>
      <c r="L36" s="24"/>
      <c r="N36" s="24"/>
      <c r="P36" s="24"/>
      <c r="R36" s="24"/>
      <c r="T36" s="24"/>
      <c r="V36" s="24"/>
      <c r="X36" s="24"/>
      <c r="Z36" s="24"/>
      <c r="AB36" s="24"/>
      <c r="AD36" s="24"/>
      <c r="AF36" s="24"/>
      <c r="AH36" s="24"/>
      <c r="AJ36" s="24"/>
      <c r="AL36" s="24"/>
      <c r="AN36" s="24"/>
      <c r="AO36" s="24"/>
      <c r="AP36" s="24"/>
      <c r="AQ36" s="191"/>
      <c r="AR36" s="191"/>
      <c r="AS36" s="191"/>
      <c r="AT36" s="191"/>
      <c r="AU36" s="191"/>
    </row>
    <row r="37" spans="1:47">
      <c r="A37" s="32"/>
      <c r="B37" s="12" t="s">
        <v>112</v>
      </c>
      <c r="F37" s="24"/>
      <c r="H37" s="24"/>
      <c r="J37" s="24"/>
      <c r="L37" s="24"/>
      <c r="N37" s="24"/>
      <c r="P37" s="24"/>
      <c r="R37" s="24"/>
      <c r="T37" s="24"/>
      <c r="V37" s="24"/>
      <c r="X37" s="24"/>
      <c r="Z37" s="24"/>
      <c r="AB37" s="24"/>
      <c r="AD37" s="24"/>
      <c r="AF37" s="24"/>
      <c r="AH37" s="24"/>
      <c r="AJ37" s="24"/>
      <c r="AL37" s="24"/>
      <c r="AN37" s="24"/>
      <c r="AO37" s="24"/>
      <c r="AP37" s="24"/>
      <c r="AQ37" s="191"/>
      <c r="AR37" s="191"/>
      <c r="AS37" s="191"/>
      <c r="AT37" s="191"/>
      <c r="AU37" s="191"/>
    </row>
    <row r="38" spans="1:47">
      <c r="A38" s="32"/>
      <c r="B38" s="10" t="s">
        <v>118</v>
      </c>
      <c r="C38" s="28">
        <v>0</v>
      </c>
      <c r="D38" s="27"/>
      <c r="E38" s="28">
        <v>0</v>
      </c>
      <c r="F38" s="24"/>
      <c r="G38" s="28">
        <v>0</v>
      </c>
      <c r="H38" s="27"/>
      <c r="I38" s="28">
        <v>0</v>
      </c>
      <c r="J38" s="27"/>
      <c r="K38" s="28">
        <v>0</v>
      </c>
      <c r="L38" s="24"/>
      <c r="M38" s="28">
        <v>0</v>
      </c>
      <c r="N38" s="24"/>
      <c r="O38" s="28">
        <v>0</v>
      </c>
      <c r="P38" s="24"/>
      <c r="Q38" s="28">
        <v>0</v>
      </c>
      <c r="R38" s="24"/>
      <c r="S38" s="28">
        <v>0</v>
      </c>
      <c r="T38" s="24"/>
      <c r="U38" s="28">
        <v>0</v>
      </c>
      <c r="V38" s="24"/>
      <c r="W38" s="28">
        <v>0</v>
      </c>
      <c r="X38" s="24"/>
      <c r="Y38" s="28">
        <v>0</v>
      </c>
      <c r="Z38" s="24"/>
      <c r="AA38" s="28">
        <v>0</v>
      </c>
      <c r="AB38" s="24"/>
      <c r="AC38" s="28">
        <v>0</v>
      </c>
      <c r="AD38" s="24"/>
      <c r="AE38" s="28">
        <v>0</v>
      </c>
      <c r="AF38" s="24"/>
      <c r="AG38" s="28">
        <v>0</v>
      </c>
      <c r="AH38" s="24"/>
      <c r="AI38" s="28">
        <v>0</v>
      </c>
      <c r="AJ38" s="24"/>
      <c r="AK38" s="28">
        <v>0</v>
      </c>
      <c r="AL38" s="24"/>
      <c r="AM38" s="28">
        <v>0</v>
      </c>
      <c r="AN38" s="24"/>
      <c r="AO38" s="28">
        <f>SUM(C38:AN38)</f>
        <v>0</v>
      </c>
      <c r="AP38" s="191"/>
      <c r="AQ38" s="191"/>
      <c r="AR38" s="191"/>
      <c r="AS38" s="191"/>
      <c r="AT38" s="191"/>
    </row>
    <row r="39" spans="1:47">
      <c r="A39" s="32"/>
      <c r="B39" s="11"/>
      <c r="C39" s="27">
        <f>SUM(C38)</f>
        <v>0</v>
      </c>
      <c r="D39" s="27"/>
      <c r="E39" s="27">
        <f>SUM(E38)</f>
        <v>0</v>
      </c>
      <c r="F39" s="27"/>
      <c r="G39" s="27">
        <f>SUM(G38)</f>
        <v>0</v>
      </c>
      <c r="H39" s="27"/>
      <c r="I39" s="27">
        <f>SUM(I38)</f>
        <v>0</v>
      </c>
      <c r="J39" s="27"/>
      <c r="K39" s="27">
        <f>SUM(K38)</f>
        <v>0</v>
      </c>
      <c r="L39" s="27"/>
      <c r="M39" s="27">
        <f>SUM(M38)</f>
        <v>0</v>
      </c>
      <c r="N39" s="27"/>
      <c r="O39" s="27">
        <f>SUM(O38)</f>
        <v>0</v>
      </c>
      <c r="P39" s="27"/>
      <c r="Q39" s="27">
        <f>SUM(Q38)</f>
        <v>0</v>
      </c>
      <c r="R39" s="27"/>
      <c r="S39" s="27">
        <f>SUM(S38)</f>
        <v>0</v>
      </c>
      <c r="T39" s="27"/>
      <c r="U39" s="27">
        <f>SUM(U38)</f>
        <v>0</v>
      </c>
      <c r="V39" s="27"/>
      <c r="W39" s="27">
        <f>SUM(W38)</f>
        <v>0</v>
      </c>
      <c r="X39" s="27"/>
      <c r="Y39" s="27">
        <f>SUM(Y38)</f>
        <v>0</v>
      </c>
      <c r="Z39" s="27"/>
      <c r="AA39" s="27">
        <f>SUM(AA38)</f>
        <v>0</v>
      </c>
      <c r="AB39" s="27"/>
      <c r="AC39" s="27">
        <f>SUM(AC38)</f>
        <v>0</v>
      </c>
      <c r="AD39" s="27"/>
      <c r="AE39" s="27">
        <f>SUM(AE38)</f>
        <v>0</v>
      </c>
      <c r="AF39" s="27"/>
      <c r="AG39" s="27">
        <f>SUM(AG38)</f>
        <v>0</v>
      </c>
      <c r="AH39" s="27"/>
      <c r="AI39" s="27">
        <f>SUM(AI38)</f>
        <v>0</v>
      </c>
      <c r="AJ39" s="27"/>
      <c r="AK39" s="27">
        <f>SUM(AK38)</f>
        <v>0</v>
      </c>
      <c r="AL39" s="27"/>
      <c r="AM39" s="27">
        <f>SUM(AM38)</f>
        <v>0</v>
      </c>
      <c r="AN39" s="27"/>
      <c r="AO39" s="27">
        <f>SUM(AO38)</f>
        <v>0</v>
      </c>
      <c r="AP39" s="191"/>
      <c r="AQ39" s="191"/>
      <c r="AR39" s="191"/>
      <c r="AS39" s="191"/>
      <c r="AT39" s="191"/>
    </row>
    <row r="40" spans="1:47">
      <c r="A40" s="32"/>
      <c r="C40" s="24"/>
      <c r="D40" s="24"/>
      <c r="E40" s="24"/>
      <c r="F40" s="24"/>
      <c r="G40" s="24"/>
      <c r="H40" s="24"/>
      <c r="I40" s="24"/>
      <c r="J40" s="24"/>
      <c r="K40" s="24"/>
      <c r="L40" s="24"/>
      <c r="M40" s="24"/>
      <c r="N40" s="24"/>
      <c r="O40" s="24"/>
      <c r="P40" s="24"/>
      <c r="Q40" s="24"/>
      <c r="R40" s="24"/>
      <c r="S40" s="24"/>
      <c r="T40" s="24"/>
      <c r="U40" s="24"/>
      <c r="V40" s="24"/>
      <c r="W40" s="24"/>
      <c r="X40" s="24"/>
      <c r="Y40" s="24"/>
      <c r="Z40" s="24"/>
      <c r="AA40" s="24"/>
      <c r="AB40" s="24"/>
      <c r="AC40" s="24"/>
      <c r="AD40" s="24"/>
      <c r="AE40" s="24"/>
      <c r="AF40" s="24"/>
      <c r="AG40" s="24"/>
      <c r="AH40" s="24"/>
      <c r="AI40" s="24"/>
      <c r="AJ40" s="24"/>
      <c r="AK40" s="24"/>
      <c r="AL40" s="24"/>
      <c r="AM40" s="24"/>
      <c r="AN40" s="24"/>
      <c r="AO40" s="24"/>
      <c r="AP40" s="191"/>
      <c r="AQ40" s="191"/>
      <c r="AR40" s="191"/>
      <c r="AS40" s="191"/>
      <c r="AT40" s="191"/>
    </row>
    <row r="41" spans="1:47">
      <c r="A41" s="32"/>
      <c r="B41" s="12" t="s">
        <v>127</v>
      </c>
      <c r="C41" s="25">
        <f>C39</f>
        <v>0</v>
      </c>
      <c r="D41" s="27"/>
      <c r="E41" s="25">
        <f>E39</f>
        <v>0</v>
      </c>
      <c r="F41" s="24"/>
      <c r="G41" s="25">
        <f>G39</f>
        <v>0</v>
      </c>
      <c r="H41" s="27"/>
      <c r="I41" s="25">
        <f>I39</f>
        <v>0</v>
      </c>
      <c r="J41" s="27"/>
      <c r="K41" s="25">
        <f>K39</f>
        <v>0</v>
      </c>
      <c r="L41" s="24"/>
      <c r="M41" s="25">
        <f>M39</f>
        <v>0</v>
      </c>
      <c r="N41" s="24"/>
      <c r="O41" s="25">
        <f>O39</f>
        <v>0</v>
      </c>
      <c r="P41" s="24"/>
      <c r="Q41" s="25">
        <f>Q39</f>
        <v>0</v>
      </c>
      <c r="R41" s="24"/>
      <c r="S41" s="25">
        <f>S39</f>
        <v>0</v>
      </c>
      <c r="T41" s="24"/>
      <c r="U41" s="25">
        <f>U39</f>
        <v>0</v>
      </c>
      <c r="V41" s="24"/>
      <c r="W41" s="25">
        <f>W39</f>
        <v>0</v>
      </c>
      <c r="X41" s="24"/>
      <c r="Y41" s="25">
        <f>Y39</f>
        <v>0</v>
      </c>
      <c r="Z41" s="24"/>
      <c r="AA41" s="25">
        <f>AA39</f>
        <v>0</v>
      </c>
      <c r="AB41" s="24"/>
      <c r="AC41" s="25">
        <f>AC39</f>
        <v>0</v>
      </c>
      <c r="AD41" s="24"/>
      <c r="AE41" s="25">
        <f>AE39</f>
        <v>0</v>
      </c>
      <c r="AF41" s="24"/>
      <c r="AG41" s="25">
        <f>AG39</f>
        <v>0</v>
      </c>
      <c r="AH41" s="24"/>
      <c r="AI41" s="25">
        <f>AI39</f>
        <v>0</v>
      </c>
      <c r="AJ41" s="24"/>
      <c r="AK41" s="25">
        <f>AK39</f>
        <v>0</v>
      </c>
      <c r="AL41" s="24"/>
      <c r="AM41" s="25">
        <f>AM39</f>
        <v>0</v>
      </c>
      <c r="AN41" s="24"/>
      <c r="AO41" s="25">
        <f>AO39</f>
        <v>0</v>
      </c>
      <c r="AP41" s="191"/>
      <c r="AQ41" s="191"/>
      <c r="AR41" s="191"/>
      <c r="AS41" s="191"/>
      <c r="AT41" s="191"/>
    </row>
    <row r="42" spans="1:47">
      <c r="A42" s="32"/>
      <c r="C42" s="24"/>
      <c r="D42" s="24"/>
      <c r="E42" s="24"/>
      <c r="F42" s="24"/>
      <c r="G42" s="24"/>
      <c r="H42" s="24"/>
      <c r="I42" s="24"/>
      <c r="J42" s="24"/>
      <c r="K42" s="24"/>
      <c r="L42" s="24"/>
      <c r="M42" s="24"/>
      <c r="N42" s="24"/>
      <c r="O42" s="24"/>
      <c r="P42" s="24"/>
      <c r="Q42" s="24"/>
      <c r="R42" s="24"/>
      <c r="S42" s="24"/>
      <c r="T42" s="24"/>
      <c r="U42" s="24"/>
      <c r="V42" s="24"/>
      <c r="W42" s="24"/>
      <c r="X42" s="24"/>
      <c r="Y42" s="24"/>
      <c r="Z42" s="24"/>
      <c r="AA42" s="24"/>
      <c r="AB42" s="24"/>
      <c r="AC42" s="24"/>
      <c r="AD42" s="24"/>
      <c r="AE42" s="24"/>
      <c r="AF42" s="24"/>
      <c r="AG42" s="24"/>
      <c r="AH42" s="24"/>
      <c r="AI42" s="24"/>
      <c r="AJ42" s="24"/>
      <c r="AK42" s="24"/>
      <c r="AL42" s="24"/>
      <c r="AM42" s="24"/>
      <c r="AN42" s="24"/>
      <c r="AO42" s="24"/>
      <c r="AP42" s="191"/>
      <c r="AQ42" s="191"/>
      <c r="AR42" s="191"/>
      <c r="AS42" s="191"/>
      <c r="AT42" s="191"/>
    </row>
    <row r="43" spans="1:47">
      <c r="A43" s="32"/>
      <c r="B43" s="58"/>
      <c r="F43" s="24"/>
      <c r="H43" s="24"/>
      <c r="J43" s="24"/>
      <c r="L43" s="24"/>
      <c r="N43" s="24"/>
      <c r="P43" s="24"/>
      <c r="R43" s="24"/>
      <c r="T43" s="24"/>
      <c r="V43" s="24"/>
      <c r="X43" s="24"/>
      <c r="Z43" s="24"/>
      <c r="AB43" s="24"/>
      <c r="AD43" s="24"/>
      <c r="AF43" s="24"/>
      <c r="AH43" s="24"/>
      <c r="AJ43" s="24"/>
      <c r="AL43" s="24"/>
      <c r="AN43" s="24"/>
      <c r="AO43" s="24"/>
      <c r="AP43" s="24"/>
      <c r="AQ43" s="191"/>
      <c r="AR43" s="191"/>
      <c r="AS43" s="191"/>
      <c r="AT43" s="191"/>
      <c r="AU43" s="191"/>
    </row>
    <row r="44" spans="1:47">
      <c r="A44" s="32">
        <v>105</v>
      </c>
      <c r="B44" s="12" t="s">
        <v>611</v>
      </c>
      <c r="F44" s="24"/>
      <c r="H44" s="24"/>
      <c r="J44" s="24"/>
      <c r="L44" s="24"/>
      <c r="N44" s="24"/>
      <c r="P44" s="24"/>
      <c r="R44" s="24"/>
      <c r="T44" s="24"/>
      <c r="V44" s="24"/>
      <c r="X44" s="24"/>
      <c r="Z44" s="24"/>
      <c r="AB44" s="24"/>
      <c r="AD44" s="24"/>
      <c r="AF44" s="24"/>
      <c r="AH44" s="24"/>
      <c r="AJ44" s="24"/>
      <c r="AL44" s="24"/>
      <c r="AN44" s="24"/>
      <c r="AO44" s="24"/>
      <c r="AP44" s="24"/>
      <c r="AQ44" s="191"/>
      <c r="AR44" s="191"/>
      <c r="AS44" s="191"/>
      <c r="AT44" s="191"/>
      <c r="AU44" s="191"/>
    </row>
    <row r="45" spans="1:47">
      <c r="A45" s="32"/>
      <c r="B45" s="58" t="s">
        <v>112</v>
      </c>
      <c r="F45" s="24"/>
      <c r="H45" s="24"/>
      <c r="J45" s="24"/>
      <c r="L45" s="24"/>
      <c r="N45" s="24"/>
      <c r="P45" s="24"/>
      <c r="R45" s="24"/>
      <c r="T45" s="24"/>
      <c r="V45" s="24"/>
      <c r="X45" s="24"/>
      <c r="Z45" s="24"/>
      <c r="AB45" s="24"/>
      <c r="AD45" s="24"/>
      <c r="AF45" s="24"/>
      <c r="AH45" s="24"/>
      <c r="AJ45" s="24"/>
      <c r="AL45" s="24"/>
      <c r="AN45" s="24"/>
      <c r="AO45" s="24"/>
      <c r="AP45" s="24"/>
      <c r="AQ45" s="191"/>
      <c r="AR45" s="191"/>
      <c r="AS45" s="191"/>
      <c r="AT45" s="191"/>
      <c r="AU45" s="191"/>
    </row>
    <row r="46" spans="1:47">
      <c r="A46" s="32"/>
      <c r="B46" s="10" t="s">
        <v>113</v>
      </c>
      <c r="C46" s="24">
        <v>0</v>
      </c>
      <c r="D46" s="24"/>
      <c r="E46" s="27">
        <f>+'Transfer Detail PG 3 (Fin)'!E49</f>
        <v>-21926.880000000001</v>
      </c>
      <c r="F46" s="24"/>
      <c r="G46" s="24">
        <v>0</v>
      </c>
      <c r="H46" s="24"/>
      <c r="I46" s="24">
        <v>0</v>
      </c>
      <c r="J46" s="24"/>
      <c r="K46" s="24">
        <v>0</v>
      </c>
      <c r="L46" s="24"/>
      <c r="M46" s="24">
        <v>0</v>
      </c>
      <c r="N46" s="24"/>
      <c r="O46" s="24">
        <v>0</v>
      </c>
      <c r="P46" s="24"/>
      <c r="Q46" s="24">
        <v>0</v>
      </c>
      <c r="R46" s="24"/>
      <c r="S46" s="24">
        <v>0</v>
      </c>
      <c r="T46" s="24"/>
      <c r="U46" s="24">
        <v>0</v>
      </c>
      <c r="V46" s="24"/>
      <c r="W46" s="24">
        <v>0</v>
      </c>
      <c r="X46" s="24"/>
      <c r="Y46" s="24">
        <v>0</v>
      </c>
      <c r="Z46" s="24"/>
      <c r="AA46" s="24">
        <v>0</v>
      </c>
      <c r="AB46" s="24"/>
      <c r="AC46" s="24">
        <v>0</v>
      </c>
      <c r="AD46" s="24"/>
      <c r="AE46" s="24">
        <v>0</v>
      </c>
      <c r="AF46" s="24"/>
      <c r="AG46" s="24">
        <v>0</v>
      </c>
      <c r="AH46" s="24"/>
      <c r="AI46" s="24">
        <v>0</v>
      </c>
      <c r="AJ46" s="24"/>
      <c r="AK46" s="24">
        <v>0</v>
      </c>
      <c r="AL46" s="24"/>
      <c r="AM46" s="24">
        <v>0</v>
      </c>
      <c r="AN46" s="24"/>
      <c r="AO46" s="27">
        <f>SUM(C46:AN46)</f>
        <v>-21926.880000000001</v>
      </c>
      <c r="AP46" s="191"/>
      <c r="AQ46" s="191"/>
      <c r="AR46" s="191"/>
      <c r="AS46" s="191"/>
      <c r="AT46" s="191"/>
    </row>
    <row r="47" spans="1:47">
      <c r="A47" s="32"/>
      <c r="B47" s="10" t="s">
        <v>118</v>
      </c>
      <c r="C47" s="28">
        <f>+'Transfer Detail PG 3 (Fin)'!C50+'Transfer Detail PG 3 (PA)'!C47</f>
        <v>0</v>
      </c>
      <c r="D47" s="27"/>
      <c r="E47" s="28">
        <v>0</v>
      </c>
      <c r="F47" s="27"/>
      <c r="G47" s="28">
        <v>0</v>
      </c>
      <c r="H47" s="27"/>
      <c r="I47" s="28">
        <v>0</v>
      </c>
      <c r="J47" s="27"/>
      <c r="K47" s="28">
        <v>0</v>
      </c>
      <c r="L47" s="27"/>
      <c r="M47" s="28">
        <v>0</v>
      </c>
      <c r="N47" s="27"/>
      <c r="O47" s="28">
        <v>0</v>
      </c>
      <c r="P47" s="27"/>
      <c r="Q47" s="28">
        <v>0</v>
      </c>
      <c r="R47" s="27"/>
      <c r="S47" s="28">
        <v>0</v>
      </c>
      <c r="T47" s="27"/>
      <c r="U47" s="28">
        <v>0</v>
      </c>
      <c r="V47" s="27"/>
      <c r="W47" s="28">
        <v>0</v>
      </c>
      <c r="X47" s="27"/>
      <c r="Y47" s="28">
        <v>0</v>
      </c>
      <c r="Z47" s="27"/>
      <c r="AA47" s="28">
        <v>0</v>
      </c>
      <c r="AB47" s="27"/>
      <c r="AC47" s="28">
        <v>0</v>
      </c>
      <c r="AD47" s="27"/>
      <c r="AE47" s="28">
        <v>0</v>
      </c>
      <c r="AF47" s="27"/>
      <c r="AG47" s="28">
        <v>0</v>
      </c>
      <c r="AH47" s="27"/>
      <c r="AI47" s="28">
        <v>0</v>
      </c>
      <c r="AJ47" s="27"/>
      <c r="AK47" s="28">
        <v>0</v>
      </c>
      <c r="AL47" s="27"/>
      <c r="AM47" s="28">
        <v>0</v>
      </c>
      <c r="AN47" s="27"/>
      <c r="AO47" s="28">
        <f>SUM(C47:AN47)</f>
        <v>0</v>
      </c>
      <c r="AP47" s="191"/>
      <c r="AQ47" s="191"/>
      <c r="AR47" s="191"/>
      <c r="AS47" s="191"/>
      <c r="AT47" s="191"/>
    </row>
    <row r="48" spans="1:47">
      <c r="A48" s="32"/>
      <c r="B48" s="11"/>
      <c r="C48" s="27">
        <f>SUM(C46:C47)</f>
        <v>0</v>
      </c>
      <c r="D48" s="27"/>
      <c r="E48" s="27">
        <f>SUM(E46:E47)</f>
        <v>-21926.880000000001</v>
      </c>
      <c r="F48" s="27"/>
      <c r="G48" s="27">
        <f>SUM(G46:G47)</f>
        <v>0</v>
      </c>
      <c r="H48" s="27"/>
      <c r="I48" s="27">
        <f>SUM(I46:I47)</f>
        <v>0</v>
      </c>
      <c r="J48" s="27"/>
      <c r="K48" s="27">
        <f>SUM(K46:K47)</f>
        <v>0</v>
      </c>
      <c r="L48" s="27"/>
      <c r="M48" s="27">
        <f>SUM(M46:M47)</f>
        <v>0</v>
      </c>
      <c r="N48" s="27"/>
      <c r="O48" s="27">
        <f>SUM(O46:O47)</f>
        <v>0</v>
      </c>
      <c r="P48" s="27"/>
      <c r="Q48" s="27">
        <f>SUM(Q46:Q47)</f>
        <v>0</v>
      </c>
      <c r="R48" s="27"/>
      <c r="S48" s="27">
        <f>SUM(S46:S47)</f>
        <v>0</v>
      </c>
      <c r="T48" s="27"/>
      <c r="U48" s="27">
        <f>SUM(U46:U47)</f>
        <v>0</v>
      </c>
      <c r="V48" s="27"/>
      <c r="W48" s="27">
        <f>SUM(W46:W47)</f>
        <v>0</v>
      </c>
      <c r="X48" s="27"/>
      <c r="Y48" s="27">
        <f>SUM(Y46:Y47)</f>
        <v>0</v>
      </c>
      <c r="Z48" s="27"/>
      <c r="AA48" s="27">
        <f>SUM(AA46:AA47)</f>
        <v>0</v>
      </c>
      <c r="AB48" s="27"/>
      <c r="AC48" s="27">
        <f>SUM(AC46:AC47)</f>
        <v>0</v>
      </c>
      <c r="AD48" s="27"/>
      <c r="AE48" s="27">
        <f>SUM(AE46:AE47)</f>
        <v>0</v>
      </c>
      <c r="AF48" s="27"/>
      <c r="AG48" s="27">
        <f>SUM(AG46:AG47)</f>
        <v>0</v>
      </c>
      <c r="AH48" s="27"/>
      <c r="AI48" s="27">
        <f>SUM(AI46:AI47)</f>
        <v>0</v>
      </c>
      <c r="AJ48" s="27"/>
      <c r="AK48" s="27">
        <f>SUM(AK46:AK47)</f>
        <v>0</v>
      </c>
      <c r="AL48" s="27"/>
      <c r="AM48" s="27">
        <f>SUM(AM46:AM47)</f>
        <v>0</v>
      </c>
      <c r="AN48" s="27"/>
      <c r="AO48" s="27">
        <f>SUM(AO46:AO47)</f>
        <v>-21926.880000000001</v>
      </c>
      <c r="AP48" s="191"/>
      <c r="AQ48" s="191"/>
      <c r="AR48" s="191"/>
      <c r="AS48" s="191"/>
      <c r="AT48" s="191"/>
    </row>
    <row r="49" spans="1:47">
      <c r="A49" s="32"/>
      <c r="C49" s="24"/>
      <c r="D49" s="24"/>
      <c r="E49" s="24"/>
      <c r="F49" s="24"/>
      <c r="G49" s="24"/>
      <c r="H49" s="24"/>
      <c r="I49" s="24"/>
      <c r="J49" s="24"/>
      <c r="K49" s="24"/>
      <c r="L49" s="24"/>
      <c r="M49" s="24"/>
      <c r="N49" s="24"/>
      <c r="O49" s="24"/>
      <c r="P49" s="24"/>
      <c r="Q49" s="24"/>
      <c r="R49" s="24"/>
      <c r="S49" s="24"/>
      <c r="T49" s="24"/>
      <c r="U49" s="24"/>
      <c r="V49" s="24"/>
      <c r="W49" s="24"/>
      <c r="X49" s="24"/>
      <c r="Y49" s="24"/>
      <c r="Z49" s="24"/>
      <c r="AA49" s="24"/>
      <c r="AB49" s="24"/>
      <c r="AC49" s="24"/>
      <c r="AD49" s="24"/>
      <c r="AE49" s="24"/>
      <c r="AF49" s="24"/>
      <c r="AG49" s="24"/>
      <c r="AH49" s="24"/>
      <c r="AI49" s="24"/>
      <c r="AJ49" s="24"/>
      <c r="AK49" s="24"/>
      <c r="AL49" s="24"/>
      <c r="AM49" s="24"/>
      <c r="AN49" s="24"/>
      <c r="AO49" s="24"/>
      <c r="AP49" s="191"/>
      <c r="AQ49" s="191"/>
      <c r="AR49" s="191"/>
      <c r="AS49" s="191"/>
      <c r="AT49" s="191"/>
    </row>
    <row r="50" spans="1:47">
      <c r="A50" s="32"/>
      <c r="B50" s="12" t="s">
        <v>128</v>
      </c>
      <c r="C50" s="25">
        <f>C48</f>
        <v>0</v>
      </c>
      <c r="D50" s="27"/>
      <c r="E50" s="25">
        <f>E48</f>
        <v>-21926.880000000001</v>
      </c>
      <c r="F50" s="24"/>
      <c r="G50" s="25">
        <f>G48</f>
        <v>0</v>
      </c>
      <c r="H50" s="27"/>
      <c r="I50" s="25">
        <f>I48</f>
        <v>0</v>
      </c>
      <c r="J50" s="27"/>
      <c r="K50" s="25">
        <f>K48</f>
        <v>0</v>
      </c>
      <c r="L50" s="24"/>
      <c r="M50" s="25">
        <f>M48</f>
        <v>0</v>
      </c>
      <c r="N50" s="24"/>
      <c r="O50" s="25">
        <f>O48</f>
        <v>0</v>
      </c>
      <c r="P50" s="24"/>
      <c r="Q50" s="25">
        <f>Q48</f>
        <v>0</v>
      </c>
      <c r="R50" s="24"/>
      <c r="S50" s="25">
        <f>S48</f>
        <v>0</v>
      </c>
      <c r="T50" s="24"/>
      <c r="U50" s="25">
        <f>U48</f>
        <v>0</v>
      </c>
      <c r="V50" s="24"/>
      <c r="W50" s="25">
        <f>W48</f>
        <v>0</v>
      </c>
      <c r="X50" s="24"/>
      <c r="Y50" s="25">
        <f>Y48</f>
        <v>0</v>
      </c>
      <c r="Z50" s="24"/>
      <c r="AA50" s="25">
        <f>AA48</f>
        <v>0</v>
      </c>
      <c r="AB50" s="24"/>
      <c r="AC50" s="25">
        <f>AC48</f>
        <v>0</v>
      </c>
      <c r="AD50" s="24"/>
      <c r="AE50" s="25">
        <f>AE48</f>
        <v>0</v>
      </c>
      <c r="AF50" s="24"/>
      <c r="AG50" s="25">
        <f>AG48</f>
        <v>0</v>
      </c>
      <c r="AH50" s="24"/>
      <c r="AI50" s="25">
        <f>AI48</f>
        <v>0</v>
      </c>
      <c r="AJ50" s="24"/>
      <c r="AK50" s="25">
        <f>AK48</f>
        <v>0</v>
      </c>
      <c r="AL50" s="24"/>
      <c r="AM50" s="25">
        <f>AM48</f>
        <v>0</v>
      </c>
      <c r="AN50" s="24"/>
      <c r="AO50" s="25">
        <f>AO48</f>
        <v>-21926.880000000001</v>
      </c>
      <c r="AP50" s="191"/>
      <c r="AQ50" s="191"/>
      <c r="AR50" s="191"/>
      <c r="AS50" s="191"/>
      <c r="AT50" s="191"/>
    </row>
    <row r="51" spans="1:47">
      <c r="A51" s="32"/>
      <c r="B51" s="58"/>
      <c r="F51" s="24"/>
      <c r="H51" s="24"/>
      <c r="J51" s="24"/>
      <c r="L51" s="24"/>
      <c r="N51" s="24"/>
      <c r="P51" s="24"/>
      <c r="R51" s="24"/>
      <c r="T51" s="24"/>
      <c r="V51" s="24"/>
      <c r="X51" s="24"/>
      <c r="Z51" s="24"/>
      <c r="AB51" s="24"/>
      <c r="AD51" s="24"/>
      <c r="AF51" s="24"/>
      <c r="AH51" s="24"/>
      <c r="AJ51" s="24"/>
      <c r="AL51" s="24"/>
      <c r="AN51" s="24"/>
      <c r="AO51" s="24"/>
      <c r="AP51" s="24"/>
      <c r="AQ51" s="191"/>
      <c r="AR51" s="191"/>
      <c r="AS51" s="191"/>
      <c r="AT51" s="191"/>
      <c r="AU51" s="191"/>
    </row>
    <row r="52" spans="1:47">
      <c r="A52" s="32"/>
      <c r="B52" s="58"/>
      <c r="F52" s="24"/>
      <c r="H52" s="24"/>
      <c r="J52" s="24"/>
      <c r="L52" s="24"/>
      <c r="N52" s="24"/>
      <c r="P52" s="24"/>
      <c r="R52" s="24"/>
      <c r="T52" s="24"/>
      <c r="V52" s="24"/>
      <c r="X52" s="24"/>
      <c r="Z52" s="24"/>
      <c r="AB52" s="24"/>
      <c r="AD52" s="24"/>
      <c r="AF52" s="24"/>
      <c r="AH52" s="24"/>
      <c r="AJ52" s="24"/>
      <c r="AL52" s="24"/>
      <c r="AN52" s="24"/>
      <c r="AO52" s="24"/>
      <c r="AP52" s="24"/>
      <c r="AQ52" s="191"/>
      <c r="AR52" s="191"/>
      <c r="AS52" s="191"/>
      <c r="AT52" s="191"/>
      <c r="AU52" s="191"/>
    </row>
    <row r="53" spans="1:47">
      <c r="A53" s="32"/>
      <c r="B53" s="58"/>
      <c r="F53" s="24"/>
      <c r="H53" s="24"/>
      <c r="J53" s="24"/>
      <c r="L53" s="24"/>
      <c r="N53" s="24"/>
      <c r="P53" s="24"/>
      <c r="R53" s="24"/>
      <c r="T53" s="24"/>
      <c r="V53" s="24"/>
      <c r="X53" s="24"/>
      <c r="Z53" s="24"/>
      <c r="AB53" s="24"/>
      <c r="AD53" s="24"/>
      <c r="AF53" s="24"/>
      <c r="AH53" s="24"/>
      <c r="AJ53" s="24"/>
      <c r="AL53" s="24"/>
      <c r="AN53" s="24"/>
      <c r="AO53" s="24"/>
      <c r="AP53" s="24"/>
      <c r="AQ53" s="191"/>
      <c r="AR53" s="191"/>
      <c r="AS53" s="191"/>
      <c r="AT53" s="191"/>
      <c r="AU53" s="191"/>
    </row>
    <row r="54" spans="1:47">
      <c r="A54" s="32">
        <v>106</v>
      </c>
      <c r="B54" s="58"/>
      <c r="F54" s="24"/>
      <c r="H54" s="24"/>
      <c r="J54" s="24"/>
      <c r="L54" s="24"/>
      <c r="N54" s="24"/>
      <c r="P54" s="24"/>
      <c r="R54" s="24"/>
      <c r="T54" s="24"/>
      <c r="V54" s="24"/>
      <c r="X54" s="24"/>
      <c r="Z54" s="24"/>
      <c r="AB54" s="24"/>
      <c r="AD54" s="24"/>
      <c r="AF54" s="24"/>
      <c r="AH54" s="24"/>
      <c r="AJ54" s="24"/>
      <c r="AL54" s="24"/>
      <c r="AN54" s="24"/>
      <c r="AO54" s="24"/>
      <c r="AP54" s="24"/>
      <c r="AQ54" s="191"/>
      <c r="AR54" s="191"/>
      <c r="AS54" s="191"/>
      <c r="AT54" s="191"/>
      <c r="AU54" s="191"/>
    </row>
    <row r="55" spans="1:47">
      <c r="A55" s="32"/>
      <c r="B55" s="12" t="s">
        <v>450</v>
      </c>
      <c r="F55" s="24"/>
      <c r="H55" s="24"/>
      <c r="J55" s="24"/>
      <c r="L55" s="24"/>
      <c r="N55" s="24"/>
      <c r="P55" s="24"/>
      <c r="R55" s="24"/>
      <c r="T55" s="24"/>
      <c r="V55" s="24"/>
      <c r="X55" s="24"/>
      <c r="Z55" s="24"/>
      <c r="AB55" s="24"/>
      <c r="AD55" s="24"/>
      <c r="AF55" s="24"/>
      <c r="AH55" s="24"/>
      <c r="AJ55" s="24"/>
      <c r="AL55" s="24"/>
      <c r="AN55" s="24"/>
      <c r="AO55" s="24"/>
      <c r="AP55" s="24"/>
      <c r="AQ55" s="191"/>
      <c r="AR55" s="191"/>
      <c r="AS55" s="191"/>
      <c r="AT55" s="191"/>
      <c r="AU55" s="191"/>
    </row>
    <row r="56" spans="1:47">
      <c r="A56" s="32"/>
      <c r="B56" s="58" t="s">
        <v>652</v>
      </c>
      <c r="F56" s="24"/>
      <c r="H56" s="24"/>
      <c r="J56" s="24"/>
      <c r="L56" s="24"/>
      <c r="N56" s="24"/>
      <c r="P56" s="24"/>
      <c r="R56" s="24"/>
      <c r="T56" s="24"/>
      <c r="V56" s="24"/>
      <c r="X56" s="24"/>
      <c r="Z56" s="24"/>
      <c r="AB56" s="24"/>
      <c r="AD56" s="24"/>
      <c r="AF56" s="24"/>
      <c r="AH56" s="24"/>
      <c r="AJ56" s="24"/>
      <c r="AL56" s="24"/>
      <c r="AN56" s="24"/>
      <c r="AO56" s="24"/>
      <c r="AP56" s="24"/>
      <c r="AQ56" s="191"/>
      <c r="AR56" s="191"/>
      <c r="AS56" s="191"/>
      <c r="AT56" s="191"/>
      <c r="AU56" s="191"/>
    </row>
    <row r="57" spans="1:47">
      <c r="A57" s="32"/>
      <c r="B57" s="10" t="s">
        <v>455</v>
      </c>
      <c r="C57" s="24">
        <v>0</v>
      </c>
      <c r="D57" s="24"/>
      <c r="E57" s="24">
        <v>0</v>
      </c>
      <c r="F57" s="24"/>
      <c r="G57" s="24">
        <v>0</v>
      </c>
      <c r="H57" s="24"/>
      <c r="I57" s="24">
        <v>0</v>
      </c>
      <c r="J57" s="24"/>
      <c r="K57" s="24">
        <v>0</v>
      </c>
      <c r="L57" s="24"/>
      <c r="M57" s="24">
        <v>0</v>
      </c>
      <c r="N57" s="24"/>
      <c r="O57" s="24">
        <v>0</v>
      </c>
      <c r="P57" s="24"/>
      <c r="Q57" s="24">
        <v>0</v>
      </c>
      <c r="R57" s="24"/>
      <c r="S57" s="24">
        <v>0</v>
      </c>
      <c r="T57" s="24"/>
      <c r="U57" s="24">
        <v>0</v>
      </c>
      <c r="V57" s="24"/>
      <c r="W57" s="24">
        <v>0</v>
      </c>
      <c r="X57" s="24"/>
      <c r="Y57" s="24">
        <v>0</v>
      </c>
      <c r="Z57" s="24"/>
      <c r="AA57" s="24">
        <v>0</v>
      </c>
      <c r="AB57" s="24"/>
      <c r="AC57" s="24">
        <v>0</v>
      </c>
      <c r="AD57" s="24"/>
      <c r="AE57" s="24">
        <v>0</v>
      </c>
      <c r="AF57" s="24"/>
      <c r="AG57" s="24">
        <v>0</v>
      </c>
      <c r="AH57" s="24"/>
      <c r="AI57" s="24">
        <v>0</v>
      </c>
      <c r="AJ57" s="24"/>
      <c r="AK57" s="24">
        <v>0</v>
      </c>
      <c r="AL57" s="24"/>
      <c r="AM57" s="24">
        <v>0</v>
      </c>
      <c r="AN57" s="24"/>
      <c r="AO57" s="24">
        <f>SUM(C57:AN57)</f>
        <v>0</v>
      </c>
      <c r="AP57" s="191"/>
      <c r="AQ57" s="191"/>
      <c r="AR57" s="191"/>
      <c r="AS57" s="191"/>
      <c r="AT57" s="191"/>
    </row>
    <row r="58" spans="1:47">
      <c r="A58" s="32"/>
      <c r="B58" s="10" t="s">
        <v>111</v>
      </c>
      <c r="C58" s="28">
        <v>0</v>
      </c>
      <c r="D58" s="27"/>
      <c r="E58" s="28">
        <v>0</v>
      </c>
      <c r="F58" s="27"/>
      <c r="G58" s="28">
        <v>0</v>
      </c>
      <c r="H58" s="27"/>
      <c r="I58" s="28">
        <v>0</v>
      </c>
      <c r="J58" s="27"/>
      <c r="K58" s="28">
        <v>0</v>
      </c>
      <c r="L58" s="27"/>
      <c r="M58" s="28">
        <v>0</v>
      </c>
      <c r="N58" s="27"/>
      <c r="O58" s="28">
        <v>0</v>
      </c>
      <c r="P58" s="27"/>
      <c r="Q58" s="28">
        <v>0</v>
      </c>
      <c r="R58" s="27"/>
      <c r="S58" s="28">
        <v>0</v>
      </c>
      <c r="T58" s="27"/>
      <c r="U58" s="28">
        <v>0</v>
      </c>
      <c r="V58" s="27"/>
      <c r="W58" s="28">
        <v>0</v>
      </c>
      <c r="X58" s="27"/>
      <c r="Y58" s="28">
        <v>0</v>
      </c>
      <c r="Z58" s="27"/>
      <c r="AA58" s="28">
        <v>0</v>
      </c>
      <c r="AB58" s="27"/>
      <c r="AC58" s="28">
        <v>0</v>
      </c>
      <c r="AD58" s="27"/>
      <c r="AE58" s="28">
        <v>0</v>
      </c>
      <c r="AF58" s="27"/>
      <c r="AG58" s="28">
        <v>0</v>
      </c>
      <c r="AH58" s="27"/>
      <c r="AI58" s="28">
        <v>0</v>
      </c>
      <c r="AJ58" s="27"/>
      <c r="AK58" s="28">
        <v>0</v>
      </c>
      <c r="AL58" s="27"/>
      <c r="AM58" s="28">
        <v>0</v>
      </c>
      <c r="AN58" s="27"/>
      <c r="AO58" s="28">
        <f>SUM(C58:AN58)</f>
        <v>0</v>
      </c>
      <c r="AP58" s="191"/>
      <c r="AQ58" s="191"/>
      <c r="AR58" s="191"/>
      <c r="AS58" s="191"/>
      <c r="AT58" s="191"/>
    </row>
    <row r="59" spans="1:47">
      <c r="C59" s="27">
        <f>C57+C58</f>
        <v>0</v>
      </c>
      <c r="D59" s="27"/>
      <c r="E59" s="27">
        <f>E57+E58</f>
        <v>0</v>
      </c>
      <c r="F59" s="27"/>
      <c r="G59" s="27">
        <f>G57+G58</f>
        <v>0</v>
      </c>
      <c r="H59" s="27"/>
      <c r="I59" s="27">
        <f>I57+I58</f>
        <v>0</v>
      </c>
      <c r="J59" s="27"/>
      <c r="K59" s="27">
        <f>K57+K58</f>
        <v>0</v>
      </c>
      <c r="L59" s="27"/>
      <c r="M59" s="27">
        <f>M57+M58</f>
        <v>0</v>
      </c>
      <c r="N59" s="27"/>
      <c r="O59" s="27">
        <f>O57+O58</f>
        <v>0</v>
      </c>
      <c r="P59" s="27"/>
      <c r="Q59" s="27">
        <f>Q57+Q58</f>
        <v>0</v>
      </c>
      <c r="R59" s="27"/>
      <c r="S59" s="27">
        <f>S57+S58</f>
        <v>0</v>
      </c>
      <c r="T59" s="27"/>
      <c r="U59" s="27">
        <f>U57+U58</f>
        <v>0</v>
      </c>
      <c r="V59" s="27"/>
      <c r="W59" s="27">
        <f>W57+W58</f>
        <v>0</v>
      </c>
      <c r="X59" s="27"/>
      <c r="Y59" s="27">
        <f>Y57+Y58</f>
        <v>0</v>
      </c>
      <c r="Z59" s="27"/>
      <c r="AA59" s="27">
        <f>AA57+AA58</f>
        <v>0</v>
      </c>
      <c r="AB59" s="27"/>
      <c r="AC59" s="27">
        <f>AC57+AC58</f>
        <v>0</v>
      </c>
      <c r="AD59" s="27"/>
      <c r="AE59" s="27">
        <f>AE57+AE58</f>
        <v>0</v>
      </c>
      <c r="AF59" s="27"/>
      <c r="AG59" s="27">
        <f>AG57+AG58</f>
        <v>0</v>
      </c>
      <c r="AH59" s="27"/>
      <c r="AI59" s="27">
        <f>AI57+AI58</f>
        <v>0</v>
      </c>
      <c r="AJ59" s="27"/>
      <c r="AK59" s="27">
        <f>AK57+AK58</f>
        <v>0</v>
      </c>
      <c r="AL59" s="27"/>
      <c r="AM59" s="27">
        <f>AM57+AM58</f>
        <v>0</v>
      </c>
      <c r="AN59" s="27"/>
      <c r="AO59" s="27">
        <f>AO57+AO58</f>
        <v>0</v>
      </c>
      <c r="AP59" s="191"/>
      <c r="AQ59" s="191"/>
      <c r="AR59" s="191"/>
      <c r="AS59" s="191"/>
      <c r="AT59" s="191"/>
    </row>
    <row r="60" spans="1:47">
      <c r="A60" s="32"/>
      <c r="B60" s="11"/>
      <c r="F60" s="27"/>
      <c r="H60" s="27"/>
      <c r="J60" s="27"/>
      <c r="L60" s="27"/>
      <c r="N60" s="27"/>
      <c r="P60" s="27"/>
      <c r="R60" s="27"/>
      <c r="T60" s="27"/>
      <c r="V60" s="27"/>
      <c r="X60" s="27"/>
      <c r="Z60" s="27"/>
      <c r="AB60" s="27"/>
      <c r="AD60" s="27"/>
      <c r="AF60" s="27"/>
      <c r="AH60" s="27"/>
      <c r="AJ60" s="27"/>
      <c r="AL60" s="27"/>
      <c r="AN60" s="27"/>
      <c r="AO60" s="27"/>
      <c r="AP60" s="27"/>
      <c r="AQ60" s="191"/>
      <c r="AR60" s="191"/>
      <c r="AS60" s="191"/>
      <c r="AT60" s="191"/>
      <c r="AU60" s="191"/>
    </row>
    <row r="61" spans="1:47">
      <c r="A61" s="32"/>
      <c r="B61" s="12"/>
      <c r="F61" s="27"/>
      <c r="H61" s="27"/>
      <c r="J61" s="27"/>
      <c r="L61" s="27"/>
      <c r="N61" s="27"/>
      <c r="P61" s="27"/>
      <c r="R61" s="27"/>
      <c r="T61" s="27"/>
      <c r="V61" s="27"/>
      <c r="X61" s="27"/>
      <c r="Z61" s="27"/>
      <c r="AB61" s="27"/>
      <c r="AD61" s="27"/>
      <c r="AF61" s="27"/>
      <c r="AH61" s="27"/>
      <c r="AJ61" s="27"/>
      <c r="AL61" s="27"/>
      <c r="AN61" s="27"/>
      <c r="AO61" s="27"/>
      <c r="AP61" s="27"/>
      <c r="AQ61" s="191"/>
      <c r="AR61" s="191"/>
      <c r="AS61" s="191"/>
      <c r="AT61" s="191"/>
      <c r="AU61" s="191"/>
    </row>
    <row r="62" spans="1:47">
      <c r="A62" s="32"/>
      <c r="B62" s="58" t="s">
        <v>112</v>
      </c>
      <c r="C62" s="27">
        <v>0</v>
      </c>
      <c r="D62" s="27"/>
      <c r="E62" s="27">
        <v>0</v>
      </c>
      <c r="F62" s="27"/>
      <c r="G62" s="27">
        <v>0</v>
      </c>
      <c r="H62" s="27"/>
      <c r="I62" s="27">
        <v>0</v>
      </c>
      <c r="J62" s="27"/>
      <c r="K62" s="27">
        <v>0</v>
      </c>
      <c r="L62" s="27"/>
      <c r="M62" s="27"/>
      <c r="N62" s="27"/>
      <c r="O62" s="27"/>
      <c r="P62" s="27"/>
      <c r="Q62" s="27"/>
      <c r="R62" s="27"/>
      <c r="S62" s="27"/>
      <c r="T62" s="27"/>
      <c r="U62" s="27"/>
      <c r="V62" s="27"/>
      <c r="W62" s="27"/>
      <c r="X62" s="27"/>
      <c r="Y62" s="27"/>
      <c r="Z62" s="27"/>
      <c r="AA62" s="27"/>
      <c r="AB62" s="27"/>
      <c r="AC62" s="27"/>
      <c r="AD62" s="27"/>
      <c r="AE62" s="27"/>
      <c r="AF62" s="27"/>
      <c r="AG62" s="27"/>
      <c r="AH62" s="27"/>
      <c r="AI62" s="27"/>
      <c r="AJ62" s="27"/>
      <c r="AK62" s="27"/>
      <c r="AL62" s="27"/>
      <c r="AM62" s="27"/>
      <c r="AN62" s="27"/>
      <c r="AO62" s="27"/>
      <c r="AP62" s="191"/>
      <c r="AQ62" s="191"/>
      <c r="AR62" s="191"/>
      <c r="AS62" s="191"/>
      <c r="AT62" s="191"/>
    </row>
    <row r="63" spans="1:47">
      <c r="A63" s="32"/>
      <c r="B63" s="10" t="s">
        <v>113</v>
      </c>
      <c r="C63" s="27">
        <v>0</v>
      </c>
      <c r="D63" s="27"/>
      <c r="E63" s="27">
        <v>0</v>
      </c>
      <c r="F63" s="27"/>
      <c r="G63" s="27">
        <v>0</v>
      </c>
      <c r="H63" s="27"/>
      <c r="I63" s="27">
        <v>0</v>
      </c>
      <c r="J63" s="27"/>
      <c r="K63" s="27">
        <v>0</v>
      </c>
      <c r="L63" s="27"/>
      <c r="M63" s="27">
        <v>0</v>
      </c>
      <c r="N63" s="27"/>
      <c r="O63" s="27">
        <v>0</v>
      </c>
      <c r="P63" s="27"/>
      <c r="Q63" s="27">
        <v>0</v>
      </c>
      <c r="R63" s="27"/>
      <c r="S63" s="27">
        <v>0</v>
      </c>
      <c r="T63" s="27"/>
      <c r="U63" s="27">
        <v>0</v>
      </c>
      <c r="V63" s="27"/>
      <c r="W63" s="27">
        <v>0</v>
      </c>
      <c r="X63" s="27"/>
      <c r="Y63" s="27">
        <v>0</v>
      </c>
      <c r="Z63" s="27"/>
      <c r="AA63" s="27">
        <v>0</v>
      </c>
      <c r="AB63" s="27"/>
      <c r="AC63" s="27">
        <v>0</v>
      </c>
      <c r="AD63" s="27"/>
      <c r="AE63" s="27">
        <v>0</v>
      </c>
      <c r="AF63" s="27"/>
      <c r="AG63" s="27">
        <v>0</v>
      </c>
      <c r="AH63" s="27"/>
      <c r="AI63" s="27">
        <v>0</v>
      </c>
      <c r="AJ63" s="27"/>
      <c r="AK63" s="27">
        <v>0</v>
      </c>
      <c r="AL63" s="27"/>
      <c r="AM63" s="27">
        <v>0</v>
      </c>
      <c r="AN63" s="27"/>
      <c r="AO63" s="27">
        <f t="shared" ref="AO63:AO68" si="1">SUM(C63:AN63)</f>
        <v>0</v>
      </c>
      <c r="AP63" s="191"/>
      <c r="AQ63" s="191"/>
      <c r="AR63" s="191"/>
      <c r="AS63" s="191"/>
      <c r="AT63" s="191"/>
    </row>
    <row r="64" spans="1:47">
      <c r="A64" s="32"/>
      <c r="B64" s="10" t="s">
        <v>114</v>
      </c>
      <c r="C64" s="27">
        <v>0</v>
      </c>
      <c r="D64" s="27"/>
      <c r="E64" s="27">
        <v>0</v>
      </c>
      <c r="F64" s="27"/>
      <c r="G64" s="27">
        <v>0</v>
      </c>
      <c r="H64" s="27"/>
      <c r="I64" s="27">
        <v>0</v>
      </c>
      <c r="J64" s="27"/>
      <c r="K64" s="27">
        <v>0</v>
      </c>
      <c r="L64" s="27"/>
      <c r="M64" s="27">
        <v>0</v>
      </c>
      <c r="N64" s="27"/>
      <c r="O64" s="27">
        <v>0</v>
      </c>
      <c r="P64" s="27"/>
      <c r="Q64" s="27">
        <v>0</v>
      </c>
      <c r="R64" s="27"/>
      <c r="S64" s="27">
        <v>0</v>
      </c>
      <c r="T64" s="27"/>
      <c r="U64" s="27">
        <v>0</v>
      </c>
      <c r="V64" s="27"/>
      <c r="W64" s="27">
        <v>0</v>
      </c>
      <c r="X64" s="27"/>
      <c r="Y64" s="27">
        <v>0</v>
      </c>
      <c r="Z64" s="27"/>
      <c r="AA64" s="27">
        <v>0</v>
      </c>
      <c r="AB64" s="27"/>
      <c r="AC64" s="27">
        <v>0</v>
      </c>
      <c r="AD64" s="27"/>
      <c r="AE64" s="27">
        <v>0</v>
      </c>
      <c r="AF64" s="27"/>
      <c r="AG64" s="27">
        <v>0</v>
      </c>
      <c r="AH64" s="27"/>
      <c r="AI64" s="27">
        <v>0</v>
      </c>
      <c r="AJ64" s="27"/>
      <c r="AK64" s="27">
        <v>0</v>
      </c>
      <c r="AL64" s="27"/>
      <c r="AM64" s="27">
        <v>0</v>
      </c>
      <c r="AN64" s="27"/>
      <c r="AO64" s="27">
        <f t="shared" si="1"/>
        <v>0</v>
      </c>
      <c r="AP64" s="191"/>
      <c r="AQ64" s="191"/>
      <c r="AR64" s="191"/>
      <c r="AS64" s="191"/>
      <c r="AT64" s="191"/>
    </row>
    <row r="65" spans="1:47">
      <c r="A65" s="32"/>
      <c r="B65" s="10" t="s">
        <v>115</v>
      </c>
      <c r="C65" s="27">
        <v>0</v>
      </c>
      <c r="D65" s="27"/>
      <c r="E65" s="27">
        <v>0</v>
      </c>
      <c r="F65" s="27"/>
      <c r="G65" s="27">
        <v>0</v>
      </c>
      <c r="H65" s="27"/>
      <c r="I65" s="27">
        <v>0</v>
      </c>
      <c r="J65" s="27"/>
      <c r="K65" s="27">
        <v>0</v>
      </c>
      <c r="L65" s="27"/>
      <c r="M65" s="27">
        <v>0</v>
      </c>
      <c r="N65" s="27"/>
      <c r="O65" s="27">
        <v>0</v>
      </c>
      <c r="P65" s="27"/>
      <c r="Q65" s="27">
        <v>0</v>
      </c>
      <c r="R65" s="27"/>
      <c r="S65" s="27">
        <v>0</v>
      </c>
      <c r="T65" s="27"/>
      <c r="U65" s="27">
        <v>0</v>
      </c>
      <c r="V65" s="27"/>
      <c r="W65" s="27">
        <v>0</v>
      </c>
      <c r="X65" s="27"/>
      <c r="Y65" s="27">
        <v>0</v>
      </c>
      <c r="Z65" s="27"/>
      <c r="AA65" s="27">
        <v>0</v>
      </c>
      <c r="AB65" s="27"/>
      <c r="AC65" s="27">
        <v>0</v>
      </c>
      <c r="AD65" s="27"/>
      <c r="AE65" s="27">
        <v>0</v>
      </c>
      <c r="AF65" s="27"/>
      <c r="AG65" s="27">
        <v>0</v>
      </c>
      <c r="AH65" s="27"/>
      <c r="AI65" s="27">
        <v>0</v>
      </c>
      <c r="AJ65" s="27"/>
      <c r="AK65" s="27">
        <v>0</v>
      </c>
      <c r="AL65" s="27"/>
      <c r="AM65" s="27">
        <v>0</v>
      </c>
      <c r="AN65" s="27"/>
      <c r="AO65" s="27">
        <f t="shared" si="1"/>
        <v>0</v>
      </c>
      <c r="AP65" s="191"/>
      <c r="AQ65" s="191"/>
      <c r="AR65" s="191"/>
      <c r="AS65" s="191"/>
      <c r="AT65" s="191"/>
    </row>
    <row r="66" spans="1:47">
      <c r="A66" s="32"/>
      <c r="B66" s="10" t="s">
        <v>116</v>
      </c>
      <c r="C66" s="27">
        <v>0</v>
      </c>
      <c r="D66" s="27"/>
      <c r="E66" s="27">
        <v>0</v>
      </c>
      <c r="F66" s="27"/>
      <c r="G66" s="27">
        <v>0</v>
      </c>
      <c r="H66" s="27"/>
      <c r="I66" s="27">
        <v>0</v>
      </c>
      <c r="J66" s="27"/>
      <c r="K66" s="27">
        <v>0</v>
      </c>
      <c r="L66" s="27"/>
      <c r="M66" s="27">
        <v>0</v>
      </c>
      <c r="N66" s="27"/>
      <c r="O66" s="27">
        <v>0</v>
      </c>
      <c r="P66" s="27"/>
      <c r="Q66" s="27">
        <v>0</v>
      </c>
      <c r="R66" s="27"/>
      <c r="S66" s="27">
        <v>0</v>
      </c>
      <c r="T66" s="27"/>
      <c r="U66" s="27">
        <v>0</v>
      </c>
      <c r="V66" s="27"/>
      <c r="W66" s="27">
        <v>0</v>
      </c>
      <c r="X66" s="27"/>
      <c r="Y66" s="27">
        <v>0</v>
      </c>
      <c r="Z66" s="27"/>
      <c r="AA66" s="27">
        <v>0</v>
      </c>
      <c r="AB66" s="27"/>
      <c r="AC66" s="27">
        <v>0</v>
      </c>
      <c r="AD66" s="27"/>
      <c r="AE66" s="27">
        <v>0</v>
      </c>
      <c r="AF66" s="27"/>
      <c r="AG66" s="27">
        <v>0</v>
      </c>
      <c r="AH66" s="27"/>
      <c r="AI66" s="27">
        <v>0</v>
      </c>
      <c r="AJ66" s="27"/>
      <c r="AK66" s="27">
        <v>0</v>
      </c>
      <c r="AL66" s="27"/>
      <c r="AM66" s="27">
        <v>0</v>
      </c>
      <c r="AN66" s="27"/>
      <c r="AO66" s="27">
        <f t="shared" si="1"/>
        <v>0</v>
      </c>
      <c r="AP66" s="191"/>
      <c r="AQ66" s="191"/>
      <c r="AR66" s="191"/>
      <c r="AS66" s="191"/>
      <c r="AT66" s="191"/>
    </row>
    <row r="67" spans="1:47">
      <c r="A67" s="32"/>
      <c r="B67" s="10" t="s">
        <v>117</v>
      </c>
      <c r="C67" s="27">
        <v>0</v>
      </c>
      <c r="D67" s="27"/>
      <c r="E67" s="27">
        <v>0</v>
      </c>
      <c r="F67" s="27"/>
      <c r="G67" s="27">
        <v>0</v>
      </c>
      <c r="H67" s="27"/>
      <c r="I67" s="27">
        <v>0</v>
      </c>
      <c r="J67" s="27"/>
      <c r="K67" s="27">
        <v>0</v>
      </c>
      <c r="L67" s="27"/>
      <c r="M67" s="27">
        <v>0</v>
      </c>
      <c r="N67" s="27"/>
      <c r="O67" s="27">
        <v>0</v>
      </c>
      <c r="P67" s="27"/>
      <c r="Q67" s="27">
        <v>0</v>
      </c>
      <c r="R67" s="27"/>
      <c r="S67" s="27">
        <v>0</v>
      </c>
      <c r="T67" s="27"/>
      <c r="U67" s="27">
        <v>0</v>
      </c>
      <c r="V67" s="27"/>
      <c r="W67" s="27">
        <v>0</v>
      </c>
      <c r="X67" s="27"/>
      <c r="Y67" s="27">
        <v>0</v>
      </c>
      <c r="Z67" s="27"/>
      <c r="AA67" s="27">
        <v>0</v>
      </c>
      <c r="AB67" s="27"/>
      <c r="AC67" s="27">
        <v>0</v>
      </c>
      <c r="AD67" s="27"/>
      <c r="AE67" s="27">
        <v>0</v>
      </c>
      <c r="AF67" s="27"/>
      <c r="AG67" s="27">
        <v>0</v>
      </c>
      <c r="AH67" s="27"/>
      <c r="AI67" s="27">
        <v>0</v>
      </c>
      <c r="AJ67" s="27"/>
      <c r="AK67" s="27">
        <v>0</v>
      </c>
      <c r="AL67" s="27"/>
      <c r="AM67" s="27">
        <v>0</v>
      </c>
      <c r="AN67" s="27"/>
      <c r="AO67" s="27">
        <f t="shared" si="1"/>
        <v>0</v>
      </c>
      <c r="AP67" s="191"/>
      <c r="AQ67" s="191"/>
      <c r="AR67" s="191"/>
      <c r="AS67" s="191"/>
      <c r="AT67" s="191"/>
    </row>
    <row r="68" spans="1:47">
      <c r="A68" s="32"/>
      <c r="B68" s="10" t="s">
        <v>118</v>
      </c>
      <c r="C68" s="27">
        <v>0</v>
      </c>
      <c r="D68" s="27"/>
      <c r="E68" s="27">
        <v>0</v>
      </c>
      <c r="F68" s="27"/>
      <c r="G68" s="27">
        <v>0</v>
      </c>
      <c r="H68" s="27"/>
      <c r="I68" s="27">
        <v>0</v>
      </c>
      <c r="J68" s="27"/>
      <c r="K68" s="27">
        <v>0</v>
      </c>
      <c r="L68" s="27"/>
      <c r="M68" s="27">
        <v>0</v>
      </c>
      <c r="N68" s="27"/>
      <c r="O68" s="27">
        <v>0</v>
      </c>
      <c r="P68" s="27"/>
      <c r="Q68" s="27">
        <v>0</v>
      </c>
      <c r="R68" s="27"/>
      <c r="S68" s="27">
        <v>0</v>
      </c>
      <c r="T68" s="27"/>
      <c r="U68" s="27">
        <v>0</v>
      </c>
      <c r="V68" s="27"/>
      <c r="W68" s="27">
        <v>0</v>
      </c>
      <c r="X68" s="27"/>
      <c r="Y68" s="27">
        <v>0</v>
      </c>
      <c r="Z68" s="27"/>
      <c r="AA68" s="27">
        <v>0</v>
      </c>
      <c r="AB68" s="27"/>
      <c r="AC68" s="27">
        <v>0</v>
      </c>
      <c r="AD68" s="27"/>
      <c r="AE68" s="27">
        <v>0</v>
      </c>
      <c r="AF68" s="27"/>
      <c r="AG68" s="27">
        <v>0</v>
      </c>
      <c r="AH68" s="27"/>
      <c r="AI68" s="27">
        <v>0</v>
      </c>
      <c r="AJ68" s="27"/>
      <c r="AK68" s="27">
        <v>0</v>
      </c>
      <c r="AL68" s="27"/>
      <c r="AM68" s="27">
        <v>0</v>
      </c>
      <c r="AN68" s="27"/>
      <c r="AO68" s="27">
        <f t="shared" si="1"/>
        <v>0</v>
      </c>
      <c r="AP68" s="191"/>
      <c r="AQ68" s="191"/>
      <c r="AR68" s="191"/>
      <c r="AS68" s="191"/>
      <c r="AT68" s="191"/>
    </row>
    <row r="69" spans="1:47">
      <c r="A69" s="32"/>
      <c r="B69" s="10" t="s">
        <v>119</v>
      </c>
      <c r="C69" s="28">
        <v>0</v>
      </c>
      <c r="D69" s="27"/>
      <c r="E69" s="28">
        <v>0</v>
      </c>
      <c r="F69" s="27"/>
      <c r="G69" s="28">
        <v>0</v>
      </c>
      <c r="H69" s="27"/>
      <c r="I69" s="28">
        <v>0</v>
      </c>
      <c r="J69" s="27"/>
      <c r="K69" s="28">
        <v>0</v>
      </c>
      <c r="L69" s="27"/>
      <c r="M69" s="28">
        <v>0</v>
      </c>
      <c r="N69" s="27"/>
      <c r="O69" s="28">
        <v>0</v>
      </c>
      <c r="P69" s="27"/>
      <c r="Q69" s="28">
        <v>0</v>
      </c>
      <c r="R69" s="27"/>
      <c r="S69" s="28">
        <v>0</v>
      </c>
      <c r="T69" s="27"/>
      <c r="U69" s="28">
        <v>0</v>
      </c>
      <c r="V69" s="27"/>
      <c r="W69" s="28">
        <v>0</v>
      </c>
      <c r="X69" s="27"/>
      <c r="Y69" s="28">
        <v>0</v>
      </c>
      <c r="Z69" s="27"/>
      <c r="AA69" s="28">
        <v>0</v>
      </c>
      <c r="AB69" s="27"/>
      <c r="AC69" s="28">
        <v>0</v>
      </c>
      <c r="AD69" s="27"/>
      <c r="AE69" s="28">
        <v>0</v>
      </c>
      <c r="AF69" s="27"/>
      <c r="AG69" s="28">
        <v>0</v>
      </c>
      <c r="AH69" s="27"/>
      <c r="AI69" s="28">
        <v>0</v>
      </c>
      <c r="AJ69" s="27"/>
      <c r="AK69" s="28">
        <v>0</v>
      </c>
      <c r="AL69" s="27"/>
      <c r="AM69" s="28">
        <v>0</v>
      </c>
      <c r="AN69" s="27"/>
      <c r="AO69" s="28">
        <v>0</v>
      </c>
      <c r="AP69" s="191"/>
      <c r="AQ69" s="191"/>
      <c r="AR69" s="191"/>
      <c r="AS69" s="191"/>
      <c r="AT69" s="191"/>
    </row>
    <row r="70" spans="1:47">
      <c r="A70" s="32"/>
      <c r="B70" s="11"/>
      <c r="C70" s="28">
        <v>0</v>
      </c>
      <c r="D70" s="27"/>
      <c r="E70" s="28">
        <v>0</v>
      </c>
      <c r="F70" s="27"/>
      <c r="G70" s="28">
        <v>0</v>
      </c>
      <c r="H70" s="27"/>
      <c r="I70" s="28">
        <v>0</v>
      </c>
      <c r="J70" s="27"/>
      <c r="K70" s="28">
        <v>0</v>
      </c>
      <c r="L70" s="27"/>
      <c r="M70" s="28">
        <v>0</v>
      </c>
      <c r="N70" s="27"/>
      <c r="O70" s="28">
        <v>0</v>
      </c>
      <c r="P70" s="27"/>
      <c r="Q70" s="28">
        <v>0</v>
      </c>
      <c r="R70" s="27"/>
      <c r="S70" s="28">
        <v>0</v>
      </c>
      <c r="T70" s="27"/>
      <c r="U70" s="28">
        <v>0</v>
      </c>
      <c r="V70" s="27"/>
      <c r="W70" s="28">
        <v>0</v>
      </c>
      <c r="X70" s="27"/>
      <c r="Y70" s="28">
        <v>0</v>
      </c>
      <c r="Z70" s="27"/>
      <c r="AA70" s="28">
        <v>0</v>
      </c>
      <c r="AB70" s="27"/>
      <c r="AC70" s="28">
        <v>0</v>
      </c>
      <c r="AD70" s="27"/>
      <c r="AE70" s="28">
        <v>0</v>
      </c>
      <c r="AF70" s="27"/>
      <c r="AG70" s="28">
        <v>0</v>
      </c>
      <c r="AH70" s="27"/>
      <c r="AI70" s="28">
        <v>0</v>
      </c>
      <c r="AJ70" s="27"/>
      <c r="AK70" s="28">
        <v>0</v>
      </c>
      <c r="AL70" s="27"/>
      <c r="AM70" s="28">
        <v>0</v>
      </c>
      <c r="AN70" s="27"/>
      <c r="AO70" s="28">
        <v>0</v>
      </c>
      <c r="AP70" s="27"/>
      <c r="AQ70" s="191"/>
      <c r="AR70" s="191"/>
      <c r="AS70" s="191"/>
      <c r="AT70" s="191"/>
      <c r="AU70" s="191"/>
    </row>
    <row r="71" spans="1:47">
      <c r="A71" s="32"/>
      <c r="B71" s="12"/>
      <c r="F71" s="27"/>
      <c r="H71" s="27"/>
      <c r="J71" s="27"/>
      <c r="L71" s="27"/>
      <c r="N71" s="27"/>
      <c r="P71" s="27"/>
      <c r="R71" s="27"/>
      <c r="T71" s="27"/>
      <c r="V71" s="27"/>
      <c r="X71" s="27"/>
      <c r="Z71" s="27"/>
      <c r="AB71" s="27"/>
      <c r="AD71" s="27"/>
      <c r="AF71" s="27"/>
      <c r="AH71" s="27"/>
      <c r="AJ71" s="27"/>
      <c r="AL71" s="27"/>
      <c r="AN71" s="27"/>
      <c r="AO71" s="27"/>
      <c r="AP71" s="27"/>
      <c r="AQ71" s="191"/>
      <c r="AR71" s="191"/>
      <c r="AS71" s="191"/>
      <c r="AT71" s="191"/>
      <c r="AU71" s="191"/>
    </row>
    <row r="72" spans="1:47">
      <c r="A72" s="32"/>
      <c r="B72" s="58" t="s">
        <v>120</v>
      </c>
      <c r="C72" s="24">
        <v>0</v>
      </c>
      <c r="D72" s="24"/>
      <c r="E72" s="24">
        <v>0</v>
      </c>
      <c r="F72" s="24"/>
      <c r="G72" s="24">
        <v>0</v>
      </c>
      <c r="H72" s="24"/>
      <c r="I72" s="24">
        <v>0</v>
      </c>
      <c r="J72" s="24"/>
      <c r="K72" s="24">
        <v>0</v>
      </c>
      <c r="L72" s="24"/>
      <c r="M72" s="24">
        <v>0</v>
      </c>
      <c r="N72" s="24"/>
      <c r="O72" s="24">
        <v>0</v>
      </c>
      <c r="P72" s="24"/>
      <c r="Q72" s="24">
        <v>0</v>
      </c>
      <c r="R72" s="24"/>
      <c r="S72" s="24">
        <v>0</v>
      </c>
      <c r="T72" s="24"/>
      <c r="U72" s="24">
        <v>0</v>
      </c>
      <c r="V72" s="24"/>
      <c r="W72" s="24">
        <v>0</v>
      </c>
      <c r="X72" s="24"/>
      <c r="Y72" s="24">
        <v>0</v>
      </c>
      <c r="Z72" s="24"/>
      <c r="AA72" s="24">
        <v>0</v>
      </c>
      <c r="AB72" s="24"/>
      <c r="AC72" s="24">
        <v>0</v>
      </c>
      <c r="AD72" s="24"/>
      <c r="AE72" s="24">
        <v>0</v>
      </c>
      <c r="AF72" s="24"/>
      <c r="AG72" s="24">
        <v>0</v>
      </c>
      <c r="AH72" s="24"/>
      <c r="AI72" s="24">
        <v>0</v>
      </c>
      <c r="AJ72" s="24"/>
      <c r="AK72" s="24">
        <v>0</v>
      </c>
      <c r="AL72" s="24"/>
      <c r="AM72" s="24">
        <v>0</v>
      </c>
      <c r="AN72" s="24"/>
      <c r="AO72" s="24">
        <f t="shared" ref="AO72:AO77" si="2">SUM(C72:AN72)</f>
        <v>0</v>
      </c>
      <c r="AP72" s="191"/>
      <c r="AQ72" s="191"/>
      <c r="AR72" s="191"/>
      <c r="AS72" s="191"/>
      <c r="AT72" s="191"/>
    </row>
    <row r="73" spans="1:47">
      <c r="A73" s="32"/>
      <c r="B73" s="10" t="s">
        <v>121</v>
      </c>
      <c r="C73" s="24">
        <v>0</v>
      </c>
      <c r="D73" s="24"/>
      <c r="E73" s="24">
        <v>0</v>
      </c>
      <c r="F73" s="24"/>
      <c r="G73" s="24">
        <v>0</v>
      </c>
      <c r="H73" s="24"/>
      <c r="I73" s="24">
        <v>0</v>
      </c>
      <c r="J73" s="24"/>
      <c r="K73" s="24">
        <v>0</v>
      </c>
      <c r="L73" s="24"/>
      <c r="M73" s="24">
        <v>0</v>
      </c>
      <c r="N73" s="24"/>
      <c r="O73" s="24">
        <v>0</v>
      </c>
      <c r="P73" s="24"/>
      <c r="Q73" s="24">
        <v>0</v>
      </c>
      <c r="R73" s="24"/>
      <c r="S73" s="24">
        <v>0</v>
      </c>
      <c r="T73" s="24"/>
      <c r="U73" s="24">
        <v>0</v>
      </c>
      <c r="V73" s="24"/>
      <c r="W73" s="24">
        <v>0</v>
      </c>
      <c r="X73" s="24"/>
      <c r="Y73" s="24">
        <v>0</v>
      </c>
      <c r="Z73" s="24"/>
      <c r="AA73" s="24">
        <v>0</v>
      </c>
      <c r="AB73" s="24"/>
      <c r="AC73" s="24">
        <v>0</v>
      </c>
      <c r="AD73" s="24"/>
      <c r="AE73" s="24">
        <v>0</v>
      </c>
      <c r="AF73" s="24"/>
      <c r="AG73" s="24">
        <v>0</v>
      </c>
      <c r="AH73" s="24"/>
      <c r="AI73" s="24">
        <v>0</v>
      </c>
      <c r="AJ73" s="24"/>
      <c r="AK73" s="24">
        <v>0</v>
      </c>
      <c r="AL73" s="24"/>
      <c r="AM73" s="24">
        <v>0</v>
      </c>
      <c r="AN73" s="24"/>
      <c r="AO73" s="24">
        <f t="shared" si="2"/>
        <v>0</v>
      </c>
      <c r="AP73" s="191"/>
      <c r="AQ73" s="191"/>
      <c r="AR73" s="191"/>
      <c r="AS73" s="191"/>
      <c r="AT73" s="191"/>
    </row>
    <row r="74" spans="1:47">
      <c r="A74" s="32"/>
      <c r="B74" s="10" t="s">
        <v>122</v>
      </c>
      <c r="C74" s="24">
        <v>0</v>
      </c>
      <c r="D74" s="24"/>
      <c r="E74" s="24">
        <v>0</v>
      </c>
      <c r="F74" s="24"/>
      <c r="G74" s="24">
        <v>0</v>
      </c>
      <c r="H74" s="24"/>
      <c r="I74" s="24">
        <v>0</v>
      </c>
      <c r="J74" s="24"/>
      <c r="K74" s="24">
        <v>0</v>
      </c>
      <c r="L74" s="24"/>
      <c r="M74" s="24">
        <v>0</v>
      </c>
      <c r="N74" s="24"/>
      <c r="O74" s="24">
        <v>0</v>
      </c>
      <c r="P74" s="24"/>
      <c r="Q74" s="24">
        <v>0</v>
      </c>
      <c r="R74" s="24"/>
      <c r="S74" s="24">
        <v>0</v>
      </c>
      <c r="T74" s="24"/>
      <c r="U74" s="24">
        <v>0</v>
      </c>
      <c r="V74" s="24"/>
      <c r="W74" s="24">
        <v>0</v>
      </c>
      <c r="X74" s="24"/>
      <c r="Y74" s="24">
        <v>0</v>
      </c>
      <c r="Z74" s="24"/>
      <c r="AA74" s="24">
        <v>0</v>
      </c>
      <c r="AB74" s="24"/>
      <c r="AC74" s="24">
        <v>0</v>
      </c>
      <c r="AD74" s="24"/>
      <c r="AE74" s="24">
        <v>0</v>
      </c>
      <c r="AF74" s="24"/>
      <c r="AG74" s="24">
        <v>0</v>
      </c>
      <c r="AH74" s="24"/>
      <c r="AI74" s="24">
        <v>0</v>
      </c>
      <c r="AJ74" s="24"/>
      <c r="AK74" s="24">
        <v>0</v>
      </c>
      <c r="AL74" s="24"/>
      <c r="AM74" s="24">
        <v>0</v>
      </c>
      <c r="AN74" s="24"/>
      <c r="AO74" s="24">
        <f t="shared" si="2"/>
        <v>0</v>
      </c>
      <c r="AP74" s="191"/>
      <c r="AQ74" s="191"/>
      <c r="AR74" s="191"/>
      <c r="AS74" s="191"/>
      <c r="AT74" s="191"/>
    </row>
    <row r="75" spans="1:47">
      <c r="A75" s="32"/>
      <c r="B75" s="10" t="s">
        <v>123</v>
      </c>
      <c r="C75" s="24">
        <v>0</v>
      </c>
      <c r="D75" s="24"/>
      <c r="E75" s="24">
        <v>0</v>
      </c>
      <c r="F75" s="24"/>
      <c r="G75" s="24">
        <v>0</v>
      </c>
      <c r="H75" s="24"/>
      <c r="I75" s="24">
        <v>0</v>
      </c>
      <c r="J75" s="24"/>
      <c r="K75" s="24">
        <v>0</v>
      </c>
      <c r="L75" s="24"/>
      <c r="M75" s="24">
        <v>0</v>
      </c>
      <c r="N75" s="24"/>
      <c r="O75" s="24">
        <v>0</v>
      </c>
      <c r="P75" s="24"/>
      <c r="Q75" s="24">
        <v>0</v>
      </c>
      <c r="R75" s="24"/>
      <c r="S75" s="24">
        <v>0</v>
      </c>
      <c r="T75" s="24"/>
      <c r="U75" s="24">
        <v>0</v>
      </c>
      <c r="V75" s="24"/>
      <c r="W75" s="24">
        <v>0</v>
      </c>
      <c r="X75" s="24"/>
      <c r="Y75" s="24">
        <v>0</v>
      </c>
      <c r="Z75" s="24"/>
      <c r="AA75" s="24">
        <v>0</v>
      </c>
      <c r="AB75" s="24"/>
      <c r="AC75" s="24">
        <v>0</v>
      </c>
      <c r="AD75" s="24"/>
      <c r="AE75" s="24">
        <v>0</v>
      </c>
      <c r="AF75" s="24"/>
      <c r="AG75" s="24">
        <v>0</v>
      </c>
      <c r="AH75" s="24"/>
      <c r="AI75" s="24">
        <v>0</v>
      </c>
      <c r="AJ75" s="24"/>
      <c r="AK75" s="24">
        <v>0</v>
      </c>
      <c r="AL75" s="24"/>
      <c r="AM75" s="24">
        <v>0</v>
      </c>
      <c r="AN75" s="24"/>
      <c r="AO75" s="24">
        <f t="shared" si="2"/>
        <v>0</v>
      </c>
      <c r="AP75" s="191"/>
      <c r="AQ75" s="191"/>
      <c r="AR75" s="191"/>
      <c r="AS75" s="191"/>
      <c r="AT75" s="191"/>
    </row>
    <row r="76" spans="1:47">
      <c r="A76" s="32"/>
      <c r="B76" s="10" t="s">
        <v>124</v>
      </c>
      <c r="C76" s="24">
        <v>0</v>
      </c>
      <c r="D76" s="24"/>
      <c r="E76" s="24">
        <v>0</v>
      </c>
      <c r="F76" s="24"/>
      <c r="G76" s="24">
        <v>0</v>
      </c>
      <c r="H76" s="24"/>
      <c r="I76" s="24">
        <v>0</v>
      </c>
      <c r="J76" s="24"/>
      <c r="K76" s="24">
        <v>0</v>
      </c>
      <c r="L76" s="24"/>
      <c r="M76" s="24">
        <v>0</v>
      </c>
      <c r="N76" s="24"/>
      <c r="O76" s="24">
        <v>0</v>
      </c>
      <c r="P76" s="24"/>
      <c r="Q76" s="24">
        <v>0</v>
      </c>
      <c r="R76" s="24"/>
      <c r="S76" s="24">
        <v>0</v>
      </c>
      <c r="T76" s="24"/>
      <c r="U76" s="24">
        <v>0</v>
      </c>
      <c r="V76" s="24"/>
      <c r="W76" s="24">
        <v>0</v>
      </c>
      <c r="X76" s="24"/>
      <c r="Y76" s="24">
        <v>0</v>
      </c>
      <c r="Z76" s="24"/>
      <c r="AA76" s="24">
        <v>0</v>
      </c>
      <c r="AB76" s="24"/>
      <c r="AC76" s="24">
        <v>0</v>
      </c>
      <c r="AD76" s="24"/>
      <c r="AE76" s="24">
        <v>0</v>
      </c>
      <c r="AF76" s="24"/>
      <c r="AG76" s="24">
        <v>0</v>
      </c>
      <c r="AH76" s="24"/>
      <c r="AI76" s="24">
        <v>0</v>
      </c>
      <c r="AJ76" s="24"/>
      <c r="AK76" s="24">
        <v>0</v>
      </c>
      <c r="AL76" s="24"/>
      <c r="AM76" s="24">
        <v>0</v>
      </c>
      <c r="AN76" s="24"/>
      <c r="AO76" s="24">
        <f t="shared" si="2"/>
        <v>0</v>
      </c>
      <c r="AP76" s="191"/>
      <c r="AQ76" s="191"/>
      <c r="AR76" s="191"/>
      <c r="AS76" s="191"/>
      <c r="AT76" s="191"/>
    </row>
    <row r="77" spans="1:47">
      <c r="A77" s="32"/>
      <c r="B77" s="10" t="s">
        <v>125</v>
      </c>
      <c r="C77" s="28">
        <v>0</v>
      </c>
      <c r="D77" s="27"/>
      <c r="E77" s="28">
        <v>0</v>
      </c>
      <c r="F77" s="24"/>
      <c r="G77" s="28">
        <v>0</v>
      </c>
      <c r="H77" s="27"/>
      <c r="I77" s="28">
        <v>0</v>
      </c>
      <c r="J77" s="27"/>
      <c r="K77" s="28">
        <v>0</v>
      </c>
      <c r="L77" s="27"/>
      <c r="M77" s="24">
        <f>SUM(M72:M76)</f>
        <v>0</v>
      </c>
      <c r="N77" s="27"/>
      <c r="O77" s="24">
        <f>SUM(O72:O76)</f>
        <v>0</v>
      </c>
      <c r="P77" s="27"/>
      <c r="Q77" s="24">
        <f>SUM(Q72:Q76)</f>
        <v>0</v>
      </c>
      <c r="R77" s="27"/>
      <c r="S77" s="24">
        <f>SUM(S72:S76)</f>
        <v>0</v>
      </c>
      <c r="T77" s="27"/>
      <c r="U77" s="24">
        <f>SUM(U72:U76)</f>
        <v>0</v>
      </c>
      <c r="V77" s="27"/>
      <c r="W77" s="24">
        <f>SUM(W72:W76)</f>
        <v>0</v>
      </c>
      <c r="X77" s="27"/>
      <c r="Y77" s="24">
        <f>SUM(Y72:Y76)</f>
        <v>0</v>
      </c>
      <c r="Z77" s="27"/>
      <c r="AA77" s="24">
        <f>SUM(AA72:AA76)</f>
        <v>0</v>
      </c>
      <c r="AB77" s="27"/>
      <c r="AC77" s="24">
        <f>SUM(AC72:AC76)</f>
        <v>0</v>
      </c>
      <c r="AD77" s="27"/>
      <c r="AE77" s="24">
        <f>SUM(AE72:AE76)</f>
        <v>0</v>
      </c>
      <c r="AF77" s="27"/>
      <c r="AG77" s="24">
        <f>SUM(AG72:AG76)</f>
        <v>0</v>
      </c>
      <c r="AH77" s="27"/>
      <c r="AI77" s="24">
        <f>SUM(AI72:AI76)</f>
        <v>0</v>
      </c>
      <c r="AJ77" s="27"/>
      <c r="AK77" s="24">
        <f>SUM(AK72:AK76)</f>
        <v>0</v>
      </c>
      <c r="AL77" s="27"/>
      <c r="AM77" s="24">
        <f>SUM(AM72:AM76)</f>
        <v>0</v>
      </c>
      <c r="AN77" s="27"/>
      <c r="AO77" s="24">
        <f t="shared" si="2"/>
        <v>0</v>
      </c>
      <c r="AP77" s="191"/>
      <c r="AQ77" s="191"/>
      <c r="AR77" s="191"/>
      <c r="AS77" s="191"/>
      <c r="AT77" s="191"/>
    </row>
    <row r="78" spans="1:47">
      <c r="A78" s="32"/>
      <c r="B78" s="11"/>
      <c r="C78" s="27">
        <f>SUM(C73:C77)</f>
        <v>0</v>
      </c>
      <c r="D78" s="27"/>
      <c r="E78" s="27">
        <f>SUM(E73:E77)</f>
        <v>0</v>
      </c>
      <c r="F78" s="27"/>
      <c r="G78" s="27">
        <f>SUM(G73:G77)</f>
        <v>0</v>
      </c>
      <c r="H78" s="27"/>
      <c r="I78" s="27">
        <f>SUM(I73:I77)</f>
        <v>0</v>
      </c>
      <c r="J78" s="27"/>
      <c r="K78" s="27">
        <f>SUM(K73:K77)</f>
        <v>0</v>
      </c>
      <c r="L78" s="24"/>
      <c r="M78" s="264">
        <f>SUM(M72:M77)</f>
        <v>0</v>
      </c>
      <c r="N78" s="24"/>
      <c r="O78" s="264">
        <f>SUM(O72:O77)</f>
        <v>0</v>
      </c>
      <c r="P78" s="24"/>
      <c r="Q78" s="264">
        <f>SUM(Q72:Q77)</f>
        <v>0</v>
      </c>
      <c r="R78" s="24"/>
      <c r="S78" s="264">
        <f>SUM(S72:S77)</f>
        <v>0</v>
      </c>
      <c r="T78" s="24"/>
      <c r="U78" s="264">
        <f>SUM(U72:U77)</f>
        <v>0</v>
      </c>
      <c r="V78" s="24"/>
      <c r="W78" s="264">
        <f>SUM(W72:W77)</f>
        <v>0</v>
      </c>
      <c r="X78" s="24"/>
      <c r="Y78" s="264">
        <f>SUM(Y72:Y77)</f>
        <v>0</v>
      </c>
      <c r="Z78" s="24"/>
      <c r="AA78" s="264">
        <f>SUM(AA72:AA77)</f>
        <v>0</v>
      </c>
      <c r="AB78" s="24"/>
      <c r="AC78" s="264">
        <f>SUM(AC72:AC77)</f>
        <v>0</v>
      </c>
      <c r="AD78" s="24"/>
      <c r="AE78" s="264">
        <f>SUM(AE72:AE77)</f>
        <v>0</v>
      </c>
      <c r="AF78" s="24"/>
      <c r="AG78" s="264">
        <f>SUM(AG72:AG77)</f>
        <v>0</v>
      </c>
      <c r="AH78" s="24"/>
      <c r="AI78" s="264">
        <f>SUM(AI72:AI77)</f>
        <v>0</v>
      </c>
      <c r="AJ78" s="24"/>
      <c r="AK78" s="264">
        <f>SUM(AK72:AK77)</f>
        <v>0</v>
      </c>
      <c r="AL78" s="24"/>
      <c r="AM78" s="264">
        <f>SUM(AM72:AM77)</f>
        <v>0</v>
      </c>
      <c r="AN78" s="24"/>
      <c r="AO78" s="264">
        <f>SUM(AO72:AO77)</f>
        <v>0</v>
      </c>
      <c r="AP78" s="191"/>
      <c r="AQ78" s="191"/>
      <c r="AR78" s="191"/>
      <c r="AS78" s="191"/>
      <c r="AT78" s="191"/>
    </row>
    <row r="79" spans="1:47">
      <c r="A79" s="32"/>
      <c r="B79" s="11"/>
      <c r="C79" s="24"/>
      <c r="D79" s="24"/>
      <c r="E79" s="24"/>
      <c r="F79" s="24"/>
      <c r="G79" s="24"/>
      <c r="H79" s="24"/>
      <c r="I79" s="24"/>
      <c r="J79" s="24"/>
      <c r="K79" s="24"/>
      <c r="L79" s="24"/>
      <c r="M79" s="24"/>
      <c r="N79" s="24"/>
      <c r="O79" s="24"/>
      <c r="P79" s="24"/>
      <c r="Q79" s="24"/>
      <c r="R79" s="24"/>
      <c r="S79" s="24"/>
      <c r="T79" s="24"/>
      <c r="U79" s="24"/>
      <c r="V79" s="24"/>
      <c r="W79" s="24"/>
      <c r="X79" s="24"/>
      <c r="Y79" s="24"/>
      <c r="Z79" s="24"/>
      <c r="AA79" s="24"/>
      <c r="AB79" s="24"/>
      <c r="AC79" s="24"/>
      <c r="AD79" s="24"/>
      <c r="AE79" s="24"/>
      <c r="AF79" s="24"/>
      <c r="AG79" s="24"/>
      <c r="AH79" s="24"/>
      <c r="AI79" s="24"/>
      <c r="AJ79" s="24"/>
      <c r="AK79" s="24"/>
      <c r="AL79" s="24"/>
      <c r="AM79" s="24"/>
      <c r="AN79" s="24"/>
      <c r="AO79" s="24"/>
      <c r="AP79" s="261"/>
      <c r="AQ79" s="261"/>
      <c r="AR79" s="261"/>
      <c r="AS79" s="261"/>
      <c r="AT79" s="261"/>
    </row>
    <row r="80" spans="1:47">
      <c r="A80" s="32"/>
      <c r="C80" s="25">
        <f>C59+C69+C77</f>
        <v>0</v>
      </c>
      <c r="D80" s="27"/>
      <c r="E80" s="25">
        <f>E59+E69+E77</f>
        <v>0</v>
      </c>
      <c r="F80" s="24"/>
      <c r="G80" s="25">
        <f>G59+G69+G77</f>
        <v>0</v>
      </c>
      <c r="H80" s="27"/>
      <c r="I80" s="25">
        <f>I59+I69+I77</f>
        <v>0</v>
      </c>
      <c r="J80" s="27"/>
      <c r="K80" s="25">
        <f>K59+K69+K77</f>
        <v>0</v>
      </c>
      <c r="L80" s="24"/>
      <c r="M80" s="25">
        <f>M59+M69+M77</f>
        <v>0</v>
      </c>
      <c r="N80" s="24"/>
      <c r="O80" s="25">
        <f>O59+O69+O77</f>
        <v>0</v>
      </c>
      <c r="P80" s="24"/>
      <c r="Q80" s="25">
        <f>Q59+Q69+Q77</f>
        <v>0</v>
      </c>
      <c r="R80" s="24"/>
      <c r="S80" s="25">
        <f>S59+S69+S77</f>
        <v>0</v>
      </c>
      <c r="T80" s="24"/>
      <c r="U80" s="25">
        <f>U59+U69+U77</f>
        <v>0</v>
      </c>
      <c r="V80" s="24"/>
      <c r="W80" s="25">
        <f>W59+W69+W77</f>
        <v>0</v>
      </c>
      <c r="X80" s="24"/>
      <c r="Y80" s="25">
        <f>Y59+Y69+Y77</f>
        <v>0</v>
      </c>
      <c r="Z80" s="24"/>
      <c r="AA80" s="25">
        <f>AA59+AA69+AA77</f>
        <v>0</v>
      </c>
      <c r="AB80" s="24"/>
      <c r="AC80" s="25">
        <f>AC59+AC69+AC77</f>
        <v>0</v>
      </c>
      <c r="AD80" s="24"/>
      <c r="AE80" s="25">
        <f>AE59+AE69+AE77</f>
        <v>0</v>
      </c>
      <c r="AF80" s="24"/>
      <c r="AG80" s="25">
        <f>AG59+AG69+AG77</f>
        <v>0</v>
      </c>
      <c r="AH80" s="24"/>
      <c r="AI80" s="25">
        <f>AI59+AI69+AI77</f>
        <v>0</v>
      </c>
      <c r="AJ80" s="24"/>
      <c r="AK80" s="25">
        <f>AK59+AK69+AK77</f>
        <v>0</v>
      </c>
      <c r="AL80" s="24"/>
      <c r="AM80" s="25">
        <f>AM59+AM69+AM77</f>
        <v>0</v>
      </c>
      <c r="AN80" s="24"/>
      <c r="AO80" s="25">
        <f>AO59+AO69+AO77</f>
        <v>0</v>
      </c>
      <c r="AP80" s="191"/>
      <c r="AQ80" s="191"/>
      <c r="AR80" s="191"/>
      <c r="AS80" s="191"/>
      <c r="AT80" s="191"/>
    </row>
    <row r="81" spans="1:47">
      <c r="A81" s="32"/>
      <c r="B81" s="12" t="s">
        <v>136</v>
      </c>
      <c r="C81" s="24"/>
      <c r="D81" s="24"/>
      <c r="E81" s="24"/>
      <c r="F81" s="24"/>
      <c r="G81" s="24"/>
      <c r="H81" s="24"/>
      <c r="I81" s="24"/>
      <c r="J81" s="24"/>
      <c r="K81" s="24"/>
      <c r="L81" s="24"/>
      <c r="M81" s="24"/>
      <c r="N81" s="24"/>
      <c r="O81" s="24"/>
      <c r="P81" s="24"/>
      <c r="Q81" s="24"/>
      <c r="R81" s="24"/>
      <c r="S81" s="24"/>
      <c r="T81" s="24"/>
      <c r="U81" s="24"/>
      <c r="V81" s="24"/>
      <c r="W81" s="24"/>
      <c r="X81" s="24"/>
      <c r="Y81" s="24"/>
      <c r="Z81" s="24"/>
      <c r="AA81" s="24"/>
      <c r="AB81" s="24"/>
      <c r="AC81" s="24"/>
      <c r="AD81" s="24"/>
      <c r="AE81" s="24"/>
      <c r="AF81" s="24"/>
      <c r="AG81" s="24"/>
      <c r="AH81" s="24"/>
      <c r="AI81" s="24"/>
      <c r="AJ81" s="24"/>
      <c r="AK81" s="24"/>
      <c r="AL81" s="24"/>
      <c r="AM81" s="24"/>
      <c r="AN81" s="24"/>
      <c r="AO81" s="24"/>
      <c r="AP81" s="191"/>
      <c r="AQ81" s="191"/>
      <c r="AR81" s="191"/>
      <c r="AS81" s="191"/>
      <c r="AT81" s="191"/>
    </row>
    <row r="82" spans="1:47">
      <c r="A82" s="32"/>
      <c r="F82" s="24"/>
      <c r="H82" s="24"/>
      <c r="J82" s="24"/>
      <c r="L82" s="24"/>
      <c r="N82" s="24"/>
      <c r="P82" s="24"/>
      <c r="R82" s="24"/>
      <c r="T82" s="24"/>
      <c r="V82" s="24"/>
      <c r="X82" s="24"/>
      <c r="Z82" s="24"/>
      <c r="AB82" s="24"/>
      <c r="AD82" s="24"/>
      <c r="AF82" s="24"/>
      <c r="AH82" s="24"/>
      <c r="AJ82" s="24"/>
      <c r="AL82" s="24"/>
      <c r="AN82" s="24"/>
      <c r="AO82" s="24"/>
      <c r="AP82" s="24"/>
      <c r="AQ82" s="191"/>
      <c r="AR82" s="191"/>
      <c r="AS82" s="191"/>
      <c r="AT82" s="191"/>
      <c r="AU82" s="191"/>
    </row>
    <row r="83" spans="1:47">
      <c r="A83" s="32">
        <v>117</v>
      </c>
      <c r="B83" s="58"/>
      <c r="F83" s="24"/>
      <c r="H83" s="24"/>
      <c r="J83" s="24"/>
      <c r="AP83" s="24"/>
      <c r="AQ83" s="191"/>
      <c r="AR83" s="191"/>
      <c r="AS83" s="191"/>
      <c r="AT83" s="191"/>
      <c r="AU83" s="191"/>
    </row>
    <row r="84" spans="1:47">
      <c r="A84" s="32"/>
      <c r="B84" s="12" t="s">
        <v>453</v>
      </c>
      <c r="F84" s="24"/>
      <c r="H84" s="24"/>
      <c r="J84" s="24"/>
      <c r="L84" s="24"/>
      <c r="N84" s="24"/>
      <c r="P84" s="24"/>
      <c r="R84" s="24"/>
      <c r="T84" s="24"/>
      <c r="V84" s="24"/>
      <c r="X84" s="24"/>
      <c r="Z84" s="24"/>
      <c r="AB84" s="24"/>
      <c r="AD84" s="24"/>
      <c r="AF84" s="24"/>
      <c r="AH84" s="24"/>
      <c r="AJ84" s="24"/>
      <c r="AL84" s="24"/>
      <c r="AN84" s="24"/>
      <c r="AO84" s="24"/>
      <c r="AP84" s="24"/>
      <c r="AQ84" s="191"/>
      <c r="AR84" s="191"/>
      <c r="AS84" s="191"/>
      <c r="AT84" s="191"/>
      <c r="AU84" s="191"/>
    </row>
    <row r="85" spans="1:47">
      <c r="A85" s="32"/>
      <c r="B85" s="58" t="s">
        <v>120</v>
      </c>
      <c r="F85" s="24"/>
      <c r="H85" s="24"/>
      <c r="J85" s="24"/>
      <c r="L85" s="24"/>
      <c r="N85" s="24"/>
      <c r="P85" s="24"/>
      <c r="R85" s="24"/>
      <c r="T85" s="24"/>
      <c r="V85" s="24"/>
      <c r="X85" s="24"/>
      <c r="Z85" s="24"/>
      <c r="AB85" s="24"/>
      <c r="AD85" s="24"/>
      <c r="AF85" s="24"/>
      <c r="AH85" s="24"/>
      <c r="AJ85" s="24"/>
      <c r="AL85" s="24"/>
      <c r="AN85" s="24"/>
      <c r="AO85" s="24"/>
      <c r="AP85" s="191"/>
      <c r="AQ85" s="191"/>
      <c r="AR85" s="191"/>
      <c r="AS85" s="191"/>
      <c r="AT85" s="191"/>
    </row>
    <row r="86" spans="1:47">
      <c r="A86" s="32"/>
      <c r="B86" s="10" t="s">
        <v>129</v>
      </c>
      <c r="C86" s="28">
        <v>0</v>
      </c>
      <c r="D86" s="27"/>
      <c r="E86" s="28">
        <v>0</v>
      </c>
      <c r="F86" s="27"/>
      <c r="G86" s="28">
        <v>0</v>
      </c>
      <c r="H86" s="27"/>
      <c r="I86" s="28">
        <v>0</v>
      </c>
      <c r="J86" s="27"/>
      <c r="K86" s="28">
        <v>0</v>
      </c>
      <c r="L86" s="27"/>
      <c r="M86" s="28">
        <v>0</v>
      </c>
      <c r="N86" s="27"/>
      <c r="O86" s="28">
        <v>0</v>
      </c>
      <c r="P86" s="27"/>
      <c r="Q86" s="28">
        <v>0</v>
      </c>
      <c r="R86" s="27"/>
      <c r="S86" s="28">
        <v>0</v>
      </c>
      <c r="T86" s="27"/>
      <c r="U86" s="28">
        <v>0</v>
      </c>
      <c r="V86" s="27"/>
      <c r="W86" s="28">
        <v>0</v>
      </c>
      <c r="X86" s="27"/>
      <c r="Y86" s="28">
        <v>0</v>
      </c>
      <c r="Z86" s="27"/>
      <c r="AA86" s="28">
        <v>0</v>
      </c>
      <c r="AB86" s="27"/>
      <c r="AC86" s="28">
        <v>0</v>
      </c>
      <c r="AD86" s="27"/>
      <c r="AE86" s="28">
        <v>0</v>
      </c>
      <c r="AF86" s="27"/>
      <c r="AG86" s="28">
        <v>0</v>
      </c>
      <c r="AH86" s="27"/>
      <c r="AI86" s="28">
        <v>0</v>
      </c>
      <c r="AJ86" s="27"/>
      <c r="AK86" s="28">
        <v>0</v>
      </c>
      <c r="AL86" s="27"/>
      <c r="AM86" s="28">
        <v>0</v>
      </c>
      <c r="AN86" s="27"/>
      <c r="AO86" s="28">
        <f>SUM(C85:AN85)</f>
        <v>0</v>
      </c>
      <c r="AP86" s="191"/>
      <c r="AQ86" s="191"/>
      <c r="AR86" s="191"/>
      <c r="AS86" s="191"/>
      <c r="AT86" s="191"/>
    </row>
    <row r="87" spans="1:47">
      <c r="A87" s="32"/>
      <c r="B87" s="11"/>
      <c r="C87" s="27">
        <f>SUM(C86)</f>
        <v>0</v>
      </c>
      <c r="D87" s="27"/>
      <c r="E87" s="27">
        <f>SUM(E86)</f>
        <v>0</v>
      </c>
      <c r="F87" s="27"/>
      <c r="G87" s="27">
        <f>SUM(G86)</f>
        <v>0</v>
      </c>
      <c r="H87" s="27"/>
      <c r="I87" s="27">
        <f>SUM(I86)</f>
        <v>0</v>
      </c>
      <c r="J87" s="27"/>
      <c r="K87" s="27">
        <f>SUM(K86)</f>
        <v>0</v>
      </c>
      <c r="L87" s="27"/>
      <c r="M87" s="27">
        <f>SUM(M86)</f>
        <v>0</v>
      </c>
      <c r="N87" s="27"/>
      <c r="O87" s="27">
        <f>SUM(O86)</f>
        <v>0</v>
      </c>
      <c r="P87" s="27"/>
      <c r="Q87" s="27">
        <f>SUM(Q86)</f>
        <v>0</v>
      </c>
      <c r="R87" s="27"/>
      <c r="S87" s="27">
        <f>SUM(S86)</f>
        <v>0</v>
      </c>
      <c r="T87" s="27"/>
      <c r="U87" s="27">
        <f>SUM(U86)</f>
        <v>0</v>
      </c>
      <c r="V87" s="27"/>
      <c r="W87" s="27">
        <f>SUM(W86)</f>
        <v>0</v>
      </c>
      <c r="X87" s="27"/>
      <c r="Y87" s="27">
        <f>SUM(Y86)</f>
        <v>0</v>
      </c>
      <c r="Z87" s="27"/>
      <c r="AA87" s="27">
        <f>SUM(AA86)</f>
        <v>0</v>
      </c>
      <c r="AB87" s="27"/>
      <c r="AC87" s="27">
        <f>SUM(AC86)</f>
        <v>0</v>
      </c>
      <c r="AD87" s="27"/>
      <c r="AE87" s="27">
        <f>SUM(AE86)</f>
        <v>0</v>
      </c>
      <c r="AF87" s="27"/>
      <c r="AG87" s="27">
        <f>SUM(AG86)</f>
        <v>0</v>
      </c>
      <c r="AH87" s="27"/>
      <c r="AI87" s="27">
        <f>SUM(AI86)</f>
        <v>0</v>
      </c>
      <c r="AJ87" s="27"/>
      <c r="AK87" s="27">
        <f>SUM(AK86)</f>
        <v>0</v>
      </c>
      <c r="AL87" s="27"/>
      <c r="AM87" s="27">
        <f>SUM(AM86)</f>
        <v>0</v>
      </c>
      <c r="AN87" s="27"/>
      <c r="AO87" s="27">
        <f>SUM(AO86)</f>
        <v>0</v>
      </c>
      <c r="AP87" s="191"/>
      <c r="AQ87" s="191"/>
      <c r="AR87" s="191"/>
      <c r="AS87" s="191"/>
      <c r="AT87" s="191"/>
    </row>
    <row r="88" spans="1:47">
      <c r="A88" s="32"/>
      <c r="C88" s="24"/>
      <c r="D88" s="24"/>
      <c r="E88" s="24"/>
      <c r="F88" s="24"/>
      <c r="G88" s="24"/>
      <c r="H88" s="24"/>
      <c r="I88" s="24"/>
      <c r="J88" s="24"/>
      <c r="K88" s="24"/>
      <c r="L88" s="24"/>
      <c r="M88" s="24"/>
      <c r="N88" s="24"/>
      <c r="O88" s="24"/>
      <c r="P88" s="24"/>
      <c r="Q88" s="24"/>
      <c r="R88" s="24"/>
      <c r="S88" s="24"/>
      <c r="T88" s="24"/>
      <c r="U88" s="24"/>
      <c r="V88" s="24"/>
      <c r="W88" s="24"/>
      <c r="X88" s="24"/>
      <c r="Y88" s="24"/>
      <c r="Z88" s="24"/>
      <c r="AA88" s="24"/>
      <c r="AB88" s="24"/>
      <c r="AC88" s="24"/>
      <c r="AD88" s="24"/>
      <c r="AE88" s="24"/>
      <c r="AF88" s="24"/>
      <c r="AG88" s="24"/>
      <c r="AH88" s="24"/>
      <c r="AI88" s="24"/>
      <c r="AJ88" s="24"/>
      <c r="AK88" s="24"/>
      <c r="AL88" s="24"/>
      <c r="AM88" s="24"/>
      <c r="AN88" s="24"/>
      <c r="AO88" s="24"/>
      <c r="AP88" s="191"/>
      <c r="AQ88" s="191"/>
      <c r="AR88" s="191"/>
      <c r="AS88" s="191"/>
      <c r="AT88" s="191"/>
    </row>
    <row r="89" spans="1:47">
      <c r="A89" s="32"/>
      <c r="B89" s="12" t="s">
        <v>130</v>
      </c>
      <c r="C89" s="25">
        <f>C87</f>
        <v>0</v>
      </c>
      <c r="D89" s="27"/>
      <c r="E89" s="25">
        <f>E87</f>
        <v>0</v>
      </c>
      <c r="F89" s="24"/>
      <c r="G89" s="25">
        <f>G87</f>
        <v>0</v>
      </c>
      <c r="H89" s="27"/>
      <c r="I89" s="25">
        <f>I87</f>
        <v>0</v>
      </c>
      <c r="J89" s="27"/>
      <c r="K89" s="25">
        <f>K87</f>
        <v>0</v>
      </c>
      <c r="L89" s="24"/>
      <c r="M89" s="25">
        <f>M87</f>
        <v>0</v>
      </c>
      <c r="N89" s="24"/>
      <c r="O89" s="25">
        <f>O87</f>
        <v>0</v>
      </c>
      <c r="P89" s="24"/>
      <c r="Q89" s="25">
        <f>Q87</f>
        <v>0</v>
      </c>
      <c r="R89" s="24"/>
      <c r="S89" s="25">
        <f>S87</f>
        <v>0</v>
      </c>
      <c r="T89" s="24"/>
      <c r="U89" s="25">
        <f>U87</f>
        <v>0</v>
      </c>
      <c r="V89" s="24"/>
      <c r="W89" s="25">
        <f>W87</f>
        <v>0</v>
      </c>
      <c r="X89" s="24"/>
      <c r="Y89" s="25">
        <f>Y87</f>
        <v>0</v>
      </c>
      <c r="Z89" s="24"/>
      <c r="AA89" s="25">
        <f>AA87</f>
        <v>0</v>
      </c>
      <c r="AB89" s="24"/>
      <c r="AC89" s="25">
        <f>AC87</f>
        <v>0</v>
      </c>
      <c r="AD89" s="24"/>
      <c r="AE89" s="25">
        <f>AE87</f>
        <v>0</v>
      </c>
      <c r="AF89" s="24"/>
      <c r="AG89" s="25">
        <f>AG87</f>
        <v>0</v>
      </c>
      <c r="AH89" s="24"/>
      <c r="AI89" s="25">
        <f>AI87</f>
        <v>0</v>
      </c>
      <c r="AJ89" s="24"/>
      <c r="AK89" s="25">
        <f>AK87</f>
        <v>0</v>
      </c>
      <c r="AL89" s="24"/>
      <c r="AM89" s="25">
        <f>AM87</f>
        <v>0</v>
      </c>
      <c r="AN89" s="24"/>
      <c r="AO89" s="25">
        <f>AO87</f>
        <v>0</v>
      </c>
      <c r="AP89" s="191"/>
      <c r="AQ89" s="191"/>
      <c r="AR89" s="191"/>
      <c r="AS89" s="191"/>
      <c r="AT89" s="191"/>
    </row>
    <row r="90" spans="1:47">
      <c r="A90" s="32"/>
      <c r="C90" s="24"/>
      <c r="D90" s="24"/>
      <c r="E90" s="24"/>
      <c r="F90" s="24"/>
      <c r="G90" s="24"/>
      <c r="H90" s="24"/>
      <c r="I90" s="24"/>
      <c r="J90" s="24"/>
      <c r="K90" s="24"/>
      <c r="L90" s="24"/>
      <c r="M90" s="24"/>
      <c r="N90" s="24"/>
      <c r="O90" s="24"/>
      <c r="P90" s="24"/>
      <c r="Q90" s="24"/>
      <c r="R90" s="24"/>
      <c r="S90" s="24"/>
      <c r="T90" s="24"/>
      <c r="U90" s="24"/>
      <c r="V90" s="24"/>
      <c r="W90" s="24"/>
      <c r="X90" s="24"/>
      <c r="Y90" s="24"/>
      <c r="Z90" s="24"/>
      <c r="AA90" s="24"/>
      <c r="AB90" s="24"/>
      <c r="AC90" s="24"/>
      <c r="AD90" s="24"/>
      <c r="AE90" s="24"/>
      <c r="AF90" s="24"/>
      <c r="AG90" s="24"/>
      <c r="AH90" s="24"/>
      <c r="AI90" s="24"/>
      <c r="AJ90" s="24"/>
      <c r="AK90" s="24"/>
      <c r="AL90" s="24"/>
      <c r="AM90" s="24"/>
      <c r="AN90" s="24"/>
      <c r="AO90" s="24"/>
      <c r="AP90" s="24"/>
      <c r="AQ90" s="191"/>
      <c r="AR90" s="191"/>
      <c r="AS90" s="191"/>
      <c r="AT90" s="191"/>
      <c r="AU90" s="191"/>
    </row>
    <row r="91" spans="1:47">
      <c r="A91" s="32">
        <v>121</v>
      </c>
      <c r="B91" s="58"/>
      <c r="F91" s="24"/>
      <c r="H91" s="24"/>
      <c r="J91" s="24"/>
      <c r="L91" s="24"/>
      <c r="N91" s="24"/>
      <c r="P91" s="24"/>
      <c r="R91" s="24"/>
      <c r="T91" s="24"/>
      <c r="V91" s="24"/>
      <c r="X91" s="24"/>
      <c r="Z91" s="24"/>
      <c r="AB91" s="24"/>
      <c r="AD91" s="24"/>
      <c r="AF91" s="24"/>
      <c r="AH91" s="24"/>
      <c r="AJ91" s="24"/>
      <c r="AL91" s="24"/>
      <c r="AN91" s="24"/>
      <c r="AO91" s="24"/>
      <c r="AP91" s="24"/>
      <c r="AQ91" s="191"/>
      <c r="AR91" s="191"/>
      <c r="AS91" s="191"/>
      <c r="AT91" s="191"/>
      <c r="AU91" s="191"/>
    </row>
    <row r="92" spans="1:47">
      <c r="A92" s="32"/>
      <c r="B92" s="12" t="s">
        <v>451</v>
      </c>
      <c r="F92" s="24"/>
      <c r="H92" s="24"/>
      <c r="J92" s="24"/>
      <c r="L92" s="24"/>
      <c r="N92" s="24"/>
      <c r="P92" s="24"/>
      <c r="R92" s="24"/>
      <c r="T92" s="24"/>
      <c r="V92" s="24"/>
      <c r="X92" s="24"/>
      <c r="Z92" s="24"/>
      <c r="AB92" s="24"/>
      <c r="AD92" s="24"/>
      <c r="AF92" s="24"/>
      <c r="AH92" s="24"/>
      <c r="AJ92" s="24"/>
      <c r="AL92" s="24"/>
      <c r="AN92" s="24"/>
      <c r="AO92" s="24"/>
      <c r="AP92" s="24"/>
      <c r="AQ92" s="191"/>
      <c r="AR92" s="191"/>
      <c r="AS92" s="191"/>
      <c r="AT92" s="191"/>
      <c r="AU92" s="191"/>
    </row>
    <row r="93" spans="1:47">
      <c r="A93" s="32"/>
      <c r="B93" s="58" t="s">
        <v>652</v>
      </c>
      <c r="F93" s="24"/>
      <c r="H93" s="24"/>
      <c r="J93" s="24"/>
      <c r="L93" s="24"/>
      <c r="N93" s="24"/>
      <c r="P93" s="24"/>
      <c r="R93" s="24"/>
      <c r="T93" s="24"/>
      <c r="V93" s="24"/>
      <c r="X93" s="24"/>
      <c r="Z93" s="24"/>
      <c r="AB93" s="24"/>
      <c r="AD93" s="24"/>
      <c r="AF93" s="24"/>
      <c r="AH93" s="24"/>
      <c r="AJ93" s="24"/>
      <c r="AL93" s="24"/>
      <c r="AN93" s="24"/>
      <c r="AO93" s="24"/>
      <c r="AP93" s="191"/>
      <c r="AQ93" s="191"/>
      <c r="AR93" s="191"/>
      <c r="AS93" s="191"/>
      <c r="AT93" s="191"/>
    </row>
    <row r="94" spans="1:47">
      <c r="A94" s="32"/>
      <c r="B94" s="10" t="s">
        <v>131</v>
      </c>
      <c r="C94" s="28">
        <v>0</v>
      </c>
      <c r="D94" s="27"/>
      <c r="E94" s="28">
        <v>0</v>
      </c>
      <c r="F94" s="24"/>
      <c r="G94" s="28">
        <v>0</v>
      </c>
      <c r="H94" s="27"/>
      <c r="I94" s="28">
        <v>0</v>
      </c>
      <c r="J94" s="27"/>
      <c r="K94" s="28">
        <v>0</v>
      </c>
      <c r="L94" s="24"/>
      <c r="M94" s="28">
        <v>0</v>
      </c>
      <c r="N94" s="24"/>
      <c r="O94" s="28">
        <v>0</v>
      </c>
      <c r="P94" s="24"/>
      <c r="Q94" s="28">
        <v>0</v>
      </c>
      <c r="R94" s="24"/>
      <c r="S94" s="28">
        <v>0</v>
      </c>
      <c r="T94" s="24"/>
      <c r="U94" s="28">
        <v>0</v>
      </c>
      <c r="V94" s="24"/>
      <c r="W94" s="28">
        <v>0</v>
      </c>
      <c r="X94" s="24"/>
      <c r="Y94" s="28">
        <v>0</v>
      </c>
      <c r="Z94" s="24"/>
      <c r="AA94" s="28">
        <v>0</v>
      </c>
      <c r="AB94" s="24"/>
      <c r="AC94" s="28">
        <v>0</v>
      </c>
      <c r="AD94" s="24"/>
      <c r="AE94" s="28">
        <v>0</v>
      </c>
      <c r="AF94" s="24"/>
      <c r="AG94" s="28">
        <v>0</v>
      </c>
      <c r="AH94" s="24"/>
      <c r="AI94" s="28">
        <v>0</v>
      </c>
      <c r="AJ94" s="24"/>
      <c r="AK94" s="28">
        <v>0</v>
      </c>
      <c r="AL94" s="24"/>
      <c r="AM94" s="28">
        <v>0</v>
      </c>
      <c r="AN94" s="24"/>
      <c r="AO94" s="28">
        <f>SUM(C94:AN94)</f>
        <v>0</v>
      </c>
      <c r="AP94" s="191"/>
      <c r="AQ94" s="191"/>
      <c r="AR94" s="191"/>
      <c r="AS94" s="191"/>
      <c r="AT94" s="191"/>
    </row>
    <row r="95" spans="1:47">
      <c r="A95" s="32"/>
      <c r="B95" s="11"/>
      <c r="C95" s="27">
        <f>SUM(C94)</f>
        <v>0</v>
      </c>
      <c r="D95" s="27"/>
      <c r="E95" s="27">
        <f>SUM(E94)</f>
        <v>0</v>
      </c>
      <c r="F95" s="27"/>
      <c r="G95" s="27">
        <f>SUM(G94)</f>
        <v>0</v>
      </c>
      <c r="H95" s="27"/>
      <c r="I95" s="27">
        <f>SUM(I94)</f>
        <v>0</v>
      </c>
      <c r="J95" s="27"/>
      <c r="K95" s="27">
        <f>SUM(K94)</f>
        <v>0</v>
      </c>
      <c r="L95" s="27"/>
      <c r="M95" s="27">
        <f>SUM(M94)</f>
        <v>0</v>
      </c>
      <c r="N95" s="27"/>
      <c r="O95" s="27">
        <f>SUM(O94)</f>
        <v>0</v>
      </c>
      <c r="P95" s="27"/>
      <c r="Q95" s="27">
        <f>SUM(Q94)</f>
        <v>0</v>
      </c>
      <c r="R95" s="27"/>
      <c r="S95" s="27">
        <f>SUM(S94)</f>
        <v>0</v>
      </c>
      <c r="T95" s="27"/>
      <c r="U95" s="27">
        <f>SUM(U94)</f>
        <v>0</v>
      </c>
      <c r="V95" s="27"/>
      <c r="W95" s="27">
        <f>SUM(W94)</f>
        <v>0</v>
      </c>
      <c r="X95" s="27"/>
      <c r="Y95" s="27">
        <f>SUM(Y94)</f>
        <v>0</v>
      </c>
      <c r="Z95" s="27"/>
      <c r="AA95" s="27">
        <f>SUM(AA94)</f>
        <v>0</v>
      </c>
      <c r="AB95" s="27"/>
      <c r="AC95" s="27">
        <f>SUM(AC94)</f>
        <v>0</v>
      </c>
      <c r="AD95" s="27"/>
      <c r="AE95" s="27">
        <f>SUM(AE94)</f>
        <v>0</v>
      </c>
      <c r="AF95" s="27"/>
      <c r="AG95" s="27">
        <f>SUM(AG94)</f>
        <v>0</v>
      </c>
      <c r="AH95" s="27"/>
      <c r="AI95" s="27">
        <f>SUM(AI94)</f>
        <v>0</v>
      </c>
      <c r="AJ95" s="27"/>
      <c r="AK95" s="27">
        <f>SUM(AK94)</f>
        <v>0</v>
      </c>
      <c r="AL95" s="27"/>
      <c r="AM95" s="27">
        <f>SUM(AM94)</f>
        <v>0</v>
      </c>
      <c r="AN95" s="27"/>
      <c r="AO95" s="27">
        <f>SUM(AO94)</f>
        <v>0</v>
      </c>
      <c r="AP95" s="191"/>
      <c r="AQ95" s="191"/>
      <c r="AR95" s="191"/>
      <c r="AS95" s="191"/>
      <c r="AT95" s="191"/>
    </row>
    <row r="96" spans="1:47">
      <c r="A96" s="32"/>
      <c r="C96" s="24"/>
      <c r="D96" s="24"/>
      <c r="E96" s="24"/>
      <c r="F96" s="24"/>
      <c r="G96" s="24"/>
      <c r="H96" s="24"/>
      <c r="I96" s="24"/>
      <c r="J96" s="24"/>
      <c r="K96" s="24"/>
      <c r="L96" s="24"/>
      <c r="M96" s="24"/>
      <c r="N96" s="24"/>
      <c r="O96" s="24"/>
      <c r="P96" s="24"/>
      <c r="Q96" s="24"/>
      <c r="R96" s="24"/>
      <c r="S96" s="24"/>
      <c r="T96" s="24"/>
      <c r="U96" s="24"/>
      <c r="V96" s="24"/>
      <c r="W96" s="24"/>
      <c r="X96" s="24"/>
      <c r="Y96" s="24"/>
      <c r="Z96" s="24"/>
      <c r="AA96" s="24"/>
      <c r="AB96" s="24"/>
      <c r="AC96" s="24"/>
      <c r="AD96" s="24"/>
      <c r="AE96" s="24"/>
      <c r="AF96" s="24"/>
      <c r="AG96" s="24"/>
      <c r="AH96" s="24"/>
      <c r="AI96" s="24"/>
      <c r="AJ96" s="24"/>
      <c r="AK96" s="24"/>
      <c r="AL96" s="24"/>
      <c r="AM96" s="24"/>
      <c r="AN96" s="24"/>
      <c r="AO96" s="24"/>
      <c r="AP96" s="191"/>
      <c r="AQ96" s="191"/>
      <c r="AR96" s="191"/>
      <c r="AS96" s="191"/>
      <c r="AT96" s="191"/>
    </row>
    <row r="97" spans="1:47">
      <c r="A97" s="32"/>
      <c r="B97" s="12" t="s">
        <v>132</v>
      </c>
      <c r="C97" s="25">
        <f>C95</f>
        <v>0</v>
      </c>
      <c r="D97" s="27"/>
      <c r="E97" s="25">
        <f>E95</f>
        <v>0</v>
      </c>
      <c r="F97" s="24"/>
      <c r="G97" s="25">
        <f>G95</f>
        <v>0</v>
      </c>
      <c r="H97" s="27"/>
      <c r="I97" s="25">
        <f>I95</f>
        <v>0</v>
      </c>
      <c r="J97" s="27"/>
      <c r="K97" s="25">
        <f>K95</f>
        <v>0</v>
      </c>
      <c r="L97" s="24"/>
      <c r="M97" s="25">
        <f>M95</f>
        <v>0</v>
      </c>
      <c r="N97" s="24"/>
      <c r="O97" s="25">
        <f>O95</f>
        <v>0</v>
      </c>
      <c r="P97" s="24"/>
      <c r="Q97" s="25">
        <f>Q95</f>
        <v>0</v>
      </c>
      <c r="R97" s="24"/>
      <c r="S97" s="25">
        <f>S95</f>
        <v>0</v>
      </c>
      <c r="T97" s="24"/>
      <c r="U97" s="25">
        <f>U95</f>
        <v>0</v>
      </c>
      <c r="V97" s="24"/>
      <c r="W97" s="25">
        <f>W95</f>
        <v>0</v>
      </c>
      <c r="X97" s="24"/>
      <c r="Y97" s="25">
        <f>Y95</f>
        <v>0</v>
      </c>
      <c r="Z97" s="24"/>
      <c r="AA97" s="25">
        <f>AA95</f>
        <v>0</v>
      </c>
      <c r="AB97" s="24"/>
      <c r="AC97" s="25">
        <f>AC95</f>
        <v>0</v>
      </c>
      <c r="AD97" s="24"/>
      <c r="AE97" s="25">
        <f>AE95</f>
        <v>0</v>
      </c>
      <c r="AF97" s="24"/>
      <c r="AG97" s="25">
        <f>AG95</f>
        <v>0</v>
      </c>
      <c r="AH97" s="24"/>
      <c r="AI97" s="25">
        <f>AI95</f>
        <v>0</v>
      </c>
      <c r="AJ97" s="24"/>
      <c r="AK97" s="25">
        <f>AK95</f>
        <v>0</v>
      </c>
      <c r="AL97" s="24"/>
      <c r="AM97" s="25">
        <f>AM95</f>
        <v>0</v>
      </c>
      <c r="AN97" s="24"/>
      <c r="AO97" s="25">
        <f>AO95</f>
        <v>0</v>
      </c>
      <c r="AP97" s="191"/>
      <c r="AQ97" s="191"/>
      <c r="AR97" s="191"/>
      <c r="AS97" s="191"/>
      <c r="AT97" s="191"/>
    </row>
    <row r="98" spans="1:47">
      <c r="A98" s="32"/>
      <c r="C98" s="24"/>
      <c r="D98" s="24"/>
      <c r="E98" s="24"/>
      <c r="F98" s="24"/>
      <c r="G98" s="24"/>
      <c r="H98" s="24"/>
      <c r="I98" s="24"/>
      <c r="J98" s="24"/>
      <c r="K98" s="24"/>
      <c r="L98" s="24"/>
      <c r="M98" s="24"/>
      <c r="N98" s="24"/>
      <c r="O98" s="24"/>
      <c r="P98" s="24"/>
      <c r="Q98" s="24"/>
      <c r="R98" s="24"/>
      <c r="S98" s="24"/>
      <c r="T98" s="24"/>
      <c r="U98" s="24"/>
      <c r="V98" s="24"/>
      <c r="W98" s="24"/>
      <c r="X98" s="24"/>
      <c r="Y98" s="24"/>
      <c r="Z98" s="24"/>
      <c r="AA98" s="24"/>
      <c r="AB98" s="24"/>
      <c r="AC98" s="24"/>
      <c r="AD98" s="24"/>
      <c r="AE98" s="24"/>
      <c r="AF98" s="24"/>
      <c r="AG98" s="24"/>
      <c r="AH98" s="24"/>
      <c r="AI98" s="24"/>
      <c r="AJ98" s="24"/>
      <c r="AK98" s="24"/>
      <c r="AL98" s="24"/>
      <c r="AM98" s="24"/>
      <c r="AN98" s="24"/>
      <c r="AO98" s="24"/>
      <c r="AP98" s="24"/>
      <c r="AQ98" s="191"/>
      <c r="AR98" s="191"/>
      <c r="AS98" s="191"/>
      <c r="AT98" s="191"/>
      <c r="AU98" s="191"/>
    </row>
    <row r="99" spans="1:47">
      <c r="A99" s="32">
        <v>107</v>
      </c>
      <c r="B99" s="58"/>
      <c r="F99" s="24"/>
      <c r="H99" s="24"/>
      <c r="J99" s="24"/>
      <c r="L99" s="24"/>
      <c r="N99" s="24"/>
      <c r="P99" s="24"/>
      <c r="R99" s="24"/>
      <c r="T99" s="24"/>
      <c r="V99" s="24"/>
      <c r="X99" s="24"/>
      <c r="Z99" s="24"/>
      <c r="AB99" s="24"/>
      <c r="AD99" s="24"/>
      <c r="AF99" s="24"/>
      <c r="AH99" s="24"/>
      <c r="AJ99" s="24"/>
      <c r="AL99" s="24"/>
      <c r="AN99" s="24"/>
      <c r="AO99" s="24"/>
      <c r="AP99" s="24"/>
      <c r="AQ99" s="191"/>
      <c r="AR99" s="191"/>
      <c r="AS99" s="191"/>
      <c r="AT99" s="191"/>
      <c r="AU99" s="191"/>
    </row>
    <row r="100" spans="1:47">
      <c r="A100" s="32"/>
      <c r="B100" s="12" t="s">
        <v>452</v>
      </c>
      <c r="F100" s="24"/>
      <c r="H100" s="24"/>
      <c r="J100" s="24"/>
      <c r="L100" s="24"/>
      <c r="N100" s="24"/>
      <c r="P100" s="24"/>
      <c r="R100" s="24"/>
      <c r="T100" s="24"/>
      <c r="V100" s="24"/>
      <c r="X100" s="24"/>
      <c r="Z100" s="24"/>
      <c r="AB100" s="24"/>
      <c r="AD100" s="24"/>
      <c r="AF100" s="24"/>
      <c r="AH100" s="24"/>
      <c r="AJ100" s="24"/>
      <c r="AL100" s="24"/>
      <c r="AN100" s="24"/>
      <c r="AO100" s="24"/>
      <c r="AP100" s="24"/>
      <c r="AQ100" s="191"/>
      <c r="AR100" s="191"/>
      <c r="AS100" s="191"/>
      <c r="AT100" s="191"/>
      <c r="AU100" s="191"/>
    </row>
    <row r="101" spans="1:47">
      <c r="A101" s="32"/>
      <c r="B101" s="58" t="s">
        <v>133</v>
      </c>
      <c r="F101" s="24"/>
      <c r="H101" s="24"/>
      <c r="J101" s="24"/>
      <c r="L101" s="24"/>
      <c r="N101" s="24"/>
      <c r="P101" s="24"/>
      <c r="R101" s="24"/>
      <c r="T101" s="24"/>
      <c r="V101" s="24"/>
      <c r="X101" s="24"/>
      <c r="Z101" s="24"/>
      <c r="AB101" s="24"/>
      <c r="AD101" s="24"/>
      <c r="AF101" s="24"/>
      <c r="AH101" s="24"/>
      <c r="AJ101" s="24"/>
      <c r="AL101" s="24"/>
      <c r="AN101" s="24"/>
      <c r="AO101" s="24"/>
      <c r="AP101" s="24"/>
      <c r="AQ101" s="191"/>
      <c r="AR101" s="191"/>
      <c r="AS101" s="191"/>
      <c r="AT101" s="191"/>
      <c r="AU101" s="191"/>
    </row>
    <row r="102" spans="1:47">
      <c r="A102" s="32"/>
      <c r="B102" s="58"/>
      <c r="F102" s="24"/>
      <c r="H102" s="24"/>
      <c r="J102" s="24"/>
      <c r="L102" s="24"/>
      <c r="N102" s="24"/>
      <c r="P102" s="24"/>
      <c r="R102" s="24"/>
      <c r="T102" s="24"/>
      <c r="V102" s="24"/>
      <c r="X102" s="24"/>
      <c r="Z102" s="24"/>
      <c r="AB102" s="24"/>
      <c r="AD102" s="24"/>
      <c r="AF102" s="24"/>
      <c r="AH102" s="24"/>
      <c r="AJ102" s="24"/>
      <c r="AL102" s="24"/>
      <c r="AN102" s="24"/>
      <c r="AO102" s="24"/>
      <c r="AP102" s="191"/>
      <c r="AQ102" s="191"/>
      <c r="AR102" s="191"/>
      <c r="AS102" s="191"/>
      <c r="AT102" s="191"/>
    </row>
    <row r="103" spans="1:47">
      <c r="A103" s="32"/>
      <c r="B103" s="10" t="s">
        <v>652</v>
      </c>
      <c r="C103" s="24">
        <v>0</v>
      </c>
      <c r="D103" s="24"/>
      <c r="E103" s="24">
        <v>0</v>
      </c>
      <c r="F103" s="24"/>
      <c r="G103" s="24">
        <v>0</v>
      </c>
      <c r="H103" s="24"/>
      <c r="I103" s="24">
        <v>0</v>
      </c>
      <c r="J103" s="24"/>
      <c r="K103" s="24">
        <v>0</v>
      </c>
      <c r="L103" s="24"/>
      <c r="M103" s="24">
        <v>0</v>
      </c>
      <c r="N103" s="24"/>
      <c r="O103" s="24">
        <v>0</v>
      </c>
      <c r="P103" s="24"/>
      <c r="Q103" s="24">
        <v>0</v>
      </c>
      <c r="R103" s="24"/>
      <c r="S103" s="24">
        <v>0</v>
      </c>
      <c r="T103" s="24"/>
      <c r="U103" s="24">
        <v>0</v>
      </c>
      <c r="V103" s="24"/>
      <c r="W103" s="24">
        <v>0</v>
      </c>
      <c r="X103" s="24"/>
      <c r="Y103" s="24">
        <v>0</v>
      </c>
      <c r="Z103" s="24"/>
      <c r="AA103" s="24">
        <v>0</v>
      </c>
      <c r="AB103" s="24"/>
      <c r="AC103" s="24">
        <v>0</v>
      </c>
      <c r="AD103" s="24"/>
      <c r="AE103" s="24">
        <v>0</v>
      </c>
      <c r="AF103" s="24"/>
      <c r="AG103" s="24">
        <v>0</v>
      </c>
      <c r="AH103" s="24"/>
      <c r="AI103" s="24">
        <v>0</v>
      </c>
      <c r="AJ103" s="24"/>
      <c r="AK103" s="24">
        <v>0</v>
      </c>
      <c r="AL103" s="24"/>
      <c r="AM103" s="24">
        <v>0</v>
      </c>
      <c r="AN103" s="24"/>
      <c r="AO103" s="24">
        <v>0</v>
      </c>
      <c r="AP103" s="191"/>
      <c r="AQ103" s="191"/>
      <c r="AR103" s="191"/>
      <c r="AS103" s="191"/>
      <c r="AT103" s="191"/>
    </row>
    <row r="104" spans="1:47">
      <c r="A104" s="32"/>
      <c r="B104" s="10" t="s">
        <v>112</v>
      </c>
      <c r="C104" s="24">
        <v>0</v>
      </c>
      <c r="D104" s="24"/>
      <c r="E104" s="24">
        <v>0</v>
      </c>
      <c r="F104" s="24"/>
      <c r="G104" s="24">
        <v>0</v>
      </c>
      <c r="H104" s="24"/>
      <c r="I104" s="24">
        <v>0</v>
      </c>
      <c r="J104" s="24"/>
      <c r="K104" s="24">
        <v>0</v>
      </c>
      <c r="L104" s="24"/>
      <c r="M104" s="24">
        <v>0</v>
      </c>
      <c r="N104" s="24"/>
      <c r="O104" s="24">
        <v>0</v>
      </c>
      <c r="P104" s="24"/>
      <c r="Q104" s="24">
        <v>0</v>
      </c>
      <c r="R104" s="24"/>
      <c r="S104" s="24">
        <v>0</v>
      </c>
      <c r="T104" s="24"/>
      <c r="U104" s="24">
        <v>0</v>
      </c>
      <c r="V104" s="24"/>
      <c r="W104" s="24">
        <v>0</v>
      </c>
      <c r="X104" s="24"/>
      <c r="Y104" s="24">
        <v>0</v>
      </c>
      <c r="Z104" s="24"/>
      <c r="AA104" s="24">
        <v>0</v>
      </c>
      <c r="AB104" s="24"/>
      <c r="AC104" s="24">
        <v>0</v>
      </c>
      <c r="AD104" s="24"/>
      <c r="AE104" s="24">
        <v>0</v>
      </c>
      <c r="AF104" s="24"/>
      <c r="AG104" s="24">
        <v>0</v>
      </c>
      <c r="AH104" s="24"/>
      <c r="AI104" s="24">
        <v>0</v>
      </c>
      <c r="AJ104" s="24"/>
      <c r="AK104" s="24">
        <v>0</v>
      </c>
      <c r="AL104" s="24"/>
      <c r="AM104" s="24">
        <v>0</v>
      </c>
      <c r="AN104" s="24"/>
      <c r="AO104" s="24">
        <v>0</v>
      </c>
      <c r="AP104" s="191"/>
      <c r="AQ104" s="191"/>
      <c r="AR104" s="191"/>
      <c r="AS104" s="191"/>
      <c r="AT104" s="191"/>
    </row>
    <row r="105" spans="1:47">
      <c r="A105" s="32"/>
      <c r="B105" s="10" t="s">
        <v>120</v>
      </c>
      <c r="C105" s="28">
        <v>0</v>
      </c>
      <c r="D105" s="27"/>
      <c r="E105" s="28">
        <v>0</v>
      </c>
      <c r="F105" s="24"/>
      <c r="G105" s="28">
        <v>0</v>
      </c>
      <c r="H105" s="27"/>
      <c r="I105" s="28">
        <v>0</v>
      </c>
      <c r="J105" s="27"/>
      <c r="K105" s="28">
        <v>0</v>
      </c>
      <c r="L105" s="24"/>
      <c r="M105" s="28">
        <v>0</v>
      </c>
      <c r="N105" s="24"/>
      <c r="O105" s="28">
        <v>0</v>
      </c>
      <c r="P105" s="24"/>
      <c r="Q105" s="28">
        <v>0</v>
      </c>
      <c r="R105" s="24"/>
      <c r="S105" s="28">
        <v>0</v>
      </c>
      <c r="T105" s="24"/>
      <c r="U105" s="28">
        <v>0</v>
      </c>
      <c r="V105" s="24"/>
      <c r="W105" s="28">
        <v>0</v>
      </c>
      <c r="X105" s="24"/>
      <c r="Y105" s="28">
        <v>0</v>
      </c>
      <c r="Z105" s="24"/>
      <c r="AA105" s="28">
        <v>0</v>
      </c>
      <c r="AB105" s="24"/>
      <c r="AC105" s="28">
        <v>0</v>
      </c>
      <c r="AD105" s="24"/>
      <c r="AE105" s="28">
        <v>0</v>
      </c>
      <c r="AF105" s="24"/>
      <c r="AG105" s="28">
        <v>0</v>
      </c>
      <c r="AH105" s="24"/>
      <c r="AI105" s="28">
        <v>0</v>
      </c>
      <c r="AJ105" s="24"/>
      <c r="AK105" s="28">
        <v>0</v>
      </c>
      <c r="AL105" s="24"/>
      <c r="AM105" s="28">
        <v>0</v>
      </c>
      <c r="AN105" s="24"/>
      <c r="AO105" s="28">
        <v>0</v>
      </c>
      <c r="AP105" s="191"/>
      <c r="AQ105" s="191"/>
      <c r="AR105" s="191"/>
      <c r="AS105" s="191"/>
      <c r="AT105" s="191"/>
    </row>
    <row r="106" spans="1:47">
      <c r="A106" s="32"/>
      <c r="B106" s="11"/>
      <c r="C106" s="27">
        <f>SUM(C103:C105)</f>
        <v>0</v>
      </c>
      <c r="D106" s="27"/>
      <c r="E106" s="27">
        <f>SUM(E103:E105)</f>
        <v>0</v>
      </c>
      <c r="F106" s="27"/>
      <c r="G106" s="27">
        <f>SUM(G103:G105)</f>
        <v>0</v>
      </c>
      <c r="H106" s="27"/>
      <c r="I106" s="27">
        <f>SUM(I103:I105)</f>
        <v>0</v>
      </c>
      <c r="J106" s="27"/>
      <c r="K106" s="27">
        <f>SUM(K103:K105)</f>
        <v>0</v>
      </c>
      <c r="L106" s="27"/>
      <c r="M106" s="27">
        <f>SUM(M103:M105)</f>
        <v>0</v>
      </c>
      <c r="N106" s="27"/>
      <c r="O106" s="27">
        <f>SUM(O103:O105)</f>
        <v>0</v>
      </c>
      <c r="P106" s="27"/>
      <c r="Q106" s="27">
        <f>SUM(Q103:Q105)</f>
        <v>0</v>
      </c>
      <c r="R106" s="27"/>
      <c r="S106" s="27">
        <f>SUM(S103:S105)</f>
        <v>0</v>
      </c>
      <c r="T106" s="27"/>
      <c r="U106" s="27">
        <f>SUM(U103:U105)</f>
        <v>0</v>
      </c>
      <c r="V106" s="27"/>
      <c r="W106" s="27">
        <f>SUM(W103:W105)</f>
        <v>0</v>
      </c>
      <c r="X106" s="27"/>
      <c r="Y106" s="27">
        <f>SUM(Y103:Y105)</f>
        <v>0</v>
      </c>
      <c r="Z106" s="27"/>
      <c r="AA106" s="27">
        <f>SUM(AA103:AA105)</f>
        <v>0</v>
      </c>
      <c r="AB106" s="27"/>
      <c r="AC106" s="27">
        <f>SUM(AC103:AC105)</f>
        <v>0</v>
      </c>
      <c r="AD106" s="27"/>
      <c r="AE106" s="27">
        <f>SUM(AE103:AE105)</f>
        <v>0</v>
      </c>
      <c r="AF106" s="27"/>
      <c r="AG106" s="27">
        <f>SUM(AG103:AG105)</f>
        <v>0</v>
      </c>
      <c r="AH106" s="27"/>
      <c r="AI106" s="27">
        <f>SUM(AI103:AI105)</f>
        <v>0</v>
      </c>
      <c r="AJ106" s="27"/>
      <c r="AK106" s="27">
        <f>SUM(AK103:AK105)</f>
        <v>0</v>
      </c>
      <c r="AL106" s="27"/>
      <c r="AM106" s="27">
        <f>SUM(AM103:AM105)</f>
        <v>0</v>
      </c>
      <c r="AN106" s="27"/>
      <c r="AO106" s="27">
        <f>SUM(AO103:AO105)</f>
        <v>0</v>
      </c>
      <c r="AP106" s="191"/>
      <c r="AQ106" s="191"/>
      <c r="AR106" s="191"/>
      <c r="AS106" s="191"/>
      <c r="AT106" s="191"/>
    </row>
    <row r="107" spans="1:47">
      <c r="A107" s="191"/>
      <c r="B107" s="11"/>
      <c r="C107" s="191"/>
      <c r="D107" s="191"/>
      <c r="E107" s="191"/>
      <c r="F107" s="191"/>
      <c r="G107" s="191"/>
      <c r="H107" s="191"/>
      <c r="I107" s="191"/>
      <c r="J107" s="191"/>
      <c r="K107" s="191"/>
      <c r="L107" s="191"/>
      <c r="M107" s="191"/>
      <c r="N107" s="191"/>
      <c r="O107" s="191"/>
      <c r="P107" s="191"/>
      <c r="Q107" s="305"/>
      <c r="R107" s="305"/>
      <c r="S107" s="308"/>
      <c r="T107" s="317"/>
      <c r="U107" s="317"/>
      <c r="V107" s="317"/>
      <c r="W107" s="317"/>
      <c r="X107" s="317"/>
      <c r="Y107" s="329"/>
      <c r="Z107" s="329"/>
      <c r="AA107" s="317"/>
      <c r="AB107" s="318"/>
      <c r="AC107" s="318"/>
      <c r="AD107" s="319"/>
      <c r="AE107" s="329"/>
      <c r="AF107" s="329"/>
      <c r="AG107" s="319"/>
      <c r="AH107" s="333"/>
      <c r="AI107" s="333"/>
      <c r="AJ107" s="333"/>
      <c r="AK107" s="333"/>
      <c r="AL107" s="308"/>
      <c r="AM107" s="247"/>
      <c r="AN107" s="247"/>
      <c r="AO107" s="191"/>
      <c r="AP107" s="191"/>
      <c r="AQ107" s="191"/>
      <c r="AR107" s="191"/>
      <c r="AS107" s="191"/>
      <c r="AT107" s="191"/>
      <c r="AU107" s="191"/>
    </row>
    <row r="108" spans="1:47">
      <c r="B108" s="191"/>
    </row>
    <row r="109" spans="1:47">
      <c r="C109" s="84" t="s">
        <v>612</v>
      </c>
      <c r="D109" s="84"/>
      <c r="E109" s="84" t="s">
        <v>612</v>
      </c>
      <c r="G109" s="84" t="s">
        <v>612</v>
      </c>
      <c r="H109" s="84"/>
      <c r="I109" s="84" t="s">
        <v>612</v>
      </c>
      <c r="K109" s="84" t="s">
        <v>612</v>
      </c>
      <c r="M109" s="84" t="s">
        <v>612</v>
      </c>
      <c r="O109" s="84" t="s">
        <v>612</v>
      </c>
      <c r="Q109" s="84" t="s">
        <v>612</v>
      </c>
      <c r="S109" s="84" t="s">
        <v>612</v>
      </c>
      <c r="U109" s="84" t="s">
        <v>612</v>
      </c>
      <c r="W109" s="84" t="s">
        <v>612</v>
      </c>
      <c r="Y109" s="84" t="s">
        <v>612</v>
      </c>
      <c r="AA109" s="84" t="s">
        <v>612</v>
      </c>
      <c r="AC109" s="84" t="s">
        <v>612</v>
      </c>
      <c r="AE109" s="84" t="s">
        <v>612</v>
      </c>
      <c r="AG109" s="84" t="s">
        <v>612</v>
      </c>
      <c r="AI109" s="84" t="s">
        <v>612</v>
      </c>
      <c r="AK109" s="84" t="s">
        <v>612</v>
      </c>
      <c r="AM109" s="84" t="s">
        <v>612</v>
      </c>
      <c r="AO109" s="84" t="s">
        <v>26</v>
      </c>
    </row>
    <row r="110" spans="1:47">
      <c r="C110" s="43" t="s">
        <v>613</v>
      </c>
      <c r="D110" s="85"/>
      <c r="E110" s="43" t="s">
        <v>613</v>
      </c>
      <c r="G110" s="43" t="s">
        <v>613</v>
      </c>
      <c r="H110" s="85"/>
      <c r="I110" s="43" t="s">
        <v>613</v>
      </c>
      <c r="K110" s="43" t="s">
        <v>613</v>
      </c>
      <c r="M110" s="43" t="s">
        <v>613</v>
      </c>
      <c r="O110" s="43" t="s">
        <v>613</v>
      </c>
      <c r="Q110" s="43" t="s">
        <v>613</v>
      </c>
      <c r="S110" s="43" t="s">
        <v>613</v>
      </c>
      <c r="U110" s="43" t="s">
        <v>613</v>
      </c>
      <c r="W110" s="43" t="s">
        <v>613</v>
      </c>
      <c r="Y110" s="43" t="s">
        <v>613</v>
      </c>
      <c r="AA110" s="43" t="s">
        <v>613</v>
      </c>
      <c r="AC110" s="43" t="s">
        <v>613</v>
      </c>
      <c r="AE110" s="43" t="s">
        <v>613</v>
      </c>
      <c r="AG110" s="43" t="s">
        <v>613</v>
      </c>
      <c r="AI110" s="43" t="s">
        <v>613</v>
      </c>
      <c r="AK110" s="43" t="s">
        <v>613</v>
      </c>
      <c r="AM110" s="43" t="s">
        <v>613</v>
      </c>
      <c r="AO110" s="43" t="s">
        <v>27</v>
      </c>
    </row>
    <row r="111" spans="1:47">
      <c r="C111" s="85"/>
      <c r="D111" s="85"/>
      <c r="E111" s="85"/>
      <c r="G111" s="85"/>
      <c r="H111" s="85"/>
      <c r="I111" s="85"/>
      <c r="K111" s="85"/>
      <c r="M111" s="85"/>
      <c r="O111" s="85"/>
      <c r="Q111" s="85"/>
      <c r="S111" s="85"/>
      <c r="U111" s="85"/>
      <c r="W111" s="85"/>
      <c r="Y111" s="85"/>
      <c r="AA111" s="85"/>
      <c r="AC111" s="85"/>
      <c r="AE111" s="85"/>
      <c r="AG111" s="85"/>
      <c r="AI111" s="85"/>
      <c r="AK111" s="85"/>
      <c r="AM111" s="85"/>
      <c r="AO111" s="85"/>
    </row>
    <row r="112" spans="1:47">
      <c r="A112" s="12" t="s">
        <v>137</v>
      </c>
      <c r="C112" s="22"/>
      <c r="D112" s="22"/>
      <c r="E112" s="22"/>
      <c r="F112" s="22"/>
      <c r="G112" s="22"/>
      <c r="H112" s="22"/>
      <c r="I112" s="22"/>
      <c r="J112" s="22"/>
      <c r="K112" s="22"/>
      <c r="L112" s="22"/>
      <c r="M112" s="22"/>
      <c r="N112" s="22"/>
      <c r="O112" s="22"/>
      <c r="P112" s="22"/>
      <c r="Q112" s="22"/>
      <c r="R112" s="22"/>
      <c r="S112" s="22"/>
      <c r="T112" s="22"/>
      <c r="U112" s="22"/>
      <c r="V112" s="22"/>
      <c r="W112" s="22"/>
      <c r="X112" s="22"/>
      <c r="Y112" s="22"/>
      <c r="Z112" s="22"/>
      <c r="AA112" s="22"/>
      <c r="AB112" s="22"/>
      <c r="AC112" s="22"/>
      <c r="AD112" s="22"/>
      <c r="AE112" s="22"/>
      <c r="AF112" s="22"/>
      <c r="AG112" s="22"/>
      <c r="AH112" s="22"/>
      <c r="AI112" s="22"/>
      <c r="AJ112" s="22"/>
      <c r="AK112" s="22"/>
      <c r="AL112" s="22"/>
      <c r="AM112" s="22"/>
      <c r="AN112" s="22"/>
      <c r="AO112" s="22"/>
    </row>
    <row r="113" spans="2:41">
      <c r="C113" s="24"/>
      <c r="D113" s="24"/>
      <c r="E113" s="24"/>
      <c r="F113" s="24"/>
      <c r="G113" s="24"/>
      <c r="H113" s="24"/>
      <c r="I113" s="24"/>
      <c r="J113" s="24"/>
      <c r="K113" s="24"/>
      <c r="L113" s="24"/>
      <c r="M113" s="24"/>
      <c r="N113" s="24"/>
      <c r="O113" s="24"/>
      <c r="P113" s="24"/>
      <c r="Q113" s="24"/>
      <c r="R113" s="24"/>
      <c r="S113" s="24"/>
      <c r="T113" s="24"/>
      <c r="U113" s="24"/>
      <c r="V113" s="24"/>
      <c r="W113" s="24"/>
      <c r="X113" s="24"/>
      <c r="Y113" s="24"/>
      <c r="Z113" s="24"/>
      <c r="AA113" s="24"/>
      <c r="AB113" s="24"/>
      <c r="AC113" s="24"/>
      <c r="AD113" s="24"/>
      <c r="AE113" s="24"/>
      <c r="AF113" s="24"/>
      <c r="AG113" s="24"/>
      <c r="AH113" s="24"/>
      <c r="AI113" s="24"/>
      <c r="AJ113" s="24"/>
      <c r="AK113" s="24"/>
      <c r="AL113" s="24"/>
      <c r="AM113" s="24"/>
      <c r="AN113" s="24"/>
      <c r="AO113" s="24"/>
    </row>
    <row r="114" spans="2:41">
      <c r="B114" s="10" t="s">
        <v>455</v>
      </c>
      <c r="C114" s="24">
        <v>0</v>
      </c>
      <c r="D114" s="24"/>
      <c r="E114" s="24">
        <v>0</v>
      </c>
      <c r="F114" s="24"/>
      <c r="G114" s="24">
        <v>0</v>
      </c>
      <c r="H114" s="24"/>
      <c r="I114" s="24">
        <v>0</v>
      </c>
      <c r="J114" s="24"/>
      <c r="K114" s="24">
        <v>0</v>
      </c>
      <c r="L114" s="24"/>
      <c r="M114" s="24">
        <v>0</v>
      </c>
      <c r="N114" s="24"/>
      <c r="O114" s="24">
        <v>0</v>
      </c>
      <c r="P114" s="24"/>
      <c r="Q114" s="24">
        <v>0</v>
      </c>
      <c r="R114" s="24"/>
      <c r="S114" s="24">
        <v>0</v>
      </c>
      <c r="T114" s="24"/>
      <c r="U114" s="24">
        <f>+'Transfer Detail PG 3 (Fin)'!S117+'Transfer Detail PG 3 (PA)'!K114</f>
        <v>0</v>
      </c>
      <c r="V114" s="24"/>
      <c r="W114" s="24">
        <v>0</v>
      </c>
      <c r="X114" s="24"/>
      <c r="Y114" s="24">
        <v>0</v>
      </c>
      <c r="Z114" s="24"/>
      <c r="AA114" s="24">
        <v>0</v>
      </c>
      <c r="AB114" s="24"/>
      <c r="AC114" s="24">
        <v>0</v>
      </c>
      <c r="AD114" s="24"/>
      <c r="AE114" s="27">
        <f>+'Transfer Detail PG 3 (Fin)'!AC116+'Transfer Detail PG 3 (PA)'!M113</f>
        <v>0</v>
      </c>
      <c r="AF114" s="24"/>
      <c r="AG114" s="27">
        <f>+'Transfer Detail PG 3 (Fin)'!AE116+'Transfer Detail PG 3 (PA)'!O113</f>
        <v>0</v>
      </c>
      <c r="AH114" s="24"/>
      <c r="AI114" s="24">
        <v>0</v>
      </c>
      <c r="AJ114" s="24"/>
      <c r="AK114" s="24">
        <v>0</v>
      </c>
      <c r="AL114" s="24"/>
      <c r="AM114" s="24">
        <v>0</v>
      </c>
      <c r="AN114" s="24"/>
      <c r="AO114" s="24">
        <f t="shared" ref="AO114:AO121" si="3">SUM(C114:AN114)</f>
        <v>0</v>
      </c>
    </row>
    <row r="115" spans="2:41">
      <c r="B115" s="10" t="s">
        <v>851</v>
      </c>
      <c r="C115" s="24">
        <v>0</v>
      </c>
      <c r="D115" s="24"/>
      <c r="E115" s="24">
        <v>0</v>
      </c>
      <c r="F115" s="24"/>
      <c r="G115" s="24">
        <v>0</v>
      </c>
      <c r="H115" s="24"/>
      <c r="I115" s="24">
        <v>0</v>
      </c>
      <c r="J115" s="24"/>
      <c r="K115" s="24">
        <v>0</v>
      </c>
      <c r="L115" s="24"/>
      <c r="M115" s="24">
        <v>0</v>
      </c>
      <c r="N115" s="24"/>
      <c r="O115" s="24">
        <v>0</v>
      </c>
      <c r="P115" s="24"/>
      <c r="Q115" s="24">
        <v>0</v>
      </c>
      <c r="R115" s="24"/>
      <c r="S115" s="24">
        <v>0</v>
      </c>
      <c r="T115" s="24"/>
      <c r="U115" s="24">
        <v>0</v>
      </c>
      <c r="V115" s="24"/>
      <c r="W115" s="24">
        <v>0</v>
      </c>
      <c r="X115" s="24"/>
      <c r="Y115" s="24">
        <v>0</v>
      </c>
      <c r="Z115" s="24"/>
      <c r="AA115" s="24">
        <v>0</v>
      </c>
      <c r="AB115" s="24"/>
      <c r="AC115" s="24">
        <v>0</v>
      </c>
      <c r="AD115" s="24"/>
      <c r="AE115" s="27">
        <f>+'Transfer Detail PG 3 (Fin)'!AC117+'Transfer Detail PG 3 (PA)'!M114</f>
        <v>0</v>
      </c>
      <c r="AF115" s="24"/>
      <c r="AG115" s="27">
        <f>+'Transfer Detail PG 3 (Fin)'!AE117+'Transfer Detail PG 3 (PA)'!O114</f>
        <v>0</v>
      </c>
      <c r="AH115" s="24"/>
      <c r="AI115" s="24">
        <v>0</v>
      </c>
      <c r="AJ115" s="24"/>
      <c r="AK115" s="24">
        <v>0</v>
      </c>
      <c r="AL115" s="24"/>
      <c r="AM115" s="24">
        <v>0</v>
      </c>
      <c r="AN115" s="24"/>
      <c r="AO115" s="24">
        <f t="shared" si="3"/>
        <v>0</v>
      </c>
    </row>
    <row r="116" spans="2:41">
      <c r="B116" s="10" t="s">
        <v>113</v>
      </c>
      <c r="C116" s="24">
        <v>0</v>
      </c>
      <c r="D116" s="24"/>
      <c r="E116" s="24">
        <v>0</v>
      </c>
      <c r="F116" s="24"/>
      <c r="G116" s="27">
        <f>+'Transfer Detail PG 3 (Fin)'!G118+'Transfer Detail PG 3 (PA)'!E115</f>
        <v>0</v>
      </c>
      <c r="H116" s="24"/>
      <c r="I116" s="24">
        <v>0</v>
      </c>
      <c r="J116" s="24"/>
      <c r="K116" s="24">
        <v>0</v>
      </c>
      <c r="L116" s="24"/>
      <c r="M116" s="24">
        <v>0</v>
      </c>
      <c r="N116" s="24"/>
      <c r="O116" s="24">
        <v>0</v>
      </c>
      <c r="P116" s="24"/>
      <c r="Q116" s="24">
        <v>0</v>
      </c>
      <c r="R116" s="24"/>
      <c r="S116" s="24">
        <v>0</v>
      </c>
      <c r="T116" s="24"/>
      <c r="U116" s="24">
        <v>0</v>
      </c>
      <c r="V116" s="24"/>
      <c r="W116" s="24">
        <v>0</v>
      </c>
      <c r="X116" s="24"/>
      <c r="Y116" s="24">
        <v>0</v>
      </c>
      <c r="Z116" s="24"/>
      <c r="AA116" s="24">
        <v>0</v>
      </c>
      <c r="AB116" s="24"/>
      <c r="AC116" s="24">
        <v>0</v>
      </c>
      <c r="AD116" s="24"/>
      <c r="AE116" s="27">
        <f>+'Transfer Detail PG 3 (Fin)'!AC118+'Transfer Detail PG 3 (PA)'!M115</f>
        <v>0</v>
      </c>
      <c r="AF116" s="24"/>
      <c r="AG116" s="27">
        <f>+'Transfer Detail PG 3 (Fin)'!AE118+'Transfer Detail PG 3 (PA)'!O115</f>
        <v>0</v>
      </c>
      <c r="AH116" s="24"/>
      <c r="AI116" s="24">
        <v>0</v>
      </c>
      <c r="AJ116" s="24"/>
      <c r="AK116" s="24">
        <v>0</v>
      </c>
      <c r="AL116" s="24"/>
      <c r="AM116" s="24">
        <v>0</v>
      </c>
      <c r="AN116" s="24"/>
      <c r="AO116" s="24">
        <f t="shared" si="3"/>
        <v>0</v>
      </c>
    </row>
    <row r="117" spans="2:41">
      <c r="B117" s="10" t="s">
        <v>852</v>
      </c>
      <c r="C117" s="27">
        <f>+'Transfer Detail PG 3 (Fin)'!C119</f>
        <v>-223.56</v>
      </c>
      <c r="D117" s="24"/>
      <c r="E117" s="27">
        <f>+'Transfer Detail PG 3 (Fin)'!E119</f>
        <v>0</v>
      </c>
      <c r="F117" s="24"/>
      <c r="G117" s="27">
        <f>+'Transfer Detail PG 3 (Fin)'!G119</f>
        <v>0</v>
      </c>
      <c r="H117" s="24"/>
      <c r="I117" s="24">
        <v>0</v>
      </c>
      <c r="J117" s="24"/>
      <c r="K117" s="24">
        <v>0</v>
      </c>
      <c r="L117" s="24"/>
      <c r="M117" s="24">
        <v>0</v>
      </c>
      <c r="N117" s="24"/>
      <c r="O117" s="24">
        <v>0</v>
      </c>
      <c r="P117" s="24"/>
      <c r="Q117" s="24">
        <v>0</v>
      </c>
      <c r="R117" s="24"/>
      <c r="S117" s="24">
        <v>0</v>
      </c>
      <c r="T117" s="24"/>
      <c r="U117" s="24">
        <v>0</v>
      </c>
      <c r="V117" s="24"/>
      <c r="W117" s="24">
        <v>0</v>
      </c>
      <c r="X117" s="24"/>
      <c r="Y117" s="24">
        <v>0</v>
      </c>
      <c r="Z117" s="24"/>
      <c r="AA117" s="24">
        <v>0</v>
      </c>
      <c r="AB117" s="24"/>
      <c r="AC117" s="24">
        <v>0</v>
      </c>
      <c r="AD117" s="24"/>
      <c r="AE117" s="27">
        <f>+'Transfer Detail PG 3 (Fin)'!AC119+'Transfer Detail PG 3 (PA)'!M116</f>
        <v>0</v>
      </c>
      <c r="AF117" s="24"/>
      <c r="AG117" s="27">
        <f>+'Transfer Detail PG 3 (Fin)'!AE119+'Transfer Detail PG 3 (PA)'!O116</f>
        <v>0</v>
      </c>
      <c r="AH117" s="24"/>
      <c r="AI117" s="24">
        <v>0</v>
      </c>
      <c r="AJ117" s="24"/>
      <c r="AK117" s="24">
        <v>0</v>
      </c>
      <c r="AL117" s="24"/>
      <c r="AM117" s="24">
        <v>0</v>
      </c>
      <c r="AN117" s="24"/>
      <c r="AO117" s="24">
        <f t="shared" si="3"/>
        <v>-223.56</v>
      </c>
    </row>
    <row r="118" spans="2:41">
      <c r="B118" s="10" t="s">
        <v>114</v>
      </c>
      <c r="C118" s="24">
        <v>0</v>
      </c>
      <c r="D118" s="24"/>
      <c r="E118" s="27">
        <f>+'Transfer Detail PG 3 (Fin)'!E120</f>
        <v>0</v>
      </c>
      <c r="F118" s="24"/>
      <c r="G118" s="27">
        <f>+'Transfer Detail PG 3 (Fin)'!G120</f>
        <v>0</v>
      </c>
      <c r="H118" s="24"/>
      <c r="I118" s="24">
        <v>0</v>
      </c>
      <c r="J118" s="24"/>
      <c r="K118" s="24">
        <v>0</v>
      </c>
      <c r="L118" s="24"/>
      <c r="M118" s="24">
        <f>+'Transfer Detail PG 3 (Fin)'!M120</f>
        <v>0</v>
      </c>
      <c r="N118" s="24"/>
      <c r="O118" s="24">
        <f>+'Transfer Detail PG 3 (Fin)'!O120</f>
        <v>0</v>
      </c>
      <c r="P118" s="24"/>
      <c r="Q118" s="24">
        <v>0</v>
      </c>
      <c r="R118" s="24"/>
      <c r="S118" s="24">
        <v>0</v>
      </c>
      <c r="T118" s="24"/>
      <c r="U118" s="24">
        <f>+'Transfer Detail PG 3 (Fin)'!S121+'Transfer Detail PG 3 (PA)'!K118</f>
        <v>0</v>
      </c>
      <c r="V118" s="24"/>
      <c r="W118" s="24">
        <v>0</v>
      </c>
      <c r="X118" s="24"/>
      <c r="Y118" s="24">
        <v>0</v>
      </c>
      <c r="Z118" s="24"/>
      <c r="AA118" s="24">
        <v>0</v>
      </c>
      <c r="AB118" s="24"/>
      <c r="AC118" s="24">
        <v>0</v>
      </c>
      <c r="AD118" s="24"/>
      <c r="AE118" s="27">
        <f>+'Transfer Detail PG 3 (Fin)'!AC120+'Transfer Detail PG 3 (PA)'!M117</f>
        <v>0</v>
      </c>
      <c r="AF118" s="24"/>
      <c r="AG118" s="27">
        <f>+'Transfer Detail PG 3 (Fin)'!AE120+'Transfer Detail PG 3 (PA)'!O117</f>
        <v>0</v>
      </c>
      <c r="AH118" s="24"/>
      <c r="AI118" s="24">
        <v>0</v>
      </c>
      <c r="AJ118" s="24"/>
      <c r="AK118" s="24">
        <v>0</v>
      </c>
      <c r="AL118" s="24"/>
      <c r="AM118" s="24">
        <v>0</v>
      </c>
      <c r="AN118" s="24"/>
      <c r="AO118" s="24">
        <f t="shared" si="3"/>
        <v>0</v>
      </c>
    </row>
    <row r="119" spans="2:41">
      <c r="B119" s="10" t="s">
        <v>115</v>
      </c>
      <c r="C119" s="24">
        <v>0</v>
      </c>
      <c r="D119" s="24"/>
      <c r="E119" s="27">
        <f>+'Transfer Detail PG 3 (Fin)'!E121</f>
        <v>0</v>
      </c>
      <c r="F119" s="24"/>
      <c r="G119" s="27">
        <f>+'Transfer Detail PG 3 (Fin)'!G121</f>
        <v>0</v>
      </c>
      <c r="H119" s="24"/>
      <c r="I119" s="24">
        <v>0</v>
      </c>
      <c r="J119" s="24"/>
      <c r="K119" s="24">
        <v>0</v>
      </c>
      <c r="L119" s="24"/>
      <c r="M119" s="24">
        <v>0</v>
      </c>
      <c r="N119" s="24"/>
      <c r="O119" s="24">
        <v>0</v>
      </c>
      <c r="P119" s="24"/>
      <c r="Q119" s="24">
        <v>0</v>
      </c>
      <c r="R119" s="24"/>
      <c r="S119" s="24">
        <v>0</v>
      </c>
      <c r="T119" s="24"/>
      <c r="U119" s="24">
        <v>0</v>
      </c>
      <c r="V119" s="24"/>
      <c r="W119" s="24">
        <v>0</v>
      </c>
      <c r="X119" s="24"/>
      <c r="Y119" s="24">
        <v>0</v>
      </c>
      <c r="Z119" s="24"/>
      <c r="AA119" s="24">
        <v>0</v>
      </c>
      <c r="AB119" s="24"/>
      <c r="AC119" s="24">
        <v>0</v>
      </c>
      <c r="AD119" s="24"/>
      <c r="AE119" s="27">
        <f>+'Transfer Detail PG 3 (Fin)'!AC121+'Transfer Detail PG 3 (PA)'!M118</f>
        <v>0</v>
      </c>
      <c r="AF119" s="24"/>
      <c r="AG119" s="27">
        <f>+'Transfer Detail PG 3 (Fin)'!AE121+'Transfer Detail PG 3 (PA)'!O118</f>
        <v>0</v>
      </c>
      <c r="AH119" s="24"/>
      <c r="AI119" s="24">
        <v>0</v>
      </c>
      <c r="AJ119" s="24"/>
      <c r="AK119" s="24">
        <v>0</v>
      </c>
      <c r="AL119" s="24"/>
      <c r="AM119" s="24">
        <v>0</v>
      </c>
      <c r="AN119" s="24"/>
      <c r="AO119" s="24">
        <f t="shared" si="3"/>
        <v>0</v>
      </c>
    </row>
    <row r="120" spans="2:41">
      <c r="B120" s="10" t="s">
        <v>853</v>
      </c>
      <c r="C120" s="24">
        <v>0</v>
      </c>
      <c r="D120" s="24"/>
      <c r="E120" s="27">
        <f>+'Transfer Detail PG 3 (Fin)'!E122</f>
        <v>0</v>
      </c>
      <c r="F120" s="24"/>
      <c r="G120" s="27">
        <f>+'Transfer Detail PG 3 (Fin)'!G122</f>
        <v>0</v>
      </c>
      <c r="H120" s="24"/>
      <c r="I120" s="24">
        <v>0</v>
      </c>
      <c r="J120" s="24"/>
      <c r="K120" s="24">
        <v>0</v>
      </c>
      <c r="L120" s="24"/>
      <c r="M120" s="24">
        <v>0</v>
      </c>
      <c r="N120" s="24"/>
      <c r="O120" s="24">
        <v>0</v>
      </c>
      <c r="P120" s="24"/>
      <c r="Q120" s="24">
        <v>0</v>
      </c>
      <c r="R120" s="24"/>
      <c r="S120" s="24">
        <v>0</v>
      </c>
      <c r="T120" s="24"/>
      <c r="U120" s="24">
        <v>0</v>
      </c>
      <c r="V120" s="24"/>
      <c r="W120" s="24">
        <v>0</v>
      </c>
      <c r="X120" s="24"/>
      <c r="Y120" s="24">
        <v>0</v>
      </c>
      <c r="Z120" s="24"/>
      <c r="AA120" s="24">
        <v>0</v>
      </c>
      <c r="AB120" s="24"/>
      <c r="AC120" s="24">
        <v>0</v>
      </c>
      <c r="AD120" s="24"/>
      <c r="AE120" s="27">
        <f>+'Transfer Detail PG 3 (Fin)'!AC122+'Transfer Detail PG 3 (PA)'!M119</f>
        <v>0</v>
      </c>
      <c r="AF120" s="24"/>
      <c r="AG120" s="27">
        <f>+'Transfer Detail PG 3 (Fin)'!AE122+'Transfer Detail PG 3 (PA)'!O119</f>
        <v>0</v>
      </c>
      <c r="AH120" s="24"/>
      <c r="AI120" s="24">
        <v>0</v>
      </c>
      <c r="AJ120" s="24"/>
      <c r="AK120" s="24">
        <v>0</v>
      </c>
      <c r="AL120" s="24"/>
      <c r="AM120" s="24">
        <v>0</v>
      </c>
      <c r="AN120" s="24"/>
      <c r="AO120" s="24">
        <f t="shared" si="3"/>
        <v>0</v>
      </c>
    </row>
    <row r="121" spans="2:41">
      <c r="B121" s="10" t="s">
        <v>117</v>
      </c>
      <c r="C121" s="24">
        <v>0</v>
      </c>
      <c r="D121" s="24"/>
      <c r="E121" s="27">
        <f>+'Transfer Detail PG 3 (Fin)'!E123</f>
        <v>0</v>
      </c>
      <c r="F121" s="24"/>
      <c r="G121" s="27">
        <f>+'Transfer Detail PG 3 (Fin)'!G123</f>
        <v>0</v>
      </c>
      <c r="H121" s="24"/>
      <c r="I121" s="24">
        <v>0</v>
      </c>
      <c r="J121" s="24"/>
      <c r="K121" s="24">
        <v>0</v>
      </c>
      <c r="L121" s="24"/>
      <c r="M121" s="24">
        <v>0</v>
      </c>
      <c r="N121" s="24"/>
      <c r="O121" s="24">
        <v>0</v>
      </c>
      <c r="P121" s="24"/>
      <c r="Q121" s="24">
        <v>0</v>
      </c>
      <c r="R121" s="24"/>
      <c r="S121" s="24">
        <v>0</v>
      </c>
      <c r="T121" s="24"/>
      <c r="U121" s="24">
        <v>0</v>
      </c>
      <c r="V121" s="24"/>
      <c r="W121" s="24">
        <v>0</v>
      </c>
      <c r="X121" s="24"/>
      <c r="Y121" s="24">
        <v>0</v>
      </c>
      <c r="Z121" s="24"/>
      <c r="AA121" s="24">
        <v>0</v>
      </c>
      <c r="AB121" s="24"/>
      <c r="AC121" s="24">
        <v>0</v>
      </c>
      <c r="AD121" s="24"/>
      <c r="AE121" s="27">
        <f>+'Transfer Detail PG 3 (Fin)'!AC123+'Transfer Detail PG 3 (PA)'!M120</f>
        <v>0</v>
      </c>
      <c r="AF121" s="24"/>
      <c r="AG121" s="27">
        <f>+'Transfer Detail PG 3 (Fin)'!AE123+'Transfer Detail PG 3 (PA)'!O120</f>
        <v>0</v>
      </c>
      <c r="AH121" s="24"/>
      <c r="AI121" s="24">
        <v>0</v>
      </c>
      <c r="AJ121" s="24"/>
      <c r="AK121" s="24">
        <v>0</v>
      </c>
      <c r="AL121" s="24"/>
      <c r="AM121" s="24">
        <v>0</v>
      </c>
      <c r="AN121" s="24"/>
      <c r="AO121" s="24">
        <f t="shared" si="3"/>
        <v>0</v>
      </c>
    </row>
    <row r="122" spans="2:41">
      <c r="B122" s="10" t="s">
        <v>953</v>
      </c>
      <c r="C122" s="24">
        <v>0</v>
      </c>
      <c r="D122" s="24"/>
      <c r="E122" s="27">
        <f>+'Transfer Detail PG 3 (Fin)'!E124</f>
        <v>0</v>
      </c>
      <c r="F122" s="24"/>
      <c r="G122" s="27">
        <f>+'Transfer Detail PG 3 (Fin)'!G124</f>
        <v>0</v>
      </c>
      <c r="H122" s="24"/>
      <c r="I122" s="24">
        <v>0</v>
      </c>
      <c r="J122" s="24"/>
      <c r="K122" s="24">
        <v>0</v>
      </c>
      <c r="L122" s="24"/>
      <c r="M122" s="24">
        <v>0</v>
      </c>
      <c r="N122" s="24"/>
      <c r="O122" s="24">
        <v>0</v>
      </c>
      <c r="P122" s="24"/>
      <c r="Q122" s="24">
        <v>0</v>
      </c>
      <c r="R122" s="24"/>
      <c r="S122" s="24">
        <v>0</v>
      </c>
      <c r="T122" s="24"/>
      <c r="U122" s="24">
        <v>0</v>
      </c>
      <c r="V122" s="24"/>
      <c r="W122" s="24">
        <v>0</v>
      </c>
      <c r="X122" s="24"/>
      <c r="Y122" s="24">
        <v>0</v>
      </c>
      <c r="Z122" s="24"/>
      <c r="AA122" s="24">
        <v>0</v>
      </c>
      <c r="AB122" s="24"/>
      <c r="AC122" s="24">
        <v>0</v>
      </c>
      <c r="AD122" s="24"/>
      <c r="AE122" s="27">
        <f>+'Transfer Detail PG 3 (Fin)'!AC124+'Transfer Detail PG 3 (PA)'!M121</f>
        <v>0</v>
      </c>
      <c r="AF122" s="24"/>
      <c r="AG122" s="27">
        <f>+'Transfer Detail PG 3 (Fin)'!AE124+'Transfer Detail PG 3 (PA)'!O121</f>
        <v>0</v>
      </c>
      <c r="AH122" s="24"/>
      <c r="AI122" s="24">
        <v>0</v>
      </c>
      <c r="AJ122" s="24"/>
      <c r="AK122" s="24">
        <v>0</v>
      </c>
      <c r="AL122" s="24"/>
      <c r="AM122" s="24">
        <v>0</v>
      </c>
      <c r="AN122" s="24"/>
      <c r="AO122" s="24">
        <f t="shared" ref="AO122:AO126" si="4">SUM(C122:AN122)</f>
        <v>0</v>
      </c>
    </row>
    <row r="123" spans="2:41">
      <c r="B123" s="10" t="s">
        <v>118</v>
      </c>
      <c r="C123" s="24">
        <v>0</v>
      </c>
      <c r="D123" s="24"/>
      <c r="E123" s="27">
        <f>+'Transfer Detail PG 3 (Fin)'!E125</f>
        <v>0</v>
      </c>
      <c r="F123" s="24"/>
      <c r="G123" s="27">
        <f>+'Transfer Detail PG 3 (Fin)'!G125</f>
        <v>0</v>
      </c>
      <c r="H123" s="24"/>
      <c r="I123" s="24">
        <v>0</v>
      </c>
      <c r="J123" s="24"/>
      <c r="K123" s="24">
        <v>0</v>
      </c>
      <c r="L123" s="24"/>
      <c r="M123" s="24">
        <v>0</v>
      </c>
      <c r="N123" s="24"/>
      <c r="O123" s="24">
        <v>0</v>
      </c>
      <c r="P123" s="24"/>
      <c r="Q123" s="24">
        <v>0</v>
      </c>
      <c r="R123" s="24"/>
      <c r="S123" s="24">
        <f>+'Transfer Detail PG 3 (PA)'!I122</f>
        <v>0</v>
      </c>
      <c r="T123" s="24"/>
      <c r="U123" s="24">
        <v>0</v>
      </c>
      <c r="V123" s="24"/>
      <c r="W123" s="24">
        <v>0</v>
      </c>
      <c r="X123" s="24"/>
      <c r="Y123" s="24">
        <v>0</v>
      </c>
      <c r="Z123" s="24"/>
      <c r="AA123" s="24">
        <v>0</v>
      </c>
      <c r="AB123" s="24"/>
      <c r="AC123" s="24">
        <v>0</v>
      </c>
      <c r="AD123" s="24"/>
      <c r="AE123" s="27">
        <f>+'Transfer Detail PG 3 (Fin)'!AC125+'Transfer Detail PG 3 (PA)'!M122</f>
        <v>0</v>
      </c>
      <c r="AF123" s="24"/>
      <c r="AG123" s="27">
        <f>+'Transfer Detail PG 3 (Fin)'!AE125+'Transfer Detail PG 3 (PA)'!O122</f>
        <v>0</v>
      </c>
      <c r="AH123" s="24"/>
      <c r="AI123" s="24">
        <v>0</v>
      </c>
      <c r="AJ123" s="24"/>
      <c r="AK123" s="24">
        <f>+'Transfer Detail PG 3 (Fin)'!AI125</f>
        <v>0</v>
      </c>
      <c r="AL123" s="24"/>
      <c r="AM123" s="24">
        <f>+'Transfer Detail PG 3 (Fin)'!AK125</f>
        <v>0</v>
      </c>
      <c r="AN123" s="24"/>
      <c r="AO123" s="24">
        <f t="shared" si="4"/>
        <v>0</v>
      </c>
    </row>
    <row r="124" spans="2:41">
      <c r="B124" s="10" t="s">
        <v>949</v>
      </c>
      <c r="C124" s="24">
        <v>0</v>
      </c>
      <c r="D124" s="24"/>
      <c r="E124" s="27">
        <f>+'Transfer Detail PG 3 (Fin)'!E126</f>
        <v>0</v>
      </c>
      <c r="F124" s="24"/>
      <c r="G124" s="27">
        <f>+'Transfer Detail PG 3 (Fin)'!G126</f>
        <v>0</v>
      </c>
      <c r="H124" s="24"/>
      <c r="I124" s="24">
        <v>0</v>
      </c>
      <c r="J124" s="24"/>
      <c r="K124" s="24">
        <v>0</v>
      </c>
      <c r="L124" s="24"/>
      <c r="M124" s="24">
        <v>0</v>
      </c>
      <c r="N124" s="24"/>
      <c r="O124" s="24">
        <v>0</v>
      </c>
      <c r="P124" s="24"/>
      <c r="Q124" s="24">
        <v>0</v>
      </c>
      <c r="R124" s="24"/>
      <c r="S124" s="24">
        <v>0</v>
      </c>
      <c r="T124" s="24"/>
      <c r="U124" s="24">
        <v>0</v>
      </c>
      <c r="V124" s="24"/>
      <c r="W124" s="24">
        <v>0</v>
      </c>
      <c r="X124" s="24"/>
      <c r="Y124" s="24">
        <f>+'Transfer Detail PG 3 (Fin)'!W126</f>
        <v>0</v>
      </c>
      <c r="Z124" s="24"/>
      <c r="AA124" s="24">
        <f>+'Transfer Detail PG 3 (Fin)'!Y126</f>
        <v>0</v>
      </c>
      <c r="AB124" s="24"/>
      <c r="AC124" s="24">
        <v>0</v>
      </c>
      <c r="AD124" s="24"/>
      <c r="AE124" s="27">
        <f>+'Transfer Detail PG 3 (Fin)'!AC126+'Transfer Detail PG 3 (PA)'!M123</f>
        <v>0</v>
      </c>
      <c r="AF124" s="24"/>
      <c r="AG124" s="27">
        <f>+'Transfer Detail PG 3 (Fin)'!AE126+'Transfer Detail PG 3 (PA)'!O123</f>
        <v>0</v>
      </c>
      <c r="AH124" s="24"/>
      <c r="AI124" s="24">
        <f>+'Transfer Detail PG 3 (Fin)'!AG126</f>
        <v>0</v>
      </c>
      <c r="AJ124" s="24"/>
      <c r="AK124" s="24">
        <f>+'Transfer Detail PG 3 (Fin)'!AI126</f>
        <v>0</v>
      </c>
      <c r="AL124" s="24"/>
      <c r="AM124" s="24">
        <v>0</v>
      </c>
      <c r="AN124" s="24"/>
      <c r="AO124" s="24">
        <f t="shared" si="4"/>
        <v>0</v>
      </c>
    </row>
    <row r="125" spans="2:41">
      <c r="B125" s="10" t="s">
        <v>119</v>
      </c>
      <c r="C125" s="24">
        <v>0</v>
      </c>
      <c r="D125" s="24"/>
      <c r="E125" s="27">
        <f>+'Transfer Detail PG 3 (Fin)'!E127</f>
        <v>0</v>
      </c>
      <c r="F125" s="24"/>
      <c r="G125" s="27">
        <f>+'Transfer Detail PG 3 (Fin)'!G127</f>
        <v>0</v>
      </c>
      <c r="H125" s="24"/>
      <c r="I125" s="24">
        <v>0</v>
      </c>
      <c r="J125" s="24"/>
      <c r="K125" s="24">
        <v>0</v>
      </c>
      <c r="L125" s="24"/>
      <c r="M125" s="24">
        <v>0</v>
      </c>
      <c r="N125" s="24"/>
      <c r="O125" s="24">
        <v>0</v>
      </c>
      <c r="P125" s="24"/>
      <c r="Q125" s="24">
        <v>0</v>
      </c>
      <c r="R125" s="24"/>
      <c r="S125" s="24">
        <v>0</v>
      </c>
      <c r="T125" s="24"/>
      <c r="U125" s="24">
        <v>0</v>
      </c>
      <c r="V125" s="24"/>
      <c r="W125" s="24">
        <v>0</v>
      </c>
      <c r="X125" s="24"/>
      <c r="Y125" s="24">
        <v>0</v>
      </c>
      <c r="Z125" s="24"/>
      <c r="AA125" s="24">
        <v>0</v>
      </c>
      <c r="AB125" s="24"/>
      <c r="AC125" s="24">
        <v>0</v>
      </c>
      <c r="AD125" s="24"/>
      <c r="AE125" s="27">
        <f>+'Transfer Detail PG 3 (Fin)'!AC127+'Transfer Detail PG 3 (PA)'!M124</f>
        <v>0</v>
      </c>
      <c r="AF125" s="24"/>
      <c r="AG125" s="27">
        <f>+'Transfer Detail PG 3 (Fin)'!AE127+'Transfer Detail PG 3 (PA)'!O124</f>
        <v>0</v>
      </c>
      <c r="AH125" s="24"/>
      <c r="AI125" s="24">
        <v>0</v>
      </c>
      <c r="AJ125" s="24"/>
      <c r="AK125" s="24">
        <v>0</v>
      </c>
      <c r="AL125" s="24"/>
      <c r="AM125" s="24">
        <v>0</v>
      </c>
      <c r="AN125" s="24"/>
      <c r="AO125" s="24">
        <f t="shared" si="4"/>
        <v>0</v>
      </c>
    </row>
    <row r="126" spans="2:41">
      <c r="B126" s="10" t="s">
        <v>950</v>
      </c>
      <c r="C126" s="24">
        <v>0</v>
      </c>
      <c r="D126" s="24"/>
      <c r="E126" s="27">
        <f>+'Transfer Detail PG 3 (Fin)'!E128</f>
        <v>0</v>
      </c>
      <c r="F126" s="24"/>
      <c r="G126" s="27">
        <f>+'Transfer Detail PG 3 (Fin)'!G128</f>
        <v>0</v>
      </c>
      <c r="H126" s="24"/>
      <c r="I126" s="24">
        <v>0</v>
      </c>
      <c r="J126" s="24"/>
      <c r="K126" s="24">
        <v>0</v>
      </c>
      <c r="L126" s="24"/>
      <c r="M126" s="24">
        <v>0</v>
      </c>
      <c r="N126" s="24"/>
      <c r="O126" s="24">
        <v>0</v>
      </c>
      <c r="P126" s="24"/>
      <c r="Q126" s="24">
        <v>0</v>
      </c>
      <c r="R126" s="24"/>
      <c r="S126" s="24">
        <v>0</v>
      </c>
      <c r="T126" s="24"/>
      <c r="U126" s="24">
        <v>0</v>
      </c>
      <c r="V126" s="24"/>
      <c r="W126" s="24">
        <v>0</v>
      </c>
      <c r="X126" s="24"/>
      <c r="Y126" s="24">
        <v>0</v>
      </c>
      <c r="Z126" s="24"/>
      <c r="AA126" s="24">
        <v>0</v>
      </c>
      <c r="AB126" s="24"/>
      <c r="AC126" s="24">
        <v>0</v>
      </c>
      <c r="AD126" s="24"/>
      <c r="AE126" s="27">
        <f>+'Transfer Detail PG 3 (Fin)'!AC128+'Transfer Detail PG 3 (PA)'!M125</f>
        <v>0</v>
      </c>
      <c r="AF126" s="24"/>
      <c r="AG126" s="27">
        <f>+'Transfer Detail PG 3 (Fin)'!AE128+'Transfer Detail PG 3 (PA)'!O125</f>
        <v>0</v>
      </c>
      <c r="AH126" s="24"/>
      <c r="AI126" s="24">
        <v>0</v>
      </c>
      <c r="AJ126" s="24"/>
      <c r="AK126" s="24">
        <v>0</v>
      </c>
      <c r="AL126" s="24"/>
      <c r="AM126" s="24">
        <v>0</v>
      </c>
      <c r="AN126" s="24"/>
      <c r="AO126" s="24">
        <f t="shared" si="4"/>
        <v>0</v>
      </c>
    </row>
    <row r="127" spans="2:41">
      <c r="B127" s="10" t="s">
        <v>121</v>
      </c>
      <c r="C127" s="24">
        <v>0</v>
      </c>
      <c r="D127" s="24"/>
      <c r="E127" s="27">
        <f>+'Transfer Detail PG 3 (Fin)'!E129</f>
        <v>0</v>
      </c>
      <c r="F127" s="24"/>
      <c r="G127" s="27">
        <f>+'Transfer Detail PG 3 (Fin)'!G129</f>
        <v>1037.44</v>
      </c>
      <c r="H127" s="24"/>
      <c r="I127" s="27">
        <f>+'Transfer Detail PG 3 (Fin)'!I129+'Transfer Detail PG 3 (PA)'!G126</f>
        <v>0</v>
      </c>
      <c r="J127" s="24"/>
      <c r="K127" s="24">
        <v>0</v>
      </c>
      <c r="L127" s="24"/>
      <c r="M127" s="24">
        <v>0</v>
      </c>
      <c r="N127" s="24"/>
      <c r="O127" s="24">
        <v>0</v>
      </c>
      <c r="P127" s="24"/>
      <c r="Q127" s="24">
        <v>0</v>
      </c>
      <c r="R127" s="24"/>
      <c r="S127" s="24">
        <v>0</v>
      </c>
      <c r="T127" s="24"/>
      <c r="U127" s="24">
        <v>0</v>
      </c>
      <c r="V127" s="24"/>
      <c r="W127" s="24">
        <v>0</v>
      </c>
      <c r="X127" s="24"/>
      <c r="Y127" s="24">
        <v>0</v>
      </c>
      <c r="Z127" s="24"/>
      <c r="AA127" s="24">
        <v>0</v>
      </c>
      <c r="AB127" s="24"/>
      <c r="AC127" s="24">
        <v>0</v>
      </c>
      <c r="AD127" s="24"/>
      <c r="AE127" s="27">
        <f>+'Transfer Detail PG 3 (Fin)'!AC129+'Transfer Detail PG 3 (PA)'!M126</f>
        <v>0</v>
      </c>
      <c r="AF127" s="24"/>
      <c r="AG127" s="27">
        <f>+'Transfer Detail PG 3 (Fin)'!AE129+'Transfer Detail PG 3 (PA)'!O126</f>
        <v>0</v>
      </c>
      <c r="AH127" s="24"/>
      <c r="AI127" s="24">
        <v>0</v>
      </c>
      <c r="AJ127" s="24"/>
      <c r="AK127" s="24">
        <v>0</v>
      </c>
      <c r="AL127" s="24"/>
      <c r="AM127" s="24">
        <v>0</v>
      </c>
      <c r="AN127" s="24"/>
      <c r="AO127" s="24">
        <f t="shared" ref="AO127:AO134" si="5">SUM(C127:AN127)</f>
        <v>1037.44</v>
      </c>
    </row>
    <row r="128" spans="2:41">
      <c r="B128" s="10" t="s">
        <v>951</v>
      </c>
      <c r="C128" s="24">
        <v>0</v>
      </c>
      <c r="D128" s="24"/>
      <c r="E128" s="27">
        <f>+'Transfer Detail PG 3 (Fin)'!E130</f>
        <v>0</v>
      </c>
      <c r="F128" s="24"/>
      <c r="G128" s="27">
        <f>+'Transfer Detail PG 3 (Fin)'!G130</f>
        <v>0</v>
      </c>
      <c r="H128" s="24"/>
      <c r="I128" s="24">
        <v>0</v>
      </c>
      <c r="J128" s="24"/>
      <c r="K128" s="24">
        <v>0</v>
      </c>
      <c r="L128" s="24"/>
      <c r="M128" s="24">
        <v>0</v>
      </c>
      <c r="N128" s="24"/>
      <c r="O128" s="24">
        <v>0</v>
      </c>
      <c r="P128" s="24"/>
      <c r="Q128" s="24">
        <v>0</v>
      </c>
      <c r="R128" s="24"/>
      <c r="S128" s="24">
        <v>0</v>
      </c>
      <c r="T128" s="24"/>
      <c r="U128" s="24">
        <v>0</v>
      </c>
      <c r="V128" s="24"/>
      <c r="W128" s="24">
        <v>0</v>
      </c>
      <c r="X128" s="24"/>
      <c r="Y128" s="24">
        <v>0</v>
      </c>
      <c r="Z128" s="24"/>
      <c r="AA128" s="24">
        <v>0</v>
      </c>
      <c r="AB128" s="24"/>
      <c r="AC128" s="24">
        <v>0</v>
      </c>
      <c r="AD128" s="24"/>
      <c r="AE128" s="27">
        <f>+'Transfer Detail PG 3 (Fin)'!AC130+'Transfer Detail PG 3 (PA)'!M127</f>
        <v>0</v>
      </c>
      <c r="AF128" s="24"/>
      <c r="AG128" s="27">
        <f>+'Transfer Detail PG 3 (Fin)'!AE130+'Transfer Detail PG 3 (PA)'!O127</f>
        <v>0</v>
      </c>
      <c r="AH128" s="24"/>
      <c r="AI128" s="24">
        <f>+'Transfer Detail PG 3 (Fin)'!AG130</f>
        <v>0</v>
      </c>
      <c r="AJ128" s="24"/>
      <c r="AK128" s="24">
        <v>0</v>
      </c>
      <c r="AL128" s="24"/>
      <c r="AM128" s="24">
        <v>0</v>
      </c>
      <c r="AN128" s="24"/>
      <c r="AO128" s="24">
        <f t="shared" si="5"/>
        <v>0</v>
      </c>
    </row>
    <row r="129" spans="1:41">
      <c r="B129" s="10" t="s">
        <v>122</v>
      </c>
      <c r="C129" s="24">
        <v>0</v>
      </c>
      <c r="D129" s="24"/>
      <c r="E129" s="27">
        <f>+'Transfer Detail PG 3 (Fin)'!E131</f>
        <v>0</v>
      </c>
      <c r="F129" s="24"/>
      <c r="G129" s="27">
        <f>+'Transfer Detail PG 3 (Fin)'!G131</f>
        <v>0</v>
      </c>
      <c r="H129" s="24"/>
      <c r="I129" s="27">
        <f>+'Transfer Detail PG 3 (Fin)'!I131+'Transfer Detail PG 3 (PA)'!G128</f>
        <v>0</v>
      </c>
      <c r="J129" s="24"/>
      <c r="K129" s="24">
        <v>0</v>
      </c>
      <c r="L129" s="24"/>
      <c r="M129" s="24">
        <f>+'Transfer Detail PG 3 (Fin)'!M131</f>
        <v>0</v>
      </c>
      <c r="N129" s="24"/>
      <c r="O129" s="24">
        <f>+'Transfer Detail PG 3 (Fin)'!O131</f>
        <v>0</v>
      </c>
      <c r="P129" s="24"/>
      <c r="Q129" s="24">
        <v>0</v>
      </c>
      <c r="R129" s="24"/>
      <c r="S129" s="24">
        <v>0</v>
      </c>
      <c r="T129" s="24"/>
      <c r="U129" s="24">
        <v>0</v>
      </c>
      <c r="V129" s="24"/>
      <c r="W129" s="24">
        <v>0</v>
      </c>
      <c r="X129" s="24"/>
      <c r="Y129" s="24">
        <v>0</v>
      </c>
      <c r="Z129" s="24"/>
      <c r="AA129" s="24">
        <v>0</v>
      </c>
      <c r="AB129" s="24"/>
      <c r="AC129" s="24">
        <v>0</v>
      </c>
      <c r="AD129" s="24"/>
      <c r="AE129" s="27">
        <f>+'Transfer Detail PG 3 (Fin)'!AC131+'Transfer Detail PG 3 (PA)'!M128</f>
        <v>0</v>
      </c>
      <c r="AF129" s="24"/>
      <c r="AG129" s="27">
        <f>+'Transfer Detail PG 3 (Fin)'!AE131+'Transfer Detail PG 3 (PA)'!O128</f>
        <v>0</v>
      </c>
      <c r="AH129" s="24"/>
      <c r="AI129" s="24">
        <v>0</v>
      </c>
      <c r="AJ129" s="24"/>
      <c r="AK129" s="24">
        <v>0</v>
      </c>
      <c r="AL129" s="24"/>
      <c r="AM129" s="24">
        <v>0</v>
      </c>
      <c r="AN129" s="24"/>
      <c r="AO129" s="24">
        <f t="shared" si="5"/>
        <v>0</v>
      </c>
    </row>
    <row r="130" spans="1:41">
      <c r="B130" s="10" t="s">
        <v>124</v>
      </c>
      <c r="C130" s="24">
        <v>0</v>
      </c>
      <c r="D130" s="24"/>
      <c r="E130" s="27">
        <f>+'Transfer Detail PG 3 (Fin)'!E132</f>
        <v>0</v>
      </c>
      <c r="F130" s="24"/>
      <c r="G130" s="27">
        <f>+'Transfer Detail PG 3 (Fin)'!G132</f>
        <v>0</v>
      </c>
      <c r="H130" s="24"/>
      <c r="I130" s="24">
        <v>0</v>
      </c>
      <c r="J130" s="24"/>
      <c r="K130" s="24">
        <v>0</v>
      </c>
      <c r="L130" s="24"/>
      <c r="M130" s="24">
        <v>0</v>
      </c>
      <c r="N130" s="24"/>
      <c r="O130" s="24">
        <v>0</v>
      </c>
      <c r="P130" s="24"/>
      <c r="Q130" s="24">
        <v>0</v>
      </c>
      <c r="R130" s="24"/>
      <c r="S130" s="24">
        <v>0</v>
      </c>
      <c r="T130" s="24"/>
      <c r="U130" s="24">
        <v>0</v>
      </c>
      <c r="V130" s="24"/>
      <c r="W130" s="24">
        <v>0</v>
      </c>
      <c r="X130" s="24"/>
      <c r="Y130" s="24">
        <v>0</v>
      </c>
      <c r="Z130" s="24"/>
      <c r="AA130" s="24">
        <v>0</v>
      </c>
      <c r="AB130" s="24"/>
      <c r="AC130" s="24">
        <v>0</v>
      </c>
      <c r="AD130" s="24"/>
      <c r="AE130" s="27">
        <f>+'Transfer Detail PG 3 (Fin)'!AC132+'Transfer Detail PG 3 (PA)'!M129</f>
        <v>0</v>
      </c>
      <c r="AF130" s="24"/>
      <c r="AG130" s="27">
        <f>+'Transfer Detail PG 3 (Fin)'!AE132+'Transfer Detail PG 3 (PA)'!O129</f>
        <v>0</v>
      </c>
      <c r="AH130" s="24"/>
      <c r="AI130" s="24">
        <v>0</v>
      </c>
      <c r="AJ130" s="24"/>
      <c r="AK130" s="24">
        <v>0</v>
      </c>
      <c r="AL130" s="24"/>
      <c r="AM130" s="24">
        <v>0</v>
      </c>
      <c r="AN130" s="24"/>
      <c r="AO130" s="24">
        <f t="shared" si="5"/>
        <v>0</v>
      </c>
    </row>
    <row r="131" spans="1:41">
      <c r="B131" s="10" t="s">
        <v>952</v>
      </c>
      <c r="C131" s="24">
        <v>0</v>
      </c>
      <c r="D131" s="24"/>
      <c r="E131" s="27">
        <f>+'Transfer Detail PG 3 (Fin)'!E133</f>
        <v>0</v>
      </c>
      <c r="F131" s="24"/>
      <c r="G131" s="27">
        <f>+'Transfer Detail PG 3 (Fin)'!G133</f>
        <v>0</v>
      </c>
      <c r="H131" s="24"/>
      <c r="I131" s="24">
        <v>0</v>
      </c>
      <c r="J131" s="24"/>
      <c r="K131" s="24">
        <v>0</v>
      </c>
      <c r="L131" s="24"/>
      <c r="M131" s="24">
        <v>0</v>
      </c>
      <c r="N131" s="24"/>
      <c r="O131" s="24">
        <v>0</v>
      </c>
      <c r="P131" s="24"/>
      <c r="Q131" s="24">
        <v>0</v>
      </c>
      <c r="R131" s="24"/>
      <c r="S131" s="24">
        <v>0</v>
      </c>
      <c r="T131" s="24"/>
      <c r="U131" s="24">
        <v>0</v>
      </c>
      <c r="V131" s="24"/>
      <c r="W131" s="24">
        <v>0</v>
      </c>
      <c r="X131" s="24"/>
      <c r="Y131" s="24">
        <v>0</v>
      </c>
      <c r="Z131" s="24"/>
      <c r="AA131" s="24">
        <v>0</v>
      </c>
      <c r="AB131" s="24"/>
      <c r="AC131" s="24">
        <v>0</v>
      </c>
      <c r="AD131" s="24"/>
      <c r="AE131" s="27">
        <f>+'Transfer Detail PG 3 (Fin)'!AC133+'Transfer Detail PG 3 (PA)'!M130</f>
        <v>0</v>
      </c>
      <c r="AF131" s="24"/>
      <c r="AG131" s="27">
        <f>+'Transfer Detail PG 3 (Fin)'!AE133+'Transfer Detail PG 3 (PA)'!O130</f>
        <v>0</v>
      </c>
      <c r="AH131" s="24"/>
      <c r="AI131" s="24">
        <v>0</v>
      </c>
      <c r="AJ131" s="24"/>
      <c r="AK131" s="24">
        <v>0</v>
      </c>
      <c r="AL131" s="24"/>
      <c r="AM131" s="24">
        <v>0</v>
      </c>
      <c r="AN131" s="24"/>
      <c r="AO131" s="24">
        <f t="shared" si="5"/>
        <v>0</v>
      </c>
    </row>
    <row r="132" spans="1:41">
      <c r="B132" s="10" t="s">
        <v>129</v>
      </c>
      <c r="C132" s="27">
        <v>0</v>
      </c>
      <c r="D132" s="27"/>
      <c r="E132" s="27">
        <f>+'Transfer Detail PG 3 (Fin)'!E134</f>
        <v>0</v>
      </c>
      <c r="F132" s="27"/>
      <c r="G132" s="27">
        <f>+'Transfer Detail PG 3 (Fin)'!G134</f>
        <v>0</v>
      </c>
      <c r="H132" s="27"/>
      <c r="I132" s="27">
        <v>0</v>
      </c>
      <c r="J132" s="27"/>
      <c r="K132" s="27">
        <v>0</v>
      </c>
      <c r="L132" s="27"/>
      <c r="M132" s="27">
        <v>0</v>
      </c>
      <c r="N132" s="27"/>
      <c r="O132" s="27">
        <v>0</v>
      </c>
      <c r="P132" s="27"/>
      <c r="Q132" s="27">
        <v>0</v>
      </c>
      <c r="R132" s="27"/>
      <c r="S132" s="27">
        <v>0</v>
      </c>
      <c r="T132" s="27"/>
      <c r="U132" s="27">
        <v>0</v>
      </c>
      <c r="V132" s="27"/>
      <c r="W132" s="27">
        <v>0</v>
      </c>
      <c r="X132" s="27"/>
      <c r="Y132" s="27">
        <v>0</v>
      </c>
      <c r="Z132" s="27"/>
      <c r="AA132" s="27">
        <v>0</v>
      </c>
      <c r="AB132" s="27"/>
      <c r="AC132" s="27">
        <v>0</v>
      </c>
      <c r="AD132" s="27"/>
      <c r="AE132" s="27">
        <f>+'Transfer Detail PG 3 (Fin)'!AC134+'Transfer Detail PG 3 (PA)'!M131</f>
        <v>0</v>
      </c>
      <c r="AF132" s="27"/>
      <c r="AG132" s="27">
        <f>+'Transfer Detail PG 3 (Fin)'!AE134+'Transfer Detail PG 3 (PA)'!O131</f>
        <v>0</v>
      </c>
      <c r="AH132" s="27"/>
      <c r="AI132" s="27">
        <v>0</v>
      </c>
      <c r="AJ132" s="27"/>
      <c r="AK132" s="27">
        <v>0</v>
      </c>
      <c r="AL132" s="27"/>
      <c r="AM132" s="27">
        <v>0</v>
      </c>
      <c r="AN132" s="27"/>
      <c r="AO132" s="24">
        <f t="shared" si="5"/>
        <v>0</v>
      </c>
    </row>
    <row r="133" spans="1:41">
      <c r="B133" s="10" t="s">
        <v>125</v>
      </c>
      <c r="C133" s="27">
        <v>0</v>
      </c>
      <c r="D133" s="27"/>
      <c r="E133" s="27">
        <f>+'Transfer Detail PG 3 (Fin)'!E135</f>
        <v>0</v>
      </c>
      <c r="F133" s="27"/>
      <c r="G133" s="27">
        <f>+'Transfer Detail PG 3 (Fin)'!G135</f>
        <v>-1037.44</v>
      </c>
      <c r="H133" s="27"/>
      <c r="I133" s="27">
        <v>0</v>
      </c>
      <c r="J133" s="27"/>
      <c r="K133" s="27">
        <v>0</v>
      </c>
      <c r="L133" s="27"/>
      <c r="M133" s="27">
        <v>0</v>
      </c>
      <c r="N133" s="27"/>
      <c r="O133" s="27">
        <v>0</v>
      </c>
      <c r="P133" s="27"/>
      <c r="Q133" s="27">
        <v>0</v>
      </c>
      <c r="R133" s="27"/>
      <c r="S133" s="27">
        <v>0</v>
      </c>
      <c r="T133" s="27"/>
      <c r="U133" s="27">
        <v>0</v>
      </c>
      <c r="V133" s="27"/>
      <c r="W133" s="27">
        <v>0</v>
      </c>
      <c r="X133" s="27"/>
      <c r="Y133" s="27">
        <v>0</v>
      </c>
      <c r="Z133" s="27"/>
      <c r="AA133" s="27">
        <v>0</v>
      </c>
      <c r="AB133" s="27"/>
      <c r="AC133" s="27">
        <v>0</v>
      </c>
      <c r="AD133" s="27"/>
      <c r="AE133" s="27">
        <f>+'Transfer Detail PG 3 (Fin)'!AC135+'Transfer Detail PG 3 (PA)'!M132</f>
        <v>0</v>
      </c>
      <c r="AF133" s="27"/>
      <c r="AG133" s="27">
        <f>+'Transfer Detail PG 3 (Fin)'!AE135+'Transfer Detail PG 3 (PA)'!O132</f>
        <v>0</v>
      </c>
      <c r="AH133" s="27"/>
      <c r="AI133" s="27">
        <v>0</v>
      </c>
      <c r="AJ133" s="27"/>
      <c r="AK133" s="27">
        <v>0</v>
      </c>
      <c r="AL133" s="27"/>
      <c r="AM133" s="27">
        <v>0</v>
      </c>
      <c r="AN133" s="27"/>
      <c r="AO133" s="24">
        <f t="shared" si="5"/>
        <v>-1037.44</v>
      </c>
    </row>
    <row r="134" spans="1:41">
      <c r="B134" s="10" t="s">
        <v>1240</v>
      </c>
      <c r="C134" s="28">
        <v>0</v>
      </c>
      <c r="D134" s="27"/>
      <c r="E134" s="28">
        <v>0</v>
      </c>
      <c r="F134" s="27"/>
      <c r="G134" s="28">
        <v>0</v>
      </c>
      <c r="H134" s="27"/>
      <c r="I134" s="28">
        <v>0</v>
      </c>
      <c r="J134" s="27"/>
      <c r="K134" s="28">
        <v>0</v>
      </c>
      <c r="L134" s="27"/>
      <c r="M134" s="28">
        <v>0</v>
      </c>
      <c r="N134" s="27"/>
      <c r="O134" s="28">
        <v>0</v>
      </c>
      <c r="P134" s="27"/>
      <c r="Q134" s="28">
        <v>0</v>
      </c>
      <c r="R134" s="27"/>
      <c r="S134" s="28">
        <v>0</v>
      </c>
      <c r="T134" s="27"/>
      <c r="U134" s="28">
        <v>0</v>
      </c>
      <c r="V134" s="27"/>
      <c r="W134" s="28">
        <v>0</v>
      </c>
      <c r="X134" s="27"/>
      <c r="Y134" s="28">
        <v>0</v>
      </c>
      <c r="Z134" s="27"/>
      <c r="AA134" s="28">
        <v>0</v>
      </c>
      <c r="AB134" s="27"/>
      <c r="AC134" s="28">
        <v>0</v>
      </c>
      <c r="AD134" s="27"/>
      <c r="AE134" s="28">
        <v>0</v>
      </c>
      <c r="AF134" s="27"/>
      <c r="AG134" s="28">
        <v>0</v>
      </c>
      <c r="AH134" s="27"/>
      <c r="AI134" s="28">
        <v>0</v>
      </c>
      <c r="AJ134" s="27"/>
      <c r="AK134" s="28">
        <v>0</v>
      </c>
      <c r="AL134" s="27"/>
      <c r="AM134" s="28">
        <v>0</v>
      </c>
      <c r="AN134" s="27"/>
      <c r="AO134" s="28">
        <f t="shared" si="5"/>
        <v>0</v>
      </c>
    </row>
    <row r="135" spans="1:41">
      <c r="B135" s="10" t="s">
        <v>147</v>
      </c>
      <c r="C135" s="27">
        <f>SUM(C113:C134)</f>
        <v>-223.56</v>
      </c>
      <c r="D135" s="27"/>
      <c r="E135" s="27">
        <f>SUM(E113:E134)</f>
        <v>0</v>
      </c>
      <c r="F135" s="27"/>
      <c r="G135" s="27">
        <f>SUM(G113:G134)</f>
        <v>0</v>
      </c>
      <c r="H135" s="27"/>
      <c r="I135" s="27">
        <f>SUM(I113:I134)</f>
        <v>0</v>
      </c>
      <c r="J135" s="27"/>
      <c r="K135" s="27">
        <f>SUM(K113:K134)</f>
        <v>0</v>
      </c>
      <c r="L135" s="27"/>
      <c r="M135" s="27">
        <f>SUM(M113:M134)</f>
        <v>0</v>
      </c>
      <c r="N135" s="27"/>
      <c r="O135" s="27">
        <f>SUM(O113:O134)</f>
        <v>0</v>
      </c>
      <c r="P135" s="27"/>
      <c r="Q135" s="27">
        <f>SUM(Q113:Q134)</f>
        <v>0</v>
      </c>
      <c r="R135" s="27"/>
      <c r="S135" s="27">
        <f>SUM(S113:S134)</f>
        <v>0</v>
      </c>
      <c r="T135" s="27"/>
      <c r="U135" s="27">
        <f>SUM(U113:U134)</f>
        <v>0</v>
      </c>
      <c r="V135" s="27"/>
      <c r="W135" s="27">
        <f>SUM(W113:W134)</f>
        <v>0</v>
      </c>
      <c r="X135" s="27"/>
      <c r="Y135" s="27">
        <f>SUM(Y113:Y134)</f>
        <v>0</v>
      </c>
      <c r="Z135" s="27"/>
      <c r="AA135" s="27">
        <f>SUM(AA113:AA134)</f>
        <v>0</v>
      </c>
      <c r="AB135" s="27"/>
      <c r="AC135" s="27">
        <f>SUM(AC113:AC134)</f>
        <v>0</v>
      </c>
      <c r="AD135" s="27"/>
      <c r="AE135" s="27">
        <f>SUM(AE113:AE134)</f>
        <v>0</v>
      </c>
      <c r="AF135" s="27"/>
      <c r="AG135" s="27">
        <f>SUM(AG113:AG134)</f>
        <v>0</v>
      </c>
      <c r="AH135" s="27"/>
      <c r="AI135" s="27">
        <f>SUM(AI113:AI134)</f>
        <v>0</v>
      </c>
      <c r="AJ135" s="27"/>
      <c r="AK135" s="27">
        <f>SUM(AK113:AK134)</f>
        <v>0</v>
      </c>
      <c r="AL135" s="27"/>
      <c r="AM135" s="27">
        <f>SUM(AM113:AM134)</f>
        <v>0</v>
      </c>
      <c r="AN135" s="27"/>
      <c r="AO135" s="27">
        <f>SUM(AO113:AO134)</f>
        <v>-223.55999999999995</v>
      </c>
    </row>
    <row r="136" spans="1:41">
      <c r="B136" s="11"/>
      <c r="C136" s="71"/>
      <c r="D136" s="71"/>
      <c r="E136" s="71"/>
      <c r="F136" s="71"/>
      <c r="G136" s="71"/>
      <c r="H136" s="71"/>
      <c r="I136" s="71"/>
      <c r="J136" s="71"/>
      <c r="K136" s="71"/>
      <c r="L136" s="71"/>
      <c r="M136" s="71"/>
      <c r="N136" s="71"/>
      <c r="O136" s="71"/>
      <c r="P136" s="71"/>
      <c r="Q136" s="71"/>
      <c r="R136" s="71"/>
      <c r="S136" s="71"/>
      <c r="T136" s="71"/>
      <c r="U136" s="71"/>
      <c r="V136" s="71"/>
      <c r="W136" s="71"/>
      <c r="X136" s="71"/>
      <c r="Y136" s="71"/>
      <c r="Z136" s="71"/>
      <c r="AA136" s="71"/>
      <c r="AB136" s="71"/>
      <c r="AC136" s="71"/>
      <c r="AD136" s="71"/>
      <c r="AE136" s="71"/>
      <c r="AF136" s="71"/>
      <c r="AG136" s="71"/>
      <c r="AH136" s="71"/>
      <c r="AI136" s="71"/>
      <c r="AJ136" s="71"/>
      <c r="AK136" s="71"/>
      <c r="AL136" s="71"/>
      <c r="AM136" s="71"/>
      <c r="AN136" s="71"/>
      <c r="AO136" s="71"/>
    </row>
    <row r="137" spans="1:41" ht="15">
      <c r="A137" s="12" t="s">
        <v>653</v>
      </c>
      <c r="C137" s="87"/>
      <c r="D137" s="87"/>
      <c r="E137" s="87"/>
      <c r="F137" s="74"/>
      <c r="G137" s="87"/>
      <c r="H137" s="87"/>
      <c r="I137" s="87"/>
      <c r="J137" s="74"/>
      <c r="K137" s="87"/>
      <c r="L137" s="74"/>
      <c r="M137" s="87"/>
      <c r="N137" s="74"/>
      <c r="O137" s="87"/>
      <c r="P137" s="74"/>
      <c r="Q137" s="87"/>
      <c r="R137" s="74"/>
      <c r="S137" s="87"/>
      <c r="T137" s="74"/>
      <c r="U137" s="87"/>
      <c r="V137" s="74"/>
      <c r="W137" s="87"/>
      <c r="X137" s="74"/>
      <c r="Y137" s="87"/>
      <c r="Z137" s="74"/>
      <c r="AA137" s="87"/>
      <c r="AB137" s="74"/>
      <c r="AC137" s="87"/>
      <c r="AD137" s="74"/>
      <c r="AE137" s="87"/>
      <c r="AF137" s="74"/>
      <c r="AG137" s="87"/>
      <c r="AH137" s="74"/>
      <c r="AI137" s="87"/>
      <c r="AJ137" s="74"/>
      <c r="AK137" s="87"/>
      <c r="AL137" s="74"/>
      <c r="AM137" s="87"/>
      <c r="AN137" s="74"/>
      <c r="AO137" s="87"/>
    </row>
    <row r="138" spans="1:41">
      <c r="C138" s="27"/>
      <c r="D138" s="27"/>
      <c r="E138" s="27"/>
      <c r="F138" s="27"/>
      <c r="G138" s="27"/>
      <c r="H138" s="27"/>
      <c r="I138" s="27"/>
      <c r="J138" s="27"/>
      <c r="K138" s="27"/>
      <c r="L138" s="27"/>
      <c r="M138" s="27"/>
      <c r="N138" s="27"/>
      <c r="O138" s="27"/>
      <c r="P138" s="27"/>
      <c r="Q138" s="27"/>
      <c r="R138" s="27"/>
      <c r="S138" s="27"/>
      <c r="T138" s="27"/>
      <c r="U138" s="27"/>
      <c r="V138" s="27"/>
      <c r="W138" s="27"/>
      <c r="X138" s="27"/>
      <c r="Y138" s="27"/>
      <c r="Z138" s="27"/>
      <c r="AA138" s="27"/>
      <c r="AB138" s="27"/>
      <c r="AC138" s="27"/>
      <c r="AD138" s="27"/>
      <c r="AE138" s="27"/>
      <c r="AF138" s="27"/>
      <c r="AG138" s="27"/>
      <c r="AH138" s="27"/>
      <c r="AI138" s="27"/>
      <c r="AJ138" s="27"/>
      <c r="AK138" s="27"/>
      <c r="AL138" s="27"/>
      <c r="AM138" s="27"/>
      <c r="AN138" s="27"/>
      <c r="AO138" s="27"/>
    </row>
    <row r="139" spans="1:41">
      <c r="B139" s="10" t="s">
        <v>455</v>
      </c>
      <c r="C139" s="27">
        <v>0</v>
      </c>
      <c r="D139" s="27"/>
      <c r="E139" s="27">
        <v>0</v>
      </c>
      <c r="F139" s="27"/>
      <c r="G139" s="27">
        <v>0</v>
      </c>
      <c r="H139" s="27"/>
      <c r="I139" s="27">
        <v>0</v>
      </c>
      <c r="J139" s="27"/>
      <c r="K139" s="27">
        <v>0</v>
      </c>
      <c r="L139" s="27"/>
      <c r="M139" s="27">
        <v>0</v>
      </c>
      <c r="N139" s="27"/>
      <c r="O139" s="27">
        <v>0</v>
      </c>
      <c r="P139" s="27"/>
      <c r="Q139" s="27">
        <v>0</v>
      </c>
      <c r="R139" s="27"/>
      <c r="S139" s="27">
        <v>0</v>
      </c>
      <c r="T139" s="27"/>
      <c r="U139" s="27">
        <v>0</v>
      </c>
      <c r="V139" s="27"/>
      <c r="W139" s="27">
        <v>0</v>
      </c>
      <c r="X139" s="27"/>
      <c r="Y139" s="27">
        <v>0</v>
      </c>
      <c r="Z139" s="27"/>
      <c r="AA139" s="27">
        <v>0</v>
      </c>
      <c r="AB139" s="27"/>
      <c r="AC139" s="27">
        <v>0</v>
      </c>
      <c r="AD139" s="27"/>
      <c r="AE139" s="27">
        <v>0</v>
      </c>
      <c r="AF139" s="27"/>
      <c r="AG139" s="27">
        <v>0</v>
      </c>
      <c r="AH139" s="27"/>
      <c r="AI139" s="27">
        <v>0</v>
      </c>
      <c r="AJ139" s="27"/>
      <c r="AK139" s="27">
        <v>0</v>
      </c>
      <c r="AL139" s="27"/>
      <c r="AM139" s="27">
        <v>0</v>
      </c>
      <c r="AN139" s="27"/>
      <c r="AO139" s="27">
        <f t="shared" ref="AO139:AO150" si="6">SUM(C139:AN139)</f>
        <v>0</v>
      </c>
    </row>
    <row r="140" spans="1:41">
      <c r="B140" s="10" t="s">
        <v>113</v>
      </c>
      <c r="C140" s="27">
        <v>0</v>
      </c>
      <c r="D140" s="27"/>
      <c r="E140" s="27">
        <v>0</v>
      </c>
      <c r="F140" s="27"/>
      <c r="G140" s="27">
        <f>+'Transfer Detail PG 3 (Fin)'!G141</f>
        <v>0</v>
      </c>
      <c r="H140" s="27"/>
      <c r="I140" s="27">
        <v>0</v>
      </c>
      <c r="J140" s="27"/>
      <c r="K140" s="27">
        <v>0</v>
      </c>
      <c r="L140" s="27"/>
      <c r="M140" s="27">
        <v>0</v>
      </c>
      <c r="N140" s="27"/>
      <c r="O140" s="27">
        <v>0</v>
      </c>
      <c r="P140" s="27"/>
      <c r="Q140" s="27">
        <v>0</v>
      </c>
      <c r="R140" s="27"/>
      <c r="S140" s="27">
        <v>0</v>
      </c>
      <c r="T140" s="27"/>
      <c r="U140" s="27">
        <v>0</v>
      </c>
      <c r="V140" s="27"/>
      <c r="W140" s="27">
        <v>0</v>
      </c>
      <c r="X140" s="27"/>
      <c r="Y140" s="27">
        <v>0</v>
      </c>
      <c r="Z140" s="27"/>
      <c r="AA140" s="27">
        <v>0</v>
      </c>
      <c r="AB140" s="27"/>
      <c r="AC140" s="27">
        <v>0</v>
      </c>
      <c r="AD140" s="27"/>
      <c r="AE140" s="27">
        <v>0</v>
      </c>
      <c r="AF140" s="27"/>
      <c r="AG140" s="27">
        <v>0</v>
      </c>
      <c r="AH140" s="27"/>
      <c r="AI140" s="27">
        <v>0</v>
      </c>
      <c r="AJ140" s="27"/>
      <c r="AK140" s="24">
        <f>+'Transfer Detail PG 3 (Fin)'!AI142</f>
        <v>0</v>
      </c>
      <c r="AL140" s="27"/>
      <c r="AM140" s="27">
        <v>0</v>
      </c>
      <c r="AN140" s="27"/>
      <c r="AO140" s="27">
        <f t="shared" si="6"/>
        <v>0</v>
      </c>
    </row>
    <row r="141" spans="1:41">
      <c r="B141" s="10" t="s">
        <v>114</v>
      </c>
      <c r="C141" s="27">
        <v>0</v>
      </c>
      <c r="D141" s="27"/>
      <c r="E141" s="27">
        <v>0</v>
      </c>
      <c r="F141" s="27"/>
      <c r="G141" s="27">
        <v>0</v>
      </c>
      <c r="H141" s="27"/>
      <c r="I141" s="27">
        <v>0</v>
      </c>
      <c r="J141" s="27"/>
      <c r="K141" s="27">
        <v>0</v>
      </c>
      <c r="L141" s="27"/>
      <c r="M141" s="24">
        <v>0</v>
      </c>
      <c r="N141" s="27"/>
      <c r="O141" s="27">
        <v>0</v>
      </c>
      <c r="P141" s="27"/>
      <c r="Q141" s="27">
        <v>0</v>
      </c>
      <c r="R141" s="27"/>
      <c r="S141" s="27">
        <v>0</v>
      </c>
      <c r="T141" s="27"/>
      <c r="U141" s="27">
        <v>0</v>
      </c>
      <c r="V141" s="27"/>
      <c r="W141" s="27">
        <v>0</v>
      </c>
      <c r="X141" s="27"/>
      <c r="Y141" s="27">
        <v>0</v>
      </c>
      <c r="Z141" s="27"/>
      <c r="AA141" s="27">
        <v>0</v>
      </c>
      <c r="AB141" s="27"/>
      <c r="AC141" s="27">
        <v>0</v>
      </c>
      <c r="AD141" s="27"/>
      <c r="AE141" s="27">
        <v>0</v>
      </c>
      <c r="AF141" s="27"/>
      <c r="AG141" s="27">
        <v>0</v>
      </c>
      <c r="AH141" s="27"/>
      <c r="AI141" s="27">
        <v>0</v>
      </c>
      <c r="AJ141" s="27"/>
      <c r="AK141" s="24">
        <f>+'Transfer Detail PG 3 (Fin)'!AI143</f>
        <v>0</v>
      </c>
      <c r="AL141" s="27"/>
      <c r="AM141" s="27">
        <v>0</v>
      </c>
      <c r="AN141" s="27"/>
      <c r="AO141" s="27">
        <f t="shared" si="6"/>
        <v>0</v>
      </c>
    </row>
    <row r="142" spans="1:41">
      <c r="B142" s="10" t="s">
        <v>115</v>
      </c>
      <c r="C142" s="27">
        <v>0</v>
      </c>
      <c r="D142" s="27"/>
      <c r="E142" s="27">
        <v>0</v>
      </c>
      <c r="F142" s="27"/>
      <c r="G142" s="27">
        <v>0</v>
      </c>
      <c r="H142" s="27"/>
      <c r="I142" s="27">
        <v>0</v>
      </c>
      <c r="J142" s="27"/>
      <c r="K142" s="27">
        <v>0</v>
      </c>
      <c r="L142" s="27"/>
      <c r="M142" s="27">
        <v>0</v>
      </c>
      <c r="N142" s="27"/>
      <c r="O142" s="27">
        <v>0</v>
      </c>
      <c r="P142" s="27"/>
      <c r="Q142" s="27">
        <v>0</v>
      </c>
      <c r="R142" s="27"/>
      <c r="S142" s="27">
        <v>0</v>
      </c>
      <c r="T142" s="27"/>
      <c r="U142" s="27">
        <v>0</v>
      </c>
      <c r="V142" s="27"/>
      <c r="W142" s="27">
        <v>0</v>
      </c>
      <c r="X142" s="27"/>
      <c r="Y142" s="27">
        <v>0</v>
      </c>
      <c r="Z142" s="27"/>
      <c r="AA142" s="27">
        <v>0</v>
      </c>
      <c r="AB142" s="27"/>
      <c r="AC142" s="27">
        <v>0</v>
      </c>
      <c r="AD142" s="27"/>
      <c r="AE142" s="27">
        <v>0</v>
      </c>
      <c r="AF142" s="27"/>
      <c r="AG142" s="27">
        <v>0</v>
      </c>
      <c r="AH142" s="27"/>
      <c r="AI142" s="27">
        <v>0</v>
      </c>
      <c r="AJ142" s="27"/>
      <c r="AK142" s="24">
        <f>+'Transfer Detail PG 3 (Fin)'!AI144</f>
        <v>0</v>
      </c>
      <c r="AL142" s="27"/>
      <c r="AM142" s="27">
        <v>0</v>
      </c>
      <c r="AN142" s="27"/>
      <c r="AO142" s="27">
        <f t="shared" si="6"/>
        <v>0</v>
      </c>
    </row>
    <row r="143" spans="1:41">
      <c r="B143" s="10" t="s">
        <v>117</v>
      </c>
      <c r="C143" s="27">
        <v>0</v>
      </c>
      <c r="D143" s="27"/>
      <c r="E143" s="27">
        <v>0</v>
      </c>
      <c r="F143" s="27"/>
      <c r="G143" s="27">
        <v>0</v>
      </c>
      <c r="H143" s="27"/>
      <c r="I143" s="27">
        <v>0</v>
      </c>
      <c r="J143" s="27"/>
      <c r="K143" s="27">
        <v>0</v>
      </c>
      <c r="L143" s="27"/>
      <c r="M143" s="27">
        <v>0</v>
      </c>
      <c r="N143" s="27"/>
      <c r="O143" s="27">
        <v>0</v>
      </c>
      <c r="P143" s="27"/>
      <c r="Q143" s="27">
        <v>0</v>
      </c>
      <c r="R143" s="27"/>
      <c r="S143" s="27">
        <v>0</v>
      </c>
      <c r="T143" s="27"/>
      <c r="U143" s="27">
        <v>0</v>
      </c>
      <c r="V143" s="27"/>
      <c r="W143" s="27">
        <v>0</v>
      </c>
      <c r="X143" s="27"/>
      <c r="Y143" s="27">
        <v>0</v>
      </c>
      <c r="Z143" s="27"/>
      <c r="AA143" s="27">
        <v>0</v>
      </c>
      <c r="AB143" s="27"/>
      <c r="AC143" s="27">
        <v>0</v>
      </c>
      <c r="AD143" s="27"/>
      <c r="AE143" s="27">
        <v>0</v>
      </c>
      <c r="AF143" s="27"/>
      <c r="AG143" s="27">
        <v>0</v>
      </c>
      <c r="AH143" s="27"/>
      <c r="AI143" s="27">
        <v>0</v>
      </c>
      <c r="AJ143" s="27"/>
      <c r="AK143" s="24">
        <f>+'Transfer Detail PG 3 (Fin)'!AI144</f>
        <v>0</v>
      </c>
      <c r="AL143" s="27"/>
      <c r="AM143" s="27">
        <v>0</v>
      </c>
      <c r="AN143" s="27"/>
      <c r="AO143" s="27">
        <f t="shared" si="6"/>
        <v>0</v>
      </c>
    </row>
    <row r="144" spans="1:41">
      <c r="B144" s="10" t="s">
        <v>118</v>
      </c>
      <c r="C144" s="27">
        <v>0</v>
      </c>
      <c r="D144" s="27"/>
      <c r="E144" s="27">
        <v>0</v>
      </c>
      <c r="F144" s="27"/>
      <c r="G144" s="27">
        <v>0</v>
      </c>
      <c r="H144" s="27"/>
      <c r="I144" s="27">
        <v>0</v>
      </c>
      <c r="J144" s="27"/>
      <c r="K144" s="27">
        <v>0</v>
      </c>
      <c r="L144" s="27"/>
      <c r="M144" s="27">
        <v>0</v>
      </c>
      <c r="N144" s="27"/>
      <c r="O144" s="27">
        <v>0</v>
      </c>
      <c r="P144" s="27"/>
      <c r="Q144" s="27">
        <v>0</v>
      </c>
      <c r="R144" s="27"/>
      <c r="S144" s="27">
        <v>0</v>
      </c>
      <c r="T144" s="27"/>
      <c r="U144" s="27">
        <v>0</v>
      </c>
      <c r="V144" s="27"/>
      <c r="W144" s="27">
        <v>0</v>
      </c>
      <c r="X144" s="27"/>
      <c r="Y144" s="27">
        <v>0</v>
      </c>
      <c r="Z144" s="27"/>
      <c r="AA144" s="27">
        <v>0</v>
      </c>
      <c r="AB144" s="27"/>
      <c r="AC144" s="27">
        <v>0</v>
      </c>
      <c r="AD144" s="27"/>
      <c r="AE144" s="27">
        <v>0</v>
      </c>
      <c r="AF144" s="27"/>
      <c r="AG144" s="27">
        <v>0</v>
      </c>
      <c r="AH144" s="27"/>
      <c r="AI144" s="27">
        <v>0</v>
      </c>
      <c r="AJ144" s="27"/>
      <c r="AK144" s="24">
        <f>+'Transfer Detail PG 3 (Fin)'!AI145</f>
        <v>0</v>
      </c>
      <c r="AL144" s="27"/>
      <c r="AM144" s="27">
        <v>0</v>
      </c>
      <c r="AN144" s="27"/>
      <c r="AO144" s="27">
        <f t="shared" si="6"/>
        <v>0</v>
      </c>
    </row>
    <row r="145" spans="1:41">
      <c r="B145" s="10" t="s">
        <v>119</v>
      </c>
      <c r="C145" s="27">
        <v>0</v>
      </c>
      <c r="D145" s="27"/>
      <c r="E145" s="27">
        <v>0</v>
      </c>
      <c r="F145" s="27"/>
      <c r="G145" s="27">
        <f>+'Transfer Detail PG 3 (Fin)'!G146</f>
        <v>0</v>
      </c>
      <c r="H145" s="27"/>
      <c r="I145" s="27">
        <v>0</v>
      </c>
      <c r="J145" s="27"/>
      <c r="K145" s="27">
        <v>0</v>
      </c>
      <c r="L145" s="27"/>
      <c r="M145" s="27">
        <v>0</v>
      </c>
      <c r="N145" s="27"/>
      <c r="O145" s="27">
        <v>0</v>
      </c>
      <c r="P145" s="27"/>
      <c r="Q145" s="27">
        <v>0</v>
      </c>
      <c r="R145" s="27"/>
      <c r="S145" s="27">
        <v>0</v>
      </c>
      <c r="T145" s="27"/>
      <c r="U145" s="27">
        <v>0</v>
      </c>
      <c r="V145" s="27"/>
      <c r="W145" s="27">
        <v>0</v>
      </c>
      <c r="X145" s="27"/>
      <c r="Y145" s="27">
        <v>0</v>
      </c>
      <c r="Z145" s="27"/>
      <c r="AA145" s="27">
        <v>0</v>
      </c>
      <c r="AB145" s="27"/>
      <c r="AC145" s="27">
        <v>0</v>
      </c>
      <c r="AD145" s="27"/>
      <c r="AE145" s="27">
        <v>0</v>
      </c>
      <c r="AF145" s="27"/>
      <c r="AG145" s="27">
        <v>0</v>
      </c>
      <c r="AH145" s="27"/>
      <c r="AI145" s="27">
        <v>0</v>
      </c>
      <c r="AJ145" s="27"/>
      <c r="AK145" s="24">
        <f>+'Transfer Detail PG 3 (Fin)'!AI146</f>
        <v>0</v>
      </c>
      <c r="AL145" s="27"/>
      <c r="AM145" s="27">
        <v>0</v>
      </c>
      <c r="AN145" s="27"/>
      <c r="AO145" s="27">
        <f t="shared" si="6"/>
        <v>0</v>
      </c>
    </row>
    <row r="146" spans="1:41">
      <c r="B146" s="10" t="s">
        <v>121</v>
      </c>
      <c r="C146" s="27">
        <v>0</v>
      </c>
      <c r="D146" s="27"/>
      <c r="E146" s="27">
        <v>0</v>
      </c>
      <c r="F146" s="27"/>
      <c r="G146" s="27">
        <f>+'Transfer Detail PG 3 (Fin)'!G147</f>
        <v>300.39</v>
      </c>
      <c r="H146" s="27"/>
      <c r="I146" s="27">
        <v>0</v>
      </c>
      <c r="J146" s="27"/>
      <c r="K146" s="27">
        <v>0</v>
      </c>
      <c r="L146" s="27"/>
      <c r="M146" s="27">
        <v>0</v>
      </c>
      <c r="N146" s="27"/>
      <c r="O146" s="27">
        <v>0</v>
      </c>
      <c r="P146" s="27"/>
      <c r="Q146" s="27">
        <v>0</v>
      </c>
      <c r="R146" s="27"/>
      <c r="S146" s="27">
        <v>0</v>
      </c>
      <c r="T146" s="27"/>
      <c r="U146" s="27">
        <v>0</v>
      </c>
      <c r="V146" s="27"/>
      <c r="W146" s="27">
        <v>0</v>
      </c>
      <c r="X146" s="27"/>
      <c r="Y146" s="27">
        <v>0</v>
      </c>
      <c r="Z146" s="27"/>
      <c r="AA146" s="27">
        <v>0</v>
      </c>
      <c r="AB146" s="27"/>
      <c r="AC146" s="27">
        <v>0</v>
      </c>
      <c r="AD146" s="27"/>
      <c r="AE146" s="27">
        <v>0</v>
      </c>
      <c r="AF146" s="27"/>
      <c r="AG146" s="27">
        <v>0</v>
      </c>
      <c r="AH146" s="27"/>
      <c r="AI146" s="27">
        <v>0</v>
      </c>
      <c r="AJ146" s="27"/>
      <c r="AK146" s="24">
        <f>+'Transfer Detail PG 3 (Fin)'!AI147</f>
        <v>0</v>
      </c>
      <c r="AL146" s="27"/>
      <c r="AM146" s="27">
        <v>0</v>
      </c>
      <c r="AN146" s="27"/>
      <c r="AO146" s="27">
        <f t="shared" si="6"/>
        <v>300.39</v>
      </c>
    </row>
    <row r="147" spans="1:41">
      <c r="B147" s="10" t="s">
        <v>122</v>
      </c>
      <c r="C147" s="27">
        <v>0</v>
      </c>
      <c r="D147" s="27"/>
      <c r="E147" s="27">
        <v>0</v>
      </c>
      <c r="F147" s="27"/>
      <c r="G147" s="27">
        <v>0</v>
      </c>
      <c r="H147" s="27"/>
      <c r="I147" s="27">
        <v>0</v>
      </c>
      <c r="J147" s="27"/>
      <c r="K147" s="27">
        <v>0</v>
      </c>
      <c r="L147" s="27"/>
      <c r="M147" s="27">
        <v>0</v>
      </c>
      <c r="N147" s="27"/>
      <c r="O147" s="27">
        <v>0</v>
      </c>
      <c r="P147" s="27"/>
      <c r="Q147" s="27">
        <v>0</v>
      </c>
      <c r="R147" s="27"/>
      <c r="S147" s="27">
        <v>0</v>
      </c>
      <c r="T147" s="27"/>
      <c r="U147" s="27">
        <v>0</v>
      </c>
      <c r="V147" s="27"/>
      <c r="W147" s="27">
        <v>0</v>
      </c>
      <c r="X147" s="27"/>
      <c r="Y147" s="27">
        <v>0</v>
      </c>
      <c r="Z147" s="27"/>
      <c r="AA147" s="27">
        <v>0</v>
      </c>
      <c r="AB147" s="27"/>
      <c r="AC147" s="27">
        <v>0</v>
      </c>
      <c r="AD147" s="27"/>
      <c r="AE147" s="27">
        <v>0</v>
      </c>
      <c r="AF147" s="27"/>
      <c r="AG147" s="27">
        <v>0</v>
      </c>
      <c r="AH147" s="27"/>
      <c r="AI147" s="27">
        <v>0</v>
      </c>
      <c r="AJ147" s="27"/>
      <c r="AK147" s="24">
        <f>+'Transfer Detail PG 3 (Fin)'!AI148</f>
        <v>0</v>
      </c>
      <c r="AL147" s="27"/>
      <c r="AM147" s="27">
        <v>0</v>
      </c>
      <c r="AN147" s="27"/>
      <c r="AO147" s="27">
        <f t="shared" si="6"/>
        <v>0</v>
      </c>
    </row>
    <row r="148" spans="1:41">
      <c r="B148" s="10" t="s">
        <v>124</v>
      </c>
      <c r="C148" s="27">
        <v>0</v>
      </c>
      <c r="D148" s="27"/>
      <c r="E148" s="27">
        <v>0</v>
      </c>
      <c r="F148" s="27"/>
      <c r="G148" s="27">
        <v>0</v>
      </c>
      <c r="H148" s="27"/>
      <c r="I148" s="27">
        <v>0</v>
      </c>
      <c r="J148" s="27"/>
      <c r="K148" s="27">
        <v>0</v>
      </c>
      <c r="L148" s="27"/>
      <c r="M148" s="27">
        <v>0</v>
      </c>
      <c r="N148" s="27"/>
      <c r="O148" s="27">
        <v>0</v>
      </c>
      <c r="P148" s="27"/>
      <c r="Q148" s="27">
        <v>0</v>
      </c>
      <c r="R148" s="27"/>
      <c r="S148" s="27">
        <v>0</v>
      </c>
      <c r="T148" s="27"/>
      <c r="U148" s="27">
        <v>0</v>
      </c>
      <c r="V148" s="27"/>
      <c r="W148" s="27">
        <v>0</v>
      </c>
      <c r="X148" s="27"/>
      <c r="Y148" s="27">
        <v>0</v>
      </c>
      <c r="Z148" s="27"/>
      <c r="AA148" s="27">
        <v>0</v>
      </c>
      <c r="AB148" s="27"/>
      <c r="AC148" s="27">
        <v>0</v>
      </c>
      <c r="AD148" s="27"/>
      <c r="AE148" s="27">
        <v>0</v>
      </c>
      <c r="AF148" s="27"/>
      <c r="AG148" s="27">
        <v>0</v>
      </c>
      <c r="AH148" s="27"/>
      <c r="AI148" s="27">
        <v>0</v>
      </c>
      <c r="AJ148" s="27"/>
      <c r="AK148" s="24">
        <f>+'Transfer Detail PG 3 (Fin)'!AI149</f>
        <v>0</v>
      </c>
      <c r="AL148" s="27"/>
      <c r="AM148" s="27">
        <v>0</v>
      </c>
      <c r="AN148" s="27"/>
      <c r="AO148" s="27">
        <f t="shared" si="6"/>
        <v>0</v>
      </c>
    </row>
    <row r="149" spans="1:41">
      <c r="B149" s="10" t="s">
        <v>129</v>
      </c>
      <c r="C149" s="27">
        <v>0</v>
      </c>
      <c r="D149" s="27"/>
      <c r="E149" s="27">
        <v>0</v>
      </c>
      <c r="F149" s="27"/>
      <c r="G149" s="27">
        <v>0</v>
      </c>
      <c r="H149" s="27"/>
      <c r="I149" s="27">
        <v>0</v>
      </c>
      <c r="J149" s="27"/>
      <c r="K149" s="27">
        <v>0</v>
      </c>
      <c r="L149" s="27"/>
      <c r="M149" s="27">
        <v>0</v>
      </c>
      <c r="N149" s="27"/>
      <c r="O149" s="27">
        <v>0</v>
      </c>
      <c r="P149" s="27"/>
      <c r="Q149" s="27">
        <v>0</v>
      </c>
      <c r="R149" s="27"/>
      <c r="S149" s="27">
        <v>0</v>
      </c>
      <c r="T149" s="27"/>
      <c r="U149" s="27">
        <v>0</v>
      </c>
      <c r="V149" s="27"/>
      <c r="W149" s="27">
        <v>0</v>
      </c>
      <c r="X149" s="27"/>
      <c r="Y149" s="27">
        <v>0</v>
      </c>
      <c r="Z149" s="27"/>
      <c r="AA149" s="27">
        <v>0</v>
      </c>
      <c r="AB149" s="27"/>
      <c r="AC149" s="27">
        <v>0</v>
      </c>
      <c r="AD149" s="27"/>
      <c r="AE149" s="27">
        <v>0</v>
      </c>
      <c r="AF149" s="27"/>
      <c r="AG149" s="27">
        <v>0</v>
      </c>
      <c r="AH149" s="27"/>
      <c r="AI149" s="27">
        <v>0</v>
      </c>
      <c r="AJ149" s="27"/>
      <c r="AK149" s="24">
        <f>+'Transfer Detail PG 3 (Fin)'!AI151</f>
        <v>0</v>
      </c>
      <c r="AL149" s="27"/>
      <c r="AM149" s="27">
        <v>0</v>
      </c>
      <c r="AN149" s="27"/>
      <c r="AO149" s="27">
        <f t="shared" si="6"/>
        <v>0</v>
      </c>
    </row>
    <row r="150" spans="1:41">
      <c r="B150" s="10" t="s">
        <v>125</v>
      </c>
      <c r="C150" s="28">
        <v>0</v>
      </c>
      <c r="D150" s="27"/>
      <c r="E150" s="28">
        <v>0</v>
      </c>
      <c r="F150" s="27"/>
      <c r="G150" s="28">
        <f>+'Transfer Detail PG 3 (Fin)'!G151</f>
        <v>-300.39</v>
      </c>
      <c r="H150" s="27"/>
      <c r="I150" s="28">
        <v>0</v>
      </c>
      <c r="J150" s="27"/>
      <c r="K150" s="28">
        <v>0</v>
      </c>
      <c r="L150" s="27"/>
      <c r="M150" s="28">
        <v>0</v>
      </c>
      <c r="N150" s="27"/>
      <c r="O150" s="28">
        <v>0</v>
      </c>
      <c r="P150" s="27"/>
      <c r="Q150" s="28">
        <v>0</v>
      </c>
      <c r="R150" s="27"/>
      <c r="S150" s="28">
        <v>0</v>
      </c>
      <c r="T150" s="27"/>
      <c r="U150" s="28">
        <v>0</v>
      </c>
      <c r="V150" s="27"/>
      <c r="W150" s="28">
        <v>0</v>
      </c>
      <c r="X150" s="27"/>
      <c r="Y150" s="28">
        <v>0</v>
      </c>
      <c r="Z150" s="27"/>
      <c r="AA150" s="28">
        <v>0</v>
      </c>
      <c r="AB150" s="27"/>
      <c r="AC150" s="28">
        <v>0</v>
      </c>
      <c r="AD150" s="27"/>
      <c r="AE150" s="28">
        <v>0</v>
      </c>
      <c r="AF150" s="27"/>
      <c r="AG150" s="28">
        <v>0</v>
      </c>
      <c r="AH150" s="27"/>
      <c r="AI150" s="28">
        <v>0</v>
      </c>
      <c r="AJ150" s="27"/>
      <c r="AK150" s="28">
        <v>0</v>
      </c>
      <c r="AL150" s="27"/>
      <c r="AM150" s="28">
        <v>0</v>
      </c>
      <c r="AN150" s="27"/>
      <c r="AO150" s="28">
        <f t="shared" si="6"/>
        <v>-300.39</v>
      </c>
    </row>
    <row r="151" spans="1:41">
      <c r="B151" s="10" t="s">
        <v>147</v>
      </c>
      <c r="C151" s="27">
        <f>SUM(C138:C150)</f>
        <v>0</v>
      </c>
      <c r="D151" s="27"/>
      <c r="E151" s="27">
        <f>SUM(E138:E150)</f>
        <v>0</v>
      </c>
      <c r="F151" s="27"/>
      <c r="G151" s="27">
        <f>SUM(G138:G150)</f>
        <v>0</v>
      </c>
      <c r="H151" s="27"/>
      <c r="I151" s="27">
        <f>SUM(I138:I150)</f>
        <v>0</v>
      </c>
      <c r="J151" s="27"/>
      <c r="K151" s="27">
        <f>SUM(K138:K150)</f>
        <v>0</v>
      </c>
      <c r="L151" s="27"/>
      <c r="M151" s="27">
        <f>SUM(M138:M150)</f>
        <v>0</v>
      </c>
      <c r="N151" s="27"/>
      <c r="O151" s="27">
        <f>SUM(O138:O150)</f>
        <v>0</v>
      </c>
      <c r="P151" s="27"/>
      <c r="Q151" s="27">
        <f>SUM(Q138:Q150)</f>
        <v>0</v>
      </c>
      <c r="R151" s="27"/>
      <c r="S151" s="27">
        <f>SUM(S138:S150)</f>
        <v>0</v>
      </c>
      <c r="T151" s="27"/>
      <c r="U151" s="27">
        <f>SUM(U138:U150)</f>
        <v>0</v>
      </c>
      <c r="V151" s="27"/>
      <c r="W151" s="27">
        <f>SUM(W138:W150)</f>
        <v>0</v>
      </c>
      <c r="X151" s="27"/>
      <c r="Y151" s="27">
        <f>SUM(Y138:Y150)</f>
        <v>0</v>
      </c>
      <c r="Z151" s="27"/>
      <c r="AA151" s="27">
        <f>SUM(AA138:AA150)</f>
        <v>0</v>
      </c>
      <c r="AB151" s="27"/>
      <c r="AC151" s="27">
        <f>SUM(AC138:AC150)</f>
        <v>0</v>
      </c>
      <c r="AD151" s="27"/>
      <c r="AE151" s="27">
        <f>SUM(AE138:AE150)</f>
        <v>0</v>
      </c>
      <c r="AF151" s="27"/>
      <c r="AG151" s="27">
        <f>SUM(AG138:AG150)</f>
        <v>0</v>
      </c>
      <c r="AH151" s="27"/>
      <c r="AI151" s="27">
        <f>SUM(AI138:AI150)</f>
        <v>0</v>
      </c>
      <c r="AJ151" s="27"/>
      <c r="AK151" s="27">
        <f>SUM(AK138:AK150)</f>
        <v>0</v>
      </c>
      <c r="AL151" s="27"/>
      <c r="AM151" s="27">
        <f>SUM(AM138:AM150)</f>
        <v>0</v>
      </c>
      <c r="AN151" s="27"/>
      <c r="AO151" s="27">
        <f>SUM(AO138:AO150)</f>
        <v>0</v>
      </c>
    </row>
    <row r="152" spans="1:41">
      <c r="B152" s="11"/>
      <c r="C152" s="71"/>
      <c r="D152" s="71"/>
      <c r="E152" s="71"/>
      <c r="F152" s="71"/>
      <c r="G152" s="71"/>
      <c r="H152" s="71"/>
      <c r="I152" s="71"/>
      <c r="J152" s="71"/>
      <c r="K152" s="71"/>
      <c r="L152" s="71"/>
      <c r="M152" s="71"/>
      <c r="N152" s="71"/>
      <c r="O152" s="71"/>
      <c r="P152" s="71"/>
      <c r="Q152" s="71"/>
      <c r="R152" s="71"/>
      <c r="S152" s="71"/>
      <c r="T152" s="71"/>
      <c r="U152" s="71"/>
      <c r="V152" s="71"/>
      <c r="W152" s="71"/>
      <c r="X152" s="71"/>
      <c r="Y152" s="71"/>
      <c r="Z152" s="71"/>
      <c r="AA152" s="71"/>
      <c r="AB152" s="71"/>
      <c r="AC152" s="71"/>
      <c r="AD152" s="71"/>
      <c r="AE152" s="71"/>
      <c r="AF152" s="71"/>
      <c r="AG152" s="71"/>
      <c r="AH152" s="71"/>
      <c r="AI152" s="71"/>
      <c r="AJ152" s="71"/>
      <c r="AK152" s="71"/>
      <c r="AL152" s="71"/>
      <c r="AM152" s="71"/>
      <c r="AN152" s="71"/>
      <c r="AO152" s="71"/>
    </row>
    <row r="153" spans="1:41" ht="15">
      <c r="A153" s="12" t="s">
        <v>654</v>
      </c>
      <c r="C153" s="87"/>
      <c r="D153" s="87"/>
      <c r="E153" s="87"/>
      <c r="F153" s="74"/>
      <c r="G153" s="87"/>
      <c r="H153" s="87"/>
      <c r="I153" s="87"/>
      <c r="J153" s="74"/>
      <c r="K153" s="87"/>
      <c r="L153" s="74"/>
      <c r="M153" s="87"/>
      <c r="N153" s="74"/>
      <c r="O153" s="87"/>
      <c r="P153" s="74"/>
      <c r="Q153" s="87"/>
      <c r="R153" s="74"/>
      <c r="S153" s="87"/>
      <c r="T153" s="74"/>
      <c r="U153" s="87"/>
      <c r="V153" s="74"/>
      <c r="W153" s="87"/>
      <c r="X153" s="74"/>
      <c r="Y153" s="87"/>
      <c r="Z153" s="74"/>
      <c r="AA153" s="87"/>
      <c r="AB153" s="74"/>
      <c r="AC153" s="87"/>
      <c r="AD153" s="74"/>
      <c r="AE153" s="87"/>
      <c r="AF153" s="74"/>
      <c r="AG153" s="87"/>
      <c r="AH153" s="74"/>
      <c r="AI153" s="87"/>
      <c r="AJ153" s="74"/>
      <c r="AK153" s="87"/>
      <c r="AL153" s="74"/>
      <c r="AM153" s="87"/>
      <c r="AN153" s="74"/>
      <c r="AO153" s="87"/>
    </row>
    <row r="154" spans="1:41">
      <c r="B154" s="10" t="s">
        <v>455</v>
      </c>
      <c r="C154" s="27">
        <v>0</v>
      </c>
      <c r="D154" s="27"/>
      <c r="E154" s="27">
        <v>0</v>
      </c>
      <c r="F154" s="27"/>
      <c r="G154" s="27">
        <v>0</v>
      </c>
      <c r="H154" s="27"/>
      <c r="I154" s="27">
        <v>0</v>
      </c>
      <c r="J154" s="27"/>
      <c r="K154" s="27">
        <v>0</v>
      </c>
      <c r="L154" s="27"/>
      <c r="M154" s="27">
        <v>0</v>
      </c>
      <c r="N154" s="27"/>
      <c r="O154" s="27">
        <v>0</v>
      </c>
      <c r="P154" s="27"/>
      <c r="Q154" s="27">
        <v>0</v>
      </c>
      <c r="R154" s="27"/>
      <c r="S154" s="27">
        <v>0</v>
      </c>
      <c r="T154" s="27"/>
      <c r="U154" s="27">
        <v>0</v>
      </c>
      <c r="V154" s="27"/>
      <c r="W154" s="27">
        <v>0</v>
      </c>
      <c r="X154" s="27"/>
      <c r="Y154" s="27">
        <v>0</v>
      </c>
      <c r="Z154" s="27"/>
      <c r="AA154" s="27">
        <v>0</v>
      </c>
      <c r="AB154" s="27"/>
      <c r="AC154" s="27">
        <v>0</v>
      </c>
      <c r="AD154" s="27"/>
      <c r="AE154" s="27">
        <v>0</v>
      </c>
      <c r="AF154" s="27"/>
      <c r="AG154" s="27">
        <v>0</v>
      </c>
      <c r="AH154" s="27"/>
      <c r="AI154" s="27">
        <v>0</v>
      </c>
      <c r="AJ154" s="27"/>
      <c r="AK154" s="24">
        <f>+'Transfer Detail PG 3 (Fin)'!AI156</f>
        <v>0</v>
      </c>
      <c r="AL154" s="27"/>
      <c r="AM154" s="27">
        <v>0</v>
      </c>
      <c r="AN154" s="27"/>
      <c r="AO154" s="27">
        <f t="shared" ref="AO154:AO166" si="7">SUM(C154:AN154)</f>
        <v>0</v>
      </c>
    </row>
    <row r="155" spans="1:41">
      <c r="B155" s="10" t="s">
        <v>113</v>
      </c>
      <c r="C155" s="27">
        <v>0</v>
      </c>
      <c r="D155" s="27"/>
      <c r="E155" s="27">
        <v>0</v>
      </c>
      <c r="F155" s="27"/>
      <c r="G155" s="27">
        <v>0</v>
      </c>
      <c r="H155" s="27"/>
      <c r="I155" s="27">
        <v>0</v>
      </c>
      <c r="J155" s="27"/>
      <c r="K155" s="27">
        <v>0</v>
      </c>
      <c r="L155" s="27"/>
      <c r="M155" s="27">
        <v>0</v>
      </c>
      <c r="N155" s="27"/>
      <c r="O155" s="27">
        <v>0</v>
      </c>
      <c r="P155" s="27"/>
      <c r="Q155" s="27">
        <v>0</v>
      </c>
      <c r="R155" s="27"/>
      <c r="S155" s="27">
        <v>0</v>
      </c>
      <c r="T155" s="27"/>
      <c r="U155" s="27">
        <v>0</v>
      </c>
      <c r="V155" s="27"/>
      <c r="W155" s="27">
        <v>0</v>
      </c>
      <c r="X155" s="27"/>
      <c r="Y155" s="27">
        <v>0</v>
      </c>
      <c r="Z155" s="27"/>
      <c r="AA155" s="27">
        <v>0</v>
      </c>
      <c r="AB155" s="27"/>
      <c r="AC155" s="27">
        <v>0</v>
      </c>
      <c r="AD155" s="27"/>
      <c r="AE155" s="27">
        <v>0</v>
      </c>
      <c r="AF155" s="27"/>
      <c r="AG155" s="27">
        <v>0</v>
      </c>
      <c r="AH155" s="27"/>
      <c r="AI155" s="27">
        <v>0</v>
      </c>
      <c r="AJ155" s="27"/>
      <c r="AK155" s="24">
        <f>+'Transfer Detail PG 3 (Fin)'!AI157</f>
        <v>0</v>
      </c>
      <c r="AL155" s="27"/>
      <c r="AM155" s="27">
        <v>0</v>
      </c>
      <c r="AN155" s="27"/>
      <c r="AO155" s="27">
        <f t="shared" si="7"/>
        <v>0</v>
      </c>
    </row>
    <row r="156" spans="1:41">
      <c r="B156" s="10" t="s">
        <v>114</v>
      </c>
      <c r="C156" s="27">
        <v>0</v>
      </c>
      <c r="D156" s="27"/>
      <c r="E156" s="27">
        <v>0</v>
      </c>
      <c r="F156" s="27"/>
      <c r="G156" s="27">
        <v>0</v>
      </c>
      <c r="H156" s="27"/>
      <c r="I156" s="27">
        <v>0</v>
      </c>
      <c r="J156" s="27"/>
      <c r="K156" s="27">
        <v>0</v>
      </c>
      <c r="L156" s="27"/>
      <c r="M156" s="27">
        <v>0</v>
      </c>
      <c r="N156" s="27"/>
      <c r="O156" s="27">
        <v>0</v>
      </c>
      <c r="P156" s="27"/>
      <c r="Q156" s="27">
        <v>0</v>
      </c>
      <c r="R156" s="27"/>
      <c r="S156" s="27">
        <v>0</v>
      </c>
      <c r="T156" s="27"/>
      <c r="U156" s="27">
        <v>0</v>
      </c>
      <c r="V156" s="27"/>
      <c r="W156" s="27">
        <v>0</v>
      </c>
      <c r="X156" s="27"/>
      <c r="Y156" s="27">
        <v>0</v>
      </c>
      <c r="Z156" s="27"/>
      <c r="AA156" s="27">
        <v>0</v>
      </c>
      <c r="AB156" s="27"/>
      <c r="AC156" s="27">
        <v>0</v>
      </c>
      <c r="AD156" s="27"/>
      <c r="AE156" s="27">
        <v>0</v>
      </c>
      <c r="AF156" s="27"/>
      <c r="AG156" s="27">
        <v>0</v>
      </c>
      <c r="AH156" s="27"/>
      <c r="AI156" s="27">
        <v>0</v>
      </c>
      <c r="AJ156" s="27"/>
      <c r="AK156" s="24">
        <f>+'Transfer Detail PG 3 (Fin)'!AI158</f>
        <v>0</v>
      </c>
      <c r="AL156" s="27"/>
      <c r="AM156" s="27">
        <v>0</v>
      </c>
      <c r="AN156" s="27"/>
      <c r="AO156" s="27">
        <f t="shared" si="7"/>
        <v>0</v>
      </c>
    </row>
    <row r="157" spans="1:41">
      <c r="B157" s="10" t="s">
        <v>115</v>
      </c>
      <c r="C157" s="27">
        <v>0</v>
      </c>
      <c r="D157" s="27"/>
      <c r="E157" s="27">
        <v>0</v>
      </c>
      <c r="F157" s="27"/>
      <c r="G157" s="27">
        <v>0</v>
      </c>
      <c r="H157" s="27"/>
      <c r="I157" s="27">
        <v>0</v>
      </c>
      <c r="J157" s="27"/>
      <c r="K157" s="27">
        <v>0</v>
      </c>
      <c r="L157" s="27"/>
      <c r="M157" s="27">
        <v>0</v>
      </c>
      <c r="N157" s="27"/>
      <c r="O157" s="27">
        <v>0</v>
      </c>
      <c r="P157" s="27"/>
      <c r="Q157" s="27">
        <v>0</v>
      </c>
      <c r="R157" s="27"/>
      <c r="S157" s="27">
        <v>0</v>
      </c>
      <c r="T157" s="27"/>
      <c r="U157" s="27">
        <v>0</v>
      </c>
      <c r="V157" s="27"/>
      <c r="W157" s="27">
        <v>0</v>
      </c>
      <c r="X157" s="27"/>
      <c r="Y157" s="27">
        <v>0</v>
      </c>
      <c r="Z157" s="27"/>
      <c r="AA157" s="27">
        <v>0</v>
      </c>
      <c r="AB157" s="27"/>
      <c r="AC157" s="27">
        <v>0</v>
      </c>
      <c r="AD157" s="27"/>
      <c r="AE157" s="27">
        <v>0</v>
      </c>
      <c r="AF157" s="27"/>
      <c r="AG157" s="27">
        <v>0</v>
      </c>
      <c r="AH157" s="27"/>
      <c r="AI157" s="27">
        <v>0</v>
      </c>
      <c r="AJ157" s="27"/>
      <c r="AK157" s="24">
        <f>+'Transfer Detail PG 3 (Fin)'!AI159</f>
        <v>0</v>
      </c>
      <c r="AL157" s="27"/>
      <c r="AM157" s="27">
        <v>0</v>
      </c>
      <c r="AN157" s="27"/>
      <c r="AO157" s="27">
        <f t="shared" si="7"/>
        <v>0</v>
      </c>
    </row>
    <row r="158" spans="1:41">
      <c r="B158" s="10" t="s">
        <v>117</v>
      </c>
      <c r="C158" s="27">
        <v>0</v>
      </c>
      <c r="D158" s="27"/>
      <c r="E158" s="27">
        <v>0</v>
      </c>
      <c r="F158" s="27"/>
      <c r="G158" s="27">
        <v>0</v>
      </c>
      <c r="H158" s="27"/>
      <c r="I158" s="27">
        <v>0</v>
      </c>
      <c r="J158" s="27"/>
      <c r="K158" s="27">
        <v>0</v>
      </c>
      <c r="L158" s="27"/>
      <c r="M158" s="27">
        <v>0</v>
      </c>
      <c r="N158" s="27"/>
      <c r="O158" s="27">
        <v>0</v>
      </c>
      <c r="P158" s="27"/>
      <c r="Q158" s="27">
        <v>0</v>
      </c>
      <c r="R158" s="27"/>
      <c r="S158" s="27">
        <v>0</v>
      </c>
      <c r="T158" s="27"/>
      <c r="U158" s="27">
        <v>0</v>
      </c>
      <c r="V158" s="27"/>
      <c r="W158" s="27">
        <v>0</v>
      </c>
      <c r="X158" s="27"/>
      <c r="Y158" s="27">
        <v>0</v>
      </c>
      <c r="Z158" s="27"/>
      <c r="AA158" s="27">
        <v>0</v>
      </c>
      <c r="AB158" s="27"/>
      <c r="AC158" s="27">
        <v>0</v>
      </c>
      <c r="AD158" s="27"/>
      <c r="AE158" s="27">
        <v>0</v>
      </c>
      <c r="AF158" s="27"/>
      <c r="AG158" s="27">
        <v>0</v>
      </c>
      <c r="AH158" s="27"/>
      <c r="AI158" s="27">
        <v>0</v>
      </c>
      <c r="AJ158" s="27"/>
      <c r="AK158" s="24">
        <f>+'Transfer Detail PG 3 (Fin)'!AI160</f>
        <v>0</v>
      </c>
      <c r="AL158" s="27"/>
      <c r="AM158" s="27">
        <v>0</v>
      </c>
      <c r="AN158" s="27"/>
      <c r="AO158" s="27">
        <f t="shared" si="7"/>
        <v>0</v>
      </c>
    </row>
    <row r="159" spans="1:41">
      <c r="B159" s="10" t="s">
        <v>118</v>
      </c>
      <c r="C159" s="27">
        <v>0</v>
      </c>
      <c r="D159" s="27"/>
      <c r="E159" s="27">
        <v>0</v>
      </c>
      <c r="F159" s="27"/>
      <c r="G159" s="27">
        <v>0</v>
      </c>
      <c r="H159" s="27"/>
      <c r="I159" s="27">
        <v>0</v>
      </c>
      <c r="J159" s="27"/>
      <c r="K159" s="27">
        <v>0</v>
      </c>
      <c r="L159" s="27"/>
      <c r="M159" s="27">
        <v>0</v>
      </c>
      <c r="N159" s="27"/>
      <c r="O159" s="27">
        <v>0</v>
      </c>
      <c r="P159" s="27"/>
      <c r="Q159" s="27">
        <v>0</v>
      </c>
      <c r="R159" s="27"/>
      <c r="S159" s="27">
        <v>0</v>
      </c>
      <c r="T159" s="27"/>
      <c r="U159" s="27">
        <v>0</v>
      </c>
      <c r="V159" s="27"/>
      <c r="W159" s="27">
        <v>0</v>
      </c>
      <c r="X159" s="27"/>
      <c r="Y159" s="27">
        <v>0</v>
      </c>
      <c r="Z159" s="27"/>
      <c r="AA159" s="27">
        <v>0</v>
      </c>
      <c r="AB159" s="27"/>
      <c r="AC159" s="27">
        <v>0</v>
      </c>
      <c r="AD159" s="27"/>
      <c r="AE159" s="27">
        <v>0</v>
      </c>
      <c r="AF159" s="27"/>
      <c r="AG159" s="27">
        <v>0</v>
      </c>
      <c r="AH159" s="27"/>
      <c r="AI159" s="27">
        <v>0</v>
      </c>
      <c r="AJ159" s="27"/>
      <c r="AK159" s="24">
        <f>+'Transfer Detail PG 3 (Fin)'!AI159</f>
        <v>0</v>
      </c>
      <c r="AL159" s="27"/>
      <c r="AM159" s="27">
        <v>0</v>
      </c>
      <c r="AN159" s="27"/>
      <c r="AO159" s="27">
        <f t="shared" si="7"/>
        <v>0</v>
      </c>
    </row>
    <row r="160" spans="1:41">
      <c r="B160" s="10" t="s">
        <v>119</v>
      </c>
      <c r="C160" s="27">
        <v>0</v>
      </c>
      <c r="D160" s="27"/>
      <c r="E160" s="27">
        <v>0</v>
      </c>
      <c r="F160" s="27"/>
      <c r="G160" s="27">
        <v>0</v>
      </c>
      <c r="H160" s="27"/>
      <c r="I160" s="27">
        <v>0</v>
      </c>
      <c r="J160" s="27"/>
      <c r="K160" s="27">
        <v>0</v>
      </c>
      <c r="L160" s="27"/>
      <c r="M160" s="27">
        <v>0</v>
      </c>
      <c r="N160" s="27"/>
      <c r="O160" s="27">
        <v>0</v>
      </c>
      <c r="P160" s="27"/>
      <c r="Q160" s="27">
        <v>0</v>
      </c>
      <c r="R160" s="27"/>
      <c r="S160" s="27">
        <v>0</v>
      </c>
      <c r="T160" s="27"/>
      <c r="U160" s="27">
        <v>0</v>
      </c>
      <c r="V160" s="27"/>
      <c r="W160" s="27">
        <v>0</v>
      </c>
      <c r="X160" s="27"/>
      <c r="Y160" s="27">
        <v>0</v>
      </c>
      <c r="Z160" s="27"/>
      <c r="AA160" s="27">
        <v>0</v>
      </c>
      <c r="AB160" s="27"/>
      <c r="AC160" s="27">
        <v>0</v>
      </c>
      <c r="AD160" s="27"/>
      <c r="AE160" s="27">
        <v>0</v>
      </c>
      <c r="AF160" s="27"/>
      <c r="AG160" s="27">
        <v>0</v>
      </c>
      <c r="AH160" s="27"/>
      <c r="AI160" s="27">
        <v>0</v>
      </c>
      <c r="AJ160" s="27"/>
      <c r="AK160" s="24">
        <f>+'Transfer Detail PG 3 (Fin)'!AI161</f>
        <v>0</v>
      </c>
      <c r="AL160" s="27"/>
      <c r="AM160" s="27">
        <v>0</v>
      </c>
      <c r="AN160" s="27"/>
      <c r="AO160" s="27">
        <f t="shared" si="7"/>
        <v>0</v>
      </c>
    </row>
    <row r="161" spans="1:42">
      <c r="B161" s="10" t="s">
        <v>121</v>
      </c>
      <c r="C161" s="27">
        <v>0</v>
      </c>
      <c r="D161" s="27"/>
      <c r="E161" s="27">
        <v>0</v>
      </c>
      <c r="F161" s="27"/>
      <c r="G161" s="27">
        <v>0</v>
      </c>
      <c r="H161" s="27"/>
      <c r="I161" s="27">
        <v>0</v>
      </c>
      <c r="J161" s="27"/>
      <c r="K161" s="27">
        <v>0</v>
      </c>
      <c r="L161" s="27"/>
      <c r="M161" s="27">
        <v>0</v>
      </c>
      <c r="N161" s="27"/>
      <c r="O161" s="27">
        <v>0</v>
      </c>
      <c r="P161" s="27"/>
      <c r="Q161" s="27">
        <v>0</v>
      </c>
      <c r="R161" s="27"/>
      <c r="S161" s="27">
        <v>0</v>
      </c>
      <c r="T161" s="27"/>
      <c r="U161" s="27">
        <v>0</v>
      </c>
      <c r="V161" s="27"/>
      <c r="W161" s="27">
        <v>0</v>
      </c>
      <c r="X161" s="27"/>
      <c r="Y161" s="27">
        <v>0</v>
      </c>
      <c r="Z161" s="27"/>
      <c r="AA161" s="27">
        <v>0</v>
      </c>
      <c r="AB161" s="27"/>
      <c r="AC161" s="27">
        <v>0</v>
      </c>
      <c r="AD161" s="27"/>
      <c r="AE161" s="27">
        <v>0</v>
      </c>
      <c r="AF161" s="27"/>
      <c r="AG161" s="27">
        <v>0</v>
      </c>
      <c r="AH161" s="27"/>
      <c r="AI161" s="27">
        <v>0</v>
      </c>
      <c r="AJ161" s="27"/>
      <c r="AK161" s="24">
        <f>+'Transfer Detail PG 3 (Fin)'!AI163</f>
        <v>0</v>
      </c>
      <c r="AL161" s="27"/>
      <c r="AM161" s="27">
        <v>0</v>
      </c>
      <c r="AN161" s="27"/>
      <c r="AO161" s="27">
        <f t="shared" si="7"/>
        <v>0</v>
      </c>
    </row>
    <row r="162" spans="1:42">
      <c r="B162" s="10" t="s">
        <v>122</v>
      </c>
      <c r="C162" s="27">
        <v>0</v>
      </c>
      <c r="D162" s="27"/>
      <c r="E162" s="27">
        <v>0</v>
      </c>
      <c r="F162" s="27"/>
      <c r="G162" s="27">
        <v>0</v>
      </c>
      <c r="H162" s="27"/>
      <c r="I162" s="27">
        <v>0</v>
      </c>
      <c r="J162" s="27"/>
      <c r="K162" s="27">
        <v>0</v>
      </c>
      <c r="L162" s="27"/>
      <c r="M162" s="27">
        <v>0</v>
      </c>
      <c r="N162" s="27"/>
      <c r="O162" s="27">
        <v>0</v>
      </c>
      <c r="P162" s="27"/>
      <c r="Q162" s="27">
        <v>0</v>
      </c>
      <c r="R162" s="27"/>
      <c r="S162" s="27">
        <v>0</v>
      </c>
      <c r="T162" s="27"/>
      <c r="U162" s="27">
        <v>0</v>
      </c>
      <c r="V162" s="27"/>
      <c r="W162" s="27">
        <v>0</v>
      </c>
      <c r="X162" s="27"/>
      <c r="Y162" s="27">
        <v>0</v>
      </c>
      <c r="Z162" s="27"/>
      <c r="AA162" s="27">
        <v>0</v>
      </c>
      <c r="AB162" s="27"/>
      <c r="AC162" s="27">
        <v>0</v>
      </c>
      <c r="AD162" s="27"/>
      <c r="AE162" s="27">
        <v>0</v>
      </c>
      <c r="AF162" s="27"/>
      <c r="AG162" s="27">
        <v>0</v>
      </c>
      <c r="AH162" s="27"/>
      <c r="AI162" s="27">
        <v>0</v>
      </c>
      <c r="AJ162" s="27"/>
      <c r="AK162" s="24">
        <f>+'Transfer Detail PG 3 (Fin)'!AI164</f>
        <v>0</v>
      </c>
      <c r="AL162" s="27"/>
      <c r="AM162" s="27">
        <v>0</v>
      </c>
      <c r="AN162" s="27"/>
      <c r="AO162" s="27">
        <f t="shared" si="7"/>
        <v>0</v>
      </c>
    </row>
    <row r="163" spans="1:42">
      <c r="B163" s="10" t="s">
        <v>124</v>
      </c>
      <c r="C163" s="27">
        <v>0</v>
      </c>
      <c r="D163" s="27"/>
      <c r="E163" s="27">
        <v>0</v>
      </c>
      <c r="F163" s="27"/>
      <c r="G163" s="27">
        <v>0</v>
      </c>
      <c r="H163" s="27"/>
      <c r="I163" s="27">
        <v>0</v>
      </c>
      <c r="J163" s="27"/>
      <c r="K163" s="27">
        <v>0</v>
      </c>
      <c r="L163" s="27"/>
      <c r="M163" s="27">
        <v>0</v>
      </c>
      <c r="N163" s="27"/>
      <c r="O163" s="27">
        <v>0</v>
      </c>
      <c r="P163" s="27"/>
      <c r="Q163" s="27">
        <v>0</v>
      </c>
      <c r="R163" s="27"/>
      <c r="S163" s="27">
        <v>0</v>
      </c>
      <c r="T163" s="27"/>
      <c r="U163" s="27">
        <v>0</v>
      </c>
      <c r="V163" s="27"/>
      <c r="W163" s="27">
        <v>0</v>
      </c>
      <c r="X163" s="27"/>
      <c r="Y163" s="27">
        <v>0</v>
      </c>
      <c r="Z163" s="27"/>
      <c r="AA163" s="27">
        <v>0</v>
      </c>
      <c r="AB163" s="27"/>
      <c r="AC163" s="27">
        <v>0</v>
      </c>
      <c r="AD163" s="27"/>
      <c r="AE163" s="27">
        <v>0</v>
      </c>
      <c r="AF163" s="27"/>
      <c r="AG163" s="27">
        <v>0</v>
      </c>
      <c r="AH163" s="27"/>
      <c r="AI163" s="27">
        <v>0</v>
      </c>
      <c r="AJ163" s="27"/>
      <c r="AK163" s="24">
        <f>+'Transfer Detail PG 3 (Fin)'!AI165</f>
        <v>0</v>
      </c>
      <c r="AL163" s="27"/>
      <c r="AM163" s="27">
        <v>0</v>
      </c>
      <c r="AN163" s="27"/>
      <c r="AO163" s="27">
        <f t="shared" si="7"/>
        <v>0</v>
      </c>
    </row>
    <row r="164" spans="1:42">
      <c r="B164" s="10" t="s">
        <v>129</v>
      </c>
      <c r="C164" s="27">
        <v>0</v>
      </c>
      <c r="D164" s="27"/>
      <c r="E164" s="27">
        <v>0</v>
      </c>
      <c r="F164" s="27"/>
      <c r="G164" s="27">
        <v>0</v>
      </c>
      <c r="H164" s="27"/>
      <c r="I164" s="27">
        <v>0</v>
      </c>
      <c r="J164" s="27"/>
      <c r="K164" s="27">
        <v>0</v>
      </c>
      <c r="L164" s="27"/>
      <c r="M164" s="27">
        <v>0</v>
      </c>
      <c r="N164" s="27"/>
      <c r="O164" s="27">
        <v>0</v>
      </c>
      <c r="P164" s="27"/>
      <c r="Q164" s="27">
        <v>0</v>
      </c>
      <c r="R164" s="27"/>
      <c r="S164" s="27">
        <v>0</v>
      </c>
      <c r="T164" s="27"/>
      <c r="U164" s="27">
        <v>0</v>
      </c>
      <c r="V164" s="27"/>
      <c r="W164" s="27">
        <v>0</v>
      </c>
      <c r="X164" s="27"/>
      <c r="Y164" s="27">
        <v>0</v>
      </c>
      <c r="Z164" s="27"/>
      <c r="AA164" s="27">
        <v>0</v>
      </c>
      <c r="AB164" s="27"/>
      <c r="AC164" s="27">
        <v>0</v>
      </c>
      <c r="AD164" s="27"/>
      <c r="AE164" s="27">
        <v>0</v>
      </c>
      <c r="AF164" s="27"/>
      <c r="AG164" s="27">
        <v>0</v>
      </c>
      <c r="AH164" s="27"/>
      <c r="AI164" s="27">
        <v>0</v>
      </c>
      <c r="AJ164" s="27"/>
      <c r="AK164" s="24">
        <f>+'Transfer Detail PG 3 (Fin)'!AI166</f>
        <v>0</v>
      </c>
      <c r="AL164" s="27"/>
      <c r="AM164" s="27">
        <v>0</v>
      </c>
      <c r="AN164" s="27"/>
      <c r="AO164" s="27">
        <f t="shared" si="7"/>
        <v>0</v>
      </c>
    </row>
    <row r="165" spans="1:42">
      <c r="B165" s="10" t="s">
        <v>125</v>
      </c>
      <c r="C165" s="27">
        <v>0</v>
      </c>
      <c r="D165" s="27"/>
      <c r="E165" s="27">
        <v>0</v>
      </c>
      <c r="F165" s="27"/>
      <c r="G165" s="27">
        <v>0</v>
      </c>
      <c r="H165" s="27"/>
      <c r="I165" s="27">
        <v>0</v>
      </c>
      <c r="J165" s="27"/>
      <c r="K165" s="27">
        <v>0</v>
      </c>
      <c r="L165" s="27"/>
      <c r="M165" s="27">
        <v>0</v>
      </c>
      <c r="N165" s="27"/>
      <c r="O165" s="27">
        <v>0</v>
      </c>
      <c r="P165" s="27"/>
      <c r="Q165" s="27">
        <v>0</v>
      </c>
      <c r="R165" s="27"/>
      <c r="S165" s="27">
        <v>0</v>
      </c>
      <c r="T165" s="27"/>
      <c r="U165" s="27">
        <v>0</v>
      </c>
      <c r="V165" s="27"/>
      <c r="W165" s="27">
        <v>0</v>
      </c>
      <c r="X165" s="27"/>
      <c r="Y165" s="27">
        <v>0</v>
      </c>
      <c r="Z165" s="27"/>
      <c r="AA165" s="27">
        <v>0</v>
      </c>
      <c r="AB165" s="27"/>
      <c r="AC165" s="27">
        <v>0</v>
      </c>
      <c r="AD165" s="27"/>
      <c r="AE165" s="27">
        <v>0</v>
      </c>
      <c r="AF165" s="27"/>
      <c r="AG165" s="27">
        <v>0</v>
      </c>
      <c r="AH165" s="27"/>
      <c r="AI165" s="27">
        <v>0</v>
      </c>
      <c r="AJ165" s="27"/>
      <c r="AK165" s="24">
        <f>+'Transfer Detail PG 3 (Fin)'!AI167</f>
        <v>0</v>
      </c>
      <c r="AL165" s="27"/>
      <c r="AM165" s="27">
        <v>0</v>
      </c>
      <c r="AN165" s="27"/>
      <c r="AO165" s="27">
        <f t="shared" si="7"/>
        <v>0</v>
      </c>
    </row>
    <row r="166" spans="1:42">
      <c r="B166" s="10" t="s">
        <v>131</v>
      </c>
      <c r="C166" s="28">
        <v>0</v>
      </c>
      <c r="D166" s="27"/>
      <c r="E166" s="28">
        <v>0</v>
      </c>
      <c r="F166" s="27"/>
      <c r="G166" s="28">
        <v>0</v>
      </c>
      <c r="H166" s="27"/>
      <c r="I166" s="28">
        <v>0</v>
      </c>
      <c r="J166" s="27"/>
      <c r="K166" s="28">
        <v>0</v>
      </c>
      <c r="L166" s="27"/>
      <c r="M166" s="28">
        <v>0</v>
      </c>
      <c r="N166" s="27"/>
      <c r="O166" s="28">
        <v>0</v>
      </c>
      <c r="P166" s="27"/>
      <c r="Q166" s="28">
        <v>0</v>
      </c>
      <c r="R166" s="27"/>
      <c r="S166" s="28">
        <v>0</v>
      </c>
      <c r="T166" s="27"/>
      <c r="U166" s="28">
        <v>0</v>
      </c>
      <c r="V166" s="27"/>
      <c r="W166" s="28">
        <v>0</v>
      </c>
      <c r="X166" s="27"/>
      <c r="Y166" s="28">
        <v>0</v>
      </c>
      <c r="Z166" s="27"/>
      <c r="AA166" s="28">
        <v>0</v>
      </c>
      <c r="AB166" s="27"/>
      <c r="AC166" s="28">
        <v>0</v>
      </c>
      <c r="AD166" s="27"/>
      <c r="AE166" s="28">
        <v>0</v>
      </c>
      <c r="AF166" s="27"/>
      <c r="AG166" s="28">
        <v>0</v>
      </c>
      <c r="AH166" s="27"/>
      <c r="AI166" s="28">
        <v>0</v>
      </c>
      <c r="AJ166" s="27"/>
      <c r="AK166" s="28">
        <v>0</v>
      </c>
      <c r="AL166" s="27"/>
      <c r="AM166" s="28">
        <v>0</v>
      </c>
      <c r="AN166" s="27"/>
      <c r="AO166" s="28">
        <f t="shared" si="7"/>
        <v>0</v>
      </c>
    </row>
    <row r="167" spans="1:42">
      <c r="B167" s="11"/>
      <c r="C167" s="27">
        <f>SUM(C154:C166)</f>
        <v>0</v>
      </c>
      <c r="D167" s="27"/>
      <c r="E167" s="27">
        <f>SUM(E154:E166)</f>
        <v>0</v>
      </c>
      <c r="F167" s="27"/>
      <c r="G167" s="27">
        <f>SUM(G154:G166)</f>
        <v>0</v>
      </c>
      <c r="H167" s="27"/>
      <c r="I167" s="27">
        <f>SUM(I154:I166)</f>
        <v>0</v>
      </c>
      <c r="J167" s="27"/>
      <c r="K167" s="27">
        <f>SUM(K154:K166)</f>
        <v>0</v>
      </c>
      <c r="L167" s="27"/>
      <c r="M167" s="27">
        <f>SUM(M154:M166)</f>
        <v>0</v>
      </c>
      <c r="N167" s="27"/>
      <c r="O167" s="27">
        <f>SUM(O154:O166)</f>
        <v>0</v>
      </c>
      <c r="P167" s="27"/>
      <c r="Q167" s="27">
        <f>SUM(Q154:Q166)</f>
        <v>0</v>
      </c>
      <c r="R167" s="27"/>
      <c r="S167" s="27">
        <f>SUM(S154:S166)</f>
        <v>0</v>
      </c>
      <c r="T167" s="27"/>
      <c r="U167" s="27">
        <f>SUM(U154:U166)</f>
        <v>0</v>
      </c>
      <c r="V167" s="27"/>
      <c r="W167" s="27">
        <f>SUM(W154:W166)</f>
        <v>0</v>
      </c>
      <c r="X167" s="27"/>
      <c r="Y167" s="27">
        <f>SUM(Y154:Y166)</f>
        <v>0</v>
      </c>
      <c r="Z167" s="27"/>
      <c r="AA167" s="27">
        <f>SUM(AA154:AA166)</f>
        <v>0</v>
      </c>
      <c r="AB167" s="27"/>
      <c r="AC167" s="27">
        <f>SUM(AC154:AC166)</f>
        <v>0</v>
      </c>
      <c r="AD167" s="27"/>
      <c r="AE167" s="27">
        <f>SUM(AE154:AE166)</f>
        <v>0</v>
      </c>
      <c r="AF167" s="27"/>
      <c r="AG167" s="27">
        <f>SUM(AG154:AG166)</f>
        <v>0</v>
      </c>
      <c r="AH167" s="27"/>
      <c r="AI167" s="27">
        <f>SUM(AI154:AI166)</f>
        <v>0</v>
      </c>
      <c r="AJ167" s="27"/>
      <c r="AK167" s="27">
        <f>SUM(AK154:AK166)</f>
        <v>0</v>
      </c>
      <c r="AL167" s="27"/>
      <c r="AM167" s="27">
        <f>SUM(AM154:AM166)</f>
        <v>0</v>
      </c>
      <c r="AN167" s="27"/>
      <c r="AO167" s="27">
        <f>SUM(AO154:AO166)</f>
        <v>0</v>
      </c>
    </row>
    <row r="168" spans="1:42">
      <c r="C168" s="27"/>
      <c r="D168" s="27"/>
      <c r="E168" s="27"/>
      <c r="F168" s="27"/>
      <c r="G168" s="27"/>
      <c r="H168" s="27"/>
      <c r="I168" s="27"/>
      <c r="J168" s="27"/>
      <c r="K168" s="27"/>
      <c r="L168" s="27"/>
      <c r="M168" s="27"/>
      <c r="N168" s="27"/>
      <c r="O168" s="27"/>
      <c r="P168" s="27"/>
      <c r="Q168" s="27"/>
      <c r="R168" s="27"/>
      <c r="S168" s="27"/>
      <c r="T168" s="27"/>
      <c r="U168" s="27"/>
      <c r="V168" s="27"/>
      <c r="W168" s="27"/>
      <c r="X168" s="27"/>
      <c r="Y168" s="27"/>
      <c r="Z168" s="27"/>
      <c r="AA168" s="27"/>
      <c r="AB168" s="27"/>
      <c r="AC168" s="27"/>
      <c r="AD168" s="27"/>
      <c r="AE168" s="27"/>
      <c r="AF168" s="27"/>
      <c r="AG168" s="27"/>
      <c r="AH168" s="27"/>
      <c r="AI168" s="27"/>
      <c r="AJ168" s="27"/>
      <c r="AK168" s="27"/>
      <c r="AL168" s="27"/>
      <c r="AM168" s="27"/>
      <c r="AN168" s="27"/>
      <c r="AO168" s="27"/>
    </row>
    <row r="169" spans="1:42">
      <c r="A169" s="12" t="s">
        <v>655</v>
      </c>
      <c r="C169" s="24"/>
      <c r="D169" s="24"/>
      <c r="E169" s="24"/>
      <c r="F169" s="24"/>
      <c r="G169" s="24"/>
      <c r="H169" s="24"/>
      <c r="I169" s="24"/>
      <c r="J169" s="24"/>
      <c r="K169" s="24"/>
      <c r="L169" s="24"/>
      <c r="M169" s="24"/>
      <c r="N169" s="24"/>
      <c r="O169" s="24"/>
      <c r="P169" s="24"/>
      <c r="Q169" s="24"/>
      <c r="R169" s="24"/>
      <c r="S169" s="24"/>
      <c r="T169" s="24"/>
      <c r="U169" s="24"/>
      <c r="V169" s="24"/>
      <c r="W169" s="24"/>
      <c r="X169" s="24"/>
      <c r="Y169" s="24"/>
      <c r="Z169" s="24"/>
      <c r="AA169" s="24"/>
      <c r="AB169" s="24"/>
      <c r="AC169" s="24"/>
      <c r="AD169" s="24"/>
      <c r="AE169" s="24"/>
      <c r="AF169" s="24"/>
      <c r="AG169" s="24"/>
      <c r="AH169" s="24"/>
      <c r="AI169" s="24"/>
      <c r="AJ169" s="24"/>
      <c r="AK169" s="24"/>
      <c r="AL169" s="24"/>
      <c r="AM169" s="24"/>
      <c r="AN169" s="24"/>
      <c r="AO169" s="24"/>
    </row>
    <row r="170" spans="1:42">
      <c r="B170" s="10" t="s">
        <v>652</v>
      </c>
      <c r="C170" s="24">
        <f>C154+C138+C113+C114+C166+C150+C134</f>
        <v>0</v>
      </c>
      <c r="D170" s="24"/>
      <c r="E170" s="24">
        <f>E154+E138+E113+E114+E166+E150+E134</f>
        <v>0</v>
      </c>
      <c r="F170" s="24"/>
      <c r="G170" s="24">
        <f>G154+G138+G115+G114+G166+G134</f>
        <v>0</v>
      </c>
      <c r="H170" s="24"/>
      <c r="I170" s="24">
        <f>I154+I138+I113+I114+I166+I150+I134</f>
        <v>0</v>
      </c>
      <c r="J170" s="24"/>
      <c r="K170" s="24">
        <f>K154+K138+K113+K114+K166+K150+K134</f>
        <v>0</v>
      </c>
      <c r="L170" s="24"/>
      <c r="M170" s="24">
        <f>M154+M138+M113+M114+M166+M150+M134</f>
        <v>0</v>
      </c>
      <c r="N170" s="24"/>
      <c r="O170" s="24">
        <f>O154+O138+O113+O114+O166+O150+O134</f>
        <v>0</v>
      </c>
      <c r="P170" s="24"/>
      <c r="Q170" s="24">
        <f>Q154+Q139+Q115+Q114+Q166+Q134</f>
        <v>0</v>
      </c>
      <c r="R170" s="24"/>
      <c r="S170" s="24">
        <f>S154+S139+S115+S114+S166+S134</f>
        <v>0</v>
      </c>
      <c r="T170" s="24"/>
      <c r="U170" s="24">
        <f>U154+U139+U115+U114+U166+U134</f>
        <v>0</v>
      </c>
      <c r="V170" s="24"/>
      <c r="W170" s="24">
        <f>W154+W139+W115+W114+W166+W134</f>
        <v>0</v>
      </c>
      <c r="X170" s="24"/>
      <c r="Y170" s="24">
        <f>Y154+Y139+Y115+Y114+Y166+Y134</f>
        <v>0</v>
      </c>
      <c r="Z170" s="24"/>
      <c r="AA170" s="24">
        <f>AA154+AA139+AA115+AA114+AA166+AA134</f>
        <v>0</v>
      </c>
      <c r="AB170" s="24"/>
      <c r="AC170" s="24">
        <f>AC154+AC139+AC115+AC114+AC166+AC134</f>
        <v>0</v>
      </c>
      <c r="AD170" s="24"/>
      <c r="AE170" s="24">
        <f>AE154+AE139+AE115+AE114+AE166+AE134</f>
        <v>0</v>
      </c>
      <c r="AF170" s="24"/>
      <c r="AG170" s="24">
        <f>AG154+AG139+AG115+AG114+AG166+AG134</f>
        <v>0</v>
      </c>
      <c r="AH170" s="24"/>
      <c r="AI170" s="24">
        <f>AI154+AI139+AI115+AI114+AI166+AI134</f>
        <v>0</v>
      </c>
      <c r="AJ170" s="24"/>
      <c r="AK170" s="24">
        <f>AK154+AK139+AK115+AK114+AK166+AK134</f>
        <v>0</v>
      </c>
      <c r="AL170" s="24"/>
      <c r="AM170" s="24">
        <f>AM154+AM139+AM115+AM114+AM166+AM134</f>
        <v>0</v>
      </c>
      <c r="AN170" s="24"/>
      <c r="AO170" s="24">
        <f>SUM(C170:AN170)</f>
        <v>0</v>
      </c>
    </row>
    <row r="171" spans="1:42">
      <c r="B171" s="10" t="s">
        <v>112</v>
      </c>
      <c r="C171" s="27">
        <f>C155+C156+C157+C158+C159+C160+C139+C140+C141+C142+C143+C144+C115+C116+C117+C118+C119+C120+C121+C122+C123+C124+C125+C145+C126</f>
        <v>-223.56</v>
      </c>
      <c r="D171" s="27"/>
      <c r="E171" s="27">
        <f>E155+E156+E157+E158+E159+E160+E139+E140+E141+E142+E143+E144+E115+E116+E117+E118+E119+E120+E121+E122+E123+E124+E125+E145+E126</f>
        <v>0</v>
      </c>
      <c r="F171" s="27"/>
      <c r="G171" s="27">
        <f>G155+G156+G157+G158+G159+G160+G139+G140+G141+G142+G143+G144+G115+G116+G117+G118+G119+G120+G121+G122+G123+G124+G125+G145+G126</f>
        <v>0</v>
      </c>
      <c r="H171" s="27"/>
      <c r="I171" s="27">
        <f>I155+I156+I157+I158+I159+I160+I139+I140+I141+I142+I143+I144+I115+I116+I117+I118+I119+I120+I121+I122+I123+I124+I125+I145+I126</f>
        <v>0</v>
      </c>
      <c r="J171" s="27"/>
      <c r="K171" s="27">
        <f>K155+K156+K157+K158+K159+K160+K139+K140+K141+K142+K143+K144+K115+K116+K117+K118+K119+K120+K121+K122+K123+K124+K125+K145+K126</f>
        <v>0</v>
      </c>
      <c r="L171" s="27"/>
      <c r="M171" s="27">
        <f>M155+M156+M157+M158+M159+M160+M139+M140+M141+M142+M143+M144+M115+M116+M117+M118+M119+M120+M121+M122+M123+M124+M125+M145+M126</f>
        <v>0</v>
      </c>
      <c r="N171" s="27"/>
      <c r="O171" s="27">
        <f>O155+O156+O157+O158+O159+O160+O139+O140+O141+O142+O143+O144+O115+O116+O117+O118+O119+O120+O121+O122+O123+O124+O125+O145+O126</f>
        <v>0</v>
      </c>
      <c r="P171" s="27"/>
      <c r="Q171" s="27">
        <f>Q156+Q157+Q158+Q159+Q160+Q140+Q141+Q142+Q143+Q144+Q116+Q117+Q118+Q119+Q120+Q121+Q122+Q123+Q124+Q125+Q145+Q126+Q155</f>
        <v>0</v>
      </c>
      <c r="R171" s="27"/>
      <c r="S171" s="27">
        <f>S156+S157+S158+S159+S160+S140+S141+S142+S143+S144+S116+S117+S118+S119+S120+S121+S122+S123+S124+S125+S145+S126+S155</f>
        <v>0</v>
      </c>
      <c r="T171" s="27"/>
      <c r="U171" s="27">
        <f>U156+U157+U158+U159+U160+U140+U141+U142+U143+U144+U116+U117+U118+U119+U120+U121+U122+U123+U124+U125+U145+U126+U155</f>
        <v>0</v>
      </c>
      <c r="V171" s="27"/>
      <c r="W171" s="27">
        <f>W156+W157+W158+W159+W160+W140+W141+W142+W143+W144+W116+W117+W118+W119+W120+W121+W122+W123+W124+W125+W145+W126+W155</f>
        <v>0</v>
      </c>
      <c r="X171" s="27"/>
      <c r="Y171" s="27">
        <f>Y156+Y157+Y158+Y159+Y160+Y140+Y141+Y142+Y143+Y144+Y116+Y117+Y118+Y119+Y120+Y121+Y122+Y123+Y124+Y125+Y145+Y126+Y155</f>
        <v>0</v>
      </c>
      <c r="Z171" s="27"/>
      <c r="AA171" s="27">
        <f>AA156+AA157+AA158+AA159+AA160+AA140+AA141+AA142+AA143+AA144+AA116+AA117+AA118+AA119+AA120+AA121+AA122+AA123+AA124+AA125+AA145+AA126+AA155</f>
        <v>0</v>
      </c>
      <c r="AB171" s="27"/>
      <c r="AC171" s="27">
        <f>AC156+AC157+AC158+AC159+AC160+AC140+AC141+AC142+AC143+AC144+AC116+AC117+AC118+AC119+AC120+AC121+AC122+AC123+AC124+AC125+AC145+AC126+AC155</f>
        <v>0</v>
      </c>
      <c r="AD171" s="27"/>
      <c r="AE171" s="27">
        <f>AE156+AE157+AE158+AE159+AE160+AE140+AE141+AE142+AE143+AE144+AE116+AE117+AE118+AE119+AE120+AE121+AE122+AE123+AE124+AE125+AE145+AE126+AE155</f>
        <v>0</v>
      </c>
      <c r="AF171" s="27"/>
      <c r="AG171" s="27">
        <f>AG156+AG157+AG158+AG159+AG160+AG140+AG141+AG142+AG143+AG144+AG116+AG117+AG118+AG119+AG120+AG121+AG122+AG123+AG124+AG125+AG145+AG126+AG155</f>
        <v>0</v>
      </c>
      <c r="AH171" s="27"/>
      <c r="AI171" s="27">
        <f>AI156+AI157+AI158+AI159+AI160+AI140+AI141+AI142+AI143+AI144+AI116+AI117+AI118+AI119+AI120+AI121+AI122+AI123+AI124+AI125+AI145+AI126+AI155</f>
        <v>0</v>
      </c>
      <c r="AJ171" s="27"/>
      <c r="AK171" s="27">
        <f>AK156+AK157+AK158+AK159+AK160+AK140+AK141+AK142+AK143+AK144+AK116+AK117+AK118+AK119+AK120+AK121+AK122+AK123+AK124+AK125+AK145+AK126+AK155</f>
        <v>0</v>
      </c>
      <c r="AL171" s="27"/>
      <c r="AM171" s="27">
        <f>AM156+AM157+AM158+AM159+AM160+AM140+AM141+AM142+AM143+AM144+AM116+AM117+AM118+AM119+AM120+AM121+AM122+AM123+AM124+AM125+AM145+AM126+AM155</f>
        <v>0</v>
      </c>
      <c r="AN171" s="27"/>
      <c r="AO171" s="27">
        <f>SUM(C171:AN171)</f>
        <v>-223.56</v>
      </c>
    </row>
    <row r="172" spans="1:42">
      <c r="B172" s="10" t="s">
        <v>120</v>
      </c>
      <c r="C172" s="28">
        <f>C161+C162+C163+C164+C165+C146+C147+C148+C149+C127+C128+C129+C130+C131+C132</f>
        <v>0</v>
      </c>
      <c r="D172" s="27"/>
      <c r="E172" s="28">
        <f>E161+E162+E163+E164+E165+E146+E147+E148+E149+E127+E128+E129+E130+E131+E132</f>
        <v>0</v>
      </c>
      <c r="F172" s="27"/>
      <c r="G172" s="28">
        <f>G161+G162+G163+G164+G165+G146+G147+G148+G149+G127+G128+G129+G130+G131+G132+G150+G133</f>
        <v>0</v>
      </c>
      <c r="H172" s="27"/>
      <c r="I172" s="28">
        <f>I161+I162+I163+I164+I165+I146+I147+I148+I149+I127+I128+I129+I130+I131+I132</f>
        <v>0</v>
      </c>
      <c r="J172" s="27"/>
      <c r="K172" s="28">
        <f>K161+K162+K163+K164+K165+K146+K147+K148+K149+K127+K128+K129+K130+K131+K132</f>
        <v>0</v>
      </c>
      <c r="L172" s="27"/>
      <c r="M172" s="28">
        <f>M161+M162+M163+M164+M165+M146+M147+M148+M149+M127+M128+M129+M130+M131+M132</f>
        <v>0</v>
      </c>
      <c r="N172" s="27"/>
      <c r="O172" s="28">
        <f>O161+O162+O163+O164+O165+O146+O147+O148+O149+O127+O128+O129+O130+O131+O132</f>
        <v>0</v>
      </c>
      <c r="P172" s="27"/>
      <c r="Q172" s="28">
        <f>Q161+Q162+Q163+Q164+Q165+Q146+Q147+Q148+Q149+Q127+Q128+Q129+Q130+Q131+Q132</f>
        <v>0</v>
      </c>
      <c r="R172" s="27"/>
      <c r="S172" s="28">
        <f>S161+S162+S163+S164+S165+S146+S147+S148+S149+S127+S128+S129+S130+S131+S132</f>
        <v>0</v>
      </c>
      <c r="T172" s="27"/>
      <c r="U172" s="28">
        <f>U161+U162+U163+U164+U165+U146+U147+U148+U149+U127+U128+U129+U130+U131+U132</f>
        <v>0</v>
      </c>
      <c r="V172" s="27"/>
      <c r="W172" s="28">
        <f>W161+W162+W163+W164+W165+W146+W147+W148+W149+W127+W128+W129+W130+W131+W132</f>
        <v>0</v>
      </c>
      <c r="X172" s="27"/>
      <c r="Y172" s="28">
        <f>Y161+Y162+Y163+Y164+Y165+Y146+Y147+Y148+Y149+Y127+Y128+Y129+Y130+Y131+Y132</f>
        <v>0</v>
      </c>
      <c r="Z172" s="27"/>
      <c r="AA172" s="28">
        <f>AA161+AA162+AA163+AA164+AA165+AA146+AA147+AA148+AA149+AA127+AA128+AA129+AA130+AA131+AA132</f>
        <v>0</v>
      </c>
      <c r="AB172" s="27"/>
      <c r="AC172" s="28">
        <f>AC161+AC162+AC163+AC164+AC165+AC146+AC147+AC148+AC149+AC127+AC128+AC129+AC130+AC131+AC132</f>
        <v>0</v>
      </c>
      <c r="AD172" s="27"/>
      <c r="AE172" s="28">
        <f>AE161+AE162+AE163+AE164+AE165+AE146+AE147+AE148+AE149+AE127+AE128+AE129+AE130+AE131+AE132</f>
        <v>0</v>
      </c>
      <c r="AF172" s="27"/>
      <c r="AG172" s="28">
        <f>AG161+AG162+AG163+AG164+AG165+AG146+AG147+AG148+AG149+AG127+AG128+AG129+AG130+AG131+AG132</f>
        <v>0</v>
      </c>
      <c r="AH172" s="27"/>
      <c r="AI172" s="28">
        <f>AI161+AI162+AI163+AI164+AI165+AI146+AI147+AI148+AI149+AI127+AI128+AI129+AI130+AI131+AI132</f>
        <v>0</v>
      </c>
      <c r="AJ172" s="27"/>
      <c r="AK172" s="28">
        <f>AK161+AK162+AK163+AK164+AK165+AK146+AK147+AK148+AK149+AK127+AK128+AK129+AK130+AK131+AK132</f>
        <v>0</v>
      </c>
      <c r="AL172" s="27"/>
      <c r="AM172" s="28">
        <f>AM161+AM162+AM163+AM164+AM165+AM146+AM147+AM148+AM149+AM127+AM128+AM129+AM130+AM131+AM132</f>
        <v>0</v>
      </c>
      <c r="AN172" s="27"/>
      <c r="AO172" s="28">
        <f>SUM(C172:AN172)</f>
        <v>0</v>
      </c>
    </row>
    <row r="173" spans="1:42">
      <c r="B173" s="11"/>
      <c r="C173" s="27">
        <f>SUM(C170:C172)</f>
        <v>-223.56</v>
      </c>
      <c r="D173" s="27"/>
      <c r="E173" s="27">
        <f>SUM(E170:E172)</f>
        <v>0</v>
      </c>
      <c r="F173" s="27"/>
      <c r="G173" s="27">
        <f>SUM(G170:G172)</f>
        <v>0</v>
      </c>
      <c r="H173" s="27"/>
      <c r="I173" s="27">
        <f>SUM(I170:I172)</f>
        <v>0</v>
      </c>
      <c r="J173" s="27"/>
      <c r="K173" s="27">
        <f>SUM(K170:K172)</f>
        <v>0</v>
      </c>
      <c r="L173" s="27"/>
      <c r="M173" s="27">
        <f>SUM(M170:M172)</f>
        <v>0</v>
      </c>
      <c r="N173" s="27"/>
      <c r="O173" s="27">
        <f>SUM(O170:O172)</f>
        <v>0</v>
      </c>
      <c r="P173" s="27"/>
      <c r="Q173" s="27">
        <f>SUM(Q170:Q172)</f>
        <v>0</v>
      </c>
      <c r="R173" s="27"/>
      <c r="S173" s="27">
        <f>SUM(S170:S172)</f>
        <v>0</v>
      </c>
      <c r="T173" s="27"/>
      <c r="U173" s="27">
        <f>SUM(U170:U172)</f>
        <v>0</v>
      </c>
      <c r="V173" s="27"/>
      <c r="W173" s="27">
        <f>SUM(W170:W172)</f>
        <v>0</v>
      </c>
      <c r="X173" s="27"/>
      <c r="Y173" s="27">
        <f>SUM(Y170:Y172)</f>
        <v>0</v>
      </c>
      <c r="Z173" s="27"/>
      <c r="AA173" s="27">
        <f>SUM(AA170:AA172)</f>
        <v>0</v>
      </c>
      <c r="AB173" s="27"/>
      <c r="AC173" s="27">
        <f>SUM(AC170:AC172)</f>
        <v>0</v>
      </c>
      <c r="AD173" s="27"/>
      <c r="AE173" s="27">
        <f>SUM(AE170:AE172)</f>
        <v>0</v>
      </c>
      <c r="AF173" s="27"/>
      <c r="AG173" s="27">
        <f>SUM(AG170:AG172)</f>
        <v>0</v>
      </c>
      <c r="AH173" s="27"/>
      <c r="AI173" s="27">
        <f>SUM(AI170:AI172)</f>
        <v>0</v>
      </c>
      <c r="AJ173" s="27"/>
      <c r="AK173" s="27">
        <f>SUM(AK170:AK172)</f>
        <v>0</v>
      </c>
      <c r="AL173" s="27"/>
      <c r="AM173" s="27">
        <f>SUM(AM170:AM172)</f>
        <v>0</v>
      </c>
      <c r="AN173" s="27"/>
      <c r="AO173" s="27">
        <f>SUM(AO170:AO172)</f>
        <v>-223.56</v>
      </c>
    </row>
    <row r="174" spans="1:42">
      <c r="C174" s="27"/>
      <c r="D174" s="27"/>
      <c r="E174" s="27"/>
      <c r="F174" s="27"/>
      <c r="G174" s="27"/>
      <c r="H174" s="27"/>
      <c r="I174" s="27"/>
      <c r="J174" s="27"/>
      <c r="K174" s="27"/>
      <c r="L174" s="27"/>
      <c r="M174" s="27"/>
      <c r="N174" s="27"/>
      <c r="O174" s="27"/>
      <c r="P174" s="27"/>
      <c r="Q174" s="27"/>
      <c r="R174" s="27"/>
      <c r="S174" s="27"/>
      <c r="T174" s="27"/>
      <c r="U174" s="27"/>
      <c r="V174" s="27"/>
      <c r="W174" s="27"/>
      <c r="X174" s="27"/>
      <c r="Y174" s="27"/>
      <c r="Z174" s="27"/>
      <c r="AA174" s="27"/>
      <c r="AB174" s="27"/>
      <c r="AC174" s="27"/>
      <c r="AD174" s="27"/>
      <c r="AE174" s="27"/>
      <c r="AF174" s="27"/>
      <c r="AG174" s="27"/>
      <c r="AH174" s="27"/>
      <c r="AI174" s="27"/>
      <c r="AJ174" s="27"/>
      <c r="AK174" s="27"/>
      <c r="AL174" s="27"/>
      <c r="AM174" s="27"/>
      <c r="AN174" s="27"/>
      <c r="AO174" s="27"/>
    </row>
    <row r="175" spans="1:42">
      <c r="A175" s="12" t="s">
        <v>656</v>
      </c>
      <c r="C175" s="24"/>
      <c r="D175" s="24"/>
      <c r="E175" s="24"/>
      <c r="F175" s="24"/>
      <c r="G175" s="24"/>
      <c r="H175" s="24"/>
      <c r="I175" s="24"/>
      <c r="J175" s="24"/>
      <c r="K175" s="24"/>
      <c r="L175" s="24"/>
      <c r="M175" s="24"/>
      <c r="N175" s="24"/>
      <c r="O175" s="24"/>
      <c r="P175" s="24"/>
      <c r="Q175" s="24"/>
      <c r="R175" s="24"/>
      <c r="S175" s="24"/>
      <c r="T175" s="24"/>
      <c r="U175" s="24"/>
      <c r="V175" s="24"/>
      <c r="W175" s="24"/>
      <c r="X175" s="24"/>
      <c r="Y175" s="24"/>
      <c r="Z175" s="24"/>
      <c r="AA175" s="24"/>
      <c r="AB175" s="24"/>
      <c r="AC175" s="24"/>
      <c r="AD175" s="24"/>
      <c r="AE175" s="24"/>
      <c r="AF175" s="24"/>
      <c r="AG175" s="24"/>
      <c r="AH175" s="24"/>
      <c r="AI175" s="24"/>
      <c r="AJ175" s="24"/>
      <c r="AK175" s="24"/>
      <c r="AL175" s="24"/>
      <c r="AM175" s="24"/>
      <c r="AN175" s="24"/>
      <c r="AO175" s="24"/>
    </row>
    <row r="176" spans="1:42">
      <c r="B176" s="10" t="s">
        <v>652</v>
      </c>
      <c r="C176" s="24">
        <v>0</v>
      </c>
      <c r="D176" s="24"/>
      <c r="E176" s="24">
        <f>+'Transfer Detail PG 3 (Fin)'!E177</f>
        <v>0</v>
      </c>
      <c r="F176" s="24"/>
      <c r="G176" s="24">
        <v>0</v>
      </c>
      <c r="H176" s="24"/>
      <c r="I176" s="24">
        <f>+'Transfer Detail PG 3 (Fin)'!K177</f>
        <v>0</v>
      </c>
      <c r="J176" s="24"/>
      <c r="K176" s="24">
        <v>0</v>
      </c>
      <c r="L176" s="24"/>
      <c r="M176" s="24">
        <v>0</v>
      </c>
      <c r="N176" s="24"/>
      <c r="O176" s="24">
        <v>0</v>
      </c>
      <c r="P176" s="24"/>
      <c r="Q176" s="24">
        <f>+'Transfer Detail PG 3 (Fin)'!Q177</f>
        <v>0</v>
      </c>
      <c r="R176" s="24"/>
      <c r="S176" s="24">
        <v>0</v>
      </c>
      <c r="T176" s="24"/>
      <c r="U176" s="24">
        <v>0</v>
      </c>
      <c r="V176" s="24"/>
      <c r="W176" s="24">
        <v>0</v>
      </c>
      <c r="X176" s="24"/>
      <c r="Y176" s="24">
        <v>0</v>
      </c>
      <c r="Z176" s="24"/>
      <c r="AA176" s="24">
        <v>0</v>
      </c>
      <c r="AB176" s="24"/>
      <c r="AC176" s="24">
        <v>0</v>
      </c>
      <c r="AD176" s="24"/>
      <c r="AE176" s="24">
        <v>0</v>
      </c>
      <c r="AF176" s="24"/>
      <c r="AG176" s="24">
        <v>0</v>
      </c>
      <c r="AH176" s="24"/>
      <c r="AI176" s="24">
        <v>0</v>
      </c>
      <c r="AJ176" s="24"/>
      <c r="AK176" s="24">
        <v>0</v>
      </c>
      <c r="AL176" s="24"/>
      <c r="AM176" s="24">
        <v>0</v>
      </c>
      <c r="AN176" s="24"/>
      <c r="AO176" s="27">
        <f t="shared" ref="AO176:AO178" si="8">SUM(C176:AN176)</f>
        <v>0</v>
      </c>
      <c r="AP176" s="21"/>
    </row>
    <row r="177" spans="1:42">
      <c r="B177" s="10" t="s">
        <v>112</v>
      </c>
      <c r="C177" s="24">
        <v>0</v>
      </c>
      <c r="D177" s="24"/>
      <c r="E177" s="24">
        <f>+'Transfer Detail PG 3 (Fin)'!E178</f>
        <v>0</v>
      </c>
      <c r="F177" s="24"/>
      <c r="G177" s="24">
        <v>0</v>
      </c>
      <c r="H177" s="24"/>
      <c r="I177" s="24">
        <f>+'Transfer Detail PG 3 (Fin)'!I178</f>
        <v>-14615.87</v>
      </c>
      <c r="J177" s="119"/>
      <c r="K177" s="24">
        <v>0</v>
      </c>
      <c r="L177" s="24"/>
      <c r="M177" s="24">
        <f>+'Transfer Detail PG 3 (Fin)'!M178</f>
        <v>0</v>
      </c>
      <c r="N177" s="24"/>
      <c r="O177" s="24">
        <v>0</v>
      </c>
      <c r="P177" s="24"/>
      <c r="Q177" s="24">
        <f>+'Transfer Detail PG 3 (Fin)'!Q178</f>
        <v>0</v>
      </c>
      <c r="R177" s="24"/>
      <c r="S177" s="24">
        <v>0</v>
      </c>
      <c r="T177" s="24"/>
      <c r="U177" s="24">
        <v>0</v>
      </c>
      <c r="V177" s="24"/>
      <c r="W177" s="24">
        <f>+'Transfer Detail PG 3 (Fin)'!U178</f>
        <v>0</v>
      </c>
      <c r="X177" s="24"/>
      <c r="Y177" s="24">
        <v>0</v>
      </c>
      <c r="Z177" s="24"/>
      <c r="AA177" s="24">
        <v>0</v>
      </c>
      <c r="AB177" s="24"/>
      <c r="AC177" s="24">
        <v>0</v>
      </c>
      <c r="AD177" s="24"/>
      <c r="AE177" s="24">
        <v>0</v>
      </c>
      <c r="AF177" s="24"/>
      <c r="AG177" s="24">
        <v>0</v>
      </c>
      <c r="AH177" s="24"/>
      <c r="AI177" s="24">
        <v>0</v>
      </c>
      <c r="AJ177" s="24"/>
      <c r="AK177" s="24">
        <v>0</v>
      </c>
      <c r="AL177" s="24"/>
      <c r="AM177" s="24">
        <f>+'Transfer Detail PG 3 (Fin)'!AK178</f>
        <v>0</v>
      </c>
      <c r="AN177" s="24"/>
      <c r="AO177" s="27">
        <f t="shared" si="8"/>
        <v>-14615.87</v>
      </c>
      <c r="AP177" s="21"/>
    </row>
    <row r="178" spans="1:42">
      <c r="B178" s="10" t="s">
        <v>120</v>
      </c>
      <c r="C178" s="24">
        <v>0</v>
      </c>
      <c r="D178" s="24"/>
      <c r="E178" s="24">
        <f>+'Transfer Detail PG 3 (Fin)'!E179</f>
        <v>0</v>
      </c>
      <c r="F178" s="24"/>
      <c r="G178" s="24">
        <v>0</v>
      </c>
      <c r="H178" s="24"/>
      <c r="I178" s="24">
        <f>+'Transfer Detail PG 3 (Fin)'!I179</f>
        <v>14615.87</v>
      </c>
      <c r="J178" s="119"/>
      <c r="K178" s="24">
        <v>0</v>
      </c>
      <c r="L178" s="24"/>
      <c r="M178" s="24">
        <f>+'Transfer Detail PG 3 (Fin)'!M179</f>
        <v>0</v>
      </c>
      <c r="N178" s="24"/>
      <c r="O178" s="24">
        <v>0</v>
      </c>
      <c r="P178" s="24"/>
      <c r="Q178" s="24">
        <f>+'Transfer Detail PG 3 (Fin)'!Q179</f>
        <v>0</v>
      </c>
      <c r="R178" s="24"/>
      <c r="S178" s="24">
        <v>0</v>
      </c>
      <c r="T178" s="24"/>
      <c r="U178" s="24">
        <v>0</v>
      </c>
      <c r="V178" s="24"/>
      <c r="W178" s="28">
        <f>+'Transfer Detail PG 3 (Fin)'!U179</f>
        <v>0</v>
      </c>
      <c r="X178" s="24"/>
      <c r="Y178" s="24">
        <v>0</v>
      </c>
      <c r="Z178" s="24"/>
      <c r="AA178" s="24">
        <v>0</v>
      </c>
      <c r="AB178" s="24"/>
      <c r="AC178" s="24">
        <v>0</v>
      </c>
      <c r="AD178" s="24"/>
      <c r="AE178" s="24">
        <v>0</v>
      </c>
      <c r="AF178" s="24"/>
      <c r="AG178" s="24">
        <v>0</v>
      </c>
      <c r="AH178" s="24"/>
      <c r="AI178" s="24">
        <v>0</v>
      </c>
      <c r="AJ178" s="24"/>
      <c r="AK178" s="24">
        <v>0</v>
      </c>
      <c r="AL178" s="24"/>
      <c r="AM178" s="28">
        <f>+'Transfer Detail PG 3 (Fin)'!AK179</f>
        <v>0</v>
      </c>
      <c r="AN178" s="24"/>
      <c r="AO178" s="27">
        <f t="shared" si="8"/>
        <v>14615.87</v>
      </c>
      <c r="AP178" s="21"/>
    </row>
    <row r="179" spans="1:42">
      <c r="B179" s="11"/>
      <c r="C179" s="25">
        <f>SUM(C176:C178)</f>
        <v>0</v>
      </c>
      <c r="D179" s="27"/>
      <c r="E179" s="25">
        <f>SUM(E176:E178)</f>
        <v>0</v>
      </c>
      <c r="F179" s="24"/>
      <c r="G179" s="25">
        <f>SUM(G176:G178)</f>
        <v>0</v>
      </c>
      <c r="H179" s="27"/>
      <c r="I179" s="25">
        <f>SUM(I176:I178)</f>
        <v>0</v>
      </c>
      <c r="J179" s="24"/>
      <c r="K179" s="25">
        <f>SUM(K176:K178)</f>
        <v>0</v>
      </c>
      <c r="L179" s="24"/>
      <c r="M179" s="25">
        <f>SUM(M176:M178)</f>
        <v>0</v>
      </c>
      <c r="N179" s="24"/>
      <c r="O179" s="25">
        <f>SUM(O176:O178)</f>
        <v>0</v>
      </c>
      <c r="P179" s="24"/>
      <c r="Q179" s="25">
        <f>SUM(Q176:Q178)</f>
        <v>0</v>
      </c>
      <c r="R179" s="24"/>
      <c r="S179" s="25">
        <f>SUM(S176:S178)</f>
        <v>0</v>
      </c>
      <c r="T179" s="24"/>
      <c r="U179" s="25">
        <f>SUM(U176:U178)</f>
        <v>0</v>
      </c>
      <c r="V179" s="24"/>
      <c r="W179" s="25">
        <f>SUM(W176:W178)</f>
        <v>0</v>
      </c>
      <c r="X179" s="24"/>
      <c r="Y179" s="25">
        <f>SUM(Y176:Y178)</f>
        <v>0</v>
      </c>
      <c r="Z179" s="24"/>
      <c r="AA179" s="25">
        <f>SUM(AA176:AA178)</f>
        <v>0</v>
      </c>
      <c r="AB179" s="24"/>
      <c r="AC179" s="25">
        <f>SUM(AC176:AC178)</f>
        <v>0</v>
      </c>
      <c r="AD179" s="24"/>
      <c r="AE179" s="25">
        <f>SUM(AE176:AE178)</f>
        <v>0</v>
      </c>
      <c r="AF179" s="24"/>
      <c r="AG179" s="25">
        <f>SUM(AG176:AG178)</f>
        <v>0</v>
      </c>
      <c r="AH179" s="24"/>
      <c r="AI179" s="25">
        <f>SUM(AI176:AI178)</f>
        <v>0</v>
      </c>
      <c r="AJ179" s="24"/>
      <c r="AK179" s="25">
        <f>SUM(AK176:AK178)</f>
        <v>0</v>
      </c>
      <c r="AL179" s="24"/>
      <c r="AM179" s="25">
        <f>SUM(AM176:AM178)</f>
        <v>0</v>
      </c>
      <c r="AN179" s="24"/>
      <c r="AO179" s="25">
        <f>SUM(AO176:AO178)</f>
        <v>0</v>
      </c>
      <c r="AP179" s="21"/>
    </row>
    <row r="180" spans="1:42">
      <c r="C180" s="24"/>
      <c r="D180" s="24"/>
      <c r="E180" s="24"/>
      <c r="F180" s="24"/>
      <c r="G180" s="24"/>
      <c r="H180" s="24"/>
      <c r="I180" s="24"/>
      <c r="J180" s="24"/>
      <c r="K180" s="24"/>
      <c r="L180" s="24"/>
      <c r="M180" s="24"/>
      <c r="N180" s="24"/>
      <c r="O180" s="24"/>
      <c r="P180" s="24"/>
      <c r="Q180" s="24"/>
      <c r="R180" s="24"/>
      <c r="S180" s="24"/>
      <c r="T180" s="24"/>
      <c r="U180" s="24"/>
      <c r="V180" s="24"/>
      <c r="W180" s="24"/>
      <c r="X180" s="24"/>
      <c r="Y180" s="24"/>
      <c r="Z180" s="24"/>
      <c r="AA180" s="24"/>
      <c r="AB180" s="24"/>
      <c r="AC180" s="24"/>
      <c r="AD180" s="24"/>
      <c r="AE180" s="24"/>
      <c r="AF180" s="24"/>
      <c r="AG180" s="24"/>
      <c r="AH180" s="24"/>
      <c r="AI180" s="24"/>
      <c r="AJ180" s="24"/>
      <c r="AK180" s="24"/>
      <c r="AL180" s="24"/>
      <c r="AM180" s="24"/>
      <c r="AN180" s="24"/>
      <c r="AO180" s="24"/>
      <c r="AP180" s="21"/>
    </row>
    <row r="181" spans="1:42">
      <c r="B181" s="11" t="s">
        <v>657</v>
      </c>
      <c r="C181" s="28">
        <f>C173-C179</f>
        <v>-223.56</v>
      </c>
      <c r="D181" s="27"/>
      <c r="E181" s="28">
        <f>E173-E179</f>
        <v>0</v>
      </c>
      <c r="F181" s="24"/>
      <c r="G181" s="28">
        <f>G173-G179</f>
        <v>0</v>
      </c>
      <c r="H181" s="27"/>
      <c r="I181" s="28">
        <f>I173-I179</f>
        <v>0</v>
      </c>
      <c r="J181" s="24"/>
      <c r="K181" s="28">
        <f>K173-K179</f>
        <v>0</v>
      </c>
      <c r="L181" s="24"/>
      <c r="M181" s="28">
        <f>M173-M179</f>
        <v>0</v>
      </c>
      <c r="N181" s="24"/>
      <c r="O181" s="28">
        <f>O173-O179</f>
        <v>0</v>
      </c>
      <c r="P181" s="24"/>
      <c r="Q181" s="28">
        <f>Q173-Q179</f>
        <v>0</v>
      </c>
      <c r="R181" s="24"/>
      <c r="S181" s="28">
        <f>S173-S179</f>
        <v>0</v>
      </c>
      <c r="T181" s="24"/>
      <c r="U181" s="28">
        <f>U173-U179</f>
        <v>0</v>
      </c>
      <c r="V181" s="24"/>
      <c r="W181" s="28">
        <f>W173-W179</f>
        <v>0</v>
      </c>
      <c r="X181" s="24"/>
      <c r="Y181" s="28">
        <f>Y173-Y179</f>
        <v>0</v>
      </c>
      <c r="Z181" s="24"/>
      <c r="AA181" s="28">
        <f>AA173-AA179</f>
        <v>0</v>
      </c>
      <c r="AB181" s="24"/>
      <c r="AC181" s="28">
        <f>AC173-AC179</f>
        <v>0</v>
      </c>
      <c r="AD181" s="24"/>
      <c r="AE181" s="28">
        <f>AE173-AE179</f>
        <v>0</v>
      </c>
      <c r="AF181" s="24"/>
      <c r="AG181" s="28">
        <f>AG173-AG179</f>
        <v>0</v>
      </c>
      <c r="AH181" s="24"/>
      <c r="AI181" s="28">
        <f>AI173-AI179</f>
        <v>0</v>
      </c>
      <c r="AJ181" s="24"/>
      <c r="AK181" s="28">
        <f>AK173-AK179</f>
        <v>0</v>
      </c>
      <c r="AL181" s="24"/>
      <c r="AM181" s="28">
        <f>AM173-AM179</f>
        <v>0</v>
      </c>
      <c r="AN181" s="24"/>
      <c r="AO181" s="28">
        <f>AO173+AO179</f>
        <v>-223.56</v>
      </c>
      <c r="AP181" s="21"/>
    </row>
    <row r="182" spans="1:42">
      <c r="C182" s="24"/>
      <c r="D182" s="24"/>
      <c r="E182" s="24"/>
      <c r="F182" s="24"/>
      <c r="G182" s="24"/>
      <c r="H182" s="24"/>
      <c r="I182" s="24"/>
      <c r="J182" s="24"/>
      <c r="K182" s="24"/>
      <c r="L182" s="24"/>
      <c r="M182" s="24"/>
      <c r="N182" s="24"/>
      <c r="O182" s="24"/>
      <c r="P182" s="24"/>
      <c r="Q182" s="24"/>
      <c r="R182" s="24"/>
      <c r="S182" s="24"/>
      <c r="T182" s="24"/>
      <c r="U182" s="24"/>
      <c r="V182" s="24"/>
      <c r="W182" s="24"/>
      <c r="X182" s="24"/>
      <c r="Y182" s="24"/>
      <c r="Z182" s="24"/>
      <c r="AA182" s="24"/>
      <c r="AB182" s="24"/>
      <c r="AC182" s="24"/>
      <c r="AD182" s="24"/>
      <c r="AE182" s="24"/>
      <c r="AF182" s="24"/>
      <c r="AG182" s="24"/>
      <c r="AH182" s="24"/>
      <c r="AI182" s="24"/>
      <c r="AJ182" s="24"/>
      <c r="AK182" s="24"/>
      <c r="AL182" s="24"/>
      <c r="AM182" s="24"/>
      <c r="AN182" s="24"/>
      <c r="AO182" s="24"/>
      <c r="AP182" s="21"/>
    </row>
    <row r="183" spans="1:42">
      <c r="A183" s="12" t="s">
        <v>658</v>
      </c>
      <c r="C183" s="24"/>
      <c r="D183" s="24"/>
      <c r="E183" s="24"/>
      <c r="F183" s="24"/>
      <c r="G183" s="24"/>
      <c r="H183" s="24"/>
      <c r="I183" s="24"/>
      <c r="J183" s="24"/>
      <c r="K183" s="24"/>
      <c r="L183" s="24"/>
      <c r="M183" s="24"/>
      <c r="N183" s="24"/>
      <c r="O183" s="24"/>
      <c r="P183" s="24"/>
      <c r="Q183" s="24"/>
      <c r="R183" s="24"/>
      <c r="S183" s="24"/>
      <c r="T183" s="24"/>
      <c r="U183" s="24"/>
      <c r="V183" s="24"/>
      <c r="W183" s="24"/>
      <c r="X183" s="24"/>
      <c r="Y183" s="24"/>
      <c r="Z183" s="24"/>
      <c r="AA183" s="24"/>
      <c r="AB183" s="24"/>
      <c r="AC183" s="24"/>
      <c r="AD183" s="24"/>
      <c r="AE183" s="24"/>
      <c r="AF183" s="24"/>
      <c r="AG183" s="24"/>
      <c r="AH183" s="24"/>
      <c r="AI183" s="24"/>
      <c r="AJ183" s="24"/>
      <c r="AK183" s="24"/>
      <c r="AL183" s="24"/>
      <c r="AM183" s="24"/>
      <c r="AN183" s="24"/>
      <c r="AO183" s="24"/>
      <c r="AP183" s="21"/>
    </row>
    <row r="184" spans="1:42">
      <c r="B184" s="10" t="s">
        <v>652</v>
      </c>
      <c r="C184" s="24">
        <v>0</v>
      </c>
      <c r="D184" s="24"/>
      <c r="E184" s="24">
        <v>0</v>
      </c>
      <c r="F184" s="24"/>
      <c r="G184" s="24">
        <v>0</v>
      </c>
      <c r="H184" s="24"/>
      <c r="I184" s="27">
        <f>+'Transfer Detail PG 3 (Fin)'!I185</f>
        <v>0</v>
      </c>
      <c r="J184" s="24"/>
      <c r="K184" s="24">
        <v>0</v>
      </c>
      <c r="L184" s="24"/>
      <c r="M184" s="24">
        <v>0</v>
      </c>
      <c r="N184" s="24"/>
      <c r="O184" s="24">
        <v>0</v>
      </c>
      <c r="P184" s="24"/>
      <c r="Q184" s="24">
        <v>0</v>
      </c>
      <c r="R184" s="24"/>
      <c r="S184" s="24">
        <v>0</v>
      </c>
      <c r="T184" s="24"/>
      <c r="U184" s="24">
        <v>0</v>
      </c>
      <c r="V184" s="24"/>
      <c r="W184" s="24">
        <v>0</v>
      </c>
      <c r="X184" s="24"/>
      <c r="Y184" s="24">
        <v>0</v>
      </c>
      <c r="Z184" s="24"/>
      <c r="AA184" s="24">
        <v>0</v>
      </c>
      <c r="AB184" s="24"/>
      <c r="AC184" s="24">
        <v>0</v>
      </c>
      <c r="AD184" s="24"/>
      <c r="AE184" s="24">
        <v>0</v>
      </c>
      <c r="AF184" s="24"/>
      <c r="AG184" s="24">
        <v>0</v>
      </c>
      <c r="AH184" s="24"/>
      <c r="AI184" s="24">
        <v>0</v>
      </c>
      <c r="AJ184" s="24"/>
      <c r="AK184" s="24">
        <v>0</v>
      </c>
      <c r="AL184" s="24"/>
      <c r="AM184" s="24">
        <v>0</v>
      </c>
      <c r="AN184" s="24"/>
      <c r="AO184" s="27">
        <f t="shared" ref="AO184:AO186" si="9">SUM(C184:AN184)</f>
        <v>0</v>
      </c>
      <c r="AP184" s="21"/>
    </row>
    <row r="185" spans="1:42">
      <c r="B185" s="10" t="s">
        <v>112</v>
      </c>
      <c r="C185" s="24">
        <v>0</v>
      </c>
      <c r="D185" s="24"/>
      <c r="E185" s="24">
        <v>0</v>
      </c>
      <c r="F185" s="24"/>
      <c r="G185" s="24">
        <v>0</v>
      </c>
      <c r="H185" s="24"/>
      <c r="I185" s="27">
        <f>+'Transfer Detail PG 3 (Fin)'!I186</f>
        <v>0</v>
      </c>
      <c r="J185" s="24"/>
      <c r="K185" s="24">
        <v>0</v>
      </c>
      <c r="L185" s="24"/>
      <c r="M185" s="24">
        <v>0</v>
      </c>
      <c r="N185" s="24"/>
      <c r="O185" s="24">
        <v>0</v>
      </c>
      <c r="P185" s="24"/>
      <c r="Q185" s="24">
        <v>0</v>
      </c>
      <c r="R185" s="24"/>
      <c r="S185" s="24">
        <v>0</v>
      </c>
      <c r="T185" s="24"/>
      <c r="U185" s="24">
        <v>0</v>
      </c>
      <c r="V185" s="24"/>
      <c r="W185" s="24">
        <v>0</v>
      </c>
      <c r="X185" s="24"/>
      <c r="Y185" s="24">
        <v>0</v>
      </c>
      <c r="Z185" s="24"/>
      <c r="AA185" s="24">
        <v>0</v>
      </c>
      <c r="AB185" s="24"/>
      <c r="AC185" s="24">
        <v>0</v>
      </c>
      <c r="AD185" s="24"/>
      <c r="AE185" s="24">
        <v>0</v>
      </c>
      <c r="AF185" s="24"/>
      <c r="AG185" s="24">
        <v>0</v>
      </c>
      <c r="AH185" s="24"/>
      <c r="AI185" s="24">
        <v>0</v>
      </c>
      <c r="AJ185" s="24"/>
      <c r="AK185" s="24">
        <v>0</v>
      </c>
      <c r="AL185" s="24"/>
      <c r="AM185" s="24">
        <v>0</v>
      </c>
      <c r="AN185" s="24"/>
      <c r="AO185" s="27">
        <f t="shared" si="9"/>
        <v>0</v>
      </c>
      <c r="AP185" s="21"/>
    </row>
    <row r="186" spans="1:42">
      <c r="B186" s="10" t="s">
        <v>120</v>
      </c>
      <c r="C186" s="28">
        <v>0</v>
      </c>
      <c r="D186" s="27"/>
      <c r="E186" s="28">
        <v>0</v>
      </c>
      <c r="F186" s="24"/>
      <c r="G186" s="28">
        <v>0</v>
      </c>
      <c r="H186" s="27"/>
      <c r="I186" s="28">
        <f>+'Transfer Detail PG 3 (Fin)'!I187</f>
        <v>0</v>
      </c>
      <c r="J186" s="24"/>
      <c r="K186" s="28">
        <v>0</v>
      </c>
      <c r="L186" s="24"/>
      <c r="M186" s="28">
        <v>0</v>
      </c>
      <c r="N186" s="24"/>
      <c r="O186" s="28">
        <v>0</v>
      </c>
      <c r="P186" s="24"/>
      <c r="Q186" s="28">
        <v>0</v>
      </c>
      <c r="R186" s="24"/>
      <c r="S186" s="28">
        <v>0</v>
      </c>
      <c r="T186" s="24"/>
      <c r="U186" s="28">
        <v>0</v>
      </c>
      <c r="V186" s="24"/>
      <c r="W186" s="28">
        <v>0</v>
      </c>
      <c r="X186" s="24"/>
      <c r="Y186" s="28">
        <v>0</v>
      </c>
      <c r="Z186" s="24"/>
      <c r="AA186" s="28">
        <v>0</v>
      </c>
      <c r="AB186" s="24"/>
      <c r="AC186" s="28">
        <v>0</v>
      </c>
      <c r="AD186" s="24"/>
      <c r="AE186" s="28">
        <v>0</v>
      </c>
      <c r="AF186" s="24"/>
      <c r="AG186" s="28">
        <v>0</v>
      </c>
      <c r="AH186" s="24"/>
      <c r="AI186" s="28">
        <v>0</v>
      </c>
      <c r="AJ186" s="24"/>
      <c r="AK186" s="28">
        <v>0</v>
      </c>
      <c r="AL186" s="24"/>
      <c r="AM186" s="28">
        <v>0</v>
      </c>
      <c r="AN186" s="24"/>
      <c r="AO186" s="28">
        <f t="shared" si="9"/>
        <v>0</v>
      </c>
      <c r="AP186" s="21"/>
    </row>
    <row r="187" spans="1:42">
      <c r="B187" s="11" t="s">
        <v>659</v>
      </c>
      <c r="C187" s="27">
        <f>SUM(C184:C186)</f>
        <v>0</v>
      </c>
      <c r="D187" s="27"/>
      <c r="E187" s="27">
        <f>SUM(E184:E186)</f>
        <v>0</v>
      </c>
      <c r="F187" s="27"/>
      <c r="G187" s="27">
        <f>SUM(G184:G186)</f>
        <v>0</v>
      </c>
      <c r="H187" s="27"/>
      <c r="I187" s="27">
        <f>SUM(I184:I186)</f>
        <v>0</v>
      </c>
      <c r="J187" s="27"/>
      <c r="K187" s="27">
        <f>SUM(K184:K186)</f>
        <v>0</v>
      </c>
      <c r="L187" s="27"/>
      <c r="M187" s="27">
        <f>SUM(M184:M186)</f>
        <v>0</v>
      </c>
      <c r="N187" s="27"/>
      <c r="O187" s="27">
        <f>SUM(O184:O186)</f>
        <v>0</v>
      </c>
      <c r="P187" s="27"/>
      <c r="Q187" s="27">
        <f>SUM(Q184:Q186)</f>
        <v>0</v>
      </c>
      <c r="R187" s="27"/>
      <c r="S187" s="27">
        <f>SUM(S184:S186)</f>
        <v>0</v>
      </c>
      <c r="T187" s="27"/>
      <c r="U187" s="27">
        <f>SUM(U184:U186)</f>
        <v>0</v>
      </c>
      <c r="V187" s="27"/>
      <c r="W187" s="27">
        <f>SUM(W184:W186)</f>
        <v>0</v>
      </c>
      <c r="X187" s="27"/>
      <c r="Y187" s="27">
        <f>SUM(Y184:Y186)</f>
        <v>0</v>
      </c>
      <c r="Z187" s="27"/>
      <c r="AA187" s="27">
        <f>SUM(AA184:AA186)</f>
        <v>0</v>
      </c>
      <c r="AB187" s="27"/>
      <c r="AC187" s="27">
        <f>SUM(AC184:AC186)</f>
        <v>0</v>
      </c>
      <c r="AD187" s="27"/>
      <c r="AE187" s="27">
        <f>SUM(AE184:AE186)</f>
        <v>0</v>
      </c>
      <c r="AF187" s="27"/>
      <c r="AG187" s="27">
        <f>SUM(AG184:AG186)</f>
        <v>0</v>
      </c>
      <c r="AH187" s="27"/>
      <c r="AI187" s="27">
        <f>SUM(AI184:AI186)</f>
        <v>0</v>
      </c>
      <c r="AJ187" s="27"/>
      <c r="AK187" s="27">
        <f>SUM(AK184:AK186)</f>
        <v>0</v>
      </c>
      <c r="AL187" s="27"/>
      <c r="AM187" s="27">
        <f>SUM(AM184:AM186)</f>
        <v>0</v>
      </c>
      <c r="AN187" s="27"/>
      <c r="AO187" s="27">
        <f>SUM(AO184:AO186)</f>
        <v>0</v>
      </c>
      <c r="AP187" s="82"/>
    </row>
    <row r="188" spans="1:42">
      <c r="B188" s="11"/>
      <c r="C188" s="27"/>
      <c r="D188" s="27"/>
      <c r="E188" s="27"/>
      <c r="F188" s="24"/>
      <c r="G188" s="27"/>
      <c r="H188" s="27"/>
      <c r="I188" s="27"/>
      <c r="J188" s="24"/>
      <c r="K188" s="27"/>
      <c r="L188" s="24"/>
      <c r="M188" s="27"/>
      <c r="N188" s="24"/>
      <c r="O188" s="27"/>
      <c r="P188" s="24"/>
      <c r="Q188" s="27"/>
      <c r="R188" s="24"/>
      <c r="S188" s="27"/>
      <c r="T188" s="24"/>
      <c r="U188" s="27"/>
      <c r="V188" s="24"/>
      <c r="W188" s="27"/>
      <c r="X188" s="24"/>
      <c r="Y188" s="27"/>
      <c r="Z188" s="24"/>
      <c r="AA188" s="27"/>
      <c r="AB188" s="24"/>
      <c r="AC188" s="27"/>
      <c r="AD188" s="24"/>
      <c r="AE188" s="27"/>
      <c r="AF188" s="24"/>
      <c r="AG188" s="27"/>
      <c r="AH188" s="24"/>
      <c r="AI188" s="27"/>
      <c r="AJ188" s="24"/>
      <c r="AK188" s="27"/>
      <c r="AL188" s="24"/>
      <c r="AM188" s="27"/>
      <c r="AN188" s="24"/>
      <c r="AO188" s="27"/>
      <c r="AP188" s="21"/>
    </row>
    <row r="189" spans="1:42">
      <c r="C189" s="24"/>
      <c r="D189" s="24"/>
      <c r="E189" s="24"/>
      <c r="F189" s="24"/>
      <c r="G189" s="24"/>
      <c r="H189" s="24"/>
      <c r="I189" s="24"/>
      <c r="J189" s="24"/>
      <c r="K189" s="24"/>
      <c r="L189" s="24"/>
      <c r="M189" s="24"/>
      <c r="N189" s="24"/>
      <c r="O189" s="24"/>
      <c r="P189" s="24"/>
      <c r="Q189" s="24"/>
      <c r="R189" s="24"/>
      <c r="S189" s="24"/>
      <c r="T189" s="24"/>
      <c r="U189" s="24"/>
      <c r="V189" s="24"/>
      <c r="W189" s="24"/>
      <c r="X189" s="24"/>
      <c r="Y189" s="24"/>
      <c r="Z189" s="24"/>
      <c r="AA189" s="24"/>
      <c r="AB189" s="24"/>
      <c r="AC189" s="24"/>
      <c r="AD189" s="24"/>
      <c r="AE189" s="24"/>
      <c r="AF189" s="24"/>
      <c r="AG189" s="24"/>
      <c r="AH189" s="24"/>
      <c r="AI189" s="24"/>
      <c r="AJ189" s="24"/>
      <c r="AK189" s="24"/>
      <c r="AL189" s="24"/>
      <c r="AM189" s="24"/>
      <c r="AN189" s="24"/>
      <c r="AO189" s="24"/>
      <c r="AP189" s="21"/>
    </row>
    <row r="190" spans="1:42" ht="13.5" thickBot="1">
      <c r="B190" s="11" t="s">
        <v>660</v>
      </c>
      <c r="C190" s="73">
        <f>C181+C187</f>
        <v>-223.56</v>
      </c>
      <c r="D190" s="27"/>
      <c r="E190" s="73">
        <f>E181+E187</f>
        <v>0</v>
      </c>
      <c r="F190" s="24"/>
      <c r="G190" s="73">
        <f>G181+G187</f>
        <v>0</v>
      </c>
      <c r="H190" s="27"/>
      <c r="I190" s="73">
        <f>I181+I187</f>
        <v>0</v>
      </c>
      <c r="J190" s="24"/>
      <c r="K190" s="73">
        <f>K181+K187</f>
        <v>0</v>
      </c>
      <c r="L190" s="24"/>
      <c r="M190" s="73">
        <f>M181+M187</f>
        <v>0</v>
      </c>
      <c r="N190" s="24"/>
      <c r="O190" s="73">
        <f>O181+O187</f>
        <v>0</v>
      </c>
      <c r="P190" s="24"/>
      <c r="Q190" s="73">
        <f>Q181+Q187</f>
        <v>0</v>
      </c>
      <c r="R190" s="24"/>
      <c r="S190" s="73">
        <f>S181+S187</f>
        <v>0</v>
      </c>
      <c r="T190" s="24"/>
      <c r="U190" s="73">
        <f>U181+U187</f>
        <v>0</v>
      </c>
      <c r="V190" s="24"/>
      <c r="W190" s="73">
        <f>W181+W187</f>
        <v>0</v>
      </c>
      <c r="X190" s="24"/>
      <c r="Y190" s="73">
        <f>Y181+Y187</f>
        <v>0</v>
      </c>
      <c r="Z190" s="24"/>
      <c r="AA190" s="73">
        <f>AA181+AA187</f>
        <v>0</v>
      </c>
      <c r="AB190" s="24"/>
      <c r="AC190" s="73">
        <f>AC181+AC187</f>
        <v>0</v>
      </c>
      <c r="AD190" s="24"/>
      <c r="AE190" s="73">
        <f>AE181+AE187</f>
        <v>0</v>
      </c>
      <c r="AF190" s="24"/>
      <c r="AG190" s="73">
        <f>AG181+AG187</f>
        <v>0</v>
      </c>
      <c r="AH190" s="24"/>
      <c r="AI190" s="73">
        <f>AI181+AI187</f>
        <v>0</v>
      </c>
      <c r="AJ190" s="24"/>
      <c r="AK190" s="73">
        <f>AK181+AK187</f>
        <v>0</v>
      </c>
      <c r="AL190" s="24"/>
      <c r="AM190" s="73">
        <f>AM181+AM187</f>
        <v>0</v>
      </c>
      <c r="AN190" s="24"/>
      <c r="AO190" s="73">
        <f>AO181+AO187</f>
        <v>-223.56</v>
      </c>
      <c r="AP190" s="21"/>
    </row>
    <row r="191" spans="1:42" ht="13.5" thickTop="1">
      <c r="B191" s="11"/>
      <c r="C191" s="27"/>
      <c r="D191" s="27"/>
      <c r="E191" s="27"/>
      <c r="F191" s="24"/>
      <c r="G191" s="27"/>
      <c r="H191" s="27"/>
      <c r="I191" s="27"/>
      <c r="J191" s="24"/>
      <c r="K191" s="27"/>
      <c r="L191" s="24"/>
      <c r="M191" s="27"/>
      <c r="N191" s="24"/>
      <c r="O191" s="27"/>
      <c r="P191" s="24"/>
      <c r="Q191" s="27"/>
      <c r="R191" s="24"/>
      <c r="S191" s="27"/>
      <c r="T191" s="24"/>
      <c r="U191" s="27"/>
      <c r="V191" s="24"/>
      <c r="W191" s="27"/>
      <c r="X191" s="24"/>
      <c r="Y191" s="27"/>
      <c r="Z191" s="24"/>
      <c r="AA191" s="27"/>
      <c r="AB191" s="24"/>
      <c r="AC191" s="27"/>
      <c r="AD191" s="24"/>
      <c r="AE191" s="27"/>
      <c r="AF191" s="24"/>
      <c r="AG191" s="27"/>
      <c r="AH191" s="24"/>
      <c r="AI191" s="27"/>
      <c r="AJ191" s="24"/>
      <c r="AK191" s="27"/>
      <c r="AL191" s="24"/>
      <c r="AM191" s="27"/>
      <c r="AN191" s="24"/>
      <c r="AO191" s="27"/>
      <c r="AP191" s="21"/>
    </row>
    <row r="192" spans="1:42">
      <c r="C192" s="24"/>
      <c r="D192" s="24"/>
      <c r="E192" s="24"/>
      <c r="F192" s="24"/>
      <c r="G192" s="24"/>
      <c r="H192" s="24"/>
      <c r="I192" s="24"/>
      <c r="J192" s="24"/>
      <c r="K192" s="24"/>
      <c r="L192" s="24"/>
      <c r="M192" s="24"/>
      <c r="N192" s="24"/>
      <c r="O192" s="24"/>
      <c r="P192" s="24"/>
      <c r="Q192" s="24"/>
      <c r="R192" s="24"/>
      <c r="S192" s="24"/>
      <c r="T192" s="24"/>
      <c r="U192" s="24"/>
      <c r="V192" s="24"/>
      <c r="W192" s="24"/>
      <c r="X192" s="24"/>
      <c r="Y192" s="24"/>
      <c r="Z192" s="24"/>
      <c r="AA192" s="24"/>
      <c r="AB192" s="24"/>
      <c r="AC192" s="24"/>
      <c r="AD192" s="24"/>
      <c r="AE192" s="24"/>
      <c r="AF192" s="24"/>
      <c r="AG192" s="24"/>
      <c r="AH192" s="24"/>
      <c r="AI192" s="24"/>
      <c r="AJ192" s="24"/>
      <c r="AK192" s="24"/>
      <c r="AL192" s="24"/>
      <c r="AM192" s="24"/>
      <c r="AN192" s="24"/>
      <c r="AO192" s="24"/>
      <c r="AP192" s="21"/>
    </row>
    <row r="193" spans="1:42">
      <c r="A193" s="267">
        <v>40909</v>
      </c>
      <c r="B193" s="12" t="s">
        <v>1954</v>
      </c>
      <c r="C193" s="21"/>
      <c r="D193" s="21"/>
      <c r="E193" s="21"/>
      <c r="F193" s="21"/>
      <c r="G193" s="21"/>
      <c r="H193" s="21"/>
      <c r="I193" s="21"/>
      <c r="J193" s="21"/>
      <c r="K193" s="21"/>
    </row>
    <row r="194" spans="1:42">
      <c r="B194" s="12" t="s">
        <v>1955</v>
      </c>
      <c r="C194" s="21"/>
      <c r="D194" s="21"/>
      <c r="E194" s="21"/>
      <c r="F194" s="21"/>
      <c r="G194" s="21"/>
      <c r="H194" s="21"/>
      <c r="I194" s="21"/>
      <c r="J194" s="21"/>
      <c r="K194" s="21"/>
    </row>
    <row r="195" spans="1:42">
      <c r="C195" s="21"/>
      <c r="D195" s="21"/>
      <c r="E195" s="21"/>
      <c r="F195" s="21"/>
      <c r="G195" s="21"/>
      <c r="H195" s="21"/>
      <c r="I195" s="21"/>
      <c r="J195" s="21"/>
      <c r="K195" s="21"/>
      <c r="L195" s="21"/>
      <c r="M195" s="21"/>
      <c r="N195" s="21"/>
      <c r="O195" s="21"/>
      <c r="P195" s="21"/>
      <c r="Q195" s="21"/>
      <c r="R195" s="21"/>
      <c r="S195" s="21"/>
      <c r="T195" s="21"/>
      <c r="U195" s="21"/>
      <c r="V195" s="21"/>
      <c r="W195" s="21"/>
      <c r="X195" s="21"/>
      <c r="Y195" s="21"/>
      <c r="Z195" s="21"/>
      <c r="AA195" s="21"/>
      <c r="AB195" s="21"/>
      <c r="AC195" s="21"/>
      <c r="AD195" s="21"/>
      <c r="AE195" s="21"/>
      <c r="AF195" s="21"/>
      <c r="AG195" s="21"/>
      <c r="AH195" s="21"/>
      <c r="AI195" s="21"/>
      <c r="AJ195" s="21"/>
      <c r="AK195" s="21"/>
      <c r="AL195" s="21"/>
      <c r="AM195" s="21"/>
      <c r="AN195" s="21"/>
      <c r="AO195" s="21"/>
      <c r="AP195" s="21"/>
    </row>
    <row r="196" spans="1:42">
      <c r="A196" s="339" t="s">
        <v>1961</v>
      </c>
      <c r="B196" s="12" t="s">
        <v>1968</v>
      </c>
      <c r="C196" s="21"/>
      <c r="D196" s="21"/>
      <c r="E196" s="21"/>
      <c r="F196" s="21"/>
      <c r="G196" s="21"/>
      <c r="H196" s="21"/>
      <c r="I196" s="21"/>
      <c r="J196" s="21"/>
      <c r="K196" s="21"/>
      <c r="L196" s="21"/>
      <c r="M196" s="21"/>
      <c r="N196" s="21"/>
      <c r="O196" s="21"/>
      <c r="P196" s="21"/>
      <c r="Q196" s="21"/>
      <c r="R196" s="21"/>
      <c r="S196" s="21"/>
      <c r="T196" s="21"/>
      <c r="U196" s="21"/>
      <c r="V196" s="21"/>
      <c r="W196" s="21"/>
      <c r="X196" s="21"/>
      <c r="Y196" s="21"/>
      <c r="Z196" s="21"/>
      <c r="AA196" s="21"/>
      <c r="AB196" s="21"/>
      <c r="AC196" s="21"/>
      <c r="AD196" s="21"/>
      <c r="AE196" s="21"/>
      <c r="AF196" s="21"/>
      <c r="AG196" s="21"/>
      <c r="AH196" s="21"/>
      <c r="AI196" s="21"/>
      <c r="AJ196" s="21"/>
      <c r="AK196" s="21"/>
      <c r="AL196" s="21"/>
      <c r="AM196" s="21"/>
      <c r="AN196" s="21"/>
      <c r="AO196" s="21"/>
      <c r="AP196" s="21"/>
    </row>
    <row r="197" spans="1:42">
      <c r="A197" s="339"/>
      <c r="B197" s="12"/>
      <c r="C197" s="21"/>
      <c r="D197" s="21"/>
      <c r="E197" s="21"/>
      <c r="F197" s="21"/>
      <c r="G197" s="21"/>
      <c r="H197" s="21"/>
      <c r="I197" s="21"/>
      <c r="J197" s="21"/>
      <c r="K197" s="21"/>
      <c r="L197" s="21"/>
      <c r="M197" s="21"/>
      <c r="N197" s="21"/>
      <c r="O197" s="21"/>
      <c r="P197" s="21"/>
      <c r="Q197" s="21"/>
      <c r="R197" s="21"/>
      <c r="S197" s="21"/>
      <c r="T197" s="21"/>
      <c r="U197" s="21"/>
      <c r="V197" s="21"/>
      <c r="W197" s="21"/>
      <c r="X197" s="21"/>
      <c r="Y197" s="21"/>
      <c r="Z197" s="21"/>
      <c r="AA197" s="21"/>
      <c r="AB197" s="21"/>
      <c r="AC197" s="21"/>
      <c r="AD197" s="21"/>
      <c r="AE197" s="21"/>
      <c r="AF197" s="21"/>
      <c r="AG197" s="21"/>
      <c r="AH197" s="21"/>
      <c r="AI197" s="21"/>
      <c r="AJ197" s="21"/>
      <c r="AK197" s="21"/>
      <c r="AL197" s="21"/>
      <c r="AM197" s="21"/>
      <c r="AN197" s="21"/>
      <c r="AO197" s="21"/>
      <c r="AP197" s="21"/>
    </row>
    <row r="198" spans="1:42">
      <c r="A198" s="339" t="s">
        <v>1962</v>
      </c>
      <c r="B198" s="12" t="s">
        <v>1964</v>
      </c>
      <c r="C198" s="21"/>
      <c r="D198" s="21"/>
      <c r="E198" s="21"/>
      <c r="F198" s="21"/>
      <c r="G198" s="21"/>
      <c r="H198" s="21"/>
      <c r="I198" s="21"/>
      <c r="J198" s="21"/>
      <c r="K198" s="21"/>
      <c r="L198" s="21"/>
      <c r="M198" s="21"/>
      <c r="N198" s="21"/>
      <c r="O198" s="21"/>
      <c r="P198" s="21"/>
      <c r="Q198" s="21"/>
      <c r="R198" s="21"/>
      <c r="S198" s="21"/>
      <c r="T198" s="21"/>
      <c r="U198" s="21"/>
      <c r="V198" s="21"/>
      <c r="W198" s="21"/>
      <c r="X198" s="21"/>
      <c r="Y198" s="21"/>
      <c r="Z198" s="21"/>
      <c r="AA198" s="21"/>
      <c r="AB198" s="21"/>
      <c r="AC198" s="21"/>
      <c r="AD198" s="21"/>
      <c r="AE198" s="21"/>
      <c r="AF198" s="21"/>
      <c r="AG198" s="21"/>
      <c r="AH198" s="21"/>
      <c r="AI198" s="21"/>
      <c r="AJ198" s="21"/>
      <c r="AK198" s="21"/>
      <c r="AL198" s="21"/>
      <c r="AM198" s="21"/>
      <c r="AN198" s="21"/>
      <c r="AO198" s="21"/>
      <c r="AP198" s="21"/>
    </row>
    <row r="199" spans="1:42">
      <c r="A199" s="339"/>
      <c r="B199" s="12"/>
      <c r="C199" s="21"/>
      <c r="D199" s="21"/>
      <c r="E199" s="21"/>
      <c r="F199" s="21"/>
      <c r="G199" s="21"/>
      <c r="H199" s="21"/>
      <c r="I199" s="21"/>
      <c r="J199" s="21"/>
      <c r="K199" s="21"/>
      <c r="L199" s="21"/>
      <c r="M199" s="21"/>
      <c r="N199" s="21"/>
      <c r="O199" s="21"/>
      <c r="P199" s="21"/>
      <c r="Q199" s="21"/>
      <c r="R199" s="21"/>
      <c r="S199" s="21"/>
      <c r="T199" s="21"/>
      <c r="U199" s="21"/>
      <c r="V199" s="21"/>
      <c r="W199" s="21"/>
      <c r="X199" s="21"/>
      <c r="Y199" s="21"/>
      <c r="Z199" s="21"/>
      <c r="AA199" s="21"/>
      <c r="AB199" s="21"/>
      <c r="AC199" s="21"/>
      <c r="AD199" s="21"/>
      <c r="AE199" s="21"/>
      <c r="AF199" s="21"/>
      <c r="AG199" s="21"/>
      <c r="AH199" s="21"/>
      <c r="AI199" s="21"/>
      <c r="AJ199" s="21"/>
      <c r="AK199" s="21"/>
      <c r="AL199" s="21"/>
      <c r="AM199" s="21"/>
      <c r="AN199" s="21"/>
      <c r="AO199" s="21"/>
      <c r="AP199" s="21"/>
    </row>
    <row r="200" spans="1:42">
      <c r="A200" s="339" t="s">
        <v>1963</v>
      </c>
      <c r="B200" s="12" t="s">
        <v>1965</v>
      </c>
      <c r="C200" s="21"/>
      <c r="D200" s="21"/>
      <c r="E200" s="21"/>
      <c r="F200" s="21"/>
      <c r="G200" s="21"/>
      <c r="H200" s="21"/>
      <c r="I200" s="21"/>
      <c r="J200" s="21"/>
      <c r="K200" s="21"/>
      <c r="L200" s="21"/>
      <c r="M200" s="21"/>
      <c r="N200" s="21"/>
      <c r="O200" s="21"/>
      <c r="P200" s="21"/>
      <c r="Q200" s="21"/>
      <c r="R200" s="21"/>
      <c r="S200" s="21"/>
      <c r="T200" s="21"/>
      <c r="U200" s="21"/>
      <c r="V200" s="21"/>
      <c r="W200" s="21"/>
      <c r="X200" s="21"/>
      <c r="Y200" s="21"/>
      <c r="Z200" s="21"/>
      <c r="AA200" s="21"/>
      <c r="AB200" s="21"/>
      <c r="AC200" s="21"/>
      <c r="AD200" s="21"/>
      <c r="AE200" s="21"/>
      <c r="AF200" s="21"/>
      <c r="AG200" s="21"/>
      <c r="AH200" s="21"/>
      <c r="AI200" s="21"/>
      <c r="AJ200" s="21"/>
      <c r="AK200" s="21"/>
      <c r="AL200" s="21"/>
      <c r="AM200" s="21"/>
      <c r="AN200" s="21"/>
      <c r="AO200" s="21"/>
      <c r="AP200" s="21"/>
    </row>
    <row r="201" spans="1:42">
      <c r="C201" s="21"/>
      <c r="D201" s="21"/>
      <c r="E201" s="21"/>
      <c r="F201" s="21"/>
      <c r="G201" s="21"/>
      <c r="H201" s="21"/>
      <c r="I201" s="21"/>
      <c r="J201" s="21"/>
      <c r="K201" s="21"/>
      <c r="L201" s="21"/>
      <c r="M201" s="21"/>
      <c r="N201" s="21"/>
      <c r="O201" s="21"/>
      <c r="P201" s="21"/>
      <c r="Q201" s="21"/>
      <c r="R201" s="21"/>
      <c r="S201" s="21"/>
      <c r="T201" s="21"/>
      <c r="U201" s="21"/>
      <c r="V201" s="21"/>
      <c r="W201" s="21"/>
      <c r="X201" s="21"/>
      <c r="Y201" s="21"/>
      <c r="Z201" s="21"/>
      <c r="AA201" s="21"/>
      <c r="AB201" s="21"/>
      <c r="AC201" s="21"/>
      <c r="AD201" s="21"/>
      <c r="AE201" s="21"/>
      <c r="AF201" s="21"/>
      <c r="AG201" s="21"/>
      <c r="AH201" s="21"/>
      <c r="AI201" s="21"/>
      <c r="AJ201" s="21"/>
      <c r="AK201" s="21"/>
      <c r="AL201" s="21"/>
      <c r="AM201" s="21"/>
      <c r="AN201" s="21"/>
      <c r="AO201" s="21"/>
      <c r="AP201" s="21"/>
    </row>
    <row r="202" spans="1:42">
      <c r="C202" s="21"/>
      <c r="D202" s="21"/>
      <c r="E202" s="21"/>
      <c r="F202" s="21"/>
      <c r="G202" s="21"/>
      <c r="H202" s="21"/>
      <c r="I202" s="21"/>
      <c r="J202" s="21"/>
      <c r="K202" s="21"/>
      <c r="L202" s="21"/>
      <c r="M202" s="21"/>
      <c r="N202" s="21"/>
      <c r="O202" s="21"/>
      <c r="P202" s="21"/>
      <c r="Q202" s="21"/>
      <c r="R202" s="21"/>
      <c r="S202" s="21"/>
      <c r="T202" s="21"/>
      <c r="U202" s="21"/>
      <c r="V202" s="21"/>
      <c r="W202" s="21"/>
      <c r="X202" s="21"/>
      <c r="Y202" s="21"/>
      <c r="Z202" s="21"/>
      <c r="AA202" s="21"/>
      <c r="AB202" s="21"/>
      <c r="AC202" s="21"/>
      <c r="AD202" s="21"/>
      <c r="AE202" s="21"/>
      <c r="AF202" s="21"/>
      <c r="AG202" s="21"/>
      <c r="AH202" s="21"/>
      <c r="AI202" s="21"/>
      <c r="AJ202" s="21"/>
      <c r="AK202" s="21"/>
      <c r="AL202" s="21"/>
      <c r="AM202" s="21"/>
      <c r="AN202" s="21"/>
      <c r="AO202" s="21"/>
      <c r="AP202" s="21"/>
    </row>
    <row r="203" spans="1:42">
      <c r="C203" s="21"/>
      <c r="D203" s="21"/>
      <c r="E203" s="21"/>
      <c r="F203" s="21"/>
      <c r="G203" s="21"/>
      <c r="H203" s="21"/>
      <c r="I203" s="21"/>
      <c r="J203" s="21"/>
      <c r="K203" s="21"/>
      <c r="L203" s="21"/>
      <c r="M203" s="21"/>
      <c r="N203" s="21"/>
      <c r="O203" s="21"/>
      <c r="P203" s="21"/>
      <c r="Q203" s="21"/>
      <c r="R203" s="21"/>
      <c r="S203" s="21"/>
      <c r="T203" s="21"/>
      <c r="U203" s="21"/>
      <c r="V203" s="21"/>
      <c r="W203" s="21"/>
      <c r="X203" s="21"/>
      <c r="Y203" s="21"/>
      <c r="Z203" s="21"/>
      <c r="AA203" s="21"/>
      <c r="AB203" s="21"/>
      <c r="AC203" s="21"/>
      <c r="AD203" s="21"/>
      <c r="AE203" s="21"/>
      <c r="AF203" s="21"/>
      <c r="AG203" s="21"/>
      <c r="AH203" s="21"/>
      <c r="AI203" s="21"/>
      <c r="AJ203" s="21"/>
      <c r="AK203" s="21"/>
      <c r="AL203" s="21"/>
      <c r="AM203" s="21"/>
      <c r="AN203" s="21"/>
      <c r="AO203" s="21"/>
      <c r="AP203" s="21"/>
    </row>
    <row r="204" spans="1:42">
      <c r="C204" s="21"/>
      <c r="D204" s="21"/>
      <c r="E204" s="21"/>
      <c r="F204" s="21"/>
      <c r="G204" s="21"/>
      <c r="H204" s="21"/>
      <c r="I204" s="21"/>
      <c r="J204" s="21"/>
      <c r="K204" s="21"/>
      <c r="L204" s="21"/>
      <c r="M204" s="21"/>
      <c r="N204" s="21"/>
      <c r="O204" s="21"/>
      <c r="P204" s="21"/>
      <c r="Q204" s="21"/>
      <c r="R204" s="21"/>
      <c r="S204" s="21"/>
      <c r="T204" s="21"/>
      <c r="U204" s="21"/>
      <c r="V204" s="21"/>
      <c r="W204" s="21"/>
      <c r="X204" s="21"/>
      <c r="Y204" s="21"/>
      <c r="Z204" s="21"/>
      <c r="AA204" s="21"/>
      <c r="AB204" s="21"/>
      <c r="AC204" s="21"/>
      <c r="AD204" s="21"/>
      <c r="AE204" s="21"/>
      <c r="AF204" s="21"/>
      <c r="AG204" s="21"/>
      <c r="AH204" s="21"/>
      <c r="AI204" s="21"/>
      <c r="AJ204" s="21"/>
      <c r="AK204" s="21"/>
      <c r="AL204" s="21"/>
      <c r="AM204" s="21"/>
      <c r="AN204" s="21"/>
      <c r="AO204" s="21"/>
      <c r="AP204" s="21"/>
    </row>
    <row r="205" spans="1:42">
      <c r="C205" s="21"/>
      <c r="D205" s="21"/>
      <c r="E205" s="21"/>
      <c r="F205" s="21"/>
      <c r="G205" s="21"/>
      <c r="H205" s="21"/>
      <c r="I205" s="21"/>
      <c r="J205" s="21"/>
      <c r="K205" s="21"/>
      <c r="L205" s="21"/>
      <c r="M205" s="21"/>
      <c r="N205" s="21"/>
      <c r="O205" s="21"/>
      <c r="P205" s="21"/>
      <c r="Q205" s="21"/>
      <c r="R205" s="21"/>
      <c r="S205" s="21"/>
      <c r="T205" s="21"/>
      <c r="U205" s="21"/>
      <c r="V205" s="21"/>
      <c r="W205" s="21"/>
      <c r="X205" s="21"/>
      <c r="Y205" s="21"/>
      <c r="Z205" s="21"/>
      <c r="AA205" s="21"/>
      <c r="AB205" s="21"/>
      <c r="AC205" s="21"/>
      <c r="AD205" s="21"/>
      <c r="AE205" s="21"/>
      <c r="AF205" s="21"/>
      <c r="AG205" s="21"/>
      <c r="AH205" s="21"/>
      <c r="AI205" s="21"/>
      <c r="AJ205" s="21"/>
      <c r="AK205" s="21"/>
      <c r="AL205" s="21"/>
      <c r="AM205" s="21"/>
      <c r="AN205" s="21"/>
      <c r="AO205" s="21"/>
      <c r="AP205" s="21"/>
    </row>
    <row r="206" spans="1:42">
      <c r="C206" s="21"/>
      <c r="D206" s="21"/>
      <c r="E206" s="21"/>
      <c r="F206" s="21"/>
      <c r="G206" s="21"/>
      <c r="H206" s="21"/>
      <c r="I206" s="21"/>
      <c r="J206" s="21"/>
      <c r="K206" s="21"/>
      <c r="L206" s="21"/>
      <c r="M206" s="21"/>
      <c r="N206" s="21"/>
      <c r="O206" s="21"/>
      <c r="P206" s="21"/>
      <c r="Q206" s="21"/>
      <c r="R206" s="21"/>
      <c r="S206" s="21"/>
      <c r="T206" s="21"/>
      <c r="U206" s="21"/>
      <c r="V206" s="21"/>
      <c r="W206" s="21"/>
      <c r="X206" s="21"/>
      <c r="Y206" s="21"/>
      <c r="Z206" s="21"/>
      <c r="AA206" s="21"/>
      <c r="AB206" s="21"/>
      <c r="AC206" s="21"/>
      <c r="AD206" s="21"/>
      <c r="AE206" s="21"/>
      <c r="AF206" s="21"/>
      <c r="AG206" s="21"/>
      <c r="AH206" s="21"/>
      <c r="AI206" s="21"/>
      <c r="AJ206" s="21"/>
      <c r="AK206" s="21"/>
      <c r="AL206" s="21"/>
      <c r="AM206" s="21"/>
      <c r="AN206" s="21"/>
      <c r="AO206" s="21"/>
      <c r="AP206" s="21"/>
    </row>
    <row r="207" spans="1:42">
      <c r="C207" s="21"/>
      <c r="D207" s="21"/>
      <c r="E207" s="21"/>
      <c r="F207" s="21"/>
      <c r="G207" s="21"/>
      <c r="H207" s="21"/>
      <c r="I207" s="21"/>
      <c r="J207" s="21"/>
      <c r="K207" s="21"/>
      <c r="L207" s="21"/>
      <c r="M207" s="21"/>
      <c r="N207" s="21"/>
      <c r="O207" s="21"/>
      <c r="P207" s="21"/>
      <c r="Q207" s="21"/>
      <c r="R207" s="21"/>
      <c r="S207" s="21"/>
      <c r="T207" s="21"/>
      <c r="U207" s="21"/>
      <c r="V207" s="21"/>
      <c r="W207" s="21"/>
      <c r="X207" s="21"/>
      <c r="Y207" s="21"/>
      <c r="Z207" s="21"/>
      <c r="AA207" s="21"/>
      <c r="AB207" s="21"/>
      <c r="AC207" s="21"/>
      <c r="AD207" s="21"/>
      <c r="AE207" s="21"/>
      <c r="AF207" s="21"/>
      <c r="AG207" s="21"/>
      <c r="AH207" s="21"/>
      <c r="AI207" s="21"/>
      <c r="AJ207" s="21"/>
      <c r="AK207" s="21"/>
      <c r="AL207" s="21"/>
      <c r="AM207" s="21"/>
      <c r="AN207" s="21"/>
      <c r="AO207" s="21"/>
      <c r="AP207" s="21"/>
    </row>
    <row r="208" spans="1:42">
      <c r="C208" s="21"/>
      <c r="D208" s="21"/>
      <c r="E208" s="21"/>
      <c r="F208" s="21"/>
      <c r="G208" s="21"/>
      <c r="H208" s="21"/>
      <c r="I208" s="21"/>
      <c r="J208" s="21"/>
      <c r="K208" s="21"/>
      <c r="L208" s="21"/>
      <c r="M208" s="21"/>
      <c r="N208" s="21"/>
      <c r="O208" s="21"/>
      <c r="P208" s="21"/>
      <c r="Q208" s="21"/>
      <c r="R208" s="21"/>
      <c r="S208" s="21"/>
      <c r="T208" s="21"/>
      <c r="U208" s="21"/>
      <c r="V208" s="21"/>
      <c r="W208" s="21"/>
      <c r="X208" s="21"/>
      <c r="Y208" s="21"/>
      <c r="Z208" s="21"/>
      <c r="AA208" s="21"/>
      <c r="AB208" s="21"/>
      <c r="AC208" s="21"/>
      <c r="AD208" s="21"/>
      <c r="AE208" s="21"/>
      <c r="AF208" s="21"/>
      <c r="AG208" s="21"/>
      <c r="AH208" s="21"/>
      <c r="AI208" s="21"/>
      <c r="AJ208" s="21"/>
      <c r="AK208" s="21"/>
      <c r="AL208" s="21"/>
      <c r="AM208" s="21"/>
      <c r="AN208" s="21"/>
      <c r="AO208" s="21"/>
      <c r="AP208" s="21"/>
    </row>
    <row r="209" spans="3:42">
      <c r="C209" s="21"/>
      <c r="D209" s="21"/>
      <c r="E209" s="21"/>
      <c r="F209" s="21"/>
      <c r="G209" s="21"/>
      <c r="H209" s="21"/>
      <c r="I209" s="21"/>
      <c r="J209" s="21"/>
      <c r="K209" s="21"/>
      <c r="L209" s="21"/>
      <c r="M209" s="21"/>
      <c r="N209" s="21"/>
      <c r="O209" s="21"/>
      <c r="P209" s="21"/>
      <c r="Q209" s="21"/>
      <c r="R209" s="21"/>
      <c r="S209" s="21"/>
      <c r="T209" s="21"/>
      <c r="U209" s="21"/>
      <c r="V209" s="21"/>
      <c r="W209" s="21"/>
      <c r="X209" s="21"/>
      <c r="Y209" s="21"/>
      <c r="Z209" s="21"/>
      <c r="AA209" s="21"/>
      <c r="AB209" s="21"/>
      <c r="AC209" s="21"/>
      <c r="AD209" s="21"/>
      <c r="AE209" s="21"/>
      <c r="AF209" s="21"/>
      <c r="AG209" s="21"/>
      <c r="AH209" s="21"/>
      <c r="AI209" s="21"/>
      <c r="AJ209" s="21"/>
      <c r="AK209" s="21"/>
      <c r="AL209" s="21"/>
      <c r="AM209" s="21"/>
      <c r="AN209" s="21"/>
      <c r="AO209" s="21"/>
      <c r="AP209" s="21"/>
    </row>
    <row r="210" spans="3:42">
      <c r="C210" s="21"/>
      <c r="D210" s="21"/>
      <c r="E210" s="21"/>
      <c r="F210" s="21"/>
      <c r="G210" s="21"/>
      <c r="H210" s="21"/>
      <c r="I210" s="21"/>
      <c r="J210" s="21"/>
      <c r="K210" s="21"/>
      <c r="L210" s="21"/>
      <c r="M210" s="21"/>
      <c r="N210" s="21"/>
      <c r="O210" s="21"/>
      <c r="P210" s="21"/>
      <c r="Q210" s="21"/>
      <c r="R210" s="21"/>
      <c r="S210" s="21"/>
      <c r="T210" s="21"/>
      <c r="U210" s="21"/>
      <c r="V210" s="21"/>
      <c r="W210" s="21"/>
      <c r="X210" s="21"/>
      <c r="Y210" s="21"/>
      <c r="Z210" s="21"/>
      <c r="AA210" s="21"/>
      <c r="AB210" s="21"/>
      <c r="AC210" s="21"/>
      <c r="AD210" s="21"/>
      <c r="AE210" s="21"/>
      <c r="AF210" s="21"/>
      <c r="AG210" s="21"/>
      <c r="AH210" s="21"/>
      <c r="AI210" s="21"/>
      <c r="AJ210" s="21"/>
      <c r="AK210" s="21"/>
      <c r="AL210" s="21"/>
      <c r="AM210" s="21"/>
      <c r="AN210" s="21"/>
      <c r="AO210" s="21"/>
      <c r="AP210" s="21"/>
    </row>
    <row r="211" spans="3:42">
      <c r="C211" s="21"/>
      <c r="D211" s="21"/>
      <c r="E211" s="21"/>
      <c r="F211" s="21"/>
      <c r="G211" s="21"/>
      <c r="H211" s="21"/>
      <c r="I211" s="21"/>
      <c r="J211" s="21"/>
      <c r="K211" s="21"/>
      <c r="L211" s="21"/>
      <c r="M211" s="21"/>
      <c r="N211" s="21"/>
      <c r="O211" s="21"/>
      <c r="P211" s="21"/>
      <c r="Q211" s="21"/>
      <c r="R211" s="21"/>
      <c r="S211" s="21"/>
      <c r="T211" s="21"/>
      <c r="U211" s="21"/>
      <c r="V211" s="21"/>
      <c r="W211" s="21"/>
      <c r="X211" s="21"/>
      <c r="Y211" s="21"/>
      <c r="Z211" s="21"/>
      <c r="AA211" s="21"/>
      <c r="AB211" s="21"/>
      <c r="AC211" s="21"/>
      <c r="AD211" s="21"/>
      <c r="AE211" s="21"/>
      <c r="AF211" s="21"/>
      <c r="AG211" s="21"/>
      <c r="AH211" s="21"/>
      <c r="AI211" s="21"/>
      <c r="AJ211" s="21"/>
      <c r="AK211" s="21"/>
      <c r="AL211" s="21"/>
      <c r="AM211" s="21"/>
      <c r="AN211" s="21"/>
      <c r="AO211" s="21"/>
      <c r="AP211" s="21"/>
    </row>
    <row r="212" spans="3:42">
      <c r="C212" s="21"/>
      <c r="D212" s="21"/>
      <c r="E212" s="21"/>
      <c r="F212" s="21"/>
      <c r="G212" s="21"/>
      <c r="H212" s="21"/>
      <c r="I212" s="21"/>
      <c r="J212" s="21"/>
      <c r="K212" s="21"/>
      <c r="L212" s="21"/>
      <c r="M212" s="21"/>
      <c r="N212" s="21"/>
      <c r="O212" s="21"/>
      <c r="P212" s="21"/>
      <c r="Q212" s="21"/>
      <c r="R212" s="21"/>
      <c r="S212" s="21"/>
      <c r="T212" s="21"/>
      <c r="U212" s="21"/>
      <c r="V212" s="21"/>
      <c r="W212" s="21"/>
      <c r="X212" s="21"/>
      <c r="Y212" s="21"/>
      <c r="Z212" s="21"/>
      <c r="AA212" s="21"/>
      <c r="AB212" s="21"/>
      <c r="AC212" s="21"/>
      <c r="AD212" s="21"/>
      <c r="AE212" s="21"/>
      <c r="AF212" s="21"/>
      <c r="AG212" s="21"/>
      <c r="AH212" s="21"/>
      <c r="AI212" s="21"/>
      <c r="AJ212" s="21"/>
      <c r="AK212" s="21"/>
      <c r="AL212" s="21"/>
      <c r="AM212" s="21"/>
      <c r="AN212" s="21"/>
      <c r="AO212" s="21"/>
      <c r="AP212" s="21"/>
    </row>
    <row r="213" spans="3:42">
      <c r="C213" s="21"/>
      <c r="D213" s="21"/>
      <c r="E213" s="21"/>
      <c r="F213" s="21"/>
      <c r="G213" s="21"/>
      <c r="H213" s="21"/>
      <c r="I213" s="21"/>
      <c r="J213" s="21"/>
      <c r="K213" s="21"/>
      <c r="L213" s="21"/>
      <c r="M213" s="21"/>
      <c r="N213" s="21"/>
      <c r="O213" s="21"/>
      <c r="P213" s="21"/>
      <c r="Q213" s="21"/>
      <c r="R213" s="21"/>
      <c r="S213" s="21"/>
      <c r="T213" s="21"/>
      <c r="U213" s="21"/>
      <c r="V213" s="21"/>
      <c r="W213" s="21"/>
      <c r="X213" s="21"/>
      <c r="Y213" s="21"/>
      <c r="Z213" s="21"/>
      <c r="AA213" s="21"/>
      <c r="AB213" s="21"/>
      <c r="AC213" s="21"/>
      <c r="AD213" s="21"/>
      <c r="AE213" s="21"/>
      <c r="AF213" s="21"/>
      <c r="AG213" s="21"/>
      <c r="AH213" s="21"/>
      <c r="AI213" s="21"/>
      <c r="AJ213" s="21"/>
      <c r="AK213" s="21"/>
      <c r="AL213" s="21"/>
      <c r="AM213" s="21"/>
      <c r="AN213" s="21"/>
      <c r="AO213" s="21"/>
      <c r="AP213" s="21"/>
    </row>
    <row r="214" spans="3:42">
      <c r="C214" s="21"/>
      <c r="D214" s="21"/>
      <c r="E214" s="21"/>
      <c r="F214" s="21"/>
      <c r="G214" s="21"/>
      <c r="H214" s="21"/>
      <c r="I214" s="21"/>
      <c r="J214" s="21"/>
      <c r="K214" s="21"/>
      <c r="L214" s="21"/>
      <c r="M214" s="21"/>
      <c r="N214" s="21"/>
      <c r="O214" s="21"/>
      <c r="P214" s="21"/>
      <c r="Q214" s="21"/>
      <c r="R214" s="21"/>
      <c r="S214" s="21"/>
      <c r="T214" s="21"/>
      <c r="U214" s="21"/>
      <c r="V214" s="21"/>
      <c r="W214" s="21"/>
      <c r="X214" s="21"/>
      <c r="Y214" s="21"/>
      <c r="Z214" s="21"/>
      <c r="AA214" s="21"/>
      <c r="AB214" s="21"/>
      <c r="AC214" s="21"/>
      <c r="AD214" s="21"/>
      <c r="AE214" s="21"/>
      <c r="AF214" s="21"/>
      <c r="AG214" s="21"/>
      <c r="AH214" s="21"/>
      <c r="AI214" s="21"/>
      <c r="AJ214" s="21"/>
      <c r="AK214" s="21"/>
      <c r="AL214" s="21"/>
      <c r="AM214" s="21"/>
      <c r="AN214" s="21"/>
      <c r="AO214" s="21"/>
      <c r="AP214" s="21"/>
    </row>
    <row r="215" spans="3:42">
      <c r="C215" s="21"/>
      <c r="D215" s="21"/>
      <c r="E215" s="21"/>
      <c r="F215" s="21"/>
      <c r="G215" s="21"/>
      <c r="H215" s="21"/>
      <c r="I215" s="21"/>
      <c r="J215" s="21"/>
      <c r="K215" s="21"/>
      <c r="L215" s="21"/>
      <c r="M215" s="21"/>
      <c r="N215" s="21"/>
      <c r="O215" s="21"/>
      <c r="P215" s="21"/>
      <c r="Q215" s="21"/>
      <c r="R215" s="21"/>
      <c r="S215" s="21"/>
      <c r="T215" s="21"/>
      <c r="U215" s="21"/>
      <c r="V215" s="21"/>
      <c r="W215" s="21"/>
      <c r="X215" s="21"/>
      <c r="Y215" s="21"/>
      <c r="Z215" s="21"/>
      <c r="AA215" s="21"/>
      <c r="AB215" s="21"/>
      <c r="AC215" s="21"/>
      <c r="AD215" s="21"/>
      <c r="AE215" s="21"/>
      <c r="AF215" s="21"/>
      <c r="AG215" s="21"/>
      <c r="AH215" s="21"/>
      <c r="AI215" s="21"/>
      <c r="AJ215" s="21"/>
      <c r="AK215" s="21"/>
      <c r="AL215" s="21"/>
      <c r="AM215" s="21"/>
      <c r="AN215" s="21"/>
      <c r="AO215" s="21"/>
      <c r="AP215" s="21"/>
    </row>
    <row r="216" spans="3:42">
      <c r="C216" s="21"/>
      <c r="D216" s="21"/>
      <c r="E216" s="21"/>
      <c r="F216" s="21"/>
      <c r="G216" s="21"/>
      <c r="H216" s="21"/>
      <c r="I216" s="21"/>
      <c r="J216" s="21"/>
      <c r="K216" s="21"/>
      <c r="L216" s="21"/>
      <c r="M216" s="21"/>
      <c r="N216" s="21"/>
      <c r="O216" s="21"/>
      <c r="P216" s="21"/>
      <c r="Q216" s="21"/>
      <c r="R216" s="21"/>
      <c r="S216" s="21"/>
      <c r="T216" s="21"/>
      <c r="U216" s="21"/>
      <c r="V216" s="21"/>
      <c r="W216" s="21"/>
      <c r="X216" s="21"/>
      <c r="Y216" s="21"/>
      <c r="Z216" s="21"/>
      <c r="AA216" s="21"/>
      <c r="AB216" s="21"/>
      <c r="AC216" s="21"/>
      <c r="AD216" s="21"/>
      <c r="AE216" s="21"/>
      <c r="AF216" s="21"/>
      <c r="AG216" s="21"/>
      <c r="AH216" s="21"/>
      <c r="AI216" s="21"/>
      <c r="AJ216" s="21"/>
      <c r="AK216" s="21"/>
      <c r="AL216" s="21"/>
      <c r="AM216" s="21"/>
      <c r="AN216" s="21"/>
      <c r="AO216" s="21"/>
      <c r="AP216" s="21"/>
    </row>
    <row r="217" spans="3:42">
      <c r="C217" s="21"/>
      <c r="D217" s="21"/>
      <c r="E217" s="21"/>
      <c r="F217" s="21"/>
      <c r="G217" s="21"/>
      <c r="H217" s="21"/>
      <c r="I217" s="21"/>
      <c r="J217" s="21"/>
      <c r="K217" s="21"/>
      <c r="L217" s="21"/>
      <c r="M217" s="21"/>
      <c r="N217" s="21"/>
      <c r="O217" s="21"/>
      <c r="P217" s="21"/>
      <c r="Q217" s="21"/>
      <c r="R217" s="21"/>
      <c r="S217" s="21"/>
      <c r="T217" s="21"/>
      <c r="U217" s="21"/>
      <c r="V217" s="21"/>
      <c r="W217" s="21"/>
      <c r="X217" s="21"/>
      <c r="Y217" s="21"/>
      <c r="Z217" s="21"/>
      <c r="AA217" s="21"/>
      <c r="AB217" s="21"/>
      <c r="AC217" s="21"/>
      <c r="AD217" s="21"/>
      <c r="AE217" s="21"/>
      <c r="AF217" s="21"/>
      <c r="AG217" s="21"/>
      <c r="AH217" s="21"/>
      <c r="AI217" s="21"/>
      <c r="AJ217" s="21"/>
      <c r="AK217" s="21"/>
      <c r="AL217" s="21"/>
      <c r="AM217" s="21"/>
      <c r="AN217" s="21"/>
      <c r="AO217" s="21"/>
      <c r="AP217" s="21"/>
    </row>
    <row r="218" spans="3:42">
      <c r="C218" s="21"/>
      <c r="D218" s="21"/>
      <c r="E218" s="21"/>
      <c r="F218" s="21"/>
      <c r="G218" s="21"/>
      <c r="H218" s="21"/>
      <c r="I218" s="21"/>
      <c r="J218" s="21"/>
      <c r="K218" s="21"/>
      <c r="L218" s="21"/>
      <c r="M218" s="21"/>
      <c r="N218" s="21"/>
      <c r="O218" s="21"/>
      <c r="P218" s="21"/>
      <c r="Q218" s="21"/>
      <c r="R218" s="21"/>
      <c r="S218" s="21"/>
      <c r="T218" s="21"/>
      <c r="U218" s="21"/>
      <c r="V218" s="21"/>
      <c r="W218" s="21"/>
      <c r="X218" s="21"/>
      <c r="Y218" s="21"/>
      <c r="Z218" s="21"/>
      <c r="AA218" s="21"/>
      <c r="AB218" s="21"/>
      <c r="AC218" s="21"/>
      <c r="AD218" s="21"/>
      <c r="AE218" s="21"/>
      <c r="AF218" s="21"/>
      <c r="AG218" s="21"/>
      <c r="AH218" s="21"/>
      <c r="AI218" s="21"/>
      <c r="AJ218" s="21"/>
      <c r="AK218" s="21"/>
      <c r="AL218" s="21"/>
      <c r="AM218" s="21"/>
      <c r="AN218" s="21"/>
      <c r="AO218" s="21"/>
      <c r="AP218" s="21"/>
    </row>
    <row r="219" spans="3:42">
      <c r="C219" s="21"/>
      <c r="D219" s="21"/>
      <c r="E219" s="21"/>
      <c r="F219" s="21"/>
      <c r="G219" s="21"/>
      <c r="H219" s="21"/>
      <c r="I219" s="21"/>
      <c r="J219" s="21"/>
      <c r="K219" s="21"/>
      <c r="L219" s="21"/>
      <c r="M219" s="21"/>
      <c r="N219" s="21"/>
      <c r="O219" s="21"/>
      <c r="P219" s="21"/>
      <c r="Q219" s="21"/>
      <c r="R219" s="21"/>
      <c r="S219" s="21"/>
      <c r="T219" s="21"/>
      <c r="U219" s="21"/>
      <c r="V219" s="21"/>
      <c r="W219" s="21"/>
      <c r="X219" s="21"/>
      <c r="Y219" s="21"/>
      <c r="Z219" s="21"/>
      <c r="AA219" s="21"/>
      <c r="AB219" s="21"/>
      <c r="AC219" s="21"/>
      <c r="AD219" s="21"/>
      <c r="AE219" s="21"/>
      <c r="AF219" s="21"/>
      <c r="AG219" s="21"/>
      <c r="AH219" s="21"/>
      <c r="AI219" s="21"/>
      <c r="AJ219" s="21"/>
      <c r="AK219" s="21"/>
      <c r="AL219" s="21"/>
      <c r="AM219" s="21"/>
      <c r="AN219" s="21"/>
      <c r="AO219" s="21"/>
      <c r="AP219" s="21"/>
    </row>
    <row r="220" spans="3:42">
      <c r="C220" s="21"/>
      <c r="D220" s="21"/>
      <c r="E220" s="21"/>
      <c r="F220" s="21"/>
      <c r="G220" s="21"/>
      <c r="H220" s="21"/>
      <c r="I220" s="21"/>
      <c r="J220" s="21"/>
      <c r="K220" s="21"/>
      <c r="L220" s="21"/>
      <c r="M220" s="21"/>
      <c r="N220" s="21"/>
      <c r="O220" s="21"/>
      <c r="P220" s="21"/>
      <c r="Q220" s="21"/>
      <c r="R220" s="21"/>
      <c r="S220" s="21"/>
      <c r="T220" s="21"/>
      <c r="U220" s="21"/>
      <c r="V220" s="21"/>
      <c r="W220" s="21"/>
      <c r="X220" s="21"/>
      <c r="Y220" s="21"/>
      <c r="Z220" s="21"/>
      <c r="AA220" s="21"/>
      <c r="AB220" s="21"/>
      <c r="AC220" s="21"/>
      <c r="AD220" s="21"/>
      <c r="AE220" s="21"/>
      <c r="AF220" s="21"/>
      <c r="AG220" s="21"/>
      <c r="AH220" s="21"/>
      <c r="AI220" s="21"/>
      <c r="AJ220" s="21"/>
      <c r="AK220" s="21"/>
      <c r="AL220" s="21"/>
      <c r="AM220" s="21"/>
      <c r="AN220" s="21"/>
      <c r="AO220" s="21"/>
      <c r="AP220" s="21"/>
    </row>
    <row r="221" spans="3:42">
      <c r="C221" s="21"/>
      <c r="D221" s="21"/>
      <c r="E221" s="21"/>
      <c r="F221" s="21"/>
      <c r="G221" s="21"/>
      <c r="H221" s="21"/>
      <c r="I221" s="21"/>
      <c r="J221" s="21"/>
      <c r="K221" s="21"/>
      <c r="L221" s="21"/>
      <c r="M221" s="21"/>
      <c r="N221" s="21"/>
      <c r="O221" s="21"/>
      <c r="P221" s="21"/>
      <c r="Q221" s="21"/>
      <c r="R221" s="21"/>
      <c r="S221" s="21"/>
      <c r="T221" s="21"/>
      <c r="U221" s="21"/>
      <c r="V221" s="21"/>
      <c r="W221" s="21"/>
      <c r="X221" s="21"/>
      <c r="Y221" s="21"/>
      <c r="Z221" s="21"/>
      <c r="AA221" s="21"/>
      <c r="AB221" s="21"/>
      <c r="AC221" s="21"/>
      <c r="AD221" s="21"/>
      <c r="AE221" s="21"/>
      <c r="AF221" s="21"/>
      <c r="AG221" s="21"/>
      <c r="AH221" s="21"/>
      <c r="AI221" s="21"/>
      <c r="AJ221" s="21"/>
      <c r="AK221" s="21"/>
      <c r="AL221" s="21"/>
      <c r="AM221" s="21"/>
      <c r="AN221" s="21"/>
      <c r="AO221" s="21"/>
      <c r="AP221" s="21"/>
    </row>
    <row r="222" spans="3:42">
      <c r="C222" s="21"/>
      <c r="D222" s="21"/>
      <c r="E222" s="21"/>
      <c r="F222" s="21"/>
      <c r="G222" s="21"/>
      <c r="H222" s="21"/>
      <c r="I222" s="21"/>
      <c r="J222" s="21"/>
      <c r="K222" s="21"/>
      <c r="L222" s="21"/>
      <c r="M222" s="21"/>
      <c r="N222" s="21"/>
      <c r="O222" s="21"/>
      <c r="P222" s="21"/>
      <c r="Q222" s="21"/>
      <c r="R222" s="21"/>
      <c r="S222" s="21"/>
      <c r="T222" s="21"/>
      <c r="U222" s="21"/>
      <c r="V222" s="21"/>
      <c r="W222" s="21"/>
      <c r="X222" s="21"/>
      <c r="Y222" s="21"/>
      <c r="Z222" s="21"/>
      <c r="AA222" s="21"/>
      <c r="AB222" s="21"/>
      <c r="AC222" s="21"/>
      <c r="AD222" s="21"/>
      <c r="AE222" s="21"/>
      <c r="AF222" s="21"/>
      <c r="AG222" s="21"/>
      <c r="AH222" s="21"/>
      <c r="AI222" s="21"/>
      <c r="AJ222" s="21"/>
      <c r="AK222" s="21"/>
      <c r="AL222" s="21"/>
      <c r="AM222" s="21"/>
      <c r="AN222" s="21"/>
      <c r="AO222" s="21"/>
      <c r="AP222" s="21"/>
    </row>
    <row r="223" spans="3:42">
      <c r="C223" s="21"/>
      <c r="D223" s="21"/>
      <c r="E223" s="21"/>
      <c r="F223" s="21"/>
      <c r="G223" s="21"/>
      <c r="H223" s="21"/>
      <c r="I223" s="21"/>
      <c r="J223" s="21"/>
      <c r="K223" s="21"/>
      <c r="L223" s="21"/>
      <c r="M223" s="21"/>
      <c r="N223" s="21"/>
      <c r="O223" s="21"/>
      <c r="P223" s="21"/>
      <c r="Q223" s="21"/>
      <c r="R223" s="21"/>
      <c r="S223" s="21"/>
      <c r="T223" s="21"/>
      <c r="U223" s="21"/>
      <c r="V223" s="21"/>
      <c r="W223" s="21"/>
      <c r="X223" s="21"/>
      <c r="Y223" s="21"/>
      <c r="Z223" s="21"/>
      <c r="AA223" s="21"/>
      <c r="AB223" s="21"/>
      <c r="AC223" s="21"/>
      <c r="AD223" s="21"/>
      <c r="AE223" s="21"/>
      <c r="AF223" s="21"/>
      <c r="AG223" s="21"/>
      <c r="AH223" s="21"/>
      <c r="AI223" s="21"/>
      <c r="AJ223" s="21"/>
      <c r="AK223" s="21"/>
      <c r="AL223" s="21"/>
      <c r="AM223" s="21"/>
      <c r="AN223" s="21"/>
      <c r="AO223" s="21"/>
      <c r="AP223" s="21"/>
    </row>
    <row r="224" spans="3:42">
      <c r="C224" s="21"/>
      <c r="D224" s="21"/>
      <c r="E224" s="21"/>
      <c r="F224" s="21"/>
      <c r="G224" s="21"/>
      <c r="H224" s="21"/>
      <c r="I224" s="21"/>
      <c r="J224" s="21"/>
      <c r="K224" s="21"/>
      <c r="L224" s="21"/>
      <c r="M224" s="21"/>
      <c r="N224" s="21"/>
      <c r="O224" s="21"/>
      <c r="P224" s="21"/>
      <c r="Q224" s="21"/>
      <c r="R224" s="21"/>
      <c r="S224" s="21"/>
      <c r="T224" s="21"/>
      <c r="U224" s="21"/>
      <c r="V224" s="21"/>
      <c r="W224" s="21"/>
      <c r="X224" s="21"/>
      <c r="Y224" s="21"/>
      <c r="Z224" s="21"/>
      <c r="AA224" s="21"/>
      <c r="AB224" s="21"/>
      <c r="AC224" s="21"/>
      <c r="AD224" s="21"/>
      <c r="AE224" s="21"/>
      <c r="AF224" s="21"/>
      <c r="AG224" s="21"/>
      <c r="AH224" s="21"/>
      <c r="AI224" s="21"/>
      <c r="AJ224" s="21"/>
      <c r="AK224" s="21"/>
      <c r="AL224" s="21"/>
      <c r="AM224" s="21"/>
      <c r="AN224" s="21"/>
      <c r="AO224" s="21"/>
      <c r="AP224" s="21"/>
    </row>
    <row r="225" spans="3:42">
      <c r="C225" s="21"/>
      <c r="D225" s="21"/>
      <c r="E225" s="21"/>
      <c r="F225" s="21"/>
      <c r="G225" s="21"/>
      <c r="H225" s="21"/>
      <c r="I225" s="21"/>
      <c r="J225" s="21"/>
      <c r="K225" s="21"/>
      <c r="L225" s="21"/>
      <c r="M225" s="21"/>
      <c r="N225" s="21"/>
      <c r="O225" s="21"/>
      <c r="P225" s="21"/>
      <c r="Q225" s="21"/>
      <c r="R225" s="21"/>
      <c r="S225" s="21"/>
      <c r="T225" s="21"/>
      <c r="U225" s="21"/>
      <c r="V225" s="21"/>
      <c r="W225" s="21"/>
      <c r="X225" s="21"/>
      <c r="Y225" s="21"/>
      <c r="Z225" s="21"/>
      <c r="AA225" s="21"/>
      <c r="AB225" s="21"/>
      <c r="AC225" s="21"/>
      <c r="AD225" s="21"/>
      <c r="AE225" s="21"/>
      <c r="AF225" s="21"/>
      <c r="AG225" s="21"/>
      <c r="AH225" s="21"/>
      <c r="AI225" s="21"/>
      <c r="AJ225" s="21"/>
      <c r="AK225" s="21"/>
      <c r="AL225" s="21"/>
      <c r="AM225" s="21"/>
      <c r="AN225" s="21"/>
      <c r="AO225" s="21"/>
      <c r="AP225" s="21"/>
    </row>
    <row r="226" spans="3:42">
      <c r="C226" s="21"/>
      <c r="D226" s="21"/>
      <c r="E226" s="21"/>
      <c r="F226" s="21"/>
      <c r="G226" s="21"/>
      <c r="H226" s="21"/>
      <c r="I226" s="21"/>
      <c r="J226" s="21"/>
      <c r="K226" s="21"/>
      <c r="L226" s="21"/>
      <c r="M226" s="21"/>
      <c r="N226" s="21"/>
      <c r="O226" s="21"/>
      <c r="P226" s="21"/>
      <c r="Q226" s="21"/>
      <c r="R226" s="21"/>
      <c r="S226" s="21"/>
      <c r="T226" s="21"/>
      <c r="U226" s="21"/>
      <c r="V226" s="21"/>
      <c r="W226" s="21"/>
      <c r="X226" s="21"/>
      <c r="Y226" s="21"/>
      <c r="Z226" s="21"/>
      <c r="AA226" s="21"/>
      <c r="AB226" s="21"/>
      <c r="AC226" s="21"/>
      <c r="AD226" s="21"/>
      <c r="AE226" s="21"/>
      <c r="AF226" s="21"/>
      <c r="AG226" s="21"/>
      <c r="AH226" s="21"/>
      <c r="AI226" s="21"/>
      <c r="AJ226" s="21"/>
      <c r="AK226" s="21"/>
      <c r="AL226" s="21"/>
      <c r="AM226" s="21"/>
      <c r="AN226" s="21"/>
      <c r="AO226" s="21"/>
      <c r="AP226" s="21"/>
    </row>
    <row r="227" spans="3:42">
      <c r="C227" s="21"/>
      <c r="D227" s="21"/>
      <c r="E227" s="21"/>
      <c r="F227" s="21"/>
      <c r="G227" s="21"/>
      <c r="H227" s="21"/>
      <c r="I227" s="21"/>
      <c r="J227" s="21"/>
      <c r="K227" s="21"/>
      <c r="L227" s="21"/>
      <c r="M227" s="21"/>
      <c r="N227" s="21"/>
      <c r="O227" s="21"/>
      <c r="P227" s="21"/>
      <c r="Q227" s="21"/>
      <c r="R227" s="21"/>
      <c r="S227" s="21"/>
      <c r="T227" s="21"/>
      <c r="U227" s="21"/>
      <c r="V227" s="21"/>
      <c r="W227" s="21"/>
      <c r="X227" s="21"/>
      <c r="Y227" s="21"/>
      <c r="Z227" s="21"/>
      <c r="AA227" s="21"/>
      <c r="AB227" s="21"/>
      <c r="AC227" s="21"/>
      <c r="AD227" s="21"/>
      <c r="AE227" s="21"/>
      <c r="AF227" s="21"/>
      <c r="AG227" s="21"/>
      <c r="AH227" s="21"/>
      <c r="AI227" s="21"/>
      <c r="AJ227" s="21"/>
      <c r="AK227" s="21"/>
      <c r="AL227" s="21"/>
      <c r="AM227" s="21"/>
      <c r="AN227" s="21"/>
      <c r="AO227" s="21"/>
      <c r="AP227" s="21"/>
    </row>
    <row r="228" spans="3:42">
      <c r="C228" s="21"/>
      <c r="D228" s="21"/>
      <c r="E228" s="21"/>
      <c r="F228" s="21"/>
      <c r="G228" s="21"/>
      <c r="H228" s="21"/>
      <c r="I228" s="21"/>
      <c r="J228" s="21"/>
      <c r="K228" s="21"/>
      <c r="L228" s="21"/>
      <c r="M228" s="21"/>
      <c r="N228" s="21"/>
      <c r="O228" s="21"/>
      <c r="P228" s="21"/>
      <c r="Q228" s="21"/>
      <c r="R228" s="21"/>
      <c r="S228" s="21"/>
      <c r="T228" s="21"/>
      <c r="U228" s="21"/>
      <c r="V228" s="21"/>
      <c r="W228" s="21"/>
      <c r="X228" s="21"/>
      <c r="Y228" s="21"/>
      <c r="Z228" s="21"/>
      <c r="AA228" s="21"/>
      <c r="AB228" s="21"/>
      <c r="AC228" s="21"/>
      <c r="AD228" s="21"/>
      <c r="AE228" s="21"/>
      <c r="AF228" s="21"/>
      <c r="AG228" s="21"/>
      <c r="AH228" s="21"/>
      <c r="AI228" s="21"/>
      <c r="AJ228" s="21"/>
      <c r="AK228" s="21"/>
      <c r="AL228" s="21"/>
      <c r="AM228" s="21"/>
      <c r="AN228" s="21"/>
      <c r="AO228" s="21"/>
      <c r="AP228" s="21"/>
    </row>
    <row r="229" spans="3:42">
      <c r="C229" s="21"/>
      <c r="D229" s="21"/>
      <c r="E229" s="21"/>
      <c r="F229" s="21"/>
      <c r="G229" s="21"/>
      <c r="H229" s="21"/>
      <c r="I229" s="21"/>
      <c r="J229" s="21"/>
      <c r="K229" s="21"/>
      <c r="L229" s="21"/>
      <c r="M229" s="21"/>
      <c r="N229" s="21"/>
      <c r="O229" s="21"/>
      <c r="P229" s="21"/>
      <c r="Q229" s="21"/>
      <c r="R229" s="21"/>
      <c r="S229" s="21"/>
      <c r="T229" s="21"/>
      <c r="U229" s="21"/>
      <c r="V229" s="21"/>
      <c r="W229" s="21"/>
      <c r="X229" s="21"/>
      <c r="Y229" s="21"/>
      <c r="Z229" s="21"/>
      <c r="AA229" s="21"/>
      <c r="AB229" s="21"/>
      <c r="AC229" s="21"/>
      <c r="AD229" s="21"/>
      <c r="AE229" s="21"/>
      <c r="AF229" s="21"/>
      <c r="AG229" s="21"/>
      <c r="AH229" s="21"/>
      <c r="AI229" s="21"/>
      <c r="AJ229" s="21"/>
      <c r="AK229" s="21"/>
      <c r="AL229" s="21"/>
      <c r="AM229" s="21"/>
      <c r="AN229" s="21"/>
      <c r="AO229" s="21"/>
      <c r="AP229" s="21"/>
    </row>
    <row r="230" spans="3:42">
      <c r="C230" s="21"/>
      <c r="D230" s="21"/>
      <c r="E230" s="21"/>
      <c r="F230" s="21"/>
      <c r="G230" s="21"/>
      <c r="H230" s="21"/>
      <c r="I230" s="21"/>
      <c r="J230" s="21"/>
      <c r="K230" s="21"/>
      <c r="L230" s="21"/>
      <c r="M230" s="21"/>
      <c r="N230" s="21"/>
      <c r="O230" s="21"/>
      <c r="P230" s="21"/>
      <c r="Q230" s="21"/>
      <c r="R230" s="21"/>
      <c r="S230" s="21"/>
      <c r="T230" s="21"/>
      <c r="U230" s="21"/>
      <c r="V230" s="21"/>
      <c r="W230" s="21"/>
      <c r="X230" s="21"/>
      <c r="Y230" s="21"/>
      <c r="Z230" s="21"/>
      <c r="AA230" s="21"/>
      <c r="AB230" s="21"/>
      <c r="AC230" s="21"/>
      <c r="AD230" s="21"/>
      <c r="AE230" s="21"/>
      <c r="AF230" s="21"/>
      <c r="AG230" s="21"/>
      <c r="AH230" s="21"/>
      <c r="AI230" s="21"/>
      <c r="AJ230" s="21"/>
      <c r="AK230" s="21"/>
      <c r="AL230" s="21"/>
      <c r="AM230" s="21"/>
      <c r="AN230" s="21"/>
      <c r="AO230" s="21"/>
      <c r="AP230" s="21"/>
    </row>
    <row r="231" spans="3:42">
      <c r="C231" s="21"/>
      <c r="D231" s="21"/>
      <c r="E231" s="21"/>
      <c r="F231" s="21"/>
      <c r="G231" s="21"/>
      <c r="H231" s="21"/>
      <c r="I231" s="21"/>
      <c r="J231" s="21"/>
      <c r="K231" s="21"/>
      <c r="L231" s="21"/>
      <c r="M231" s="21"/>
      <c r="N231" s="21"/>
      <c r="O231" s="21"/>
      <c r="P231" s="21"/>
      <c r="Q231" s="21"/>
      <c r="R231" s="21"/>
      <c r="S231" s="21"/>
      <c r="T231" s="21"/>
      <c r="U231" s="21"/>
      <c r="V231" s="21"/>
      <c r="W231" s="21"/>
      <c r="X231" s="21"/>
      <c r="Y231" s="21"/>
      <c r="Z231" s="21"/>
      <c r="AA231" s="21"/>
      <c r="AB231" s="21"/>
      <c r="AC231" s="21"/>
      <c r="AD231" s="21"/>
      <c r="AE231" s="21"/>
      <c r="AF231" s="21"/>
      <c r="AG231" s="21"/>
      <c r="AH231" s="21"/>
      <c r="AI231" s="21"/>
      <c r="AJ231" s="21"/>
      <c r="AK231" s="21"/>
      <c r="AL231" s="21"/>
      <c r="AM231" s="21"/>
      <c r="AN231" s="21"/>
      <c r="AO231" s="21"/>
      <c r="AP231" s="21"/>
    </row>
    <row r="232" spans="3:42">
      <c r="C232" s="21"/>
      <c r="D232" s="21"/>
      <c r="E232" s="21"/>
      <c r="F232" s="21"/>
      <c r="G232" s="21"/>
      <c r="H232" s="21"/>
      <c r="I232" s="21"/>
      <c r="J232" s="21"/>
      <c r="K232" s="21"/>
      <c r="L232" s="21"/>
      <c r="M232" s="21"/>
      <c r="N232" s="21"/>
      <c r="O232" s="21"/>
      <c r="P232" s="21"/>
      <c r="Q232" s="21"/>
      <c r="R232" s="21"/>
      <c r="S232" s="21"/>
      <c r="T232" s="21"/>
      <c r="U232" s="21"/>
      <c r="V232" s="21"/>
      <c r="W232" s="21"/>
      <c r="X232" s="21"/>
      <c r="Y232" s="21"/>
      <c r="Z232" s="21"/>
      <c r="AA232" s="21"/>
      <c r="AB232" s="21"/>
      <c r="AC232" s="21"/>
      <c r="AD232" s="21"/>
      <c r="AE232" s="21"/>
      <c r="AF232" s="21"/>
      <c r="AG232" s="21"/>
      <c r="AH232" s="21"/>
      <c r="AI232" s="21"/>
      <c r="AJ232" s="21"/>
      <c r="AK232" s="21"/>
      <c r="AL232" s="21"/>
      <c r="AM232" s="21"/>
      <c r="AN232" s="21"/>
      <c r="AO232" s="21"/>
      <c r="AP232" s="21"/>
    </row>
    <row r="233" spans="3:42">
      <c r="C233" s="21"/>
      <c r="D233" s="21"/>
      <c r="E233" s="21"/>
      <c r="F233" s="21"/>
      <c r="G233" s="21"/>
      <c r="H233" s="21"/>
      <c r="I233" s="21"/>
      <c r="J233" s="21"/>
      <c r="K233" s="21"/>
      <c r="L233" s="21"/>
      <c r="M233" s="21"/>
      <c r="N233" s="21"/>
      <c r="O233" s="21"/>
      <c r="P233" s="21"/>
      <c r="Q233" s="21"/>
      <c r="R233" s="21"/>
      <c r="S233" s="21"/>
      <c r="T233" s="21"/>
      <c r="U233" s="21"/>
      <c r="V233" s="21"/>
      <c r="W233" s="21"/>
      <c r="X233" s="21"/>
      <c r="Y233" s="21"/>
      <c r="Z233" s="21"/>
      <c r="AA233" s="21"/>
      <c r="AB233" s="21"/>
      <c r="AC233" s="21"/>
      <c r="AD233" s="21"/>
      <c r="AE233" s="21"/>
      <c r="AF233" s="21"/>
      <c r="AG233" s="21"/>
      <c r="AH233" s="21"/>
      <c r="AI233" s="21"/>
      <c r="AJ233" s="21"/>
      <c r="AK233" s="21"/>
      <c r="AL233" s="21"/>
      <c r="AM233" s="21"/>
      <c r="AN233" s="21"/>
      <c r="AO233" s="21"/>
      <c r="AP233" s="21"/>
    </row>
    <row r="234" spans="3:42">
      <c r="C234" s="21"/>
      <c r="D234" s="21"/>
      <c r="E234" s="21"/>
      <c r="F234" s="21"/>
      <c r="G234" s="21"/>
      <c r="H234" s="21"/>
      <c r="I234" s="21"/>
      <c r="J234" s="21"/>
      <c r="K234" s="21"/>
      <c r="L234" s="21"/>
      <c r="M234" s="21"/>
      <c r="N234" s="21"/>
      <c r="O234" s="21"/>
      <c r="P234" s="21"/>
      <c r="Q234" s="21"/>
      <c r="R234" s="21"/>
      <c r="S234" s="21"/>
      <c r="T234" s="21"/>
      <c r="U234" s="21"/>
      <c r="V234" s="21"/>
      <c r="W234" s="21"/>
      <c r="X234" s="21"/>
      <c r="Y234" s="21"/>
      <c r="Z234" s="21"/>
      <c r="AA234" s="21"/>
      <c r="AB234" s="21"/>
      <c r="AC234" s="21"/>
      <c r="AD234" s="21"/>
      <c r="AE234" s="21"/>
      <c r="AF234" s="21"/>
      <c r="AG234" s="21"/>
      <c r="AH234" s="21"/>
      <c r="AI234" s="21"/>
      <c r="AJ234" s="21"/>
      <c r="AK234" s="21"/>
      <c r="AL234" s="21"/>
      <c r="AM234" s="21"/>
      <c r="AN234" s="21"/>
      <c r="AO234" s="21"/>
      <c r="AP234" s="21"/>
    </row>
    <row r="235" spans="3:42">
      <c r="C235" s="21"/>
      <c r="D235" s="21"/>
      <c r="E235" s="21"/>
      <c r="F235" s="21"/>
      <c r="G235" s="21"/>
      <c r="H235" s="21"/>
      <c r="I235" s="21"/>
      <c r="J235" s="21"/>
      <c r="K235" s="21"/>
      <c r="L235" s="21"/>
      <c r="M235" s="21"/>
      <c r="N235" s="21"/>
      <c r="O235" s="21"/>
      <c r="P235" s="21"/>
      <c r="Q235" s="21"/>
      <c r="R235" s="21"/>
      <c r="S235" s="21"/>
      <c r="T235" s="21"/>
      <c r="U235" s="21"/>
      <c r="V235" s="21"/>
      <c r="W235" s="21"/>
      <c r="X235" s="21"/>
      <c r="Y235" s="21"/>
      <c r="Z235" s="21"/>
      <c r="AA235" s="21"/>
      <c r="AB235" s="21"/>
      <c r="AC235" s="21"/>
      <c r="AD235" s="21"/>
      <c r="AE235" s="21"/>
      <c r="AF235" s="21"/>
      <c r="AG235" s="21"/>
      <c r="AH235" s="21"/>
      <c r="AI235" s="21"/>
      <c r="AJ235" s="21"/>
      <c r="AK235" s="21"/>
      <c r="AL235" s="21"/>
      <c r="AM235" s="21"/>
      <c r="AN235" s="21"/>
      <c r="AO235" s="21"/>
      <c r="AP235" s="21"/>
    </row>
    <row r="236" spans="3:42">
      <c r="C236" s="21"/>
      <c r="D236" s="21"/>
      <c r="E236" s="21"/>
      <c r="F236" s="21"/>
      <c r="G236" s="21"/>
      <c r="H236" s="21"/>
      <c r="I236" s="21"/>
      <c r="J236" s="21"/>
      <c r="K236" s="21"/>
      <c r="L236" s="21"/>
      <c r="M236" s="21"/>
      <c r="N236" s="21"/>
      <c r="O236" s="21"/>
      <c r="P236" s="21"/>
      <c r="Q236" s="21"/>
      <c r="R236" s="21"/>
      <c r="S236" s="21"/>
      <c r="T236" s="21"/>
      <c r="U236" s="21"/>
      <c r="V236" s="21"/>
      <c r="W236" s="21"/>
      <c r="X236" s="21"/>
      <c r="Y236" s="21"/>
      <c r="Z236" s="21"/>
      <c r="AA236" s="21"/>
      <c r="AB236" s="21"/>
      <c r="AC236" s="21"/>
      <c r="AD236" s="21"/>
      <c r="AE236" s="21"/>
      <c r="AF236" s="21"/>
      <c r="AG236" s="21"/>
      <c r="AH236" s="21"/>
      <c r="AI236" s="21"/>
      <c r="AJ236" s="21"/>
      <c r="AK236" s="21"/>
      <c r="AL236" s="21"/>
      <c r="AM236" s="21"/>
      <c r="AN236" s="21"/>
      <c r="AO236" s="21"/>
      <c r="AP236" s="21"/>
    </row>
    <row r="237" spans="3:42">
      <c r="C237" s="21"/>
      <c r="D237" s="21"/>
      <c r="E237" s="21"/>
      <c r="F237" s="21"/>
      <c r="G237" s="21"/>
      <c r="H237" s="21"/>
      <c r="I237" s="21"/>
      <c r="J237" s="21"/>
      <c r="K237" s="21"/>
      <c r="L237" s="21"/>
      <c r="M237" s="21"/>
      <c r="N237" s="21"/>
      <c r="O237" s="21"/>
      <c r="P237" s="21"/>
      <c r="Q237" s="21"/>
      <c r="R237" s="21"/>
      <c r="S237" s="21"/>
      <c r="T237" s="21"/>
      <c r="U237" s="21"/>
      <c r="V237" s="21"/>
      <c r="W237" s="21"/>
      <c r="X237" s="21"/>
      <c r="Y237" s="21"/>
      <c r="Z237" s="21"/>
      <c r="AA237" s="21"/>
      <c r="AB237" s="21"/>
      <c r="AC237" s="21"/>
      <c r="AD237" s="21"/>
      <c r="AE237" s="21"/>
      <c r="AF237" s="21"/>
      <c r="AG237" s="21"/>
      <c r="AH237" s="21"/>
      <c r="AI237" s="21"/>
      <c r="AJ237" s="21"/>
      <c r="AK237" s="21"/>
      <c r="AL237" s="21"/>
      <c r="AM237" s="21"/>
      <c r="AN237" s="21"/>
      <c r="AO237" s="21"/>
      <c r="AP237" s="21"/>
    </row>
    <row r="238" spans="3:42">
      <c r="C238" s="21"/>
      <c r="D238" s="21"/>
      <c r="E238" s="21"/>
      <c r="F238" s="21"/>
      <c r="G238" s="21"/>
      <c r="H238" s="21"/>
      <c r="I238" s="21"/>
      <c r="J238" s="21"/>
      <c r="K238" s="21"/>
      <c r="L238" s="21"/>
      <c r="M238" s="21"/>
      <c r="N238" s="21"/>
      <c r="O238" s="21"/>
      <c r="P238" s="21"/>
      <c r="Q238" s="21"/>
      <c r="R238" s="21"/>
      <c r="S238" s="21"/>
      <c r="T238" s="21"/>
      <c r="U238" s="21"/>
      <c r="V238" s="21"/>
      <c r="W238" s="21"/>
      <c r="X238" s="21"/>
      <c r="Y238" s="21"/>
      <c r="Z238" s="21"/>
      <c r="AA238" s="21"/>
      <c r="AB238" s="21"/>
      <c r="AC238" s="21"/>
      <c r="AD238" s="21"/>
      <c r="AE238" s="21"/>
      <c r="AF238" s="21"/>
      <c r="AG238" s="21"/>
      <c r="AH238" s="21"/>
      <c r="AI238" s="21"/>
      <c r="AJ238" s="21"/>
      <c r="AK238" s="21"/>
      <c r="AL238" s="21"/>
      <c r="AM238" s="21"/>
      <c r="AN238" s="21"/>
      <c r="AO238" s="21"/>
      <c r="AP238" s="21"/>
    </row>
    <row r="239" spans="3:42">
      <c r="C239" s="21"/>
      <c r="D239" s="21"/>
      <c r="E239" s="21"/>
      <c r="F239" s="21"/>
      <c r="G239" s="21"/>
      <c r="H239" s="21"/>
      <c r="I239" s="21"/>
      <c r="J239" s="21"/>
      <c r="K239" s="21"/>
      <c r="L239" s="21"/>
      <c r="M239" s="21"/>
      <c r="N239" s="21"/>
      <c r="O239" s="21"/>
      <c r="P239" s="21"/>
      <c r="Q239" s="21"/>
      <c r="R239" s="21"/>
      <c r="S239" s="21"/>
      <c r="T239" s="21"/>
      <c r="U239" s="21"/>
      <c r="V239" s="21"/>
      <c r="W239" s="21"/>
      <c r="X239" s="21"/>
      <c r="Y239" s="21"/>
      <c r="Z239" s="21"/>
      <c r="AA239" s="21"/>
      <c r="AB239" s="21"/>
      <c r="AC239" s="21"/>
      <c r="AD239" s="21"/>
      <c r="AE239" s="21"/>
      <c r="AF239" s="21"/>
      <c r="AG239" s="21"/>
      <c r="AH239" s="21"/>
      <c r="AI239" s="21"/>
      <c r="AJ239" s="21"/>
      <c r="AK239" s="21"/>
      <c r="AL239" s="21"/>
      <c r="AM239" s="21"/>
      <c r="AN239" s="21"/>
      <c r="AO239" s="21"/>
      <c r="AP239" s="21"/>
    </row>
    <row r="240" spans="3:42">
      <c r="C240" s="21"/>
      <c r="D240" s="21"/>
      <c r="E240" s="21"/>
      <c r="F240" s="21"/>
      <c r="G240" s="21"/>
      <c r="H240" s="21"/>
      <c r="I240" s="21"/>
      <c r="J240" s="21"/>
      <c r="K240" s="21"/>
      <c r="L240" s="21"/>
      <c r="M240" s="21"/>
      <c r="N240" s="21"/>
      <c r="O240" s="21"/>
      <c r="P240" s="21"/>
      <c r="Q240" s="21"/>
      <c r="R240" s="21"/>
      <c r="S240" s="21"/>
      <c r="T240" s="21"/>
      <c r="U240" s="21"/>
      <c r="V240" s="21"/>
      <c r="W240" s="21"/>
      <c r="X240" s="21"/>
      <c r="Y240" s="21"/>
      <c r="Z240" s="21"/>
      <c r="AA240" s="21"/>
      <c r="AB240" s="21"/>
      <c r="AC240" s="21"/>
      <c r="AD240" s="21"/>
      <c r="AE240" s="21"/>
      <c r="AF240" s="21"/>
      <c r="AG240" s="21"/>
      <c r="AH240" s="21"/>
      <c r="AI240" s="21"/>
      <c r="AJ240" s="21"/>
      <c r="AK240" s="21"/>
      <c r="AL240" s="21"/>
      <c r="AM240" s="21"/>
      <c r="AN240" s="21"/>
      <c r="AO240" s="21"/>
      <c r="AP240" s="21"/>
    </row>
    <row r="241" spans="3:42">
      <c r="C241" s="21"/>
      <c r="D241" s="21"/>
      <c r="E241" s="21"/>
      <c r="F241" s="21"/>
      <c r="G241" s="21"/>
      <c r="H241" s="21"/>
      <c r="I241" s="21"/>
      <c r="J241" s="21"/>
      <c r="K241" s="21"/>
      <c r="L241" s="21"/>
      <c r="M241" s="21"/>
      <c r="N241" s="21"/>
      <c r="O241" s="21"/>
      <c r="P241" s="21"/>
      <c r="Q241" s="21"/>
      <c r="R241" s="21"/>
      <c r="S241" s="21"/>
      <c r="T241" s="21"/>
      <c r="U241" s="21"/>
      <c r="V241" s="21"/>
      <c r="W241" s="21"/>
      <c r="X241" s="21"/>
      <c r="Y241" s="21"/>
      <c r="Z241" s="21"/>
      <c r="AA241" s="21"/>
      <c r="AB241" s="21"/>
      <c r="AC241" s="21"/>
      <c r="AD241" s="21"/>
      <c r="AE241" s="21"/>
      <c r="AF241" s="21"/>
      <c r="AG241" s="21"/>
      <c r="AH241" s="21"/>
      <c r="AI241" s="21"/>
      <c r="AJ241" s="21"/>
      <c r="AK241" s="21"/>
      <c r="AL241" s="21"/>
      <c r="AM241" s="21"/>
      <c r="AN241" s="21"/>
      <c r="AO241" s="21"/>
      <c r="AP241" s="21"/>
    </row>
    <row r="242" spans="3:42">
      <c r="C242" s="21"/>
      <c r="D242" s="21"/>
      <c r="E242" s="21"/>
      <c r="F242" s="21"/>
      <c r="G242" s="21"/>
      <c r="H242" s="21"/>
      <c r="I242" s="21"/>
      <c r="J242" s="21"/>
      <c r="K242" s="21"/>
      <c r="L242" s="21"/>
      <c r="M242" s="21"/>
      <c r="N242" s="21"/>
      <c r="O242" s="21"/>
      <c r="P242" s="21"/>
      <c r="Q242" s="21"/>
      <c r="R242" s="21"/>
      <c r="S242" s="21"/>
      <c r="T242" s="21"/>
      <c r="U242" s="21"/>
      <c r="V242" s="21"/>
      <c r="W242" s="21"/>
      <c r="X242" s="21"/>
      <c r="Y242" s="21"/>
      <c r="Z242" s="21"/>
      <c r="AA242" s="21"/>
      <c r="AB242" s="21"/>
      <c r="AC242" s="21"/>
      <c r="AD242" s="21"/>
      <c r="AE242" s="21"/>
      <c r="AF242" s="21"/>
      <c r="AG242" s="21"/>
      <c r="AH242" s="21"/>
      <c r="AI242" s="21"/>
      <c r="AJ242" s="21"/>
      <c r="AK242" s="21"/>
      <c r="AL242" s="21"/>
      <c r="AM242" s="21"/>
      <c r="AN242" s="21"/>
      <c r="AO242" s="21"/>
      <c r="AP242" s="21"/>
    </row>
    <row r="243" spans="3:42">
      <c r="C243" s="21"/>
      <c r="D243" s="21"/>
      <c r="E243" s="21"/>
      <c r="F243" s="21"/>
      <c r="G243" s="21"/>
      <c r="H243" s="21"/>
      <c r="I243" s="21"/>
      <c r="J243" s="21"/>
      <c r="K243" s="21"/>
      <c r="L243" s="21"/>
      <c r="M243" s="21"/>
      <c r="N243" s="21"/>
      <c r="O243" s="21"/>
      <c r="P243" s="21"/>
      <c r="Q243" s="21"/>
      <c r="R243" s="21"/>
      <c r="S243" s="21"/>
      <c r="T243" s="21"/>
      <c r="U243" s="21"/>
      <c r="V243" s="21"/>
      <c r="W243" s="21"/>
      <c r="X243" s="21"/>
      <c r="Y243" s="21"/>
      <c r="Z243" s="21"/>
      <c r="AA243" s="21"/>
      <c r="AB243" s="21"/>
      <c r="AC243" s="21"/>
      <c r="AD243" s="21"/>
      <c r="AE243" s="21"/>
      <c r="AF243" s="21"/>
      <c r="AG243" s="21"/>
      <c r="AH243" s="21"/>
      <c r="AI243" s="21"/>
      <c r="AJ243" s="21"/>
      <c r="AK243" s="21"/>
      <c r="AL243" s="21"/>
      <c r="AM243" s="21"/>
      <c r="AN243" s="21"/>
      <c r="AO243" s="21"/>
      <c r="AP243" s="21"/>
    </row>
    <row r="244" spans="3:42">
      <c r="C244" s="21"/>
      <c r="D244" s="21"/>
      <c r="E244" s="21"/>
      <c r="F244" s="21"/>
      <c r="G244" s="21"/>
      <c r="H244" s="21"/>
      <c r="I244" s="21"/>
      <c r="J244" s="21"/>
      <c r="K244" s="21"/>
      <c r="L244" s="21"/>
      <c r="M244" s="21"/>
      <c r="N244" s="21"/>
      <c r="O244" s="21"/>
      <c r="P244" s="21"/>
      <c r="Q244" s="21"/>
      <c r="R244" s="21"/>
      <c r="S244" s="21"/>
      <c r="T244" s="21"/>
      <c r="U244" s="21"/>
      <c r="V244" s="21"/>
      <c r="W244" s="21"/>
      <c r="X244" s="21"/>
      <c r="Y244" s="21"/>
      <c r="Z244" s="21"/>
      <c r="AA244" s="21"/>
      <c r="AB244" s="21"/>
      <c r="AC244" s="21"/>
      <c r="AD244" s="21"/>
      <c r="AE244" s="21"/>
      <c r="AF244" s="21"/>
      <c r="AG244" s="21"/>
      <c r="AH244" s="21"/>
      <c r="AI244" s="21"/>
      <c r="AJ244" s="21"/>
      <c r="AK244" s="21"/>
      <c r="AL244" s="21"/>
      <c r="AM244" s="21"/>
      <c r="AN244" s="21"/>
      <c r="AO244" s="21"/>
      <c r="AP244" s="21"/>
    </row>
    <row r="245" spans="3:42">
      <c r="C245" s="21"/>
      <c r="D245" s="21"/>
      <c r="E245" s="21"/>
      <c r="F245" s="21"/>
      <c r="G245" s="21"/>
      <c r="H245" s="21"/>
      <c r="I245" s="21"/>
      <c r="J245" s="21"/>
      <c r="K245" s="21"/>
      <c r="L245" s="21"/>
      <c r="M245" s="21"/>
      <c r="N245" s="21"/>
      <c r="O245" s="21"/>
      <c r="P245" s="21"/>
      <c r="Q245" s="21"/>
      <c r="R245" s="21"/>
      <c r="S245" s="21"/>
      <c r="T245" s="21"/>
      <c r="U245" s="21"/>
      <c r="V245" s="21"/>
      <c r="W245" s="21"/>
      <c r="X245" s="21"/>
      <c r="Y245" s="21"/>
      <c r="Z245" s="21"/>
      <c r="AA245" s="21"/>
      <c r="AB245" s="21"/>
      <c r="AC245" s="21"/>
      <c r="AD245" s="21"/>
      <c r="AE245" s="21"/>
      <c r="AF245" s="21"/>
      <c r="AG245" s="21"/>
      <c r="AH245" s="21"/>
      <c r="AI245" s="21"/>
      <c r="AJ245" s="21"/>
      <c r="AK245" s="21"/>
      <c r="AL245" s="21"/>
      <c r="AM245" s="21"/>
      <c r="AN245" s="21"/>
      <c r="AO245" s="21"/>
      <c r="AP245" s="21"/>
    </row>
    <row r="246" spans="3:42">
      <c r="C246" s="21"/>
      <c r="D246" s="21"/>
      <c r="E246" s="21"/>
      <c r="F246" s="21"/>
      <c r="G246" s="21"/>
      <c r="H246" s="21"/>
      <c r="I246" s="21"/>
      <c r="J246" s="21"/>
      <c r="K246" s="21"/>
      <c r="L246" s="21"/>
      <c r="M246" s="21"/>
      <c r="N246" s="21"/>
      <c r="O246" s="21"/>
      <c r="P246" s="21"/>
      <c r="Q246" s="21"/>
      <c r="R246" s="21"/>
      <c r="S246" s="21"/>
      <c r="T246" s="21"/>
      <c r="U246" s="21"/>
      <c r="V246" s="21"/>
      <c r="W246" s="21"/>
      <c r="X246" s="21"/>
      <c r="Y246" s="21"/>
      <c r="Z246" s="21"/>
      <c r="AA246" s="21"/>
      <c r="AB246" s="21"/>
      <c r="AC246" s="21"/>
      <c r="AD246" s="21"/>
      <c r="AE246" s="21"/>
      <c r="AF246" s="21"/>
      <c r="AG246" s="21"/>
      <c r="AH246" s="21"/>
      <c r="AI246" s="21"/>
      <c r="AJ246" s="21"/>
      <c r="AK246" s="21"/>
      <c r="AL246" s="21"/>
      <c r="AM246" s="21"/>
      <c r="AN246" s="21"/>
      <c r="AO246" s="21"/>
      <c r="AP246" s="21"/>
    </row>
    <row r="247" spans="3:42">
      <c r="C247" s="21"/>
      <c r="D247" s="21"/>
      <c r="E247" s="21"/>
      <c r="F247" s="21"/>
      <c r="G247" s="21"/>
      <c r="H247" s="21"/>
      <c r="I247" s="21"/>
      <c r="J247" s="21"/>
      <c r="K247" s="21"/>
      <c r="L247" s="21"/>
      <c r="M247" s="21"/>
      <c r="N247" s="21"/>
      <c r="O247" s="21"/>
      <c r="P247" s="21"/>
      <c r="Q247" s="21"/>
      <c r="R247" s="21"/>
      <c r="S247" s="21"/>
      <c r="T247" s="21"/>
      <c r="U247" s="21"/>
      <c r="V247" s="21"/>
      <c r="W247" s="21"/>
      <c r="X247" s="21"/>
      <c r="Y247" s="21"/>
      <c r="Z247" s="21"/>
      <c r="AA247" s="21"/>
      <c r="AB247" s="21"/>
      <c r="AC247" s="21"/>
      <c r="AD247" s="21"/>
      <c r="AE247" s="21"/>
      <c r="AF247" s="21"/>
      <c r="AG247" s="21"/>
      <c r="AH247" s="21"/>
      <c r="AI247" s="21"/>
      <c r="AJ247" s="21"/>
      <c r="AK247" s="21"/>
      <c r="AL247" s="21"/>
      <c r="AM247" s="21"/>
      <c r="AN247" s="21"/>
      <c r="AO247" s="21"/>
      <c r="AP247" s="21"/>
    </row>
    <row r="248" spans="3:42">
      <c r="C248" s="21"/>
      <c r="D248" s="21"/>
      <c r="E248" s="21"/>
      <c r="F248" s="21"/>
      <c r="G248" s="21"/>
      <c r="H248" s="21"/>
      <c r="I248" s="21"/>
      <c r="J248" s="21"/>
      <c r="K248" s="21"/>
      <c r="L248" s="21"/>
      <c r="M248" s="21"/>
      <c r="N248" s="21"/>
      <c r="O248" s="21"/>
      <c r="P248" s="21"/>
      <c r="Q248" s="21"/>
      <c r="R248" s="21"/>
      <c r="S248" s="21"/>
      <c r="T248" s="21"/>
      <c r="U248" s="21"/>
      <c r="V248" s="21"/>
      <c r="W248" s="21"/>
      <c r="X248" s="21"/>
      <c r="Y248" s="21"/>
      <c r="Z248" s="21"/>
      <c r="AA248" s="21"/>
      <c r="AB248" s="21"/>
      <c r="AC248" s="21"/>
      <c r="AD248" s="21"/>
      <c r="AE248" s="21"/>
      <c r="AF248" s="21"/>
      <c r="AG248" s="21"/>
      <c r="AH248" s="21"/>
      <c r="AI248" s="21"/>
      <c r="AJ248" s="21"/>
      <c r="AK248" s="21"/>
      <c r="AL248" s="21"/>
      <c r="AM248" s="21"/>
      <c r="AN248" s="21"/>
      <c r="AO248" s="21"/>
      <c r="AP248" s="21"/>
    </row>
    <row r="249" spans="3:42">
      <c r="C249" s="21"/>
      <c r="D249" s="21"/>
      <c r="E249" s="21"/>
      <c r="F249" s="21"/>
      <c r="G249" s="21"/>
      <c r="H249" s="21"/>
      <c r="I249" s="21"/>
      <c r="J249" s="21"/>
      <c r="K249" s="21"/>
      <c r="L249" s="21"/>
      <c r="M249" s="21"/>
      <c r="N249" s="21"/>
      <c r="O249" s="21"/>
      <c r="P249" s="21"/>
      <c r="Q249" s="21"/>
      <c r="R249" s="21"/>
      <c r="S249" s="21"/>
      <c r="T249" s="21"/>
      <c r="U249" s="21"/>
      <c r="V249" s="21"/>
      <c r="W249" s="21"/>
      <c r="X249" s="21"/>
      <c r="Y249" s="21"/>
      <c r="Z249" s="21"/>
      <c r="AA249" s="21"/>
      <c r="AB249" s="21"/>
      <c r="AC249" s="21"/>
      <c r="AD249" s="21"/>
      <c r="AE249" s="21"/>
      <c r="AF249" s="21"/>
      <c r="AG249" s="21"/>
      <c r="AH249" s="21"/>
      <c r="AI249" s="21"/>
      <c r="AJ249" s="21"/>
      <c r="AK249" s="21"/>
      <c r="AL249" s="21"/>
      <c r="AM249" s="21"/>
      <c r="AN249" s="21"/>
      <c r="AO249" s="21"/>
      <c r="AP249" s="21"/>
    </row>
    <row r="250" spans="3:42">
      <c r="C250" s="21"/>
      <c r="D250" s="21"/>
      <c r="E250" s="21"/>
      <c r="F250" s="21"/>
      <c r="G250" s="21"/>
      <c r="H250" s="21"/>
      <c r="I250" s="21"/>
      <c r="J250" s="21"/>
      <c r="K250" s="21"/>
      <c r="L250" s="21"/>
      <c r="M250" s="21"/>
      <c r="N250" s="21"/>
      <c r="O250" s="21"/>
      <c r="P250" s="21"/>
      <c r="Q250" s="21"/>
      <c r="R250" s="21"/>
      <c r="S250" s="21"/>
      <c r="T250" s="21"/>
      <c r="U250" s="21"/>
      <c r="V250" s="21"/>
      <c r="W250" s="21"/>
      <c r="X250" s="21"/>
      <c r="Y250" s="21"/>
      <c r="Z250" s="21"/>
      <c r="AA250" s="21"/>
      <c r="AB250" s="21"/>
      <c r="AC250" s="21"/>
      <c r="AD250" s="21"/>
      <c r="AE250" s="21"/>
      <c r="AF250" s="21"/>
      <c r="AG250" s="21"/>
      <c r="AH250" s="21"/>
      <c r="AI250" s="21"/>
      <c r="AJ250" s="21"/>
      <c r="AK250" s="21"/>
      <c r="AL250" s="21"/>
      <c r="AM250" s="21"/>
      <c r="AN250" s="21"/>
      <c r="AO250" s="21"/>
      <c r="AP250" s="21"/>
    </row>
    <row r="251" spans="3:42">
      <c r="C251" s="21"/>
      <c r="D251" s="21"/>
      <c r="E251" s="21"/>
      <c r="F251" s="21"/>
      <c r="G251" s="21"/>
      <c r="H251" s="21"/>
      <c r="I251" s="21"/>
      <c r="J251" s="21"/>
      <c r="K251" s="21"/>
      <c r="L251" s="21"/>
      <c r="M251" s="21"/>
      <c r="N251" s="21"/>
      <c r="O251" s="21"/>
      <c r="P251" s="21"/>
      <c r="Q251" s="21"/>
      <c r="R251" s="21"/>
      <c r="S251" s="21"/>
      <c r="T251" s="21"/>
      <c r="U251" s="21"/>
      <c r="V251" s="21"/>
      <c r="W251" s="21"/>
      <c r="X251" s="21"/>
      <c r="Y251" s="21"/>
      <c r="Z251" s="21"/>
      <c r="AA251" s="21"/>
      <c r="AB251" s="21"/>
      <c r="AC251" s="21"/>
      <c r="AD251" s="21"/>
      <c r="AE251" s="21"/>
      <c r="AF251" s="21"/>
      <c r="AG251" s="21"/>
      <c r="AH251" s="21"/>
      <c r="AI251" s="21"/>
      <c r="AJ251" s="21"/>
      <c r="AK251" s="21"/>
      <c r="AL251" s="21"/>
      <c r="AM251" s="21"/>
      <c r="AN251" s="21"/>
      <c r="AO251" s="21"/>
      <c r="AP251" s="21"/>
    </row>
    <row r="252" spans="3:42">
      <c r="C252" s="21"/>
      <c r="D252" s="21"/>
      <c r="E252" s="21"/>
      <c r="F252" s="21"/>
      <c r="G252" s="21"/>
      <c r="H252" s="21"/>
      <c r="I252" s="21"/>
      <c r="J252" s="21"/>
      <c r="K252" s="21"/>
      <c r="L252" s="21"/>
      <c r="M252" s="21"/>
      <c r="N252" s="21"/>
      <c r="O252" s="21"/>
      <c r="P252" s="21"/>
      <c r="Q252" s="21"/>
      <c r="R252" s="21"/>
      <c r="S252" s="21"/>
      <c r="T252" s="21"/>
      <c r="U252" s="21"/>
      <c r="V252" s="21"/>
      <c r="W252" s="21"/>
      <c r="X252" s="21"/>
      <c r="Y252" s="21"/>
      <c r="Z252" s="21"/>
      <c r="AA252" s="21"/>
      <c r="AB252" s="21"/>
      <c r="AC252" s="21"/>
      <c r="AD252" s="21"/>
      <c r="AE252" s="21"/>
      <c r="AF252" s="21"/>
      <c r="AG252" s="21"/>
      <c r="AH252" s="21"/>
      <c r="AI252" s="21"/>
      <c r="AJ252" s="21"/>
      <c r="AK252" s="21"/>
      <c r="AL252" s="21"/>
      <c r="AM252" s="21"/>
      <c r="AN252" s="21"/>
      <c r="AO252" s="21"/>
      <c r="AP252" s="21"/>
    </row>
    <row r="253" spans="3:42">
      <c r="C253" s="21"/>
      <c r="D253" s="21"/>
      <c r="E253" s="21"/>
      <c r="F253" s="21"/>
      <c r="G253" s="21"/>
      <c r="H253" s="21"/>
      <c r="I253" s="21"/>
      <c r="J253" s="21"/>
      <c r="K253" s="21"/>
      <c r="L253" s="21"/>
      <c r="M253" s="21"/>
      <c r="N253" s="21"/>
      <c r="O253" s="21"/>
      <c r="P253" s="21"/>
      <c r="Q253" s="21"/>
      <c r="R253" s="21"/>
      <c r="S253" s="21"/>
      <c r="T253" s="21"/>
      <c r="U253" s="21"/>
      <c r="V253" s="21"/>
      <c r="W253" s="21"/>
      <c r="X253" s="21"/>
      <c r="Y253" s="21"/>
      <c r="Z253" s="21"/>
      <c r="AA253" s="21"/>
      <c r="AB253" s="21"/>
      <c r="AC253" s="21"/>
      <c r="AD253" s="21"/>
      <c r="AE253" s="21"/>
      <c r="AF253" s="21"/>
      <c r="AG253" s="21"/>
      <c r="AH253" s="21"/>
      <c r="AI253" s="21"/>
      <c r="AJ253" s="21"/>
      <c r="AK253" s="21"/>
      <c r="AL253" s="21"/>
      <c r="AM253" s="21"/>
      <c r="AN253" s="21"/>
      <c r="AO253" s="21"/>
      <c r="AP253" s="21"/>
    </row>
    <row r="254" spans="3:42">
      <c r="C254" s="21"/>
      <c r="D254" s="21"/>
      <c r="E254" s="21"/>
      <c r="F254" s="21"/>
      <c r="G254" s="21"/>
      <c r="H254" s="21"/>
      <c r="I254" s="21"/>
      <c r="J254" s="21"/>
      <c r="K254" s="21"/>
      <c r="L254" s="21"/>
      <c r="M254" s="21"/>
      <c r="N254" s="21"/>
      <c r="O254" s="21"/>
      <c r="P254" s="21"/>
      <c r="Q254" s="21"/>
      <c r="R254" s="21"/>
      <c r="S254" s="21"/>
      <c r="T254" s="21"/>
      <c r="U254" s="21"/>
      <c r="V254" s="21"/>
      <c r="W254" s="21"/>
      <c r="X254" s="21"/>
      <c r="Y254" s="21"/>
      <c r="Z254" s="21"/>
      <c r="AA254" s="21"/>
      <c r="AB254" s="21"/>
      <c r="AC254" s="21"/>
      <c r="AD254" s="21"/>
      <c r="AE254" s="21"/>
      <c r="AF254" s="21"/>
      <c r="AG254" s="21"/>
      <c r="AH254" s="21"/>
      <c r="AI254" s="21"/>
      <c r="AJ254" s="21"/>
      <c r="AK254" s="21"/>
      <c r="AL254" s="21"/>
      <c r="AM254" s="21"/>
      <c r="AN254" s="21"/>
      <c r="AO254" s="21"/>
      <c r="AP254" s="21"/>
    </row>
    <row r="255" spans="3:42">
      <c r="C255" s="21"/>
      <c r="D255" s="21"/>
      <c r="E255" s="21"/>
      <c r="F255" s="21"/>
      <c r="G255" s="21"/>
      <c r="H255" s="21"/>
      <c r="I255" s="21"/>
      <c r="J255" s="21"/>
      <c r="K255" s="21"/>
      <c r="L255" s="21"/>
      <c r="M255" s="21"/>
      <c r="N255" s="21"/>
      <c r="O255" s="21"/>
      <c r="P255" s="21"/>
      <c r="Q255" s="21"/>
      <c r="R255" s="21"/>
      <c r="S255" s="21"/>
      <c r="T255" s="21"/>
      <c r="U255" s="21"/>
      <c r="V255" s="21"/>
      <c r="W255" s="21"/>
      <c r="X255" s="21"/>
      <c r="Y255" s="21"/>
      <c r="Z255" s="21"/>
      <c r="AA255" s="21"/>
      <c r="AB255" s="21"/>
      <c r="AC255" s="21"/>
      <c r="AD255" s="21"/>
      <c r="AE255" s="21"/>
      <c r="AF255" s="21"/>
      <c r="AG255" s="21"/>
      <c r="AH255" s="21"/>
      <c r="AI255" s="21"/>
      <c r="AJ255" s="21"/>
      <c r="AK255" s="21"/>
      <c r="AL255" s="21"/>
      <c r="AM255" s="21"/>
      <c r="AN255" s="21"/>
      <c r="AO255" s="21"/>
      <c r="AP255" s="21"/>
    </row>
    <row r="256" spans="3:42">
      <c r="C256" s="21"/>
      <c r="D256" s="21"/>
      <c r="E256" s="21"/>
      <c r="F256" s="21"/>
      <c r="G256" s="21"/>
      <c r="H256" s="21"/>
      <c r="I256" s="21"/>
      <c r="J256" s="21"/>
      <c r="K256" s="21"/>
      <c r="L256" s="21"/>
      <c r="M256" s="21"/>
      <c r="N256" s="21"/>
      <c r="O256" s="21"/>
      <c r="P256" s="21"/>
      <c r="Q256" s="21"/>
      <c r="R256" s="21"/>
      <c r="S256" s="21"/>
      <c r="T256" s="21"/>
      <c r="U256" s="21"/>
      <c r="V256" s="21"/>
      <c r="W256" s="21"/>
      <c r="X256" s="21"/>
      <c r="Y256" s="21"/>
      <c r="Z256" s="21"/>
      <c r="AA256" s="21"/>
      <c r="AB256" s="21"/>
      <c r="AC256" s="21"/>
      <c r="AD256" s="21"/>
      <c r="AE256" s="21"/>
      <c r="AF256" s="21"/>
      <c r="AG256" s="21"/>
      <c r="AH256" s="21"/>
      <c r="AI256" s="21"/>
      <c r="AJ256" s="21"/>
      <c r="AK256" s="21"/>
      <c r="AL256" s="21"/>
      <c r="AM256" s="21"/>
      <c r="AN256" s="21"/>
      <c r="AO256" s="21"/>
      <c r="AP256" s="21"/>
    </row>
    <row r="257" spans="3:42">
      <c r="C257" s="21"/>
      <c r="D257" s="21"/>
      <c r="E257" s="21"/>
      <c r="F257" s="21"/>
      <c r="G257" s="21"/>
      <c r="H257" s="21"/>
      <c r="I257" s="21"/>
      <c r="J257" s="21"/>
      <c r="K257" s="21"/>
      <c r="L257" s="21"/>
      <c r="M257" s="21"/>
      <c r="N257" s="21"/>
      <c r="O257" s="21"/>
      <c r="P257" s="21"/>
      <c r="Q257" s="21"/>
      <c r="R257" s="21"/>
      <c r="S257" s="21"/>
      <c r="T257" s="21"/>
      <c r="U257" s="21"/>
      <c r="V257" s="21"/>
      <c r="W257" s="21"/>
      <c r="X257" s="21"/>
      <c r="Y257" s="21"/>
      <c r="Z257" s="21"/>
      <c r="AA257" s="21"/>
      <c r="AB257" s="21"/>
      <c r="AC257" s="21"/>
      <c r="AD257" s="21"/>
      <c r="AE257" s="21"/>
      <c r="AF257" s="21"/>
      <c r="AG257" s="21"/>
      <c r="AH257" s="21"/>
      <c r="AI257" s="21"/>
      <c r="AJ257" s="21"/>
      <c r="AK257" s="21"/>
      <c r="AL257" s="21"/>
      <c r="AM257" s="21"/>
      <c r="AN257" s="21"/>
      <c r="AO257" s="21"/>
      <c r="AP257" s="21"/>
    </row>
    <row r="258" spans="3:42">
      <c r="C258" s="21"/>
      <c r="D258" s="21"/>
      <c r="E258" s="21"/>
      <c r="F258" s="21"/>
      <c r="G258" s="21"/>
      <c r="H258" s="21"/>
      <c r="I258" s="21"/>
      <c r="J258" s="21"/>
      <c r="K258" s="21"/>
      <c r="L258" s="21"/>
      <c r="M258" s="21"/>
      <c r="N258" s="21"/>
      <c r="O258" s="21"/>
      <c r="P258" s="21"/>
      <c r="Q258" s="21"/>
      <c r="R258" s="21"/>
      <c r="S258" s="21"/>
      <c r="T258" s="21"/>
      <c r="U258" s="21"/>
      <c r="V258" s="21"/>
      <c r="W258" s="21"/>
      <c r="X258" s="21"/>
      <c r="Y258" s="21"/>
      <c r="Z258" s="21"/>
      <c r="AA258" s="21"/>
      <c r="AB258" s="21"/>
      <c r="AC258" s="21"/>
      <c r="AD258" s="21"/>
      <c r="AE258" s="21"/>
      <c r="AF258" s="21"/>
      <c r="AG258" s="21"/>
      <c r="AH258" s="21"/>
      <c r="AI258" s="21"/>
      <c r="AJ258" s="21"/>
      <c r="AK258" s="21"/>
      <c r="AL258" s="21"/>
      <c r="AM258" s="21"/>
      <c r="AN258" s="21"/>
      <c r="AO258" s="21"/>
      <c r="AP258" s="21"/>
    </row>
    <row r="259" spans="3:42">
      <c r="C259" s="21"/>
      <c r="D259" s="21"/>
      <c r="E259" s="21"/>
      <c r="F259" s="21"/>
      <c r="G259" s="21"/>
      <c r="H259" s="21"/>
      <c r="I259" s="21"/>
      <c r="J259" s="21"/>
      <c r="K259" s="21"/>
      <c r="L259" s="21"/>
      <c r="M259" s="21"/>
      <c r="N259" s="21"/>
      <c r="O259" s="21"/>
      <c r="P259" s="21"/>
      <c r="Q259" s="21"/>
      <c r="R259" s="21"/>
      <c r="S259" s="21"/>
      <c r="T259" s="21"/>
      <c r="U259" s="21"/>
      <c r="V259" s="21"/>
      <c r="W259" s="21"/>
      <c r="X259" s="21"/>
      <c r="Y259" s="21"/>
      <c r="Z259" s="21"/>
      <c r="AA259" s="21"/>
      <c r="AB259" s="21"/>
      <c r="AC259" s="21"/>
      <c r="AD259" s="21"/>
      <c r="AE259" s="21"/>
      <c r="AF259" s="21"/>
      <c r="AG259" s="21"/>
      <c r="AH259" s="21"/>
      <c r="AI259" s="21"/>
      <c r="AJ259" s="21"/>
      <c r="AK259" s="21"/>
      <c r="AL259" s="21"/>
      <c r="AM259" s="21"/>
      <c r="AN259" s="21"/>
      <c r="AO259" s="21"/>
      <c r="AP259" s="21"/>
    </row>
    <row r="260" spans="3:42">
      <c r="C260" s="21"/>
      <c r="D260" s="21"/>
      <c r="E260" s="21"/>
      <c r="F260" s="21"/>
      <c r="G260" s="21"/>
      <c r="H260" s="21"/>
      <c r="I260" s="21"/>
      <c r="J260" s="21"/>
      <c r="K260" s="21"/>
      <c r="L260" s="21"/>
      <c r="M260" s="21"/>
      <c r="N260" s="21"/>
      <c r="O260" s="21"/>
      <c r="P260" s="21"/>
      <c r="Q260" s="21"/>
      <c r="R260" s="21"/>
      <c r="S260" s="21"/>
      <c r="T260" s="21"/>
      <c r="U260" s="21"/>
      <c r="V260" s="21"/>
      <c r="W260" s="21"/>
      <c r="X260" s="21"/>
      <c r="Y260" s="21"/>
      <c r="Z260" s="21"/>
      <c r="AA260" s="21"/>
      <c r="AB260" s="21"/>
      <c r="AC260" s="21"/>
      <c r="AD260" s="21"/>
      <c r="AE260" s="21"/>
      <c r="AF260" s="21"/>
      <c r="AG260" s="21"/>
      <c r="AH260" s="21"/>
      <c r="AI260" s="21"/>
      <c r="AJ260" s="21"/>
      <c r="AK260" s="21"/>
      <c r="AL260" s="21"/>
      <c r="AM260" s="21"/>
      <c r="AN260" s="21"/>
      <c r="AO260" s="21"/>
      <c r="AP260" s="21"/>
    </row>
    <row r="261" spans="3:42">
      <c r="C261" s="21"/>
      <c r="D261" s="21"/>
      <c r="E261" s="21"/>
      <c r="F261" s="21"/>
      <c r="G261" s="21"/>
      <c r="H261" s="21"/>
      <c r="I261" s="21"/>
      <c r="J261" s="21"/>
      <c r="K261" s="21"/>
      <c r="L261" s="21"/>
      <c r="M261" s="21"/>
      <c r="N261" s="21"/>
      <c r="O261" s="21"/>
      <c r="P261" s="21"/>
      <c r="Q261" s="21"/>
      <c r="R261" s="21"/>
      <c r="S261" s="21"/>
      <c r="T261" s="21"/>
      <c r="U261" s="21"/>
      <c r="V261" s="21"/>
      <c r="W261" s="21"/>
      <c r="X261" s="21"/>
      <c r="Y261" s="21"/>
      <c r="Z261" s="21"/>
      <c r="AA261" s="21"/>
      <c r="AB261" s="21"/>
      <c r="AC261" s="21"/>
      <c r="AD261" s="21"/>
      <c r="AE261" s="21"/>
      <c r="AF261" s="21"/>
      <c r="AG261" s="21"/>
      <c r="AH261" s="21"/>
      <c r="AI261" s="21"/>
      <c r="AJ261" s="21"/>
      <c r="AK261" s="21"/>
      <c r="AL261" s="21"/>
      <c r="AM261" s="21"/>
      <c r="AN261" s="21"/>
      <c r="AO261" s="21"/>
      <c r="AP261" s="21"/>
    </row>
    <row r="262" spans="3:42">
      <c r="C262" s="21"/>
      <c r="D262" s="21"/>
      <c r="E262" s="21"/>
      <c r="F262" s="21"/>
      <c r="G262" s="21"/>
      <c r="H262" s="21"/>
      <c r="I262" s="21"/>
      <c r="J262" s="21"/>
      <c r="K262" s="21"/>
      <c r="L262" s="21"/>
      <c r="M262" s="21"/>
      <c r="N262" s="21"/>
      <c r="O262" s="21"/>
      <c r="P262" s="21"/>
      <c r="Q262" s="21"/>
      <c r="R262" s="21"/>
      <c r="S262" s="21"/>
      <c r="T262" s="21"/>
      <c r="U262" s="21"/>
      <c r="V262" s="21"/>
      <c r="W262" s="21"/>
      <c r="X262" s="21"/>
      <c r="Y262" s="21"/>
      <c r="Z262" s="21"/>
      <c r="AA262" s="21"/>
      <c r="AB262" s="21"/>
      <c r="AC262" s="21"/>
      <c r="AD262" s="21"/>
      <c r="AE262" s="21"/>
      <c r="AF262" s="21"/>
      <c r="AG262" s="21"/>
      <c r="AH262" s="21"/>
      <c r="AI262" s="21"/>
      <c r="AJ262" s="21"/>
      <c r="AK262" s="21"/>
      <c r="AL262" s="21"/>
      <c r="AM262" s="21"/>
      <c r="AN262" s="21"/>
      <c r="AO262" s="21"/>
      <c r="AP262" s="21"/>
    </row>
    <row r="263" spans="3:42">
      <c r="C263" s="21"/>
      <c r="D263" s="21"/>
      <c r="E263" s="21"/>
      <c r="F263" s="21"/>
      <c r="G263" s="21"/>
      <c r="H263" s="21"/>
      <c r="I263" s="21"/>
      <c r="J263" s="21"/>
      <c r="K263" s="21"/>
      <c r="L263" s="21"/>
      <c r="M263" s="21"/>
      <c r="N263" s="21"/>
      <c r="O263" s="21"/>
      <c r="P263" s="21"/>
      <c r="Q263" s="21"/>
      <c r="R263" s="21"/>
      <c r="S263" s="21"/>
      <c r="T263" s="21"/>
      <c r="U263" s="21"/>
      <c r="V263" s="21"/>
      <c r="W263" s="21"/>
      <c r="X263" s="21"/>
      <c r="Y263" s="21"/>
      <c r="Z263" s="21"/>
      <c r="AA263" s="21"/>
      <c r="AB263" s="21"/>
      <c r="AC263" s="21"/>
      <c r="AD263" s="21"/>
      <c r="AE263" s="21"/>
      <c r="AF263" s="21"/>
      <c r="AG263" s="21"/>
      <c r="AH263" s="21"/>
      <c r="AI263" s="21"/>
      <c r="AJ263" s="21"/>
      <c r="AK263" s="21"/>
      <c r="AL263" s="21"/>
      <c r="AM263" s="21"/>
      <c r="AN263" s="21"/>
      <c r="AO263" s="21"/>
      <c r="AP263" s="21"/>
    </row>
    <row r="264" spans="3:42">
      <c r="C264" s="21"/>
      <c r="D264" s="21"/>
      <c r="E264" s="21"/>
      <c r="F264" s="21"/>
      <c r="G264" s="21"/>
      <c r="H264" s="21"/>
      <c r="I264" s="21"/>
      <c r="J264" s="21"/>
      <c r="K264" s="21"/>
      <c r="L264" s="21"/>
      <c r="M264" s="21"/>
      <c r="N264" s="21"/>
      <c r="O264" s="21"/>
      <c r="P264" s="21"/>
      <c r="Q264" s="21"/>
      <c r="R264" s="21"/>
      <c r="S264" s="21"/>
      <c r="T264" s="21"/>
      <c r="U264" s="21"/>
      <c r="V264" s="21"/>
      <c r="W264" s="21"/>
      <c r="X264" s="21"/>
      <c r="Y264" s="21"/>
      <c r="Z264" s="21"/>
      <c r="AA264" s="21"/>
      <c r="AB264" s="21"/>
      <c r="AC264" s="21"/>
      <c r="AD264" s="21"/>
      <c r="AE264" s="21"/>
      <c r="AF264" s="21"/>
      <c r="AG264" s="21"/>
      <c r="AH264" s="21"/>
      <c r="AI264" s="21"/>
      <c r="AJ264" s="21"/>
      <c r="AK264" s="21"/>
      <c r="AL264" s="21"/>
      <c r="AM264" s="21"/>
      <c r="AN264" s="21"/>
      <c r="AO264" s="21"/>
      <c r="AP264" s="21"/>
    </row>
    <row r="265" spans="3:42">
      <c r="C265" s="21"/>
      <c r="D265" s="21"/>
      <c r="E265" s="21"/>
      <c r="F265" s="21"/>
      <c r="G265" s="21"/>
      <c r="H265" s="21"/>
      <c r="I265" s="21"/>
      <c r="J265" s="21"/>
      <c r="K265" s="21"/>
      <c r="L265" s="21"/>
      <c r="M265" s="21"/>
      <c r="N265" s="21"/>
      <c r="O265" s="21"/>
      <c r="P265" s="21"/>
      <c r="Q265" s="21"/>
      <c r="R265" s="21"/>
      <c r="S265" s="21"/>
      <c r="T265" s="21"/>
      <c r="U265" s="21"/>
      <c r="V265" s="21"/>
      <c r="W265" s="21"/>
      <c r="X265" s="21"/>
      <c r="Y265" s="21"/>
      <c r="Z265" s="21"/>
      <c r="AA265" s="21"/>
      <c r="AB265" s="21"/>
      <c r="AC265" s="21"/>
      <c r="AD265" s="21"/>
      <c r="AE265" s="21"/>
      <c r="AF265" s="21"/>
      <c r="AG265" s="21"/>
      <c r="AH265" s="21"/>
      <c r="AI265" s="21"/>
      <c r="AJ265" s="21"/>
      <c r="AK265" s="21"/>
      <c r="AL265" s="21"/>
      <c r="AM265" s="21"/>
      <c r="AN265" s="21"/>
      <c r="AO265" s="21"/>
      <c r="AP265" s="21"/>
    </row>
    <row r="266" spans="3:42">
      <c r="C266" s="21"/>
      <c r="D266" s="21"/>
      <c r="E266" s="21"/>
      <c r="F266" s="21"/>
      <c r="G266" s="21"/>
      <c r="H266" s="21"/>
      <c r="I266" s="21"/>
      <c r="J266" s="21"/>
      <c r="K266" s="21"/>
      <c r="L266" s="21"/>
      <c r="M266" s="21"/>
      <c r="N266" s="21"/>
      <c r="O266" s="21"/>
      <c r="P266" s="21"/>
      <c r="Q266" s="21"/>
      <c r="R266" s="21"/>
      <c r="S266" s="21"/>
      <c r="T266" s="21"/>
      <c r="U266" s="21"/>
      <c r="V266" s="21"/>
      <c r="W266" s="21"/>
      <c r="X266" s="21"/>
      <c r="Y266" s="21"/>
      <c r="Z266" s="21"/>
      <c r="AA266" s="21"/>
      <c r="AB266" s="21"/>
      <c r="AC266" s="21"/>
      <c r="AD266" s="21"/>
      <c r="AE266" s="21"/>
      <c r="AF266" s="21"/>
      <c r="AG266" s="21"/>
      <c r="AH266" s="21"/>
      <c r="AI266" s="21"/>
      <c r="AJ266" s="21"/>
      <c r="AK266" s="21"/>
      <c r="AL266" s="21"/>
      <c r="AM266" s="21"/>
      <c r="AN266" s="21"/>
      <c r="AO266" s="21"/>
      <c r="AP266" s="21"/>
    </row>
    <row r="267" spans="3:42">
      <c r="C267" s="21"/>
      <c r="D267" s="21"/>
      <c r="E267" s="21"/>
      <c r="F267" s="21"/>
      <c r="G267" s="21"/>
      <c r="H267" s="21"/>
      <c r="I267" s="21"/>
      <c r="J267" s="21"/>
      <c r="K267" s="21"/>
      <c r="L267" s="21"/>
      <c r="M267" s="21"/>
      <c r="N267" s="21"/>
      <c r="O267" s="21"/>
      <c r="P267" s="21"/>
      <c r="Q267" s="21"/>
      <c r="R267" s="21"/>
      <c r="S267" s="21"/>
      <c r="T267" s="21"/>
      <c r="U267" s="21"/>
      <c r="V267" s="21"/>
      <c r="W267" s="21"/>
      <c r="X267" s="21"/>
      <c r="Y267" s="21"/>
      <c r="Z267" s="21"/>
      <c r="AA267" s="21"/>
      <c r="AB267" s="21"/>
      <c r="AC267" s="21"/>
      <c r="AD267" s="21"/>
      <c r="AE267" s="21"/>
      <c r="AF267" s="21"/>
      <c r="AG267" s="21"/>
      <c r="AH267" s="21"/>
      <c r="AI267" s="21"/>
      <c r="AJ267" s="21"/>
      <c r="AK267" s="21"/>
      <c r="AL267" s="21"/>
      <c r="AM267" s="21"/>
      <c r="AN267" s="21"/>
      <c r="AO267" s="21"/>
      <c r="AP267" s="21"/>
    </row>
    <row r="268" spans="3:42">
      <c r="C268" s="21"/>
      <c r="D268" s="21"/>
      <c r="E268" s="21"/>
      <c r="F268" s="21"/>
      <c r="G268" s="21"/>
      <c r="H268" s="21"/>
      <c r="I268" s="21"/>
      <c r="J268" s="21"/>
      <c r="K268" s="21"/>
      <c r="L268" s="21"/>
      <c r="M268" s="21"/>
      <c r="N268" s="21"/>
      <c r="O268" s="21"/>
      <c r="P268" s="21"/>
      <c r="Q268" s="21"/>
      <c r="R268" s="21"/>
      <c r="S268" s="21"/>
      <c r="T268" s="21"/>
      <c r="U268" s="21"/>
      <c r="V268" s="21"/>
      <c r="W268" s="21"/>
      <c r="X268" s="21"/>
      <c r="Y268" s="21"/>
      <c r="Z268" s="21"/>
      <c r="AA268" s="21"/>
      <c r="AB268" s="21"/>
      <c r="AC268" s="21"/>
      <c r="AD268" s="21"/>
      <c r="AE268" s="21"/>
      <c r="AF268" s="21"/>
      <c r="AG268" s="21"/>
      <c r="AH268" s="21"/>
      <c r="AI268" s="21"/>
      <c r="AJ268" s="21"/>
      <c r="AK268" s="21"/>
      <c r="AL268" s="21"/>
      <c r="AM268" s="21"/>
      <c r="AN268" s="21"/>
      <c r="AO268" s="21"/>
      <c r="AP268" s="21"/>
    </row>
    <row r="269" spans="3:42">
      <c r="C269" s="21"/>
      <c r="D269" s="21"/>
      <c r="E269" s="21"/>
      <c r="F269" s="21"/>
      <c r="G269" s="21"/>
      <c r="H269" s="21"/>
      <c r="I269" s="21"/>
      <c r="J269" s="21"/>
      <c r="K269" s="21"/>
      <c r="L269" s="21"/>
      <c r="M269" s="21"/>
      <c r="N269" s="21"/>
      <c r="O269" s="21"/>
      <c r="P269" s="21"/>
      <c r="Q269" s="21"/>
      <c r="R269" s="21"/>
      <c r="S269" s="21"/>
      <c r="T269" s="21"/>
      <c r="U269" s="21"/>
      <c r="V269" s="21"/>
      <c r="W269" s="21"/>
      <c r="X269" s="21"/>
      <c r="Y269" s="21"/>
      <c r="Z269" s="21"/>
      <c r="AA269" s="21"/>
      <c r="AB269" s="21"/>
      <c r="AC269" s="21"/>
      <c r="AD269" s="21"/>
      <c r="AE269" s="21"/>
      <c r="AF269" s="21"/>
      <c r="AG269" s="21"/>
      <c r="AH269" s="21"/>
      <c r="AI269" s="21"/>
      <c r="AJ269" s="21"/>
      <c r="AK269" s="21"/>
      <c r="AL269" s="21"/>
      <c r="AM269" s="21"/>
      <c r="AN269" s="21"/>
      <c r="AO269" s="21"/>
      <c r="AP269" s="21"/>
    </row>
    <row r="270" spans="3:42">
      <c r="C270" s="21"/>
      <c r="D270" s="21"/>
      <c r="E270" s="21"/>
      <c r="F270" s="21"/>
      <c r="G270" s="21"/>
      <c r="H270" s="21"/>
      <c r="I270" s="21"/>
      <c r="J270" s="21"/>
      <c r="K270" s="21"/>
      <c r="L270" s="21"/>
      <c r="M270" s="21"/>
      <c r="N270" s="21"/>
      <c r="O270" s="21"/>
      <c r="P270" s="21"/>
      <c r="Q270" s="21"/>
      <c r="R270" s="21"/>
      <c r="S270" s="21"/>
      <c r="T270" s="21"/>
      <c r="U270" s="21"/>
      <c r="V270" s="21"/>
      <c r="W270" s="21"/>
      <c r="X270" s="21"/>
      <c r="Y270" s="21"/>
      <c r="Z270" s="21"/>
      <c r="AA270" s="21"/>
      <c r="AB270" s="21"/>
      <c r="AC270" s="21"/>
      <c r="AD270" s="21"/>
      <c r="AE270" s="21"/>
      <c r="AF270" s="21"/>
      <c r="AG270" s="21"/>
      <c r="AH270" s="21"/>
      <c r="AI270" s="21"/>
      <c r="AJ270" s="21"/>
      <c r="AK270" s="21"/>
      <c r="AL270" s="21"/>
      <c r="AM270" s="21"/>
      <c r="AN270" s="21"/>
      <c r="AO270" s="21"/>
      <c r="AP270" s="21"/>
    </row>
    <row r="271" spans="3:42">
      <c r="C271" s="21"/>
      <c r="D271" s="21"/>
      <c r="E271" s="21"/>
      <c r="F271" s="21"/>
      <c r="G271" s="21"/>
      <c r="H271" s="21"/>
      <c r="I271" s="21"/>
      <c r="J271" s="21"/>
      <c r="K271" s="21"/>
      <c r="L271" s="21"/>
      <c r="M271" s="21"/>
      <c r="N271" s="21"/>
      <c r="O271" s="21"/>
      <c r="P271" s="21"/>
      <c r="Q271" s="21"/>
      <c r="R271" s="21"/>
      <c r="S271" s="21"/>
      <c r="T271" s="21"/>
      <c r="U271" s="21"/>
      <c r="V271" s="21"/>
      <c r="W271" s="21"/>
      <c r="X271" s="21"/>
      <c r="Y271" s="21"/>
      <c r="Z271" s="21"/>
      <c r="AA271" s="21"/>
      <c r="AB271" s="21"/>
      <c r="AC271" s="21"/>
      <c r="AD271" s="21"/>
      <c r="AE271" s="21"/>
      <c r="AF271" s="21"/>
      <c r="AG271" s="21"/>
      <c r="AH271" s="21"/>
      <c r="AI271" s="21"/>
      <c r="AJ271" s="21"/>
      <c r="AK271" s="21"/>
      <c r="AL271" s="21"/>
      <c r="AM271" s="21"/>
      <c r="AN271" s="21"/>
      <c r="AO271" s="21"/>
      <c r="AP271" s="21"/>
    </row>
    <row r="272" spans="3:42">
      <c r="C272" s="21"/>
      <c r="D272" s="21"/>
      <c r="E272" s="21"/>
      <c r="F272" s="21"/>
      <c r="G272" s="21"/>
      <c r="H272" s="21"/>
      <c r="I272" s="21"/>
      <c r="J272" s="21"/>
      <c r="K272" s="21"/>
      <c r="L272" s="21"/>
      <c r="M272" s="21"/>
      <c r="N272" s="21"/>
      <c r="O272" s="21"/>
      <c r="P272" s="21"/>
      <c r="Q272" s="21"/>
      <c r="R272" s="21"/>
      <c r="S272" s="21"/>
      <c r="T272" s="21"/>
      <c r="U272" s="21"/>
      <c r="V272" s="21"/>
      <c r="W272" s="21"/>
      <c r="X272" s="21"/>
      <c r="Y272" s="21"/>
      <c r="Z272" s="21"/>
      <c r="AA272" s="21"/>
      <c r="AB272" s="21"/>
      <c r="AC272" s="21"/>
      <c r="AD272" s="21"/>
      <c r="AE272" s="21"/>
      <c r="AF272" s="21"/>
      <c r="AG272" s="21"/>
      <c r="AH272" s="21"/>
      <c r="AI272" s="21"/>
      <c r="AJ272" s="21"/>
      <c r="AK272" s="21"/>
      <c r="AL272" s="21"/>
      <c r="AM272" s="21"/>
      <c r="AN272" s="21"/>
      <c r="AO272" s="21"/>
      <c r="AP272" s="21"/>
    </row>
    <row r="273" spans="3:42">
      <c r="C273" s="21"/>
      <c r="D273" s="21"/>
      <c r="E273" s="21"/>
      <c r="F273" s="21"/>
      <c r="G273" s="21"/>
      <c r="H273" s="21"/>
      <c r="I273" s="21"/>
      <c r="J273" s="21"/>
      <c r="K273" s="21"/>
      <c r="L273" s="21"/>
      <c r="M273" s="21"/>
      <c r="N273" s="21"/>
      <c r="O273" s="21"/>
      <c r="P273" s="21"/>
      <c r="Q273" s="21"/>
      <c r="R273" s="21"/>
      <c r="S273" s="21"/>
      <c r="T273" s="21"/>
      <c r="U273" s="21"/>
      <c r="V273" s="21"/>
      <c r="W273" s="21"/>
      <c r="X273" s="21"/>
      <c r="Y273" s="21"/>
      <c r="Z273" s="21"/>
      <c r="AA273" s="21"/>
      <c r="AB273" s="21"/>
      <c r="AC273" s="21"/>
      <c r="AD273" s="21"/>
      <c r="AE273" s="21"/>
      <c r="AF273" s="21"/>
      <c r="AG273" s="21"/>
      <c r="AH273" s="21"/>
      <c r="AI273" s="21"/>
      <c r="AJ273" s="21"/>
      <c r="AK273" s="21"/>
      <c r="AL273" s="21"/>
      <c r="AM273" s="21"/>
      <c r="AN273" s="21"/>
      <c r="AO273" s="21"/>
      <c r="AP273" s="21"/>
    </row>
    <row r="274" spans="3:42">
      <c r="C274" s="21"/>
      <c r="D274" s="21"/>
      <c r="E274" s="21"/>
      <c r="F274" s="21"/>
      <c r="G274" s="21"/>
      <c r="H274" s="21"/>
      <c r="I274" s="21"/>
      <c r="J274" s="21"/>
      <c r="K274" s="21"/>
      <c r="L274" s="21"/>
      <c r="M274" s="21"/>
      <c r="N274" s="21"/>
      <c r="O274" s="21"/>
      <c r="P274" s="21"/>
      <c r="Q274" s="21"/>
      <c r="R274" s="21"/>
      <c r="S274" s="21"/>
      <c r="T274" s="21"/>
      <c r="U274" s="21"/>
      <c r="V274" s="21"/>
      <c r="W274" s="21"/>
      <c r="X274" s="21"/>
      <c r="Y274" s="21"/>
      <c r="Z274" s="21"/>
      <c r="AA274" s="21"/>
      <c r="AB274" s="21"/>
      <c r="AC274" s="21"/>
      <c r="AD274" s="21"/>
      <c r="AE274" s="21"/>
      <c r="AF274" s="21"/>
      <c r="AG274" s="21"/>
      <c r="AH274" s="21"/>
      <c r="AI274" s="21"/>
      <c r="AJ274" s="21"/>
      <c r="AK274" s="21"/>
      <c r="AL274" s="21"/>
      <c r="AM274" s="21"/>
      <c r="AN274" s="21"/>
      <c r="AO274" s="21"/>
      <c r="AP274" s="21"/>
    </row>
    <row r="275" spans="3:42">
      <c r="C275" s="21"/>
      <c r="D275" s="21"/>
      <c r="E275" s="21"/>
      <c r="F275" s="21"/>
      <c r="G275" s="21"/>
      <c r="H275" s="21"/>
      <c r="I275" s="21"/>
      <c r="J275" s="21"/>
      <c r="K275" s="21"/>
      <c r="L275" s="21"/>
      <c r="M275" s="21"/>
      <c r="N275" s="21"/>
      <c r="O275" s="21"/>
      <c r="P275" s="21"/>
      <c r="Q275" s="21"/>
      <c r="R275" s="21"/>
      <c r="S275" s="21"/>
      <c r="T275" s="21"/>
      <c r="U275" s="21"/>
      <c r="V275" s="21"/>
      <c r="W275" s="21"/>
      <c r="X275" s="21"/>
      <c r="Y275" s="21"/>
      <c r="Z275" s="21"/>
      <c r="AA275" s="21"/>
      <c r="AB275" s="21"/>
      <c r="AC275" s="21"/>
      <c r="AD275" s="21"/>
      <c r="AE275" s="21"/>
      <c r="AF275" s="21"/>
      <c r="AG275" s="21"/>
      <c r="AH275" s="21"/>
      <c r="AI275" s="21"/>
      <c r="AJ275" s="21"/>
      <c r="AK275" s="21"/>
      <c r="AL275" s="21"/>
      <c r="AM275" s="21"/>
      <c r="AN275" s="21"/>
      <c r="AO275" s="21"/>
      <c r="AP275" s="21"/>
    </row>
    <row r="276" spans="3:42">
      <c r="C276" s="21"/>
      <c r="D276" s="21"/>
      <c r="E276" s="21"/>
      <c r="F276" s="21"/>
      <c r="G276" s="21"/>
      <c r="H276" s="21"/>
      <c r="I276" s="21"/>
      <c r="J276" s="21"/>
      <c r="K276" s="21"/>
      <c r="L276" s="21"/>
      <c r="M276" s="21"/>
      <c r="N276" s="21"/>
      <c r="O276" s="21"/>
      <c r="P276" s="21"/>
      <c r="Q276" s="21"/>
      <c r="R276" s="21"/>
      <c r="S276" s="21"/>
      <c r="T276" s="21"/>
      <c r="U276" s="21"/>
      <c r="V276" s="21"/>
      <c r="W276" s="21"/>
      <c r="X276" s="21"/>
      <c r="Y276" s="21"/>
      <c r="Z276" s="21"/>
      <c r="AA276" s="21"/>
      <c r="AB276" s="21"/>
      <c r="AC276" s="21"/>
      <c r="AD276" s="21"/>
      <c r="AE276" s="21"/>
      <c r="AF276" s="21"/>
      <c r="AG276" s="21"/>
      <c r="AH276" s="21"/>
      <c r="AI276" s="21"/>
      <c r="AJ276" s="21"/>
      <c r="AK276" s="21"/>
      <c r="AL276" s="21"/>
      <c r="AM276" s="21"/>
      <c r="AN276" s="21"/>
      <c r="AO276" s="21"/>
      <c r="AP276" s="21"/>
    </row>
    <row r="277" spans="3:42">
      <c r="C277" s="21"/>
      <c r="D277" s="21"/>
      <c r="E277" s="21"/>
      <c r="F277" s="21"/>
      <c r="G277" s="21"/>
      <c r="H277" s="21"/>
      <c r="I277" s="21"/>
      <c r="J277" s="21"/>
      <c r="K277" s="21"/>
      <c r="L277" s="21"/>
      <c r="M277" s="21"/>
      <c r="N277" s="21"/>
      <c r="O277" s="21"/>
      <c r="P277" s="21"/>
      <c r="Q277" s="21"/>
      <c r="R277" s="21"/>
      <c r="S277" s="21"/>
      <c r="T277" s="21"/>
      <c r="U277" s="21"/>
      <c r="V277" s="21"/>
      <c r="W277" s="21"/>
      <c r="X277" s="21"/>
      <c r="Y277" s="21"/>
      <c r="Z277" s="21"/>
      <c r="AA277" s="21"/>
      <c r="AB277" s="21"/>
      <c r="AC277" s="21"/>
      <c r="AD277" s="21"/>
      <c r="AE277" s="21"/>
      <c r="AF277" s="21"/>
      <c r="AG277" s="21"/>
      <c r="AH277" s="21"/>
      <c r="AI277" s="21"/>
      <c r="AJ277" s="21"/>
      <c r="AK277" s="21"/>
      <c r="AL277" s="21"/>
      <c r="AM277" s="21"/>
      <c r="AN277" s="21"/>
      <c r="AO277" s="21"/>
      <c r="AP277" s="21"/>
    </row>
    <row r="278" spans="3:42">
      <c r="C278" s="21"/>
      <c r="D278" s="21"/>
      <c r="E278" s="21"/>
      <c r="F278" s="21"/>
      <c r="G278" s="21"/>
      <c r="H278" s="21"/>
      <c r="I278" s="21"/>
      <c r="J278" s="21"/>
      <c r="K278" s="21"/>
      <c r="L278" s="21"/>
      <c r="M278" s="21"/>
      <c r="N278" s="21"/>
      <c r="O278" s="21"/>
      <c r="P278" s="21"/>
      <c r="Q278" s="21"/>
      <c r="R278" s="21"/>
      <c r="S278" s="21"/>
      <c r="T278" s="21"/>
      <c r="U278" s="21"/>
      <c r="V278" s="21"/>
      <c r="W278" s="21"/>
      <c r="X278" s="21"/>
      <c r="Y278" s="21"/>
      <c r="Z278" s="21"/>
      <c r="AA278" s="21"/>
      <c r="AB278" s="21"/>
      <c r="AC278" s="21"/>
      <c r="AD278" s="21"/>
      <c r="AE278" s="21"/>
      <c r="AF278" s="21"/>
      <c r="AG278" s="21"/>
      <c r="AH278" s="21"/>
      <c r="AI278" s="21"/>
      <c r="AJ278" s="21"/>
      <c r="AK278" s="21"/>
      <c r="AL278" s="21"/>
      <c r="AM278" s="21"/>
      <c r="AN278" s="21"/>
      <c r="AO278" s="21"/>
      <c r="AP278" s="21"/>
    </row>
    <row r="279" spans="3:42">
      <c r="C279" s="21"/>
      <c r="D279" s="21"/>
      <c r="E279" s="21"/>
      <c r="F279" s="21"/>
      <c r="G279" s="21"/>
      <c r="H279" s="21"/>
      <c r="I279" s="21"/>
      <c r="J279" s="21"/>
      <c r="K279" s="21"/>
      <c r="L279" s="21"/>
      <c r="M279" s="21"/>
      <c r="N279" s="21"/>
      <c r="O279" s="21"/>
      <c r="P279" s="21"/>
      <c r="Q279" s="21"/>
      <c r="R279" s="21"/>
      <c r="S279" s="21"/>
      <c r="T279" s="21"/>
      <c r="U279" s="21"/>
      <c r="V279" s="21"/>
      <c r="W279" s="21"/>
      <c r="X279" s="21"/>
      <c r="Y279" s="21"/>
      <c r="Z279" s="21"/>
      <c r="AA279" s="21"/>
      <c r="AB279" s="21"/>
      <c r="AC279" s="21"/>
      <c r="AD279" s="21"/>
      <c r="AE279" s="21"/>
      <c r="AF279" s="21"/>
      <c r="AG279" s="21"/>
      <c r="AH279" s="21"/>
      <c r="AI279" s="21"/>
      <c r="AJ279" s="21"/>
      <c r="AK279" s="21"/>
      <c r="AL279" s="21"/>
      <c r="AM279" s="21"/>
      <c r="AN279" s="21"/>
      <c r="AO279" s="21"/>
      <c r="AP279" s="21"/>
    </row>
    <row r="280" spans="3:42">
      <c r="C280" s="21"/>
      <c r="D280" s="21"/>
      <c r="E280" s="21"/>
      <c r="F280" s="21"/>
      <c r="G280" s="21"/>
      <c r="H280" s="21"/>
      <c r="I280" s="21"/>
      <c r="J280" s="21"/>
      <c r="K280" s="21"/>
      <c r="L280" s="21"/>
      <c r="M280" s="21"/>
      <c r="N280" s="21"/>
      <c r="O280" s="21"/>
      <c r="P280" s="21"/>
      <c r="Q280" s="21"/>
      <c r="R280" s="21"/>
      <c r="S280" s="21"/>
      <c r="T280" s="21"/>
      <c r="U280" s="21"/>
      <c r="V280" s="21"/>
      <c r="W280" s="21"/>
      <c r="X280" s="21"/>
      <c r="Y280" s="21"/>
      <c r="Z280" s="21"/>
      <c r="AA280" s="21"/>
      <c r="AB280" s="21"/>
      <c r="AC280" s="21"/>
      <c r="AD280" s="21"/>
      <c r="AE280" s="21"/>
      <c r="AF280" s="21"/>
      <c r="AG280" s="21"/>
      <c r="AH280" s="21"/>
      <c r="AI280" s="21"/>
      <c r="AJ280" s="21"/>
      <c r="AK280" s="21"/>
      <c r="AL280" s="21"/>
      <c r="AM280" s="21"/>
      <c r="AN280" s="21"/>
      <c r="AO280" s="21"/>
      <c r="AP280" s="21"/>
    </row>
    <row r="281" spans="3:42">
      <c r="C281" s="21"/>
      <c r="D281" s="21"/>
      <c r="E281" s="21"/>
      <c r="F281" s="21"/>
      <c r="G281" s="21"/>
      <c r="H281" s="21"/>
      <c r="I281" s="21"/>
      <c r="J281" s="21"/>
      <c r="K281" s="21"/>
      <c r="L281" s="21"/>
      <c r="M281" s="21"/>
      <c r="N281" s="21"/>
      <c r="O281" s="21"/>
      <c r="P281" s="21"/>
      <c r="Q281" s="21"/>
      <c r="R281" s="21"/>
      <c r="S281" s="21"/>
      <c r="T281" s="21"/>
      <c r="U281" s="21"/>
      <c r="V281" s="21"/>
      <c r="W281" s="21"/>
      <c r="X281" s="21"/>
      <c r="Y281" s="21"/>
      <c r="Z281" s="21"/>
      <c r="AA281" s="21"/>
      <c r="AB281" s="21"/>
      <c r="AC281" s="21"/>
      <c r="AD281" s="21"/>
      <c r="AE281" s="21"/>
      <c r="AF281" s="21"/>
      <c r="AG281" s="21"/>
      <c r="AH281" s="21"/>
      <c r="AI281" s="21"/>
      <c r="AJ281" s="21"/>
      <c r="AK281" s="21"/>
      <c r="AL281" s="21"/>
      <c r="AM281" s="21"/>
      <c r="AN281" s="21"/>
      <c r="AO281" s="21"/>
      <c r="AP281" s="21"/>
    </row>
    <row r="282" spans="3:42">
      <c r="C282" s="21"/>
      <c r="D282" s="21"/>
      <c r="E282" s="21"/>
      <c r="F282" s="21"/>
      <c r="G282" s="21"/>
      <c r="H282" s="21"/>
      <c r="I282" s="21"/>
      <c r="J282" s="21"/>
      <c r="K282" s="21"/>
      <c r="L282" s="21"/>
      <c r="M282" s="21"/>
      <c r="N282" s="21"/>
      <c r="O282" s="21"/>
      <c r="P282" s="21"/>
      <c r="Q282" s="21"/>
      <c r="R282" s="21"/>
      <c r="S282" s="21"/>
      <c r="T282" s="21"/>
      <c r="U282" s="21"/>
      <c r="V282" s="21"/>
      <c r="W282" s="21"/>
      <c r="X282" s="21"/>
      <c r="Y282" s="21"/>
      <c r="Z282" s="21"/>
      <c r="AA282" s="21"/>
      <c r="AB282" s="21"/>
      <c r="AC282" s="21"/>
      <c r="AD282" s="21"/>
      <c r="AE282" s="21"/>
      <c r="AF282" s="21"/>
      <c r="AG282" s="21"/>
      <c r="AH282" s="21"/>
      <c r="AI282" s="21"/>
      <c r="AJ282" s="21"/>
      <c r="AK282" s="21"/>
      <c r="AL282" s="21"/>
      <c r="AM282" s="21"/>
      <c r="AN282" s="21"/>
      <c r="AO282" s="21"/>
      <c r="AP282" s="21"/>
    </row>
    <row r="283" spans="3:42">
      <c r="C283" s="21"/>
      <c r="D283" s="21"/>
      <c r="E283" s="21"/>
      <c r="F283" s="21"/>
      <c r="G283" s="21"/>
      <c r="H283" s="21"/>
      <c r="I283" s="21"/>
      <c r="J283" s="21"/>
      <c r="K283" s="21"/>
      <c r="L283" s="21"/>
      <c r="M283" s="21"/>
      <c r="N283" s="21"/>
      <c r="O283" s="21"/>
      <c r="P283" s="21"/>
      <c r="Q283" s="21"/>
      <c r="R283" s="21"/>
      <c r="S283" s="21"/>
      <c r="T283" s="21"/>
      <c r="U283" s="21"/>
      <c r="V283" s="21"/>
      <c r="W283" s="21"/>
      <c r="X283" s="21"/>
      <c r="Y283" s="21"/>
      <c r="Z283" s="21"/>
      <c r="AA283" s="21"/>
      <c r="AB283" s="21"/>
      <c r="AC283" s="21"/>
      <c r="AD283" s="21"/>
      <c r="AE283" s="21"/>
      <c r="AF283" s="21"/>
      <c r="AG283" s="21"/>
      <c r="AH283" s="21"/>
      <c r="AI283" s="21"/>
      <c r="AJ283" s="21"/>
      <c r="AK283" s="21"/>
      <c r="AL283" s="21"/>
      <c r="AM283" s="21"/>
      <c r="AN283" s="21"/>
      <c r="AO283" s="21"/>
      <c r="AP283" s="21"/>
    </row>
    <row r="284" spans="3:42">
      <c r="C284" s="21"/>
      <c r="D284" s="21"/>
      <c r="E284" s="21"/>
      <c r="F284" s="21"/>
      <c r="G284" s="21"/>
      <c r="H284" s="21"/>
      <c r="I284" s="21"/>
      <c r="J284" s="21"/>
      <c r="K284" s="21"/>
      <c r="L284" s="21"/>
      <c r="M284" s="21"/>
      <c r="N284" s="21"/>
      <c r="O284" s="21"/>
      <c r="P284" s="21"/>
      <c r="Q284" s="21"/>
      <c r="R284" s="21"/>
      <c r="S284" s="21"/>
      <c r="T284" s="21"/>
      <c r="U284" s="21"/>
      <c r="V284" s="21"/>
      <c r="W284" s="21"/>
      <c r="X284" s="21"/>
      <c r="Y284" s="21"/>
      <c r="Z284" s="21"/>
      <c r="AA284" s="21"/>
      <c r="AB284" s="21"/>
      <c r="AC284" s="21"/>
      <c r="AD284" s="21"/>
      <c r="AE284" s="21"/>
      <c r="AF284" s="21"/>
      <c r="AG284" s="21"/>
      <c r="AH284" s="21"/>
      <c r="AI284" s="21"/>
      <c r="AJ284" s="21"/>
      <c r="AK284" s="21"/>
      <c r="AL284" s="21"/>
      <c r="AM284" s="21"/>
      <c r="AN284" s="21"/>
      <c r="AO284" s="21"/>
      <c r="AP284" s="21"/>
    </row>
    <row r="285" spans="3:42">
      <c r="C285" s="21"/>
      <c r="D285" s="21"/>
      <c r="E285" s="21"/>
      <c r="F285" s="21"/>
      <c r="G285" s="21"/>
      <c r="H285" s="21"/>
      <c r="I285" s="21"/>
      <c r="J285" s="21"/>
      <c r="K285" s="21"/>
      <c r="L285" s="21"/>
      <c r="M285" s="21"/>
      <c r="N285" s="21"/>
      <c r="O285" s="21"/>
      <c r="P285" s="21"/>
      <c r="Q285" s="21"/>
      <c r="R285" s="21"/>
      <c r="S285" s="21"/>
      <c r="T285" s="21"/>
      <c r="U285" s="21"/>
      <c r="V285" s="21"/>
      <c r="W285" s="21"/>
      <c r="X285" s="21"/>
      <c r="Y285" s="21"/>
      <c r="Z285" s="21"/>
      <c r="AA285" s="21"/>
      <c r="AB285" s="21"/>
      <c r="AC285" s="21"/>
      <c r="AD285" s="21"/>
      <c r="AE285" s="21"/>
      <c r="AF285" s="21"/>
      <c r="AG285" s="21"/>
      <c r="AH285" s="21"/>
      <c r="AI285" s="21"/>
      <c r="AJ285" s="21"/>
      <c r="AK285" s="21"/>
      <c r="AL285" s="21"/>
      <c r="AM285" s="21"/>
      <c r="AN285" s="21"/>
      <c r="AO285" s="21"/>
      <c r="AP285" s="21"/>
    </row>
    <row r="286" spans="3:42">
      <c r="C286" s="21"/>
      <c r="D286" s="21"/>
      <c r="E286" s="21"/>
      <c r="F286" s="21"/>
      <c r="G286" s="21"/>
      <c r="H286" s="21"/>
      <c r="I286" s="21"/>
      <c r="J286" s="21"/>
      <c r="K286" s="21"/>
      <c r="L286" s="21"/>
      <c r="M286" s="21"/>
      <c r="N286" s="21"/>
      <c r="O286" s="21"/>
      <c r="P286" s="21"/>
      <c r="Q286" s="21"/>
      <c r="R286" s="21"/>
      <c r="S286" s="21"/>
      <c r="T286" s="21"/>
      <c r="U286" s="21"/>
      <c r="V286" s="21"/>
      <c r="W286" s="21"/>
      <c r="X286" s="21"/>
      <c r="Y286" s="21"/>
      <c r="Z286" s="21"/>
      <c r="AA286" s="21"/>
      <c r="AB286" s="21"/>
      <c r="AC286" s="21"/>
      <c r="AD286" s="21"/>
      <c r="AE286" s="21"/>
      <c r="AF286" s="21"/>
      <c r="AG286" s="21"/>
      <c r="AH286" s="21"/>
      <c r="AI286" s="21"/>
      <c r="AJ286" s="21"/>
      <c r="AK286" s="21"/>
      <c r="AL286" s="21"/>
      <c r="AM286" s="21"/>
      <c r="AN286" s="21"/>
      <c r="AO286" s="21"/>
      <c r="AP286" s="21"/>
    </row>
    <row r="287" spans="3:42">
      <c r="C287" s="21"/>
      <c r="D287" s="21"/>
      <c r="E287" s="21"/>
      <c r="F287" s="21"/>
      <c r="G287" s="21"/>
      <c r="H287" s="21"/>
      <c r="I287" s="21"/>
      <c r="J287" s="21"/>
      <c r="K287" s="21"/>
      <c r="L287" s="21"/>
      <c r="M287" s="21"/>
      <c r="N287" s="21"/>
      <c r="O287" s="21"/>
      <c r="P287" s="21"/>
      <c r="Q287" s="21"/>
      <c r="R287" s="21"/>
      <c r="S287" s="21"/>
      <c r="T287" s="21"/>
      <c r="U287" s="21"/>
      <c r="V287" s="21"/>
      <c r="W287" s="21"/>
      <c r="X287" s="21"/>
      <c r="Y287" s="21"/>
      <c r="Z287" s="21"/>
      <c r="AA287" s="21"/>
      <c r="AB287" s="21"/>
      <c r="AC287" s="21"/>
      <c r="AD287" s="21"/>
      <c r="AE287" s="21"/>
      <c r="AF287" s="21"/>
      <c r="AG287" s="21"/>
      <c r="AH287" s="21"/>
      <c r="AI287" s="21"/>
      <c r="AJ287" s="21"/>
      <c r="AK287" s="21"/>
      <c r="AL287" s="21"/>
      <c r="AM287" s="21"/>
      <c r="AN287" s="21"/>
      <c r="AO287" s="21"/>
      <c r="AP287" s="21"/>
    </row>
    <row r="288" spans="3:42">
      <c r="C288" s="21"/>
      <c r="D288" s="21"/>
      <c r="E288" s="21"/>
      <c r="F288" s="21"/>
      <c r="G288" s="21"/>
      <c r="H288" s="21"/>
      <c r="I288" s="21"/>
      <c r="J288" s="21"/>
      <c r="K288" s="21"/>
      <c r="L288" s="21"/>
      <c r="M288" s="21"/>
      <c r="N288" s="21"/>
      <c r="O288" s="21"/>
      <c r="P288" s="21"/>
      <c r="Q288" s="21"/>
      <c r="R288" s="21"/>
      <c r="S288" s="21"/>
      <c r="T288" s="21"/>
      <c r="U288" s="21"/>
      <c r="V288" s="21"/>
      <c r="W288" s="21"/>
      <c r="X288" s="21"/>
      <c r="Y288" s="21"/>
      <c r="Z288" s="21"/>
      <c r="AA288" s="21"/>
      <c r="AB288" s="21"/>
      <c r="AC288" s="21"/>
      <c r="AD288" s="21"/>
      <c r="AE288" s="21"/>
      <c r="AF288" s="21"/>
      <c r="AG288" s="21"/>
      <c r="AH288" s="21"/>
      <c r="AI288" s="21"/>
      <c r="AJ288" s="21"/>
      <c r="AK288" s="21"/>
      <c r="AL288" s="21"/>
      <c r="AM288" s="21"/>
      <c r="AN288" s="21"/>
      <c r="AO288" s="21"/>
      <c r="AP288" s="21"/>
    </row>
    <row r="289" spans="3:42">
      <c r="C289" s="21"/>
      <c r="D289" s="21"/>
      <c r="E289" s="21"/>
      <c r="F289" s="21"/>
      <c r="G289" s="21"/>
      <c r="H289" s="21"/>
      <c r="I289" s="21"/>
      <c r="J289" s="21"/>
      <c r="K289" s="21"/>
      <c r="L289" s="21"/>
      <c r="M289" s="21"/>
      <c r="N289" s="21"/>
      <c r="O289" s="21"/>
      <c r="P289" s="21"/>
      <c r="Q289" s="21"/>
      <c r="R289" s="21"/>
      <c r="S289" s="21"/>
      <c r="T289" s="21"/>
      <c r="U289" s="21"/>
      <c r="V289" s="21"/>
      <c r="W289" s="21"/>
      <c r="X289" s="21"/>
      <c r="Y289" s="21"/>
      <c r="Z289" s="21"/>
      <c r="AA289" s="21"/>
      <c r="AB289" s="21"/>
      <c r="AC289" s="21"/>
      <c r="AD289" s="21"/>
      <c r="AE289" s="21"/>
      <c r="AF289" s="21"/>
      <c r="AG289" s="21"/>
      <c r="AH289" s="21"/>
      <c r="AI289" s="21"/>
      <c r="AJ289" s="21"/>
      <c r="AK289" s="21"/>
      <c r="AL289" s="21"/>
      <c r="AM289" s="21"/>
      <c r="AN289" s="21"/>
      <c r="AO289" s="21"/>
      <c r="AP289" s="21"/>
    </row>
    <row r="290" spans="3:42">
      <c r="C290" s="21"/>
      <c r="D290" s="21"/>
      <c r="E290" s="21"/>
      <c r="F290" s="21"/>
      <c r="G290" s="21"/>
      <c r="H290" s="21"/>
      <c r="I290" s="21"/>
      <c r="J290" s="21"/>
      <c r="K290" s="21"/>
      <c r="L290" s="21"/>
      <c r="M290" s="21"/>
      <c r="N290" s="21"/>
      <c r="O290" s="21"/>
      <c r="P290" s="21"/>
      <c r="Q290" s="21"/>
      <c r="R290" s="21"/>
      <c r="S290" s="21"/>
      <c r="T290" s="21"/>
      <c r="U290" s="21"/>
      <c r="V290" s="21"/>
      <c r="W290" s="21"/>
      <c r="X290" s="21"/>
      <c r="Y290" s="21"/>
      <c r="Z290" s="21"/>
      <c r="AA290" s="21"/>
      <c r="AB290" s="21"/>
      <c r="AC290" s="21"/>
      <c r="AD290" s="21"/>
      <c r="AE290" s="21"/>
      <c r="AF290" s="21"/>
      <c r="AG290" s="21"/>
      <c r="AH290" s="21"/>
      <c r="AI290" s="21"/>
      <c r="AJ290" s="21"/>
      <c r="AK290" s="21"/>
      <c r="AL290" s="21"/>
      <c r="AM290" s="21"/>
      <c r="AN290" s="21"/>
      <c r="AO290" s="21"/>
      <c r="AP290" s="21"/>
    </row>
    <row r="291" spans="3:42">
      <c r="C291" s="21"/>
      <c r="D291" s="21"/>
      <c r="E291" s="21"/>
      <c r="F291" s="21"/>
      <c r="G291" s="21"/>
      <c r="H291" s="21"/>
      <c r="I291" s="21"/>
      <c r="J291" s="21"/>
      <c r="K291" s="21"/>
      <c r="L291" s="21"/>
      <c r="M291" s="21"/>
      <c r="N291" s="21"/>
      <c r="O291" s="21"/>
      <c r="P291" s="21"/>
      <c r="Q291" s="21"/>
      <c r="R291" s="21"/>
      <c r="S291" s="21"/>
      <c r="T291" s="21"/>
      <c r="U291" s="21"/>
      <c r="V291" s="21"/>
      <c r="W291" s="21"/>
      <c r="X291" s="21"/>
      <c r="Y291" s="21"/>
      <c r="Z291" s="21"/>
      <c r="AA291" s="21"/>
      <c r="AB291" s="21"/>
      <c r="AC291" s="21"/>
      <c r="AD291" s="21"/>
      <c r="AE291" s="21"/>
      <c r="AF291" s="21"/>
      <c r="AG291" s="21"/>
      <c r="AH291" s="21"/>
      <c r="AI291" s="21"/>
      <c r="AJ291" s="21"/>
      <c r="AK291" s="21"/>
      <c r="AL291" s="21"/>
      <c r="AM291" s="21"/>
      <c r="AN291" s="21"/>
      <c r="AO291" s="21"/>
      <c r="AP291" s="21"/>
    </row>
    <row r="292" spans="3:42">
      <c r="C292" s="21"/>
      <c r="D292" s="21"/>
      <c r="E292" s="21"/>
      <c r="F292" s="21"/>
      <c r="G292" s="21"/>
      <c r="H292" s="21"/>
      <c r="I292" s="21"/>
      <c r="J292" s="21"/>
      <c r="K292" s="21"/>
      <c r="L292" s="21"/>
      <c r="M292" s="21"/>
      <c r="N292" s="21"/>
      <c r="O292" s="21"/>
      <c r="P292" s="21"/>
      <c r="Q292" s="21"/>
      <c r="R292" s="21"/>
      <c r="S292" s="21"/>
      <c r="T292" s="21"/>
      <c r="U292" s="21"/>
      <c r="V292" s="21"/>
      <c r="W292" s="21"/>
      <c r="X292" s="21"/>
      <c r="Y292" s="21"/>
      <c r="Z292" s="21"/>
      <c r="AA292" s="21"/>
      <c r="AB292" s="21"/>
      <c r="AC292" s="21"/>
      <c r="AD292" s="21"/>
      <c r="AE292" s="21"/>
      <c r="AF292" s="21"/>
      <c r="AG292" s="21"/>
      <c r="AH292" s="21"/>
      <c r="AI292" s="21"/>
      <c r="AJ292" s="21"/>
      <c r="AK292" s="21"/>
      <c r="AL292" s="21"/>
      <c r="AM292" s="21"/>
      <c r="AN292" s="21"/>
      <c r="AO292" s="21"/>
      <c r="AP292" s="21"/>
    </row>
    <row r="293" spans="3:42">
      <c r="C293" s="21"/>
      <c r="D293" s="21"/>
      <c r="E293" s="21"/>
      <c r="F293" s="21"/>
      <c r="G293" s="21"/>
      <c r="H293" s="21"/>
      <c r="I293" s="21"/>
      <c r="J293" s="21"/>
      <c r="K293" s="21"/>
      <c r="L293" s="21"/>
      <c r="M293" s="21"/>
      <c r="N293" s="21"/>
      <c r="O293" s="21"/>
      <c r="P293" s="21"/>
      <c r="Q293" s="21"/>
      <c r="R293" s="21"/>
      <c r="S293" s="21"/>
      <c r="T293" s="21"/>
      <c r="U293" s="21"/>
      <c r="V293" s="21"/>
      <c r="W293" s="21"/>
      <c r="X293" s="21"/>
      <c r="Y293" s="21"/>
      <c r="Z293" s="21"/>
      <c r="AA293" s="21"/>
      <c r="AB293" s="21"/>
      <c r="AC293" s="21"/>
      <c r="AD293" s="21"/>
      <c r="AE293" s="21"/>
      <c r="AF293" s="21"/>
      <c r="AG293" s="21"/>
      <c r="AH293" s="21"/>
      <c r="AI293" s="21"/>
      <c r="AJ293" s="21"/>
      <c r="AK293" s="21"/>
      <c r="AL293" s="21"/>
      <c r="AM293" s="21"/>
      <c r="AN293" s="21"/>
      <c r="AO293" s="21"/>
      <c r="AP293" s="21"/>
    </row>
    <row r="294" spans="3:42">
      <c r="C294" s="21"/>
      <c r="D294" s="21"/>
      <c r="E294" s="21"/>
      <c r="F294" s="21"/>
      <c r="G294" s="21"/>
      <c r="H294" s="21"/>
      <c r="I294" s="21"/>
      <c r="J294" s="21"/>
      <c r="K294" s="21"/>
      <c r="L294" s="21"/>
      <c r="M294" s="21"/>
      <c r="N294" s="21"/>
      <c r="O294" s="21"/>
      <c r="P294" s="21"/>
      <c r="Q294" s="21"/>
      <c r="R294" s="21"/>
      <c r="S294" s="21"/>
      <c r="T294" s="21"/>
      <c r="U294" s="21"/>
      <c r="V294" s="21"/>
      <c r="W294" s="21"/>
      <c r="X294" s="21"/>
      <c r="Y294" s="21"/>
      <c r="Z294" s="21"/>
      <c r="AA294" s="21"/>
      <c r="AB294" s="21"/>
      <c r="AC294" s="21"/>
      <c r="AD294" s="21"/>
      <c r="AE294" s="21"/>
      <c r="AF294" s="21"/>
      <c r="AG294" s="21"/>
      <c r="AH294" s="21"/>
      <c r="AI294" s="21"/>
      <c r="AJ294" s="21"/>
      <c r="AK294" s="21"/>
      <c r="AL294" s="21"/>
      <c r="AM294" s="21"/>
      <c r="AN294" s="21"/>
      <c r="AO294" s="21"/>
      <c r="AP294" s="21"/>
    </row>
    <row r="295" spans="3:42">
      <c r="C295" s="21"/>
      <c r="D295" s="21"/>
      <c r="E295" s="21"/>
      <c r="F295" s="21"/>
      <c r="G295" s="21"/>
      <c r="H295" s="21"/>
      <c r="I295" s="21"/>
      <c r="J295" s="21"/>
      <c r="K295" s="21"/>
      <c r="L295" s="21"/>
      <c r="M295" s="21"/>
      <c r="N295" s="21"/>
      <c r="O295" s="21"/>
      <c r="P295" s="21"/>
      <c r="Q295" s="21"/>
      <c r="R295" s="21"/>
      <c r="S295" s="21"/>
      <c r="T295" s="21"/>
      <c r="U295" s="21"/>
      <c r="V295" s="21"/>
      <c r="W295" s="21"/>
      <c r="X295" s="21"/>
      <c r="Y295" s="21"/>
      <c r="Z295" s="21"/>
      <c r="AA295" s="21"/>
      <c r="AB295" s="21"/>
      <c r="AC295" s="21"/>
      <c r="AD295" s="21"/>
      <c r="AE295" s="21"/>
      <c r="AF295" s="21"/>
      <c r="AG295" s="21"/>
      <c r="AH295" s="21"/>
      <c r="AI295" s="21"/>
      <c r="AJ295" s="21"/>
      <c r="AK295" s="21"/>
      <c r="AL295" s="21"/>
      <c r="AM295" s="21"/>
      <c r="AN295" s="21"/>
      <c r="AO295" s="21"/>
      <c r="AP295" s="21"/>
    </row>
    <row r="296" spans="3:42">
      <c r="C296" s="21"/>
      <c r="D296" s="21"/>
      <c r="E296" s="21"/>
      <c r="F296" s="21"/>
      <c r="G296" s="21"/>
      <c r="H296" s="21"/>
      <c r="I296" s="21"/>
      <c r="J296" s="21"/>
      <c r="K296" s="21"/>
      <c r="L296" s="21"/>
      <c r="M296" s="21"/>
      <c r="N296" s="21"/>
      <c r="O296" s="21"/>
      <c r="P296" s="21"/>
      <c r="Q296" s="21"/>
      <c r="R296" s="21"/>
      <c r="S296" s="21"/>
      <c r="T296" s="21"/>
      <c r="U296" s="21"/>
      <c r="V296" s="21"/>
      <c r="W296" s="21"/>
      <c r="X296" s="21"/>
      <c r="Y296" s="21"/>
      <c r="Z296" s="21"/>
      <c r="AA296" s="21"/>
      <c r="AB296" s="21"/>
      <c r="AC296" s="21"/>
      <c r="AD296" s="21"/>
      <c r="AE296" s="21"/>
      <c r="AF296" s="21"/>
      <c r="AG296" s="21"/>
      <c r="AH296" s="21"/>
      <c r="AI296" s="21"/>
      <c r="AJ296" s="21"/>
      <c r="AK296" s="21"/>
      <c r="AL296" s="21"/>
      <c r="AM296" s="21"/>
      <c r="AN296" s="21"/>
      <c r="AO296" s="21"/>
      <c r="AP296" s="21"/>
    </row>
    <row r="297" spans="3:42">
      <c r="C297" s="21"/>
      <c r="D297" s="21"/>
      <c r="E297" s="21"/>
      <c r="F297" s="21"/>
      <c r="G297" s="21"/>
      <c r="H297" s="21"/>
      <c r="I297" s="21"/>
      <c r="J297" s="21"/>
      <c r="K297" s="21"/>
      <c r="L297" s="21"/>
      <c r="M297" s="21"/>
      <c r="N297" s="21"/>
      <c r="O297" s="21"/>
      <c r="P297" s="21"/>
      <c r="Q297" s="21"/>
      <c r="R297" s="21"/>
      <c r="S297" s="21"/>
      <c r="T297" s="21"/>
      <c r="U297" s="21"/>
      <c r="V297" s="21"/>
      <c r="W297" s="21"/>
      <c r="X297" s="21"/>
      <c r="Y297" s="21"/>
      <c r="Z297" s="21"/>
      <c r="AA297" s="21"/>
      <c r="AB297" s="21"/>
      <c r="AC297" s="21"/>
      <c r="AD297" s="21"/>
      <c r="AE297" s="21"/>
      <c r="AF297" s="21"/>
      <c r="AG297" s="21"/>
      <c r="AH297" s="21"/>
      <c r="AI297" s="21"/>
      <c r="AJ297" s="21"/>
      <c r="AK297" s="21"/>
      <c r="AL297" s="21"/>
      <c r="AM297" s="21"/>
      <c r="AN297" s="21"/>
      <c r="AO297" s="21"/>
      <c r="AP297" s="21"/>
    </row>
    <row r="298" spans="3:42">
      <c r="C298" s="21"/>
      <c r="D298" s="21"/>
      <c r="E298" s="21"/>
      <c r="F298" s="21"/>
      <c r="G298" s="21"/>
      <c r="H298" s="21"/>
      <c r="I298" s="21"/>
      <c r="J298" s="21"/>
      <c r="K298" s="21"/>
      <c r="L298" s="21"/>
      <c r="M298" s="21"/>
      <c r="N298" s="21"/>
      <c r="O298" s="21"/>
      <c r="P298" s="21"/>
      <c r="Q298" s="21"/>
      <c r="R298" s="21"/>
      <c r="S298" s="21"/>
      <c r="T298" s="21"/>
      <c r="U298" s="21"/>
      <c r="V298" s="21"/>
      <c r="W298" s="21"/>
      <c r="X298" s="21"/>
      <c r="Y298" s="21"/>
      <c r="Z298" s="21"/>
      <c r="AA298" s="21"/>
      <c r="AB298" s="21"/>
      <c r="AC298" s="21"/>
      <c r="AD298" s="21"/>
      <c r="AE298" s="21"/>
      <c r="AF298" s="21"/>
      <c r="AG298" s="21"/>
      <c r="AH298" s="21"/>
      <c r="AI298" s="21"/>
      <c r="AJ298" s="21"/>
      <c r="AK298" s="21"/>
      <c r="AL298" s="21"/>
      <c r="AM298" s="21"/>
      <c r="AN298" s="21"/>
      <c r="AO298" s="21"/>
      <c r="AP298" s="21"/>
    </row>
    <row r="299" spans="3:42">
      <c r="C299" s="21"/>
      <c r="D299" s="21"/>
      <c r="E299" s="21"/>
      <c r="F299" s="21"/>
      <c r="G299" s="21"/>
      <c r="H299" s="21"/>
      <c r="I299" s="21"/>
      <c r="J299" s="21"/>
      <c r="K299" s="21"/>
      <c r="L299" s="21"/>
      <c r="M299" s="21"/>
      <c r="N299" s="21"/>
      <c r="O299" s="21"/>
      <c r="P299" s="21"/>
      <c r="Q299" s="21"/>
      <c r="R299" s="21"/>
      <c r="S299" s="21"/>
      <c r="T299" s="21"/>
      <c r="U299" s="21"/>
      <c r="V299" s="21"/>
      <c r="W299" s="21"/>
      <c r="X299" s="21"/>
      <c r="Y299" s="21"/>
      <c r="Z299" s="21"/>
      <c r="AA299" s="21"/>
      <c r="AB299" s="21"/>
      <c r="AC299" s="21"/>
      <c r="AD299" s="21"/>
      <c r="AE299" s="21"/>
      <c r="AF299" s="21"/>
      <c r="AG299" s="21"/>
      <c r="AH299" s="21"/>
      <c r="AI299" s="21"/>
      <c r="AJ299" s="21"/>
      <c r="AK299" s="21"/>
      <c r="AL299" s="21"/>
      <c r="AM299" s="21"/>
      <c r="AN299" s="21"/>
      <c r="AO299" s="21"/>
      <c r="AP299" s="21"/>
    </row>
    <row r="300" spans="3:42">
      <c r="C300" s="21"/>
      <c r="D300" s="21"/>
      <c r="E300" s="21"/>
      <c r="F300" s="21"/>
      <c r="G300" s="21"/>
      <c r="H300" s="21"/>
      <c r="I300" s="21"/>
      <c r="J300" s="21"/>
      <c r="K300" s="21"/>
      <c r="L300" s="21"/>
      <c r="M300" s="21"/>
      <c r="N300" s="21"/>
      <c r="O300" s="21"/>
      <c r="P300" s="21"/>
      <c r="Q300" s="21"/>
      <c r="R300" s="21"/>
      <c r="S300" s="21"/>
      <c r="T300" s="21"/>
      <c r="U300" s="21"/>
      <c r="V300" s="21"/>
      <c r="W300" s="21"/>
      <c r="X300" s="21"/>
      <c r="Y300" s="21"/>
      <c r="Z300" s="21"/>
      <c r="AA300" s="21"/>
      <c r="AB300" s="21"/>
      <c r="AC300" s="21"/>
      <c r="AD300" s="21"/>
      <c r="AE300" s="21"/>
      <c r="AF300" s="21"/>
      <c r="AG300" s="21"/>
      <c r="AH300" s="21"/>
      <c r="AI300" s="21"/>
      <c r="AJ300" s="21"/>
      <c r="AK300" s="21"/>
      <c r="AL300" s="21"/>
      <c r="AM300" s="21"/>
      <c r="AN300" s="21"/>
      <c r="AO300" s="21"/>
      <c r="AP300" s="21"/>
    </row>
    <row r="301" spans="3:42">
      <c r="C301" s="21"/>
      <c r="D301" s="21"/>
      <c r="E301" s="21"/>
      <c r="F301" s="21"/>
      <c r="G301" s="21"/>
      <c r="H301" s="21"/>
      <c r="I301" s="21"/>
      <c r="J301" s="21"/>
      <c r="K301" s="21"/>
      <c r="L301" s="21"/>
      <c r="M301" s="21"/>
      <c r="N301" s="21"/>
      <c r="O301" s="21"/>
      <c r="P301" s="21"/>
      <c r="Q301" s="21"/>
      <c r="R301" s="21"/>
      <c r="S301" s="21"/>
      <c r="T301" s="21"/>
      <c r="U301" s="21"/>
      <c r="V301" s="21"/>
      <c r="W301" s="21"/>
      <c r="X301" s="21"/>
      <c r="Y301" s="21"/>
      <c r="Z301" s="21"/>
      <c r="AA301" s="21"/>
      <c r="AB301" s="21"/>
      <c r="AC301" s="21"/>
      <c r="AD301" s="21"/>
      <c r="AE301" s="21"/>
      <c r="AF301" s="21"/>
      <c r="AG301" s="21"/>
      <c r="AH301" s="21"/>
      <c r="AI301" s="21"/>
      <c r="AJ301" s="21"/>
      <c r="AK301" s="21"/>
      <c r="AL301" s="21"/>
      <c r="AM301" s="21"/>
      <c r="AN301" s="21"/>
      <c r="AO301" s="21"/>
      <c r="AP301" s="21"/>
    </row>
    <row r="302" spans="3:42">
      <c r="C302" s="21"/>
      <c r="D302" s="21"/>
      <c r="E302" s="21"/>
      <c r="F302" s="21"/>
      <c r="G302" s="21"/>
      <c r="H302" s="21"/>
      <c r="I302" s="21"/>
      <c r="J302" s="21"/>
      <c r="K302" s="21"/>
      <c r="L302" s="21"/>
      <c r="M302" s="21"/>
      <c r="N302" s="21"/>
      <c r="O302" s="21"/>
      <c r="P302" s="21"/>
      <c r="Q302" s="21"/>
      <c r="R302" s="21"/>
      <c r="S302" s="21"/>
      <c r="T302" s="21"/>
      <c r="U302" s="21"/>
      <c r="V302" s="21"/>
      <c r="W302" s="21"/>
      <c r="X302" s="21"/>
      <c r="Y302" s="21"/>
      <c r="Z302" s="21"/>
      <c r="AA302" s="21"/>
      <c r="AB302" s="21"/>
      <c r="AC302" s="21"/>
      <c r="AD302" s="21"/>
      <c r="AE302" s="21"/>
      <c r="AF302" s="21"/>
      <c r="AG302" s="21"/>
      <c r="AH302" s="21"/>
      <c r="AI302" s="21"/>
      <c r="AJ302" s="21"/>
      <c r="AK302" s="21"/>
      <c r="AL302" s="21"/>
      <c r="AM302" s="21"/>
      <c r="AN302" s="21"/>
      <c r="AO302" s="21"/>
      <c r="AP302" s="21"/>
    </row>
    <row r="303" spans="3:42">
      <c r="C303" s="21"/>
      <c r="D303" s="21"/>
      <c r="E303" s="21"/>
      <c r="F303" s="21"/>
      <c r="G303" s="21"/>
      <c r="H303" s="21"/>
      <c r="I303" s="21"/>
      <c r="J303" s="21"/>
      <c r="K303" s="21"/>
      <c r="L303" s="21"/>
      <c r="M303" s="21"/>
      <c r="N303" s="21"/>
      <c r="O303" s="21"/>
      <c r="P303" s="21"/>
      <c r="Q303" s="21"/>
      <c r="R303" s="21"/>
      <c r="S303" s="21"/>
      <c r="T303" s="21"/>
      <c r="U303" s="21"/>
      <c r="V303" s="21"/>
      <c r="W303" s="21"/>
      <c r="X303" s="21"/>
      <c r="Y303" s="21"/>
      <c r="Z303" s="21"/>
      <c r="AA303" s="21"/>
      <c r="AB303" s="21"/>
      <c r="AC303" s="21"/>
      <c r="AD303" s="21"/>
      <c r="AE303" s="21"/>
      <c r="AF303" s="21"/>
      <c r="AG303" s="21"/>
      <c r="AH303" s="21"/>
      <c r="AI303" s="21"/>
      <c r="AJ303" s="21"/>
      <c r="AK303" s="21"/>
      <c r="AL303" s="21"/>
      <c r="AM303" s="21"/>
      <c r="AN303" s="21"/>
      <c r="AO303" s="21"/>
      <c r="AP303" s="21"/>
    </row>
    <row r="304" spans="3:42">
      <c r="C304" s="21"/>
      <c r="D304" s="21"/>
      <c r="E304" s="21"/>
      <c r="F304" s="21"/>
      <c r="G304" s="21"/>
      <c r="H304" s="21"/>
      <c r="I304" s="21"/>
      <c r="J304" s="21"/>
      <c r="K304" s="21"/>
      <c r="L304" s="21"/>
      <c r="M304" s="21"/>
      <c r="N304" s="21"/>
      <c r="O304" s="21"/>
      <c r="P304" s="21"/>
      <c r="Q304" s="21"/>
      <c r="R304" s="21"/>
      <c r="S304" s="21"/>
      <c r="T304" s="21"/>
      <c r="U304" s="21"/>
      <c r="V304" s="21"/>
      <c r="W304" s="21"/>
      <c r="X304" s="21"/>
      <c r="Y304" s="21"/>
      <c r="Z304" s="21"/>
      <c r="AA304" s="21"/>
      <c r="AB304" s="21"/>
      <c r="AC304" s="21"/>
      <c r="AD304" s="21"/>
      <c r="AE304" s="21"/>
      <c r="AF304" s="21"/>
      <c r="AG304" s="21"/>
      <c r="AH304" s="21"/>
      <c r="AI304" s="21"/>
      <c r="AJ304" s="21"/>
      <c r="AK304" s="21"/>
      <c r="AL304" s="21"/>
      <c r="AM304" s="21"/>
      <c r="AN304" s="21"/>
      <c r="AO304" s="21"/>
      <c r="AP304" s="21"/>
    </row>
    <row r="305" spans="3:42">
      <c r="C305" s="21"/>
      <c r="D305" s="21"/>
      <c r="E305" s="21"/>
      <c r="F305" s="21"/>
      <c r="G305" s="21"/>
      <c r="H305" s="21"/>
      <c r="I305" s="21"/>
      <c r="J305" s="21"/>
      <c r="K305" s="21"/>
      <c r="L305" s="21"/>
      <c r="M305" s="21"/>
      <c r="N305" s="21"/>
      <c r="O305" s="21"/>
      <c r="P305" s="21"/>
      <c r="Q305" s="21"/>
      <c r="R305" s="21"/>
      <c r="S305" s="21"/>
      <c r="T305" s="21"/>
      <c r="U305" s="21"/>
      <c r="V305" s="21"/>
      <c r="W305" s="21"/>
      <c r="X305" s="21"/>
      <c r="Y305" s="21"/>
      <c r="Z305" s="21"/>
      <c r="AA305" s="21"/>
      <c r="AB305" s="21"/>
      <c r="AC305" s="21"/>
      <c r="AD305" s="21"/>
      <c r="AE305" s="21"/>
      <c r="AF305" s="21"/>
      <c r="AG305" s="21"/>
      <c r="AH305" s="21"/>
      <c r="AI305" s="21"/>
      <c r="AJ305" s="21"/>
      <c r="AK305" s="21"/>
      <c r="AL305" s="21"/>
      <c r="AM305" s="21"/>
      <c r="AN305" s="21"/>
      <c r="AO305" s="21"/>
      <c r="AP305" s="21"/>
    </row>
    <row r="306" spans="3:42">
      <c r="C306" s="21"/>
      <c r="D306" s="21"/>
      <c r="E306" s="21"/>
      <c r="F306" s="21"/>
      <c r="G306" s="21"/>
      <c r="H306" s="21"/>
      <c r="I306" s="21"/>
      <c r="J306" s="21"/>
      <c r="K306" s="21"/>
      <c r="L306" s="21"/>
      <c r="M306" s="21"/>
      <c r="N306" s="21"/>
      <c r="O306" s="21"/>
      <c r="P306" s="21"/>
      <c r="Q306" s="21"/>
      <c r="R306" s="21"/>
      <c r="S306" s="21"/>
      <c r="T306" s="21"/>
      <c r="U306" s="21"/>
      <c r="V306" s="21"/>
      <c r="W306" s="21"/>
      <c r="X306" s="21"/>
      <c r="Y306" s="21"/>
      <c r="Z306" s="21"/>
      <c r="AA306" s="21"/>
      <c r="AB306" s="21"/>
      <c r="AC306" s="21"/>
      <c r="AD306" s="21"/>
      <c r="AE306" s="21"/>
      <c r="AF306" s="21"/>
      <c r="AG306" s="21"/>
      <c r="AH306" s="21"/>
      <c r="AI306" s="21"/>
      <c r="AJ306" s="21"/>
      <c r="AK306" s="21"/>
      <c r="AL306" s="21"/>
      <c r="AM306" s="21"/>
      <c r="AN306" s="21"/>
      <c r="AO306" s="21"/>
      <c r="AP306" s="21"/>
    </row>
    <row r="307" spans="3:42">
      <c r="C307" s="21"/>
      <c r="D307" s="21"/>
      <c r="E307" s="21"/>
      <c r="F307" s="21"/>
      <c r="G307" s="21"/>
      <c r="H307" s="21"/>
      <c r="I307" s="21"/>
      <c r="J307" s="21"/>
      <c r="K307" s="21"/>
      <c r="L307" s="21"/>
      <c r="M307" s="21"/>
      <c r="N307" s="21"/>
      <c r="O307" s="21"/>
      <c r="P307" s="21"/>
      <c r="Q307" s="21"/>
      <c r="R307" s="21"/>
      <c r="S307" s="21"/>
      <c r="T307" s="21"/>
      <c r="U307" s="21"/>
      <c r="V307" s="21"/>
      <c r="W307" s="21"/>
      <c r="X307" s="21"/>
      <c r="Y307" s="21"/>
      <c r="Z307" s="21"/>
      <c r="AA307" s="21"/>
      <c r="AB307" s="21"/>
      <c r="AC307" s="21"/>
      <c r="AD307" s="21"/>
      <c r="AE307" s="21"/>
      <c r="AF307" s="21"/>
      <c r="AG307" s="21"/>
      <c r="AH307" s="21"/>
      <c r="AI307" s="21"/>
      <c r="AJ307" s="21"/>
      <c r="AK307" s="21"/>
      <c r="AL307" s="21"/>
      <c r="AM307" s="21"/>
      <c r="AN307" s="21"/>
      <c r="AO307" s="21"/>
      <c r="AP307" s="21"/>
    </row>
    <row r="308" spans="3:42">
      <c r="C308" s="21"/>
      <c r="D308" s="21"/>
      <c r="E308" s="21"/>
      <c r="F308" s="21"/>
      <c r="G308" s="21"/>
      <c r="H308" s="21"/>
      <c r="I308" s="21"/>
      <c r="J308" s="21"/>
      <c r="K308" s="21"/>
      <c r="L308" s="21"/>
      <c r="M308" s="21"/>
      <c r="N308" s="21"/>
      <c r="O308" s="21"/>
      <c r="P308" s="21"/>
      <c r="Q308" s="21"/>
      <c r="R308" s="21"/>
      <c r="S308" s="21"/>
      <c r="T308" s="21"/>
      <c r="U308" s="21"/>
      <c r="V308" s="21"/>
      <c r="W308" s="21"/>
      <c r="X308" s="21"/>
      <c r="Y308" s="21"/>
      <c r="Z308" s="21"/>
      <c r="AA308" s="21"/>
      <c r="AB308" s="21"/>
      <c r="AC308" s="21"/>
      <c r="AD308" s="21"/>
      <c r="AE308" s="21"/>
      <c r="AF308" s="21"/>
      <c r="AG308" s="21"/>
      <c r="AH308" s="21"/>
      <c r="AI308" s="21"/>
      <c r="AJ308" s="21"/>
      <c r="AK308" s="21"/>
      <c r="AL308" s="21"/>
      <c r="AM308" s="21"/>
      <c r="AN308" s="21"/>
      <c r="AO308" s="21"/>
      <c r="AP308" s="21"/>
    </row>
    <row r="309" spans="3:42">
      <c r="C309" s="21"/>
      <c r="D309" s="21"/>
      <c r="E309" s="21"/>
      <c r="F309" s="21"/>
      <c r="G309" s="21"/>
      <c r="H309" s="21"/>
      <c r="I309" s="21"/>
      <c r="J309" s="21"/>
      <c r="K309" s="21"/>
      <c r="L309" s="21"/>
      <c r="M309" s="21"/>
      <c r="N309" s="21"/>
      <c r="O309" s="21"/>
      <c r="P309" s="21"/>
      <c r="Q309" s="21"/>
      <c r="R309" s="21"/>
      <c r="S309" s="21"/>
      <c r="T309" s="21"/>
      <c r="U309" s="21"/>
      <c r="V309" s="21"/>
      <c r="W309" s="21"/>
      <c r="X309" s="21"/>
      <c r="Y309" s="21"/>
      <c r="Z309" s="21"/>
      <c r="AA309" s="21"/>
      <c r="AB309" s="21"/>
      <c r="AC309" s="21"/>
      <c r="AD309" s="21"/>
      <c r="AE309" s="21"/>
      <c r="AF309" s="21"/>
      <c r="AG309" s="21"/>
      <c r="AH309" s="21"/>
      <c r="AI309" s="21"/>
      <c r="AJ309" s="21"/>
      <c r="AK309" s="21"/>
      <c r="AL309" s="21"/>
      <c r="AM309" s="21"/>
      <c r="AN309" s="21"/>
      <c r="AO309" s="21"/>
      <c r="AP309" s="21"/>
    </row>
    <row r="310" spans="3:42">
      <c r="C310" s="21"/>
      <c r="D310" s="21"/>
      <c r="E310" s="21"/>
      <c r="F310" s="21"/>
      <c r="G310" s="21"/>
      <c r="H310" s="21"/>
      <c r="I310" s="21"/>
      <c r="J310" s="21"/>
      <c r="K310" s="21"/>
      <c r="L310" s="21"/>
      <c r="M310" s="21"/>
      <c r="N310" s="21"/>
      <c r="O310" s="21"/>
      <c r="P310" s="21"/>
      <c r="Q310" s="21"/>
      <c r="R310" s="21"/>
      <c r="S310" s="21"/>
      <c r="T310" s="21"/>
      <c r="U310" s="21"/>
      <c r="V310" s="21"/>
      <c r="W310" s="21"/>
      <c r="X310" s="21"/>
      <c r="Y310" s="21"/>
      <c r="Z310" s="21"/>
      <c r="AA310" s="21"/>
      <c r="AB310" s="21"/>
      <c r="AC310" s="21"/>
      <c r="AD310" s="21"/>
      <c r="AE310" s="21"/>
      <c r="AF310" s="21"/>
      <c r="AG310" s="21"/>
      <c r="AH310" s="21"/>
      <c r="AI310" s="21"/>
      <c r="AJ310" s="21"/>
      <c r="AK310" s="21"/>
      <c r="AL310" s="21"/>
      <c r="AM310" s="21"/>
      <c r="AN310" s="21"/>
      <c r="AO310" s="21"/>
      <c r="AP310" s="21"/>
    </row>
    <row r="311" spans="3:42">
      <c r="C311" s="21"/>
      <c r="D311" s="21"/>
      <c r="E311" s="21"/>
      <c r="F311" s="21"/>
      <c r="G311" s="21"/>
      <c r="H311" s="21"/>
      <c r="I311" s="21"/>
      <c r="J311" s="21"/>
      <c r="K311" s="21"/>
      <c r="L311" s="21"/>
      <c r="M311" s="21"/>
      <c r="N311" s="21"/>
      <c r="O311" s="21"/>
      <c r="P311" s="21"/>
      <c r="Q311" s="21"/>
      <c r="R311" s="21"/>
      <c r="S311" s="21"/>
      <c r="T311" s="21"/>
      <c r="U311" s="21"/>
      <c r="V311" s="21"/>
      <c r="W311" s="21"/>
      <c r="X311" s="21"/>
      <c r="Y311" s="21"/>
      <c r="Z311" s="21"/>
      <c r="AA311" s="21"/>
      <c r="AB311" s="21"/>
      <c r="AC311" s="21"/>
      <c r="AD311" s="21"/>
      <c r="AE311" s="21"/>
      <c r="AF311" s="21"/>
      <c r="AG311" s="21"/>
      <c r="AH311" s="21"/>
      <c r="AI311" s="21"/>
      <c r="AJ311" s="21"/>
      <c r="AK311" s="21"/>
      <c r="AL311" s="21"/>
      <c r="AM311" s="21"/>
      <c r="AN311" s="21"/>
      <c r="AO311" s="21"/>
      <c r="AP311" s="21"/>
    </row>
    <row r="312" spans="3:42">
      <c r="C312" s="21"/>
      <c r="D312" s="21"/>
      <c r="E312" s="21"/>
      <c r="F312" s="21"/>
      <c r="G312" s="21"/>
      <c r="H312" s="21"/>
      <c r="I312" s="21"/>
      <c r="J312" s="21"/>
      <c r="K312" s="21"/>
      <c r="L312" s="21"/>
      <c r="M312" s="21"/>
      <c r="N312" s="21"/>
      <c r="O312" s="21"/>
      <c r="P312" s="21"/>
      <c r="Q312" s="21"/>
      <c r="R312" s="21"/>
      <c r="S312" s="21"/>
      <c r="T312" s="21"/>
      <c r="U312" s="21"/>
      <c r="V312" s="21"/>
      <c r="W312" s="21"/>
      <c r="X312" s="21"/>
      <c r="Y312" s="21"/>
      <c r="Z312" s="21"/>
      <c r="AA312" s="21"/>
      <c r="AB312" s="21"/>
      <c r="AC312" s="21"/>
      <c r="AD312" s="21"/>
      <c r="AE312" s="21"/>
      <c r="AF312" s="21"/>
      <c r="AG312" s="21"/>
      <c r="AH312" s="21"/>
      <c r="AI312" s="21"/>
      <c r="AJ312" s="21"/>
      <c r="AK312" s="21"/>
      <c r="AL312" s="21"/>
      <c r="AM312" s="21"/>
      <c r="AN312" s="21"/>
      <c r="AO312" s="21"/>
      <c r="AP312" s="21"/>
    </row>
    <row r="313" spans="3:42">
      <c r="C313" s="21"/>
      <c r="D313" s="21"/>
      <c r="E313" s="21"/>
      <c r="F313" s="21"/>
      <c r="G313" s="21"/>
      <c r="H313" s="21"/>
      <c r="I313" s="21"/>
      <c r="J313" s="21"/>
      <c r="K313" s="21"/>
      <c r="L313" s="21"/>
      <c r="M313" s="21"/>
      <c r="N313" s="21"/>
      <c r="O313" s="21"/>
      <c r="P313" s="21"/>
      <c r="Q313" s="21"/>
      <c r="R313" s="21"/>
      <c r="S313" s="21"/>
      <c r="T313" s="21"/>
      <c r="U313" s="21"/>
      <c r="V313" s="21"/>
      <c r="W313" s="21"/>
      <c r="X313" s="21"/>
      <c r="Y313" s="21"/>
      <c r="Z313" s="21"/>
      <c r="AA313" s="21"/>
      <c r="AB313" s="21"/>
      <c r="AC313" s="21"/>
      <c r="AD313" s="21"/>
      <c r="AE313" s="21"/>
      <c r="AF313" s="21"/>
      <c r="AG313" s="21"/>
      <c r="AH313" s="21"/>
      <c r="AI313" s="21"/>
      <c r="AJ313" s="21"/>
      <c r="AK313" s="21"/>
      <c r="AL313" s="21"/>
      <c r="AM313" s="21"/>
      <c r="AN313" s="21"/>
      <c r="AO313" s="21"/>
      <c r="AP313" s="21"/>
    </row>
    <row r="314" spans="3:42">
      <c r="C314" s="21"/>
      <c r="D314" s="21"/>
      <c r="E314" s="21"/>
      <c r="F314" s="21"/>
      <c r="G314" s="21"/>
      <c r="H314" s="21"/>
      <c r="I314" s="21"/>
      <c r="J314" s="21"/>
      <c r="K314" s="21"/>
      <c r="L314" s="21"/>
      <c r="M314" s="21"/>
      <c r="N314" s="21"/>
      <c r="O314" s="21"/>
      <c r="P314" s="21"/>
      <c r="Q314" s="21"/>
      <c r="R314" s="21"/>
      <c r="S314" s="21"/>
      <c r="T314" s="21"/>
      <c r="U314" s="21"/>
      <c r="V314" s="21"/>
      <c r="W314" s="21"/>
      <c r="X314" s="21"/>
      <c r="Y314" s="21"/>
      <c r="Z314" s="21"/>
      <c r="AA314" s="21"/>
      <c r="AB314" s="21"/>
      <c r="AC314" s="21"/>
      <c r="AD314" s="21"/>
      <c r="AE314" s="21"/>
      <c r="AF314" s="21"/>
      <c r="AG314" s="21"/>
      <c r="AH314" s="21"/>
      <c r="AI314" s="21"/>
      <c r="AJ314" s="21"/>
      <c r="AK314" s="21"/>
      <c r="AL314" s="21"/>
      <c r="AM314" s="21"/>
      <c r="AN314" s="21"/>
      <c r="AO314" s="21"/>
      <c r="AP314" s="21"/>
    </row>
    <row r="315" spans="3:42">
      <c r="C315" s="21"/>
      <c r="D315" s="21"/>
      <c r="E315" s="21"/>
      <c r="F315" s="21"/>
      <c r="G315" s="21"/>
      <c r="H315" s="21"/>
      <c r="I315" s="21"/>
      <c r="J315" s="21"/>
      <c r="K315" s="21"/>
      <c r="L315" s="21"/>
      <c r="M315" s="21"/>
      <c r="N315" s="21"/>
      <c r="O315" s="21"/>
      <c r="P315" s="21"/>
      <c r="Q315" s="21"/>
      <c r="R315" s="21"/>
      <c r="S315" s="21"/>
      <c r="T315" s="21"/>
      <c r="U315" s="21"/>
      <c r="V315" s="21"/>
      <c r="W315" s="21"/>
      <c r="X315" s="21"/>
      <c r="Y315" s="21"/>
      <c r="Z315" s="21"/>
      <c r="AA315" s="21"/>
      <c r="AB315" s="21"/>
      <c r="AC315" s="21"/>
      <c r="AD315" s="21"/>
      <c r="AE315" s="21"/>
      <c r="AF315" s="21"/>
      <c r="AG315" s="21"/>
      <c r="AH315" s="21"/>
      <c r="AI315" s="21"/>
      <c r="AJ315" s="21"/>
      <c r="AK315" s="21"/>
      <c r="AL315" s="21"/>
      <c r="AM315" s="21"/>
      <c r="AN315" s="21"/>
      <c r="AO315" s="21"/>
      <c r="AP315" s="21"/>
    </row>
    <row r="316" spans="3:42">
      <c r="C316" s="21"/>
      <c r="D316" s="21"/>
      <c r="E316" s="21"/>
      <c r="F316" s="21"/>
      <c r="G316" s="21"/>
      <c r="H316" s="21"/>
      <c r="I316" s="21"/>
      <c r="J316" s="21"/>
      <c r="K316" s="21"/>
      <c r="L316" s="21"/>
      <c r="M316" s="21"/>
      <c r="N316" s="21"/>
      <c r="O316" s="21"/>
      <c r="P316" s="21"/>
      <c r="Q316" s="21"/>
      <c r="R316" s="21"/>
      <c r="S316" s="21"/>
      <c r="T316" s="21"/>
      <c r="U316" s="21"/>
      <c r="V316" s="21"/>
      <c r="W316" s="21"/>
      <c r="X316" s="21"/>
      <c r="Y316" s="21"/>
      <c r="Z316" s="21"/>
      <c r="AA316" s="21"/>
      <c r="AB316" s="21"/>
      <c r="AC316" s="21"/>
      <c r="AD316" s="21"/>
      <c r="AE316" s="21"/>
      <c r="AF316" s="21"/>
      <c r="AG316" s="21"/>
      <c r="AH316" s="21"/>
      <c r="AI316" s="21"/>
      <c r="AJ316" s="21"/>
      <c r="AK316" s="21"/>
      <c r="AL316" s="21"/>
      <c r="AM316" s="21"/>
      <c r="AN316" s="21"/>
      <c r="AO316" s="21"/>
      <c r="AP316" s="21"/>
    </row>
    <row r="317" spans="3:42">
      <c r="C317" s="21"/>
      <c r="D317" s="21"/>
      <c r="E317" s="21"/>
      <c r="F317" s="21"/>
      <c r="G317" s="21"/>
      <c r="H317" s="21"/>
      <c r="I317" s="21"/>
      <c r="J317" s="21"/>
      <c r="K317" s="21"/>
      <c r="L317" s="21"/>
      <c r="M317" s="21"/>
      <c r="N317" s="21"/>
      <c r="O317" s="21"/>
      <c r="P317" s="21"/>
      <c r="Q317" s="21"/>
      <c r="R317" s="21"/>
      <c r="S317" s="21"/>
      <c r="T317" s="21"/>
      <c r="U317" s="21"/>
      <c r="V317" s="21"/>
      <c r="W317" s="21"/>
      <c r="X317" s="21"/>
      <c r="Y317" s="21"/>
      <c r="Z317" s="21"/>
      <c r="AA317" s="21"/>
      <c r="AB317" s="21"/>
      <c r="AC317" s="21"/>
      <c r="AD317" s="21"/>
      <c r="AE317" s="21"/>
      <c r="AF317" s="21"/>
      <c r="AG317" s="21"/>
      <c r="AH317" s="21"/>
      <c r="AI317" s="21"/>
      <c r="AJ317" s="21"/>
      <c r="AK317" s="21"/>
      <c r="AL317" s="21"/>
      <c r="AM317" s="21"/>
      <c r="AN317" s="21"/>
      <c r="AO317" s="21"/>
      <c r="AP317" s="21"/>
    </row>
    <row r="318" spans="3:42">
      <c r="C318" s="21"/>
      <c r="D318" s="21"/>
      <c r="E318" s="21"/>
      <c r="F318" s="21"/>
      <c r="G318" s="21"/>
      <c r="H318" s="21"/>
      <c r="I318" s="21"/>
      <c r="J318" s="21"/>
      <c r="K318" s="21"/>
      <c r="L318" s="21"/>
      <c r="M318" s="21"/>
      <c r="N318" s="21"/>
      <c r="O318" s="21"/>
      <c r="P318" s="21"/>
      <c r="Q318" s="21"/>
      <c r="R318" s="21"/>
      <c r="S318" s="21"/>
      <c r="T318" s="21"/>
      <c r="U318" s="21"/>
      <c r="V318" s="21"/>
      <c r="W318" s="21"/>
      <c r="X318" s="21"/>
      <c r="Y318" s="21"/>
      <c r="Z318" s="21"/>
      <c r="AA318" s="21"/>
      <c r="AB318" s="21"/>
      <c r="AC318" s="21"/>
      <c r="AD318" s="21"/>
      <c r="AE318" s="21"/>
      <c r="AF318" s="21"/>
      <c r="AG318" s="21"/>
      <c r="AH318" s="21"/>
      <c r="AI318" s="21"/>
      <c r="AJ318" s="21"/>
      <c r="AK318" s="21"/>
      <c r="AL318" s="21"/>
      <c r="AM318" s="21"/>
      <c r="AN318" s="21"/>
      <c r="AO318" s="21"/>
      <c r="AP318" s="21"/>
    </row>
    <row r="319" spans="3:42">
      <c r="C319" s="21"/>
      <c r="D319" s="21"/>
      <c r="E319" s="21"/>
      <c r="F319" s="21"/>
      <c r="G319" s="21"/>
      <c r="H319" s="21"/>
      <c r="I319" s="21"/>
      <c r="J319" s="21"/>
      <c r="K319" s="21"/>
      <c r="L319" s="21"/>
      <c r="M319" s="21"/>
      <c r="N319" s="21"/>
      <c r="O319" s="21"/>
      <c r="P319" s="21"/>
      <c r="Q319" s="21"/>
      <c r="R319" s="21"/>
      <c r="S319" s="21"/>
      <c r="T319" s="21"/>
      <c r="U319" s="21"/>
      <c r="V319" s="21"/>
      <c r="W319" s="21"/>
      <c r="X319" s="21"/>
      <c r="Y319" s="21"/>
      <c r="Z319" s="21"/>
      <c r="AA319" s="21"/>
      <c r="AB319" s="21"/>
      <c r="AC319" s="21"/>
      <c r="AD319" s="21"/>
      <c r="AE319" s="21"/>
      <c r="AF319" s="21"/>
      <c r="AG319" s="21"/>
      <c r="AH319" s="21"/>
      <c r="AI319" s="21"/>
      <c r="AJ319" s="21"/>
      <c r="AK319" s="21"/>
      <c r="AL319" s="21"/>
      <c r="AM319" s="21"/>
      <c r="AN319" s="21"/>
      <c r="AO319" s="21"/>
      <c r="AP319" s="21"/>
    </row>
    <row r="320" spans="3:42">
      <c r="C320" s="21"/>
      <c r="D320" s="21"/>
      <c r="E320" s="21"/>
      <c r="F320" s="21"/>
      <c r="G320" s="21"/>
      <c r="H320" s="21"/>
      <c r="I320" s="21"/>
      <c r="J320" s="21"/>
      <c r="K320" s="21"/>
      <c r="L320" s="21"/>
      <c r="M320" s="21"/>
      <c r="N320" s="21"/>
      <c r="O320" s="21"/>
      <c r="P320" s="21"/>
      <c r="Q320" s="21"/>
      <c r="R320" s="21"/>
      <c r="S320" s="21"/>
      <c r="T320" s="21"/>
      <c r="U320" s="21"/>
      <c r="V320" s="21"/>
      <c r="W320" s="21"/>
      <c r="X320" s="21"/>
      <c r="Y320" s="21"/>
      <c r="Z320" s="21"/>
      <c r="AA320" s="21"/>
      <c r="AB320" s="21"/>
      <c r="AC320" s="21"/>
      <c r="AD320" s="21"/>
      <c r="AE320" s="21"/>
      <c r="AF320" s="21"/>
      <c r="AG320" s="21"/>
      <c r="AH320" s="21"/>
      <c r="AI320" s="21"/>
      <c r="AJ320" s="21"/>
      <c r="AK320" s="21"/>
      <c r="AL320" s="21"/>
      <c r="AM320" s="21"/>
      <c r="AN320" s="21"/>
      <c r="AO320" s="21"/>
      <c r="AP320" s="21"/>
    </row>
    <row r="321" spans="3:42">
      <c r="C321" s="21"/>
      <c r="D321" s="21"/>
      <c r="E321" s="21"/>
      <c r="F321" s="21"/>
      <c r="G321" s="21"/>
      <c r="H321" s="21"/>
      <c r="I321" s="21"/>
      <c r="J321" s="21"/>
      <c r="K321" s="21"/>
      <c r="L321" s="21"/>
      <c r="M321" s="21"/>
      <c r="N321" s="21"/>
      <c r="O321" s="21"/>
      <c r="P321" s="21"/>
      <c r="Q321" s="21"/>
      <c r="R321" s="21"/>
      <c r="S321" s="21"/>
      <c r="T321" s="21"/>
      <c r="U321" s="21"/>
      <c r="V321" s="21"/>
      <c r="W321" s="21"/>
      <c r="X321" s="21"/>
      <c r="Y321" s="21"/>
      <c r="Z321" s="21"/>
      <c r="AA321" s="21"/>
      <c r="AB321" s="21"/>
      <c r="AC321" s="21"/>
      <c r="AD321" s="21"/>
      <c r="AE321" s="21"/>
      <c r="AF321" s="21"/>
      <c r="AG321" s="21"/>
      <c r="AH321" s="21"/>
      <c r="AI321" s="21"/>
      <c r="AJ321" s="21"/>
      <c r="AK321" s="21"/>
      <c r="AL321" s="21"/>
      <c r="AM321" s="21"/>
      <c r="AN321" s="21"/>
      <c r="AO321" s="21"/>
      <c r="AP321" s="21"/>
    </row>
    <row r="322" spans="3:42">
      <c r="C322" s="21"/>
      <c r="D322" s="21"/>
      <c r="E322" s="21"/>
      <c r="F322" s="21"/>
      <c r="G322" s="21"/>
      <c r="H322" s="21"/>
      <c r="I322" s="21"/>
      <c r="J322" s="21"/>
      <c r="K322" s="21"/>
      <c r="L322" s="21"/>
      <c r="M322" s="21"/>
      <c r="N322" s="21"/>
      <c r="O322" s="21"/>
      <c r="P322" s="21"/>
      <c r="Q322" s="21"/>
      <c r="R322" s="21"/>
      <c r="S322" s="21"/>
      <c r="T322" s="21"/>
      <c r="U322" s="21"/>
      <c r="V322" s="21"/>
      <c r="W322" s="21"/>
      <c r="X322" s="21"/>
      <c r="Y322" s="21"/>
      <c r="Z322" s="21"/>
      <c r="AA322" s="21"/>
      <c r="AB322" s="21"/>
      <c r="AC322" s="21"/>
      <c r="AD322" s="21"/>
      <c r="AE322" s="21"/>
      <c r="AF322" s="21"/>
      <c r="AG322" s="21"/>
      <c r="AH322" s="21"/>
      <c r="AI322" s="21"/>
      <c r="AJ322" s="21"/>
      <c r="AK322" s="21"/>
      <c r="AL322" s="21"/>
      <c r="AM322" s="21"/>
      <c r="AN322" s="21"/>
      <c r="AO322" s="21"/>
      <c r="AP322" s="21"/>
    </row>
    <row r="323" spans="3:42">
      <c r="C323" s="21"/>
      <c r="D323" s="21"/>
      <c r="E323" s="21"/>
      <c r="F323" s="21"/>
      <c r="G323" s="21"/>
      <c r="H323" s="21"/>
      <c r="I323" s="21"/>
      <c r="J323" s="21"/>
      <c r="K323" s="21"/>
      <c r="L323" s="21"/>
      <c r="M323" s="21"/>
      <c r="N323" s="21"/>
      <c r="O323" s="21"/>
      <c r="P323" s="21"/>
      <c r="Q323" s="21"/>
      <c r="R323" s="21"/>
      <c r="S323" s="21"/>
      <c r="T323" s="21"/>
      <c r="U323" s="21"/>
      <c r="V323" s="21"/>
      <c r="W323" s="21"/>
      <c r="X323" s="21"/>
      <c r="Y323" s="21"/>
      <c r="Z323" s="21"/>
      <c r="AA323" s="21"/>
      <c r="AB323" s="21"/>
      <c r="AC323" s="21"/>
      <c r="AD323" s="21"/>
      <c r="AE323" s="21"/>
      <c r="AF323" s="21"/>
      <c r="AG323" s="21"/>
      <c r="AH323" s="21"/>
      <c r="AI323" s="21"/>
      <c r="AJ323" s="21"/>
      <c r="AK323" s="21"/>
      <c r="AL323" s="21"/>
      <c r="AM323" s="21"/>
      <c r="AN323" s="21"/>
      <c r="AO323" s="21"/>
      <c r="AP323" s="21"/>
    </row>
    <row r="324" spans="3:42">
      <c r="C324" s="21"/>
      <c r="D324" s="21"/>
      <c r="E324" s="21"/>
      <c r="F324" s="21"/>
      <c r="G324" s="21"/>
      <c r="H324" s="21"/>
      <c r="I324" s="21"/>
      <c r="J324" s="21"/>
      <c r="K324" s="21"/>
      <c r="L324" s="21"/>
      <c r="M324" s="21"/>
      <c r="N324" s="21"/>
      <c r="O324" s="21"/>
      <c r="P324" s="21"/>
      <c r="Q324" s="21"/>
      <c r="R324" s="21"/>
      <c r="S324" s="21"/>
      <c r="T324" s="21"/>
      <c r="U324" s="21"/>
      <c r="V324" s="21"/>
      <c r="W324" s="21"/>
      <c r="X324" s="21"/>
      <c r="Y324" s="21"/>
      <c r="Z324" s="21"/>
      <c r="AA324" s="21"/>
      <c r="AB324" s="21"/>
      <c r="AC324" s="21"/>
      <c r="AD324" s="21"/>
      <c r="AE324" s="21"/>
      <c r="AF324" s="21"/>
      <c r="AG324" s="21"/>
      <c r="AH324" s="21"/>
      <c r="AI324" s="21"/>
      <c r="AJ324" s="21"/>
      <c r="AK324" s="21"/>
      <c r="AL324" s="21"/>
      <c r="AM324" s="21"/>
      <c r="AN324" s="21"/>
      <c r="AO324" s="21"/>
      <c r="AP324" s="21"/>
    </row>
    <row r="325" spans="3:42">
      <c r="C325" s="21"/>
      <c r="D325" s="21"/>
      <c r="E325" s="21"/>
      <c r="F325" s="21"/>
      <c r="G325" s="21"/>
      <c r="H325" s="21"/>
      <c r="I325" s="21"/>
      <c r="J325" s="21"/>
      <c r="K325" s="21"/>
      <c r="L325" s="21"/>
      <c r="M325" s="21"/>
      <c r="N325" s="21"/>
      <c r="O325" s="21"/>
      <c r="P325" s="21"/>
      <c r="Q325" s="21"/>
      <c r="R325" s="21"/>
      <c r="S325" s="21"/>
      <c r="T325" s="21"/>
      <c r="U325" s="21"/>
      <c r="V325" s="21"/>
      <c r="W325" s="21"/>
      <c r="X325" s="21"/>
      <c r="Y325" s="21"/>
      <c r="Z325" s="21"/>
      <c r="AA325" s="21"/>
      <c r="AB325" s="21"/>
      <c r="AC325" s="21"/>
      <c r="AD325" s="21"/>
      <c r="AE325" s="21"/>
      <c r="AF325" s="21"/>
      <c r="AG325" s="21"/>
      <c r="AH325" s="21"/>
      <c r="AI325" s="21"/>
      <c r="AJ325" s="21"/>
      <c r="AK325" s="21"/>
      <c r="AL325" s="21"/>
      <c r="AM325" s="21"/>
      <c r="AN325" s="21"/>
      <c r="AO325" s="21"/>
      <c r="AP325" s="21"/>
    </row>
    <row r="326" spans="3:42">
      <c r="C326" s="21"/>
      <c r="D326" s="21"/>
      <c r="E326" s="21"/>
      <c r="F326" s="21"/>
      <c r="G326" s="21"/>
      <c r="H326" s="21"/>
      <c r="I326" s="21"/>
      <c r="J326" s="21"/>
      <c r="K326" s="21"/>
      <c r="L326" s="21"/>
      <c r="M326" s="21"/>
      <c r="N326" s="21"/>
      <c r="O326" s="21"/>
      <c r="P326" s="21"/>
      <c r="Q326" s="21"/>
      <c r="R326" s="21"/>
      <c r="S326" s="21"/>
      <c r="T326" s="21"/>
      <c r="U326" s="21"/>
      <c r="V326" s="21"/>
      <c r="W326" s="21"/>
      <c r="X326" s="21"/>
      <c r="Y326" s="21"/>
      <c r="Z326" s="21"/>
      <c r="AA326" s="21"/>
      <c r="AB326" s="21"/>
      <c r="AC326" s="21"/>
      <c r="AD326" s="21"/>
      <c r="AE326" s="21"/>
      <c r="AF326" s="21"/>
      <c r="AG326" s="21"/>
      <c r="AH326" s="21"/>
      <c r="AI326" s="21"/>
      <c r="AJ326" s="21"/>
      <c r="AK326" s="21"/>
      <c r="AL326" s="21"/>
      <c r="AM326" s="21"/>
      <c r="AN326" s="21"/>
      <c r="AO326" s="21"/>
      <c r="AP326" s="21"/>
    </row>
    <row r="327" spans="3:42">
      <c r="C327" s="21"/>
      <c r="D327" s="21"/>
      <c r="E327" s="21"/>
      <c r="F327" s="21"/>
      <c r="G327" s="21"/>
      <c r="H327" s="21"/>
      <c r="I327" s="21"/>
      <c r="J327" s="21"/>
      <c r="K327" s="21"/>
      <c r="L327" s="21"/>
      <c r="M327" s="21"/>
      <c r="N327" s="21"/>
      <c r="O327" s="21"/>
      <c r="P327" s="21"/>
      <c r="Q327" s="21"/>
      <c r="R327" s="21"/>
      <c r="S327" s="21"/>
      <c r="T327" s="21"/>
      <c r="U327" s="21"/>
      <c r="V327" s="21"/>
      <c r="W327" s="21"/>
      <c r="X327" s="21"/>
      <c r="Y327" s="21"/>
      <c r="Z327" s="21"/>
      <c r="AA327" s="21"/>
      <c r="AB327" s="21"/>
      <c r="AC327" s="21"/>
      <c r="AD327" s="21"/>
      <c r="AE327" s="21"/>
      <c r="AF327" s="21"/>
      <c r="AG327" s="21"/>
      <c r="AH327" s="21"/>
      <c r="AI327" s="21"/>
      <c r="AJ327" s="21"/>
      <c r="AK327" s="21"/>
      <c r="AL327" s="21"/>
      <c r="AM327" s="21"/>
      <c r="AN327" s="21"/>
      <c r="AO327" s="21"/>
      <c r="AP327" s="21"/>
    </row>
    <row r="328" spans="3:42">
      <c r="C328" s="21"/>
      <c r="D328" s="21"/>
      <c r="E328" s="21"/>
      <c r="F328" s="21"/>
      <c r="G328" s="21"/>
      <c r="H328" s="21"/>
      <c r="I328" s="21"/>
      <c r="J328" s="21"/>
      <c r="K328" s="21"/>
      <c r="L328" s="21"/>
      <c r="M328" s="21"/>
      <c r="N328" s="21"/>
      <c r="O328" s="21"/>
      <c r="P328" s="21"/>
      <c r="Q328" s="21"/>
      <c r="R328" s="21"/>
      <c r="S328" s="21"/>
      <c r="T328" s="21"/>
      <c r="U328" s="21"/>
      <c r="V328" s="21"/>
      <c r="W328" s="21"/>
      <c r="X328" s="21"/>
      <c r="Y328" s="21"/>
      <c r="Z328" s="21"/>
      <c r="AA328" s="21"/>
      <c r="AB328" s="21"/>
      <c r="AC328" s="21"/>
      <c r="AD328" s="21"/>
      <c r="AE328" s="21"/>
      <c r="AF328" s="21"/>
      <c r="AG328" s="21"/>
      <c r="AH328" s="21"/>
      <c r="AI328" s="21"/>
      <c r="AJ328" s="21"/>
      <c r="AK328" s="21"/>
      <c r="AL328" s="21"/>
      <c r="AM328" s="21"/>
      <c r="AN328" s="21"/>
      <c r="AO328" s="21"/>
      <c r="AP328" s="21"/>
    </row>
    <row r="329" spans="3:42">
      <c r="C329" s="21"/>
      <c r="D329" s="21"/>
      <c r="E329" s="21"/>
      <c r="F329" s="21"/>
      <c r="G329" s="21"/>
      <c r="H329" s="21"/>
      <c r="I329" s="21"/>
      <c r="J329" s="21"/>
      <c r="K329" s="21"/>
      <c r="L329" s="21"/>
      <c r="M329" s="21"/>
      <c r="N329" s="21"/>
      <c r="O329" s="21"/>
      <c r="P329" s="21"/>
      <c r="Q329" s="21"/>
      <c r="R329" s="21"/>
      <c r="S329" s="21"/>
      <c r="T329" s="21"/>
      <c r="U329" s="21"/>
      <c r="V329" s="21"/>
      <c r="W329" s="21"/>
      <c r="X329" s="21"/>
      <c r="Y329" s="21"/>
      <c r="Z329" s="21"/>
      <c r="AA329" s="21"/>
      <c r="AB329" s="21"/>
      <c r="AC329" s="21"/>
      <c r="AD329" s="21"/>
      <c r="AE329" s="21"/>
      <c r="AF329" s="21"/>
      <c r="AG329" s="21"/>
      <c r="AH329" s="21"/>
      <c r="AI329" s="21"/>
      <c r="AJ329" s="21"/>
      <c r="AK329" s="21"/>
      <c r="AL329" s="21"/>
      <c r="AM329" s="21"/>
      <c r="AN329" s="21"/>
      <c r="AO329" s="21"/>
      <c r="AP329" s="21"/>
    </row>
    <row r="330" spans="3:42">
      <c r="C330" s="21"/>
      <c r="D330" s="21"/>
      <c r="E330" s="21"/>
      <c r="F330" s="21"/>
      <c r="G330" s="21"/>
      <c r="H330" s="21"/>
      <c r="I330" s="21"/>
      <c r="J330" s="21"/>
      <c r="K330" s="21"/>
      <c r="L330" s="21"/>
      <c r="M330" s="21"/>
      <c r="N330" s="21"/>
      <c r="O330" s="21"/>
      <c r="P330" s="21"/>
      <c r="Q330" s="21"/>
      <c r="R330" s="21"/>
      <c r="S330" s="21"/>
      <c r="T330" s="21"/>
      <c r="U330" s="21"/>
      <c r="V330" s="21"/>
      <c r="W330" s="21"/>
      <c r="X330" s="21"/>
      <c r="Y330" s="21"/>
      <c r="Z330" s="21"/>
      <c r="AA330" s="21"/>
      <c r="AB330" s="21"/>
      <c r="AC330" s="21"/>
      <c r="AD330" s="21"/>
      <c r="AE330" s="21"/>
      <c r="AF330" s="21"/>
      <c r="AG330" s="21"/>
      <c r="AH330" s="21"/>
      <c r="AI330" s="21"/>
      <c r="AJ330" s="21"/>
      <c r="AK330" s="21"/>
      <c r="AL330" s="21"/>
      <c r="AM330" s="21"/>
      <c r="AN330" s="21"/>
      <c r="AO330" s="21"/>
      <c r="AP330" s="21"/>
    </row>
    <row r="331" spans="3:42">
      <c r="C331" s="21"/>
      <c r="D331" s="21"/>
      <c r="E331" s="21"/>
      <c r="F331" s="21"/>
      <c r="G331" s="21"/>
      <c r="H331" s="21"/>
      <c r="I331" s="21"/>
      <c r="J331" s="21"/>
      <c r="K331" s="21"/>
      <c r="L331" s="21"/>
      <c r="M331" s="21"/>
      <c r="N331" s="21"/>
      <c r="O331" s="21"/>
      <c r="P331" s="21"/>
      <c r="Q331" s="21"/>
      <c r="R331" s="21"/>
      <c r="S331" s="21"/>
      <c r="T331" s="21"/>
      <c r="U331" s="21"/>
      <c r="V331" s="21"/>
      <c r="W331" s="21"/>
      <c r="X331" s="21"/>
      <c r="Y331" s="21"/>
      <c r="Z331" s="21"/>
      <c r="AA331" s="21"/>
      <c r="AB331" s="21"/>
      <c r="AC331" s="21"/>
      <c r="AD331" s="21"/>
      <c r="AE331" s="21"/>
      <c r="AF331" s="21"/>
      <c r="AG331" s="21"/>
      <c r="AH331" s="21"/>
      <c r="AI331" s="21"/>
      <c r="AJ331" s="21"/>
      <c r="AK331" s="21"/>
      <c r="AL331" s="21"/>
      <c r="AM331" s="21"/>
      <c r="AN331" s="21"/>
      <c r="AO331" s="21"/>
      <c r="AP331" s="21"/>
    </row>
    <row r="332" spans="3:42">
      <c r="C332" s="21"/>
      <c r="D332" s="21"/>
      <c r="E332" s="21"/>
      <c r="F332" s="21"/>
      <c r="G332" s="21"/>
      <c r="H332" s="21"/>
      <c r="I332" s="21"/>
      <c r="J332" s="21"/>
      <c r="K332" s="21"/>
      <c r="L332" s="21"/>
      <c r="M332" s="21"/>
      <c r="N332" s="21"/>
      <c r="O332" s="21"/>
      <c r="P332" s="21"/>
      <c r="Q332" s="21"/>
      <c r="R332" s="21"/>
      <c r="S332" s="21"/>
      <c r="T332" s="21"/>
      <c r="U332" s="21"/>
      <c r="V332" s="21"/>
      <c r="W332" s="21"/>
      <c r="X332" s="21"/>
      <c r="Y332" s="21"/>
      <c r="Z332" s="21"/>
      <c r="AA332" s="21"/>
      <c r="AB332" s="21"/>
      <c r="AC332" s="21"/>
      <c r="AD332" s="21"/>
      <c r="AE332" s="21"/>
      <c r="AF332" s="21"/>
      <c r="AG332" s="21"/>
      <c r="AH332" s="21"/>
      <c r="AI332" s="21"/>
      <c r="AJ332" s="21"/>
      <c r="AK332" s="21"/>
      <c r="AL332" s="21"/>
      <c r="AM332" s="21"/>
      <c r="AN332" s="21"/>
      <c r="AO332" s="21"/>
      <c r="AP332" s="21"/>
    </row>
    <row r="333" spans="3:42">
      <c r="C333" s="21"/>
      <c r="D333" s="21"/>
      <c r="E333" s="21"/>
      <c r="F333" s="21"/>
      <c r="G333" s="21"/>
      <c r="H333" s="21"/>
      <c r="I333" s="21"/>
      <c r="J333" s="21"/>
      <c r="K333" s="21"/>
      <c r="L333" s="21"/>
      <c r="M333" s="21"/>
      <c r="N333" s="21"/>
      <c r="O333" s="21"/>
      <c r="P333" s="21"/>
      <c r="Q333" s="21"/>
      <c r="R333" s="21"/>
      <c r="S333" s="21"/>
      <c r="T333" s="21"/>
      <c r="U333" s="21"/>
      <c r="V333" s="21"/>
      <c r="W333" s="21"/>
      <c r="X333" s="21"/>
      <c r="Y333" s="21"/>
      <c r="Z333" s="21"/>
      <c r="AA333" s="21"/>
      <c r="AB333" s="21"/>
      <c r="AC333" s="21"/>
      <c r="AD333" s="21"/>
      <c r="AE333" s="21"/>
      <c r="AF333" s="21"/>
      <c r="AG333" s="21"/>
      <c r="AH333" s="21"/>
      <c r="AI333" s="21"/>
      <c r="AJ333" s="21"/>
      <c r="AK333" s="21"/>
      <c r="AL333" s="21"/>
      <c r="AM333" s="21"/>
      <c r="AN333" s="21"/>
      <c r="AO333" s="21"/>
      <c r="AP333" s="21"/>
    </row>
    <row r="334" spans="3:42">
      <c r="C334" s="21"/>
      <c r="D334" s="21"/>
      <c r="E334" s="21"/>
      <c r="F334" s="21"/>
      <c r="G334" s="21"/>
      <c r="H334" s="21"/>
      <c r="I334" s="21"/>
      <c r="J334" s="21"/>
      <c r="K334" s="21"/>
      <c r="L334" s="21"/>
      <c r="M334" s="21"/>
      <c r="N334" s="21"/>
      <c r="O334" s="21"/>
      <c r="P334" s="21"/>
      <c r="Q334" s="21"/>
      <c r="R334" s="21"/>
      <c r="S334" s="21"/>
      <c r="T334" s="21"/>
      <c r="U334" s="21"/>
      <c r="V334" s="21"/>
      <c r="W334" s="21"/>
      <c r="X334" s="21"/>
      <c r="Y334" s="21"/>
      <c r="Z334" s="21"/>
      <c r="AA334" s="21"/>
      <c r="AB334" s="21"/>
      <c r="AC334" s="21"/>
      <c r="AD334" s="21"/>
      <c r="AE334" s="21"/>
      <c r="AF334" s="21"/>
      <c r="AG334" s="21"/>
      <c r="AH334" s="21"/>
      <c r="AI334" s="21"/>
      <c r="AJ334" s="21"/>
      <c r="AK334" s="21"/>
      <c r="AL334" s="21"/>
      <c r="AM334" s="21"/>
      <c r="AN334" s="21"/>
      <c r="AO334" s="21"/>
      <c r="AP334" s="21"/>
    </row>
    <row r="335" spans="3:42">
      <c r="C335" s="21"/>
      <c r="D335" s="21"/>
      <c r="E335" s="21"/>
      <c r="F335" s="21"/>
      <c r="G335" s="21"/>
      <c r="H335" s="21"/>
      <c r="I335" s="21"/>
      <c r="J335" s="21"/>
      <c r="K335" s="21"/>
      <c r="L335" s="21"/>
      <c r="M335" s="21"/>
      <c r="N335" s="21"/>
      <c r="O335" s="21"/>
      <c r="P335" s="21"/>
      <c r="Q335" s="21"/>
      <c r="R335" s="21"/>
      <c r="S335" s="21"/>
      <c r="T335" s="21"/>
      <c r="U335" s="21"/>
      <c r="V335" s="21"/>
      <c r="W335" s="21"/>
      <c r="X335" s="21"/>
      <c r="Y335" s="21"/>
      <c r="Z335" s="21"/>
      <c r="AA335" s="21"/>
      <c r="AB335" s="21"/>
      <c r="AC335" s="21"/>
      <c r="AD335" s="21"/>
      <c r="AE335" s="21"/>
      <c r="AF335" s="21"/>
      <c r="AG335" s="21"/>
      <c r="AH335" s="21"/>
      <c r="AI335" s="21"/>
      <c r="AJ335" s="21"/>
      <c r="AK335" s="21"/>
      <c r="AL335" s="21"/>
      <c r="AM335" s="21"/>
      <c r="AN335" s="21"/>
      <c r="AO335" s="21"/>
      <c r="AP335" s="21"/>
    </row>
    <row r="336" spans="3:42">
      <c r="C336" s="21"/>
      <c r="D336" s="21"/>
      <c r="E336" s="21"/>
      <c r="F336" s="21"/>
      <c r="G336" s="21"/>
      <c r="H336" s="21"/>
      <c r="I336" s="21"/>
      <c r="J336" s="21"/>
      <c r="K336" s="21"/>
      <c r="L336" s="21"/>
      <c r="M336" s="21"/>
      <c r="N336" s="21"/>
      <c r="O336" s="21"/>
      <c r="P336" s="21"/>
      <c r="Q336" s="21"/>
      <c r="R336" s="21"/>
      <c r="S336" s="21"/>
      <c r="T336" s="21"/>
      <c r="U336" s="21"/>
      <c r="V336" s="21"/>
      <c r="W336" s="21"/>
      <c r="X336" s="21"/>
      <c r="Y336" s="21"/>
      <c r="Z336" s="21"/>
      <c r="AA336" s="21"/>
      <c r="AB336" s="21"/>
      <c r="AC336" s="21"/>
      <c r="AD336" s="21"/>
      <c r="AE336" s="21"/>
      <c r="AF336" s="21"/>
      <c r="AG336" s="21"/>
      <c r="AH336" s="21"/>
      <c r="AI336" s="21"/>
      <c r="AJ336" s="21"/>
      <c r="AK336" s="21"/>
      <c r="AL336" s="21"/>
      <c r="AM336" s="21"/>
      <c r="AN336" s="21"/>
      <c r="AO336" s="21"/>
      <c r="AP336" s="21"/>
    </row>
    <row r="337" spans="3:42">
      <c r="C337" s="21"/>
      <c r="D337" s="21"/>
      <c r="E337" s="21"/>
      <c r="F337" s="21"/>
      <c r="G337" s="21"/>
      <c r="H337" s="21"/>
      <c r="I337" s="21"/>
      <c r="J337" s="21"/>
      <c r="K337" s="21"/>
      <c r="L337" s="21"/>
      <c r="M337" s="21"/>
      <c r="N337" s="21"/>
      <c r="O337" s="21"/>
      <c r="P337" s="21"/>
      <c r="Q337" s="21"/>
      <c r="R337" s="21"/>
      <c r="S337" s="21"/>
      <c r="T337" s="21"/>
      <c r="U337" s="21"/>
      <c r="V337" s="21"/>
      <c r="W337" s="21"/>
      <c r="X337" s="21"/>
      <c r="Y337" s="21"/>
      <c r="Z337" s="21"/>
      <c r="AA337" s="21"/>
      <c r="AB337" s="21"/>
      <c r="AC337" s="21"/>
      <c r="AD337" s="21"/>
      <c r="AE337" s="21"/>
      <c r="AF337" s="21"/>
      <c r="AG337" s="21"/>
      <c r="AH337" s="21"/>
      <c r="AI337" s="21"/>
      <c r="AJ337" s="21"/>
      <c r="AK337" s="21"/>
      <c r="AL337" s="21"/>
      <c r="AM337" s="21"/>
      <c r="AN337" s="21"/>
      <c r="AO337" s="21"/>
      <c r="AP337" s="21"/>
    </row>
    <row r="338" spans="3:42">
      <c r="C338" s="21"/>
      <c r="D338" s="21"/>
      <c r="E338" s="21"/>
      <c r="F338" s="21"/>
      <c r="G338" s="21"/>
      <c r="H338" s="21"/>
      <c r="I338" s="21"/>
      <c r="J338" s="21"/>
      <c r="K338" s="21"/>
      <c r="L338" s="21"/>
      <c r="M338" s="21"/>
      <c r="N338" s="21"/>
      <c r="O338" s="21"/>
      <c r="P338" s="21"/>
      <c r="Q338" s="21"/>
      <c r="R338" s="21"/>
      <c r="S338" s="21"/>
      <c r="T338" s="21"/>
      <c r="U338" s="21"/>
      <c r="V338" s="21"/>
      <c r="W338" s="21"/>
      <c r="X338" s="21"/>
      <c r="Y338" s="21"/>
      <c r="Z338" s="21"/>
      <c r="AA338" s="21"/>
      <c r="AB338" s="21"/>
      <c r="AC338" s="21"/>
      <c r="AD338" s="21"/>
      <c r="AE338" s="21"/>
      <c r="AF338" s="21"/>
      <c r="AG338" s="21"/>
      <c r="AH338" s="21"/>
      <c r="AI338" s="21"/>
      <c r="AJ338" s="21"/>
      <c r="AK338" s="21"/>
      <c r="AL338" s="21"/>
      <c r="AM338" s="21"/>
      <c r="AN338" s="21"/>
      <c r="AO338" s="21"/>
      <c r="AP338" s="21"/>
    </row>
    <row r="339" spans="3:42">
      <c r="C339" s="21"/>
      <c r="D339" s="21"/>
      <c r="E339" s="21"/>
      <c r="F339" s="21"/>
      <c r="G339" s="21"/>
      <c r="H339" s="21"/>
      <c r="I339" s="21"/>
      <c r="J339" s="21"/>
      <c r="K339" s="21"/>
      <c r="L339" s="21"/>
      <c r="M339" s="21"/>
      <c r="N339" s="21"/>
      <c r="O339" s="21"/>
      <c r="P339" s="21"/>
      <c r="Q339" s="21"/>
      <c r="R339" s="21"/>
      <c r="S339" s="21"/>
      <c r="T339" s="21"/>
      <c r="U339" s="21"/>
      <c r="V339" s="21"/>
      <c r="W339" s="21"/>
      <c r="X339" s="21"/>
      <c r="Y339" s="21"/>
      <c r="Z339" s="21"/>
      <c r="AA339" s="21"/>
      <c r="AB339" s="21"/>
      <c r="AC339" s="21"/>
      <c r="AD339" s="21"/>
      <c r="AE339" s="21"/>
      <c r="AF339" s="21"/>
      <c r="AG339" s="21"/>
      <c r="AH339" s="21"/>
      <c r="AI339" s="21"/>
      <c r="AJ339" s="21"/>
      <c r="AK339" s="21"/>
      <c r="AL339" s="21"/>
      <c r="AM339" s="21"/>
      <c r="AN339" s="21"/>
      <c r="AO339" s="21"/>
      <c r="AP339" s="21"/>
    </row>
    <row r="340" spans="3:42">
      <c r="C340" s="21"/>
      <c r="D340" s="21"/>
      <c r="E340" s="21"/>
      <c r="F340" s="21"/>
      <c r="G340" s="21"/>
      <c r="H340" s="21"/>
      <c r="I340" s="21"/>
      <c r="J340" s="21"/>
      <c r="K340" s="21"/>
      <c r="L340" s="21"/>
      <c r="M340" s="21"/>
      <c r="N340" s="21"/>
      <c r="O340" s="21"/>
      <c r="P340" s="21"/>
      <c r="Q340" s="21"/>
      <c r="R340" s="21"/>
      <c r="S340" s="21"/>
      <c r="T340" s="21"/>
      <c r="U340" s="21"/>
      <c r="V340" s="21"/>
      <c r="W340" s="21"/>
      <c r="X340" s="21"/>
      <c r="Y340" s="21"/>
      <c r="Z340" s="21"/>
      <c r="AA340" s="21"/>
      <c r="AB340" s="21"/>
      <c r="AC340" s="21"/>
      <c r="AD340" s="21"/>
      <c r="AE340" s="21"/>
      <c r="AF340" s="21"/>
      <c r="AG340" s="21"/>
      <c r="AH340" s="21"/>
      <c r="AI340" s="21"/>
      <c r="AJ340" s="21"/>
      <c r="AK340" s="21"/>
      <c r="AL340" s="21"/>
      <c r="AM340" s="21"/>
      <c r="AN340" s="21"/>
      <c r="AO340" s="21"/>
      <c r="AP340" s="21"/>
    </row>
    <row r="341" spans="3:42">
      <c r="C341" s="21"/>
      <c r="D341" s="21"/>
      <c r="E341" s="21"/>
      <c r="F341" s="21"/>
      <c r="G341" s="21"/>
      <c r="H341" s="21"/>
      <c r="I341" s="21"/>
      <c r="J341" s="21"/>
      <c r="K341" s="21"/>
      <c r="L341" s="21"/>
      <c r="M341" s="21"/>
      <c r="N341" s="21"/>
      <c r="O341" s="21"/>
      <c r="P341" s="21"/>
      <c r="Q341" s="21"/>
      <c r="R341" s="21"/>
      <c r="S341" s="21"/>
      <c r="T341" s="21"/>
      <c r="U341" s="21"/>
      <c r="V341" s="21"/>
      <c r="W341" s="21"/>
      <c r="X341" s="21"/>
      <c r="Y341" s="21"/>
      <c r="Z341" s="21"/>
      <c r="AA341" s="21"/>
      <c r="AB341" s="21"/>
      <c r="AC341" s="21"/>
      <c r="AD341" s="21"/>
      <c r="AE341" s="21"/>
      <c r="AF341" s="21"/>
      <c r="AG341" s="21"/>
      <c r="AH341" s="21"/>
      <c r="AI341" s="21"/>
      <c r="AJ341" s="21"/>
      <c r="AK341" s="21"/>
      <c r="AL341" s="21"/>
      <c r="AM341" s="21"/>
      <c r="AN341" s="21"/>
      <c r="AO341" s="21"/>
      <c r="AP341" s="21"/>
    </row>
    <row r="342" spans="3:42">
      <c r="C342" s="21"/>
      <c r="D342" s="21"/>
      <c r="E342" s="21"/>
      <c r="F342" s="21"/>
      <c r="G342" s="21"/>
      <c r="H342" s="21"/>
      <c r="I342" s="21"/>
      <c r="J342" s="21"/>
      <c r="K342" s="21"/>
      <c r="L342" s="21"/>
      <c r="M342" s="21"/>
      <c r="N342" s="21"/>
      <c r="O342" s="21"/>
      <c r="P342" s="21"/>
      <c r="Q342" s="21"/>
      <c r="R342" s="21"/>
      <c r="S342" s="21"/>
      <c r="T342" s="21"/>
      <c r="U342" s="21"/>
      <c r="V342" s="21"/>
      <c r="W342" s="21"/>
      <c r="X342" s="21"/>
      <c r="Y342" s="21"/>
      <c r="Z342" s="21"/>
      <c r="AA342" s="21"/>
      <c r="AB342" s="21"/>
      <c r="AC342" s="21"/>
      <c r="AD342" s="21"/>
      <c r="AE342" s="21"/>
      <c r="AF342" s="21"/>
      <c r="AG342" s="21"/>
      <c r="AH342" s="21"/>
      <c r="AI342" s="21"/>
      <c r="AJ342" s="21"/>
      <c r="AK342" s="21"/>
      <c r="AL342" s="21"/>
      <c r="AM342" s="21"/>
      <c r="AN342" s="21"/>
      <c r="AO342" s="21"/>
      <c r="AP342" s="21"/>
    </row>
    <row r="343" spans="3:42">
      <c r="C343" s="21"/>
      <c r="D343" s="21"/>
      <c r="E343" s="21"/>
      <c r="F343" s="21"/>
      <c r="G343" s="21"/>
      <c r="H343" s="21"/>
      <c r="I343" s="21"/>
      <c r="J343" s="21"/>
      <c r="K343" s="21"/>
      <c r="L343" s="21"/>
      <c r="M343" s="21"/>
      <c r="N343" s="21"/>
      <c r="O343" s="21"/>
      <c r="P343" s="21"/>
      <c r="Q343" s="21"/>
      <c r="R343" s="21"/>
      <c r="S343" s="21"/>
      <c r="T343" s="21"/>
      <c r="U343" s="21"/>
      <c r="V343" s="21"/>
      <c r="W343" s="21"/>
      <c r="X343" s="21"/>
      <c r="Y343" s="21"/>
      <c r="Z343" s="21"/>
      <c r="AA343" s="21"/>
      <c r="AB343" s="21"/>
      <c r="AC343" s="21"/>
      <c r="AD343" s="21"/>
      <c r="AE343" s="21"/>
      <c r="AF343" s="21"/>
      <c r="AG343" s="21"/>
      <c r="AH343" s="21"/>
      <c r="AI343" s="21"/>
      <c r="AJ343" s="21"/>
      <c r="AK343" s="21"/>
      <c r="AL343" s="21"/>
      <c r="AM343" s="21"/>
      <c r="AN343" s="21"/>
      <c r="AO343" s="21"/>
      <c r="AP343" s="21"/>
    </row>
    <row r="344" spans="3:42">
      <c r="C344" s="21"/>
      <c r="D344" s="21"/>
      <c r="E344" s="21"/>
      <c r="F344" s="21"/>
      <c r="G344" s="21"/>
      <c r="H344" s="21"/>
      <c r="I344" s="21"/>
      <c r="J344" s="21"/>
      <c r="K344" s="21"/>
      <c r="L344" s="21"/>
      <c r="M344" s="21"/>
      <c r="N344" s="21"/>
      <c r="O344" s="21"/>
      <c r="P344" s="21"/>
      <c r="Q344" s="21"/>
      <c r="R344" s="21"/>
      <c r="S344" s="21"/>
      <c r="T344" s="21"/>
      <c r="U344" s="21"/>
      <c r="V344" s="21"/>
      <c r="W344" s="21"/>
      <c r="X344" s="21"/>
      <c r="Y344" s="21"/>
      <c r="Z344" s="21"/>
      <c r="AA344" s="21"/>
      <c r="AB344" s="21"/>
      <c r="AC344" s="21"/>
      <c r="AD344" s="21"/>
      <c r="AE344" s="21"/>
      <c r="AF344" s="21"/>
      <c r="AG344" s="21"/>
      <c r="AH344" s="21"/>
      <c r="AI344" s="21"/>
      <c r="AJ344" s="21"/>
      <c r="AK344" s="21"/>
      <c r="AL344" s="21"/>
      <c r="AM344" s="21"/>
      <c r="AN344" s="21"/>
      <c r="AO344" s="21"/>
      <c r="AP344" s="21"/>
    </row>
    <row r="345" spans="3:42">
      <c r="C345" s="21"/>
      <c r="D345" s="21"/>
      <c r="E345" s="21"/>
      <c r="F345" s="21"/>
      <c r="G345" s="21"/>
      <c r="H345" s="21"/>
      <c r="I345" s="21"/>
      <c r="J345" s="21"/>
      <c r="K345" s="21"/>
      <c r="L345" s="21"/>
      <c r="M345" s="21"/>
      <c r="N345" s="21"/>
      <c r="O345" s="21"/>
      <c r="P345" s="21"/>
      <c r="Q345" s="21"/>
      <c r="R345" s="21"/>
      <c r="S345" s="21"/>
      <c r="T345" s="21"/>
      <c r="U345" s="21"/>
      <c r="V345" s="21"/>
      <c r="W345" s="21"/>
      <c r="X345" s="21"/>
      <c r="Y345" s="21"/>
      <c r="Z345" s="21"/>
      <c r="AA345" s="21"/>
      <c r="AB345" s="21"/>
      <c r="AC345" s="21"/>
      <c r="AD345" s="21"/>
      <c r="AE345" s="21"/>
      <c r="AF345" s="21"/>
      <c r="AG345" s="21"/>
      <c r="AH345" s="21"/>
      <c r="AI345" s="21"/>
      <c r="AJ345" s="21"/>
      <c r="AK345" s="21"/>
      <c r="AL345" s="21"/>
      <c r="AM345" s="21"/>
      <c r="AN345" s="21"/>
      <c r="AO345" s="21"/>
      <c r="AP345" s="21"/>
    </row>
    <row r="346" spans="3:42">
      <c r="C346" s="21"/>
      <c r="D346" s="21"/>
      <c r="E346" s="21"/>
      <c r="F346" s="21"/>
      <c r="G346" s="21"/>
      <c r="H346" s="21"/>
      <c r="I346" s="21"/>
      <c r="J346" s="21"/>
      <c r="K346" s="21"/>
      <c r="L346" s="21"/>
      <c r="M346" s="21"/>
      <c r="N346" s="21"/>
      <c r="O346" s="21"/>
      <c r="P346" s="21"/>
      <c r="Q346" s="21"/>
      <c r="R346" s="21"/>
      <c r="S346" s="21"/>
      <c r="T346" s="21"/>
      <c r="U346" s="21"/>
      <c r="V346" s="21"/>
      <c r="W346" s="21"/>
      <c r="X346" s="21"/>
      <c r="Y346" s="21"/>
      <c r="Z346" s="21"/>
      <c r="AA346" s="21"/>
      <c r="AB346" s="21"/>
      <c r="AC346" s="21"/>
      <c r="AD346" s="21"/>
      <c r="AE346" s="21"/>
      <c r="AF346" s="21"/>
      <c r="AG346" s="21"/>
      <c r="AH346" s="21"/>
      <c r="AI346" s="21"/>
      <c r="AJ346" s="21"/>
      <c r="AK346" s="21"/>
      <c r="AL346" s="21"/>
      <c r="AM346" s="21"/>
      <c r="AN346" s="21"/>
      <c r="AO346" s="21"/>
      <c r="AP346" s="21"/>
    </row>
    <row r="347" spans="3:42">
      <c r="C347" s="21"/>
      <c r="D347" s="21"/>
      <c r="E347" s="21"/>
      <c r="F347" s="21"/>
      <c r="G347" s="21"/>
      <c r="H347" s="21"/>
      <c r="I347" s="21"/>
      <c r="J347" s="21"/>
      <c r="K347" s="21"/>
      <c r="L347" s="21"/>
      <c r="M347" s="21"/>
      <c r="N347" s="21"/>
      <c r="O347" s="21"/>
      <c r="P347" s="21"/>
      <c r="Q347" s="21"/>
      <c r="R347" s="21"/>
      <c r="S347" s="21"/>
      <c r="T347" s="21"/>
      <c r="U347" s="21"/>
      <c r="V347" s="21"/>
      <c r="W347" s="21"/>
      <c r="X347" s="21"/>
      <c r="Y347" s="21"/>
      <c r="Z347" s="21"/>
      <c r="AA347" s="21"/>
      <c r="AB347" s="21"/>
      <c r="AC347" s="21"/>
      <c r="AD347" s="21"/>
      <c r="AE347" s="21"/>
      <c r="AF347" s="21"/>
      <c r="AG347" s="21"/>
      <c r="AH347" s="21"/>
      <c r="AI347" s="21"/>
      <c r="AJ347" s="21"/>
      <c r="AK347" s="21"/>
      <c r="AL347" s="21"/>
      <c r="AM347" s="21"/>
      <c r="AN347" s="21"/>
      <c r="AO347" s="21"/>
      <c r="AP347" s="21"/>
    </row>
    <row r="348" spans="3:42">
      <c r="C348" s="21"/>
      <c r="D348" s="21"/>
      <c r="E348" s="21"/>
      <c r="F348" s="21"/>
      <c r="G348" s="21"/>
      <c r="H348" s="21"/>
      <c r="I348" s="21"/>
      <c r="J348" s="21"/>
      <c r="K348" s="21"/>
      <c r="L348" s="21"/>
      <c r="M348" s="21"/>
      <c r="N348" s="21"/>
      <c r="O348" s="21"/>
      <c r="P348" s="21"/>
      <c r="Q348" s="21"/>
      <c r="R348" s="21"/>
      <c r="S348" s="21"/>
      <c r="T348" s="21"/>
      <c r="U348" s="21"/>
      <c r="V348" s="21"/>
      <c r="W348" s="21"/>
      <c r="X348" s="21"/>
      <c r="Y348" s="21"/>
      <c r="Z348" s="21"/>
      <c r="AA348" s="21"/>
      <c r="AB348" s="21"/>
      <c r="AC348" s="21"/>
      <c r="AD348" s="21"/>
      <c r="AE348" s="21"/>
      <c r="AF348" s="21"/>
      <c r="AG348" s="21"/>
      <c r="AH348" s="21"/>
      <c r="AI348" s="21"/>
      <c r="AJ348" s="21"/>
      <c r="AK348" s="21"/>
      <c r="AL348" s="21"/>
      <c r="AM348" s="21"/>
      <c r="AN348" s="21"/>
      <c r="AO348" s="21"/>
      <c r="AP348" s="21"/>
    </row>
    <row r="349" spans="3:42">
      <c r="C349" s="21"/>
      <c r="D349" s="21"/>
      <c r="E349" s="21"/>
      <c r="F349" s="21"/>
      <c r="G349" s="21"/>
      <c r="H349" s="21"/>
      <c r="I349" s="21"/>
      <c r="J349" s="21"/>
      <c r="K349" s="21"/>
      <c r="L349" s="21"/>
      <c r="M349" s="21"/>
      <c r="N349" s="21"/>
      <c r="O349" s="21"/>
      <c r="P349" s="21"/>
      <c r="Q349" s="21"/>
      <c r="R349" s="21"/>
      <c r="S349" s="21"/>
      <c r="T349" s="21"/>
      <c r="U349" s="21"/>
      <c r="V349" s="21"/>
      <c r="W349" s="21"/>
      <c r="X349" s="21"/>
      <c r="Y349" s="21"/>
      <c r="Z349" s="21"/>
      <c r="AA349" s="21"/>
      <c r="AB349" s="21"/>
      <c r="AC349" s="21"/>
      <c r="AD349" s="21"/>
      <c r="AE349" s="21"/>
      <c r="AF349" s="21"/>
      <c r="AG349" s="21"/>
      <c r="AH349" s="21"/>
      <c r="AI349" s="21"/>
      <c r="AJ349" s="21"/>
      <c r="AK349" s="21"/>
      <c r="AL349" s="21"/>
      <c r="AM349" s="21"/>
      <c r="AN349" s="21"/>
      <c r="AO349" s="21"/>
      <c r="AP349" s="21"/>
    </row>
    <row r="350" spans="3:42">
      <c r="C350" s="21"/>
      <c r="D350" s="21"/>
      <c r="E350" s="21"/>
      <c r="F350" s="21"/>
      <c r="G350" s="21"/>
      <c r="H350" s="21"/>
      <c r="I350" s="21"/>
      <c r="J350" s="21"/>
      <c r="K350" s="21"/>
      <c r="L350" s="21"/>
      <c r="M350" s="21"/>
      <c r="N350" s="21"/>
      <c r="O350" s="21"/>
      <c r="P350" s="21"/>
      <c r="Q350" s="21"/>
      <c r="R350" s="21"/>
      <c r="S350" s="21"/>
      <c r="T350" s="21"/>
      <c r="U350" s="21"/>
      <c r="V350" s="21"/>
      <c r="W350" s="21"/>
      <c r="X350" s="21"/>
      <c r="Y350" s="21"/>
      <c r="Z350" s="21"/>
      <c r="AA350" s="21"/>
      <c r="AB350" s="21"/>
      <c r="AC350" s="21"/>
      <c r="AD350" s="21"/>
      <c r="AE350" s="21"/>
      <c r="AF350" s="21"/>
      <c r="AG350" s="21"/>
      <c r="AH350" s="21"/>
      <c r="AI350" s="21"/>
      <c r="AJ350" s="21"/>
      <c r="AK350" s="21"/>
      <c r="AL350" s="21"/>
      <c r="AM350" s="21"/>
      <c r="AN350" s="21"/>
      <c r="AO350" s="21"/>
      <c r="AP350" s="21"/>
    </row>
    <row r="351" spans="3:42">
      <c r="C351" s="21"/>
      <c r="D351" s="21"/>
      <c r="E351" s="21"/>
      <c r="F351" s="21"/>
      <c r="G351" s="21"/>
      <c r="H351" s="21"/>
      <c r="I351" s="21"/>
      <c r="J351" s="21"/>
      <c r="K351" s="21"/>
      <c r="L351" s="21"/>
      <c r="M351" s="21"/>
      <c r="N351" s="21"/>
      <c r="O351" s="21"/>
      <c r="P351" s="21"/>
      <c r="Q351" s="21"/>
      <c r="R351" s="21"/>
      <c r="S351" s="21"/>
      <c r="T351" s="21"/>
      <c r="U351" s="21"/>
      <c r="V351" s="21"/>
      <c r="W351" s="21"/>
      <c r="X351" s="21"/>
      <c r="Y351" s="21"/>
      <c r="Z351" s="21"/>
      <c r="AA351" s="21"/>
      <c r="AB351" s="21"/>
      <c r="AC351" s="21"/>
      <c r="AD351" s="21"/>
      <c r="AE351" s="21"/>
      <c r="AF351" s="21"/>
      <c r="AG351" s="21"/>
      <c r="AH351" s="21"/>
      <c r="AI351" s="21"/>
      <c r="AJ351" s="21"/>
      <c r="AK351" s="21"/>
      <c r="AL351" s="21"/>
      <c r="AM351" s="21"/>
      <c r="AN351" s="21"/>
      <c r="AO351" s="21"/>
      <c r="AP351" s="21"/>
    </row>
    <row r="352" spans="3:42">
      <c r="C352" s="21"/>
      <c r="D352" s="21"/>
      <c r="E352" s="21"/>
      <c r="F352" s="21"/>
      <c r="G352" s="21"/>
      <c r="H352" s="21"/>
      <c r="I352" s="21"/>
      <c r="J352" s="21"/>
      <c r="K352" s="21"/>
      <c r="L352" s="21"/>
      <c r="M352" s="21"/>
      <c r="N352" s="21"/>
      <c r="O352" s="21"/>
      <c r="P352" s="21"/>
      <c r="Q352" s="21"/>
      <c r="R352" s="21"/>
      <c r="S352" s="21"/>
      <c r="T352" s="21"/>
      <c r="U352" s="21"/>
      <c r="V352" s="21"/>
      <c r="W352" s="21"/>
      <c r="X352" s="21"/>
      <c r="Y352" s="21"/>
      <c r="Z352" s="21"/>
      <c r="AA352" s="21"/>
      <c r="AB352" s="21"/>
      <c r="AC352" s="21"/>
      <c r="AD352" s="21"/>
      <c r="AE352" s="21"/>
      <c r="AF352" s="21"/>
      <c r="AG352" s="21"/>
      <c r="AH352" s="21"/>
      <c r="AI352" s="21"/>
      <c r="AJ352" s="21"/>
      <c r="AK352" s="21"/>
      <c r="AL352" s="21"/>
      <c r="AM352" s="21"/>
      <c r="AN352" s="21"/>
      <c r="AO352" s="21"/>
      <c r="AP352" s="21"/>
    </row>
    <row r="353" spans="3:42">
      <c r="C353" s="21"/>
      <c r="D353" s="21"/>
      <c r="E353" s="21"/>
      <c r="F353" s="21"/>
      <c r="G353" s="21"/>
      <c r="H353" s="21"/>
      <c r="I353" s="21"/>
      <c r="J353" s="21"/>
      <c r="K353" s="21"/>
      <c r="L353" s="21"/>
      <c r="M353" s="21"/>
      <c r="N353" s="21"/>
      <c r="O353" s="21"/>
      <c r="P353" s="21"/>
      <c r="Q353" s="21"/>
      <c r="R353" s="21"/>
      <c r="S353" s="21"/>
      <c r="T353" s="21"/>
      <c r="U353" s="21"/>
      <c r="V353" s="21"/>
      <c r="W353" s="21"/>
      <c r="X353" s="21"/>
      <c r="Y353" s="21"/>
      <c r="Z353" s="21"/>
      <c r="AA353" s="21"/>
      <c r="AB353" s="21"/>
      <c r="AC353" s="21"/>
      <c r="AD353" s="21"/>
      <c r="AE353" s="21"/>
      <c r="AF353" s="21"/>
      <c r="AG353" s="21"/>
      <c r="AH353" s="21"/>
      <c r="AI353" s="21"/>
      <c r="AJ353" s="21"/>
      <c r="AK353" s="21"/>
      <c r="AL353" s="21"/>
      <c r="AM353" s="21"/>
      <c r="AN353" s="21"/>
      <c r="AO353" s="21"/>
      <c r="AP353" s="21"/>
    </row>
    <row r="354" spans="3:42">
      <c r="C354" s="21"/>
      <c r="D354" s="21"/>
      <c r="E354" s="21"/>
      <c r="F354" s="21"/>
      <c r="G354" s="21"/>
      <c r="H354" s="21"/>
      <c r="I354" s="21"/>
      <c r="J354" s="21"/>
      <c r="K354" s="21"/>
      <c r="L354" s="21"/>
      <c r="M354" s="21"/>
      <c r="N354" s="21"/>
      <c r="O354" s="21"/>
      <c r="P354" s="21"/>
      <c r="Q354" s="21"/>
      <c r="R354" s="21"/>
      <c r="S354" s="21"/>
      <c r="T354" s="21"/>
      <c r="U354" s="21"/>
      <c r="V354" s="21"/>
      <c r="W354" s="21"/>
      <c r="X354" s="21"/>
      <c r="Y354" s="21"/>
      <c r="Z354" s="21"/>
      <c r="AA354" s="21"/>
      <c r="AB354" s="21"/>
      <c r="AC354" s="21"/>
      <c r="AD354" s="21"/>
      <c r="AE354" s="21"/>
      <c r="AF354" s="21"/>
      <c r="AG354" s="21"/>
      <c r="AH354" s="21"/>
      <c r="AI354" s="21"/>
      <c r="AJ354" s="21"/>
      <c r="AK354" s="21"/>
      <c r="AL354" s="21"/>
      <c r="AM354" s="21"/>
      <c r="AN354" s="21"/>
      <c r="AO354" s="21"/>
      <c r="AP354" s="21"/>
    </row>
    <row r="355" spans="3:42">
      <c r="C355" s="21"/>
      <c r="D355" s="21"/>
      <c r="E355" s="21"/>
      <c r="F355" s="21"/>
      <c r="G355" s="21"/>
      <c r="H355" s="21"/>
      <c r="I355" s="21"/>
      <c r="J355" s="21"/>
      <c r="K355" s="21"/>
      <c r="L355" s="21"/>
      <c r="M355" s="21"/>
      <c r="N355" s="21"/>
      <c r="O355" s="21"/>
      <c r="P355" s="21"/>
      <c r="Q355" s="21"/>
      <c r="R355" s="21"/>
      <c r="S355" s="21"/>
      <c r="T355" s="21"/>
      <c r="U355" s="21"/>
      <c r="V355" s="21"/>
      <c r="W355" s="21"/>
      <c r="X355" s="21"/>
      <c r="Y355" s="21"/>
      <c r="Z355" s="21"/>
      <c r="AA355" s="21"/>
      <c r="AB355" s="21"/>
      <c r="AC355" s="21"/>
      <c r="AD355" s="21"/>
      <c r="AE355" s="21"/>
      <c r="AF355" s="21"/>
      <c r="AG355" s="21"/>
      <c r="AH355" s="21"/>
      <c r="AI355" s="21"/>
      <c r="AJ355" s="21"/>
      <c r="AK355" s="21"/>
      <c r="AL355" s="21"/>
      <c r="AM355" s="21"/>
      <c r="AN355" s="21"/>
      <c r="AO355" s="21"/>
      <c r="AP355" s="21"/>
    </row>
    <row r="356" spans="3:42">
      <c r="C356" s="21"/>
      <c r="D356" s="21"/>
      <c r="E356" s="21"/>
      <c r="F356" s="21"/>
      <c r="G356" s="21"/>
      <c r="H356" s="21"/>
      <c r="I356" s="21"/>
      <c r="J356" s="21"/>
      <c r="K356" s="21"/>
      <c r="L356" s="21"/>
      <c r="M356" s="21"/>
      <c r="N356" s="21"/>
      <c r="O356" s="21"/>
      <c r="P356" s="21"/>
      <c r="Q356" s="21"/>
      <c r="R356" s="21"/>
      <c r="S356" s="21"/>
      <c r="T356" s="21"/>
      <c r="U356" s="21"/>
      <c r="V356" s="21"/>
      <c r="W356" s="21"/>
      <c r="X356" s="21"/>
      <c r="Y356" s="21"/>
      <c r="Z356" s="21"/>
      <c r="AA356" s="21"/>
      <c r="AB356" s="21"/>
      <c r="AC356" s="21"/>
      <c r="AD356" s="21"/>
      <c r="AE356" s="21"/>
      <c r="AF356" s="21"/>
      <c r="AG356" s="21"/>
      <c r="AH356" s="21"/>
      <c r="AI356" s="21"/>
      <c r="AJ356" s="21"/>
      <c r="AK356" s="21"/>
      <c r="AL356" s="21"/>
      <c r="AM356" s="21"/>
      <c r="AN356" s="21"/>
      <c r="AO356" s="21"/>
      <c r="AP356" s="21"/>
    </row>
    <row r="357" spans="3:42">
      <c r="C357" s="21"/>
      <c r="D357" s="21"/>
      <c r="E357" s="21"/>
      <c r="F357" s="21"/>
      <c r="G357" s="21"/>
      <c r="H357" s="21"/>
      <c r="I357" s="21"/>
      <c r="J357" s="21"/>
      <c r="K357" s="21"/>
      <c r="L357" s="21"/>
      <c r="M357" s="21"/>
      <c r="N357" s="21"/>
      <c r="O357" s="21"/>
      <c r="P357" s="21"/>
      <c r="Q357" s="21"/>
      <c r="R357" s="21"/>
      <c r="S357" s="21"/>
      <c r="T357" s="21"/>
      <c r="U357" s="21"/>
      <c r="V357" s="21"/>
      <c r="W357" s="21"/>
      <c r="X357" s="21"/>
      <c r="Y357" s="21"/>
      <c r="Z357" s="21"/>
      <c r="AA357" s="21"/>
      <c r="AB357" s="21"/>
      <c r="AC357" s="21"/>
      <c r="AD357" s="21"/>
      <c r="AE357" s="21"/>
      <c r="AF357" s="21"/>
      <c r="AG357" s="21"/>
      <c r="AH357" s="21"/>
      <c r="AI357" s="21"/>
      <c r="AJ357" s="21"/>
      <c r="AK357" s="21"/>
      <c r="AL357" s="21"/>
      <c r="AM357" s="21"/>
      <c r="AN357" s="21"/>
      <c r="AO357" s="21"/>
      <c r="AP357" s="21"/>
    </row>
    <row r="358" spans="3:42">
      <c r="C358" s="21"/>
      <c r="D358" s="21"/>
      <c r="E358" s="21"/>
      <c r="F358" s="21"/>
      <c r="G358" s="21"/>
      <c r="H358" s="21"/>
      <c r="I358" s="21"/>
      <c r="J358" s="21"/>
      <c r="K358" s="21"/>
      <c r="L358" s="21"/>
      <c r="M358" s="21"/>
      <c r="N358" s="21"/>
      <c r="O358" s="21"/>
      <c r="P358" s="21"/>
      <c r="Q358" s="21"/>
      <c r="R358" s="21"/>
      <c r="S358" s="21"/>
      <c r="T358" s="21"/>
      <c r="U358" s="21"/>
      <c r="V358" s="21"/>
      <c r="W358" s="21"/>
      <c r="X358" s="21"/>
      <c r="Y358" s="21"/>
      <c r="Z358" s="21"/>
      <c r="AA358" s="21"/>
      <c r="AB358" s="21"/>
      <c r="AC358" s="21"/>
      <c r="AD358" s="21"/>
      <c r="AE358" s="21"/>
      <c r="AF358" s="21"/>
      <c r="AG358" s="21"/>
      <c r="AH358" s="21"/>
      <c r="AI358" s="21"/>
      <c r="AJ358" s="21"/>
      <c r="AK358" s="21"/>
      <c r="AL358" s="21"/>
      <c r="AM358" s="21"/>
      <c r="AN358" s="21"/>
      <c r="AO358" s="21"/>
      <c r="AP358" s="21"/>
    </row>
    <row r="359" spans="3:42">
      <c r="C359" s="21"/>
      <c r="D359" s="21"/>
      <c r="E359" s="21"/>
      <c r="F359" s="21"/>
      <c r="G359" s="21"/>
      <c r="H359" s="21"/>
      <c r="I359" s="21"/>
      <c r="J359" s="21"/>
      <c r="K359" s="21"/>
      <c r="L359" s="21"/>
      <c r="M359" s="21"/>
      <c r="N359" s="21"/>
      <c r="O359" s="21"/>
      <c r="P359" s="21"/>
      <c r="Q359" s="21"/>
      <c r="R359" s="21"/>
      <c r="S359" s="21"/>
      <c r="T359" s="21"/>
      <c r="U359" s="21"/>
      <c r="V359" s="21"/>
      <c r="W359" s="21"/>
      <c r="X359" s="21"/>
      <c r="Y359" s="21"/>
      <c r="Z359" s="21"/>
      <c r="AA359" s="21"/>
      <c r="AB359" s="21"/>
      <c r="AC359" s="21"/>
      <c r="AD359" s="21"/>
      <c r="AE359" s="21"/>
      <c r="AF359" s="21"/>
      <c r="AG359" s="21"/>
      <c r="AH359" s="21"/>
      <c r="AI359" s="21"/>
      <c r="AJ359" s="21"/>
      <c r="AK359" s="21"/>
      <c r="AL359" s="21"/>
      <c r="AM359" s="21"/>
      <c r="AN359" s="21"/>
      <c r="AO359" s="21"/>
      <c r="AP359" s="21"/>
    </row>
    <row r="360" spans="3:42">
      <c r="C360" s="21"/>
      <c r="D360" s="21"/>
      <c r="E360" s="21"/>
      <c r="F360" s="21"/>
      <c r="G360" s="21"/>
      <c r="H360" s="21"/>
      <c r="I360" s="21"/>
      <c r="J360" s="21"/>
      <c r="K360" s="21"/>
      <c r="L360" s="21"/>
      <c r="M360" s="21"/>
      <c r="N360" s="21"/>
      <c r="O360" s="21"/>
      <c r="P360" s="21"/>
      <c r="Q360" s="21"/>
      <c r="R360" s="21"/>
      <c r="S360" s="21"/>
      <c r="T360" s="21"/>
      <c r="U360" s="21"/>
      <c r="V360" s="21"/>
      <c r="W360" s="21"/>
      <c r="X360" s="21"/>
      <c r="Y360" s="21"/>
      <c r="Z360" s="21"/>
      <c r="AA360" s="21"/>
      <c r="AB360" s="21"/>
      <c r="AC360" s="21"/>
      <c r="AD360" s="21"/>
      <c r="AE360" s="21"/>
      <c r="AF360" s="21"/>
      <c r="AG360" s="21"/>
      <c r="AH360" s="21"/>
      <c r="AI360" s="21"/>
      <c r="AJ360" s="21"/>
      <c r="AK360" s="21"/>
      <c r="AL360" s="21"/>
      <c r="AM360" s="21"/>
      <c r="AN360" s="21"/>
      <c r="AO360" s="21"/>
      <c r="AP360" s="21"/>
    </row>
    <row r="361" spans="3:42">
      <c r="C361" s="21"/>
      <c r="D361" s="21"/>
      <c r="E361" s="21"/>
      <c r="F361" s="21"/>
      <c r="G361" s="21"/>
      <c r="H361" s="21"/>
      <c r="I361" s="21"/>
      <c r="J361" s="21"/>
      <c r="K361" s="21"/>
      <c r="L361" s="21"/>
      <c r="M361" s="21"/>
      <c r="N361" s="21"/>
      <c r="O361" s="21"/>
      <c r="P361" s="21"/>
      <c r="Q361" s="21"/>
      <c r="R361" s="21"/>
      <c r="S361" s="21"/>
      <c r="T361" s="21"/>
      <c r="U361" s="21"/>
      <c r="V361" s="21"/>
      <c r="W361" s="21"/>
      <c r="X361" s="21"/>
      <c r="Y361" s="21"/>
      <c r="Z361" s="21"/>
      <c r="AA361" s="21"/>
      <c r="AB361" s="21"/>
      <c r="AC361" s="21"/>
      <c r="AD361" s="21"/>
      <c r="AE361" s="21"/>
      <c r="AF361" s="21"/>
      <c r="AG361" s="21"/>
      <c r="AH361" s="21"/>
      <c r="AI361" s="21"/>
      <c r="AJ361" s="21"/>
      <c r="AK361" s="21"/>
      <c r="AL361" s="21"/>
      <c r="AM361" s="21"/>
      <c r="AN361" s="21"/>
      <c r="AO361" s="21"/>
      <c r="AP361" s="21"/>
    </row>
    <row r="362" spans="3:42">
      <c r="C362" s="21"/>
      <c r="D362" s="21"/>
      <c r="E362" s="21"/>
      <c r="F362" s="21"/>
      <c r="G362" s="21"/>
      <c r="H362" s="21"/>
      <c r="I362" s="21"/>
      <c r="J362" s="21"/>
      <c r="K362" s="21"/>
      <c r="L362" s="21"/>
      <c r="M362" s="21"/>
      <c r="N362" s="21"/>
      <c r="O362" s="21"/>
      <c r="P362" s="21"/>
      <c r="Q362" s="21"/>
      <c r="R362" s="21"/>
      <c r="S362" s="21"/>
      <c r="T362" s="21"/>
      <c r="U362" s="21"/>
      <c r="V362" s="21"/>
      <c r="W362" s="21"/>
      <c r="X362" s="21"/>
      <c r="Y362" s="21"/>
      <c r="Z362" s="21"/>
      <c r="AA362" s="21"/>
      <c r="AB362" s="21"/>
      <c r="AC362" s="21"/>
      <c r="AD362" s="21"/>
      <c r="AE362" s="21"/>
      <c r="AF362" s="21"/>
      <c r="AG362" s="21"/>
      <c r="AH362" s="21"/>
      <c r="AI362" s="21"/>
      <c r="AJ362" s="21"/>
      <c r="AK362" s="21"/>
      <c r="AL362" s="21"/>
      <c r="AM362" s="21"/>
      <c r="AN362" s="21"/>
      <c r="AO362" s="21"/>
      <c r="AP362" s="21"/>
    </row>
  </sheetData>
  <mergeCells count="3">
    <mergeCell ref="A1:AO1"/>
    <mergeCell ref="A2:AO2"/>
    <mergeCell ref="A3:AO3"/>
  </mergeCells>
  <pageMargins left="0.75" right="0.75" top="1" bottom="1" header="0.5" footer="0.5"/>
  <pageSetup paperSize="5" scale="49" fitToHeight="3" orientation="landscape" r:id="rId1"/>
  <headerFooter alignWithMargins="0">
    <oddFooter>&amp;L&amp;Z&amp;F&amp;C&amp;A&amp;R3.&amp;P</oddFooter>
  </headerFooter>
</worksheet>
</file>

<file path=xl/worksheets/sheet55.xml><?xml version="1.0" encoding="utf-8"?>
<worksheet xmlns="http://schemas.openxmlformats.org/spreadsheetml/2006/main" xmlns:r="http://schemas.openxmlformats.org/officeDocument/2006/relationships">
  <sheetPr codeName="Sheet92">
    <pageSetUpPr fitToPage="1"/>
  </sheetPr>
  <dimension ref="B1:O57"/>
  <sheetViews>
    <sheetView workbookViewId="0">
      <selection activeCell="B3" sqref="B3"/>
    </sheetView>
  </sheetViews>
  <sheetFormatPr defaultRowHeight="15.75"/>
  <cols>
    <col min="1" max="1" width="2" style="121" customWidth="1"/>
    <col min="2" max="2" width="13.42578125" style="121" bestFit="1" customWidth="1"/>
    <col min="3" max="3" width="19.85546875" style="121" customWidth="1"/>
    <col min="4" max="4" width="4" style="121" customWidth="1"/>
    <col min="5" max="5" width="14.42578125" style="124" customWidth="1"/>
    <col min="6" max="6" width="2.85546875" style="124" customWidth="1"/>
    <col min="7" max="7" width="14.5703125" style="124" customWidth="1"/>
    <col min="8" max="8" width="2.85546875" style="124" customWidth="1"/>
    <col min="9" max="9" width="14.7109375" style="124" customWidth="1"/>
    <col min="10" max="10" width="2.7109375" style="124" customWidth="1"/>
    <col min="11" max="11" width="15.28515625" style="124" bestFit="1" customWidth="1"/>
    <col min="12" max="12" width="2.28515625" style="121" customWidth="1"/>
    <col min="13" max="13" width="15.42578125" style="124" bestFit="1" customWidth="1"/>
    <col min="14" max="14" width="14.5703125" style="124" bestFit="1" customWidth="1"/>
    <col min="15" max="15" width="15.28515625" style="124" bestFit="1" customWidth="1"/>
    <col min="16" max="16" width="13.42578125" style="121" bestFit="1" customWidth="1"/>
    <col min="17" max="16384" width="9.140625" style="121"/>
  </cols>
  <sheetData>
    <row r="1" spans="2:15">
      <c r="B1" s="365" t="s">
        <v>435</v>
      </c>
      <c r="C1" s="365"/>
      <c r="D1" s="365"/>
      <c r="E1" s="365"/>
      <c r="F1" s="365"/>
      <c r="G1" s="365"/>
      <c r="H1" s="365"/>
      <c r="I1" s="365"/>
      <c r="J1" s="365"/>
      <c r="K1" s="365"/>
      <c r="L1" s="365"/>
      <c r="M1" s="365"/>
      <c r="N1" s="365"/>
      <c r="O1" s="365"/>
    </row>
    <row r="2" spans="2:15">
      <c r="B2" s="365" t="s">
        <v>1181</v>
      </c>
      <c r="C2" s="365"/>
      <c r="D2" s="365"/>
      <c r="E2" s="365"/>
      <c r="F2" s="365"/>
      <c r="G2" s="365"/>
      <c r="H2" s="365"/>
      <c r="I2" s="365"/>
      <c r="J2" s="365"/>
      <c r="K2" s="365"/>
      <c r="L2" s="365"/>
      <c r="M2" s="365"/>
      <c r="N2" s="365"/>
      <c r="O2" s="365"/>
    </row>
    <row r="3" spans="2:15">
      <c r="B3" s="192"/>
      <c r="C3" s="192"/>
      <c r="D3" s="192"/>
      <c r="E3" s="123"/>
      <c r="F3" s="123"/>
      <c r="G3" s="123"/>
      <c r="H3" s="123"/>
      <c r="I3" s="123"/>
      <c r="J3" s="123"/>
      <c r="K3" s="123"/>
      <c r="L3" s="192"/>
      <c r="M3" s="123"/>
      <c r="N3" s="123"/>
      <c r="O3" s="123"/>
    </row>
    <row r="5" spans="2:15">
      <c r="B5" s="125"/>
    </row>
    <row r="6" spans="2:15">
      <c r="E6" s="126" t="s">
        <v>437</v>
      </c>
      <c r="I6" s="126" t="s">
        <v>438</v>
      </c>
    </row>
    <row r="7" spans="2:15" ht="18">
      <c r="E7" s="127" t="s">
        <v>439</v>
      </c>
      <c r="F7" s="126"/>
      <c r="G7" s="128" t="s">
        <v>440</v>
      </c>
      <c r="H7" s="126"/>
      <c r="I7" s="127" t="s">
        <v>582</v>
      </c>
      <c r="J7" s="126"/>
      <c r="K7" s="127" t="s">
        <v>28</v>
      </c>
      <c r="L7" s="129"/>
      <c r="M7" s="127" t="s">
        <v>441</v>
      </c>
      <c r="N7" s="127" t="s">
        <v>442</v>
      </c>
      <c r="O7" s="127" t="s">
        <v>36</v>
      </c>
    </row>
    <row r="8" spans="2:15">
      <c r="B8" s="130" t="s">
        <v>443</v>
      </c>
      <c r="C8" s="121" t="s">
        <v>444</v>
      </c>
      <c r="E8" s="124">
        <v>0</v>
      </c>
      <c r="G8" s="124">
        <v>0</v>
      </c>
      <c r="I8" s="124">
        <v>0</v>
      </c>
      <c r="K8" s="124">
        <v>-1050</v>
      </c>
      <c r="M8" s="131">
        <f>K8+E8</f>
        <v>-1050</v>
      </c>
    </row>
    <row r="9" spans="2:15">
      <c r="B9" s="132"/>
      <c r="C9" s="121" t="s">
        <v>445</v>
      </c>
      <c r="E9" s="124">
        <v>104078.14</v>
      </c>
      <c r="K9" s="124">
        <v>-178154.42</v>
      </c>
      <c r="M9" s="131">
        <f>K9+E9</f>
        <v>-74076.280000000013</v>
      </c>
    </row>
    <row r="10" spans="2:15">
      <c r="B10" s="133"/>
    </row>
    <row r="11" spans="2:15">
      <c r="E11" s="134">
        <f>SUM(E8:E9)</f>
        <v>104078.14</v>
      </c>
      <c r="F11" s="134"/>
      <c r="G11" s="134"/>
      <c r="H11" s="134"/>
      <c r="I11" s="134">
        <f>SUM(I8:I9)</f>
        <v>0</v>
      </c>
      <c r="J11" s="134"/>
      <c r="K11" s="134">
        <f>SUM(K8:K9)</f>
        <v>-179204.42</v>
      </c>
      <c r="L11" s="135"/>
      <c r="M11" s="134">
        <f>K11+E11</f>
        <v>-75126.280000000013</v>
      </c>
    </row>
    <row r="12" spans="2:15">
      <c r="E12" s="131"/>
      <c r="F12" s="131"/>
      <c r="G12" s="131"/>
      <c r="H12" s="131"/>
      <c r="I12" s="131"/>
      <c r="J12" s="131"/>
      <c r="K12" s="131"/>
      <c r="L12" s="136"/>
      <c r="M12" s="131"/>
    </row>
    <row r="13" spans="2:15">
      <c r="B13" s="121" t="s">
        <v>1102</v>
      </c>
      <c r="C13" s="121">
        <v>126097</v>
      </c>
      <c r="E13" s="124">
        <v>376.55</v>
      </c>
      <c r="G13" s="124">
        <v>0</v>
      </c>
      <c r="I13" s="124">
        <v>0</v>
      </c>
      <c r="K13" s="124">
        <v>-33086.949999999997</v>
      </c>
      <c r="M13" s="131">
        <f>K13+E13</f>
        <v>-32710.399999999998</v>
      </c>
    </row>
    <row r="14" spans="2:15">
      <c r="C14" s="121" t="s">
        <v>1103</v>
      </c>
      <c r="E14" s="131"/>
      <c r="F14" s="131"/>
      <c r="G14" s="131"/>
      <c r="H14" s="131"/>
      <c r="I14" s="131"/>
      <c r="J14" s="131"/>
      <c r="K14" s="131"/>
      <c r="L14" s="136"/>
      <c r="M14" s="131"/>
    </row>
    <row r="15" spans="2:15">
      <c r="E15" s="131"/>
      <c r="F15" s="131"/>
      <c r="G15" s="131"/>
      <c r="H15" s="131"/>
      <c r="I15" s="131"/>
      <c r="J15" s="131"/>
      <c r="K15" s="131"/>
      <c r="L15" s="136"/>
      <c r="M15" s="131"/>
    </row>
    <row r="16" spans="2:15">
      <c r="E16" s="131"/>
      <c r="F16" s="131"/>
      <c r="G16" s="131"/>
      <c r="H16" s="131"/>
      <c r="I16" s="131"/>
      <c r="J16" s="131"/>
      <c r="K16" s="131"/>
      <c r="L16" s="136"/>
      <c r="M16" s="131"/>
    </row>
    <row r="17" spans="3:15">
      <c r="E17" s="131"/>
      <c r="F17" s="131"/>
      <c r="G17" s="131"/>
      <c r="H17" s="131"/>
      <c r="I17" s="131"/>
      <c r="J17" s="131"/>
      <c r="K17" s="131"/>
      <c r="L17" s="136"/>
      <c r="M17" s="131"/>
    </row>
    <row r="18" spans="3:15" s="136" customFormat="1">
      <c r="C18" s="137" t="s">
        <v>446</v>
      </c>
      <c r="E18" s="131"/>
      <c r="F18" s="131"/>
      <c r="G18" s="131"/>
      <c r="H18" s="131"/>
      <c r="I18" s="131"/>
      <c r="J18" s="131"/>
      <c r="K18" s="131"/>
      <c r="M18" s="131"/>
      <c r="N18" s="131"/>
      <c r="O18" s="131"/>
    </row>
    <row r="19" spans="3:15" s="136" customFormat="1">
      <c r="E19" s="131"/>
      <c r="F19" s="131"/>
      <c r="G19" s="131"/>
      <c r="H19" s="131"/>
      <c r="I19" s="131"/>
      <c r="J19" s="131"/>
      <c r="K19" s="131"/>
      <c r="M19" s="131"/>
      <c r="N19" s="131"/>
      <c r="O19" s="131"/>
    </row>
    <row r="20" spans="3:15" s="136" customFormat="1">
      <c r="E20" s="131"/>
      <c r="F20" s="131"/>
      <c r="G20" s="131"/>
      <c r="H20" s="131"/>
      <c r="I20" s="131"/>
      <c r="J20" s="131"/>
      <c r="K20" s="131"/>
      <c r="M20" s="131"/>
      <c r="N20" s="131"/>
      <c r="O20" s="131"/>
    </row>
    <row r="21" spans="3:15" s="136" customFormat="1">
      <c r="E21" s="131"/>
      <c r="F21" s="131"/>
      <c r="G21" s="131"/>
      <c r="H21" s="131"/>
      <c r="I21" s="131"/>
      <c r="J21" s="131"/>
      <c r="K21" s="131"/>
      <c r="M21" s="131"/>
      <c r="N21" s="131"/>
      <c r="O21" s="131"/>
    </row>
    <row r="22" spans="3:15" s="136" customFormat="1">
      <c r="E22" s="131"/>
      <c r="F22" s="131"/>
      <c r="G22" s="131"/>
      <c r="H22" s="131"/>
      <c r="I22" s="131"/>
      <c r="J22" s="131"/>
      <c r="K22" s="131"/>
      <c r="M22" s="131"/>
      <c r="N22" s="131"/>
      <c r="O22" s="131"/>
    </row>
    <row r="23" spans="3:15" s="136" customFormat="1">
      <c r="E23" s="131"/>
      <c r="F23" s="131"/>
      <c r="G23" s="131"/>
      <c r="H23" s="131"/>
      <c r="I23" s="131"/>
      <c r="J23" s="131"/>
      <c r="K23" s="131"/>
      <c r="M23" s="131"/>
      <c r="N23" s="131"/>
      <c r="O23" s="131"/>
    </row>
    <row r="24" spans="3:15" s="136" customFormat="1">
      <c r="E24" s="131"/>
      <c r="F24" s="131"/>
      <c r="G24" s="131"/>
      <c r="H24" s="131"/>
      <c r="I24" s="131"/>
      <c r="J24" s="131"/>
      <c r="K24" s="131"/>
      <c r="M24" s="131"/>
      <c r="N24" s="131"/>
      <c r="O24" s="131"/>
    </row>
    <row r="25" spans="3:15" s="136" customFormat="1">
      <c r="E25" s="131"/>
      <c r="F25" s="131"/>
      <c r="G25" s="131"/>
      <c r="H25" s="131"/>
      <c r="I25" s="131"/>
      <c r="J25" s="131"/>
      <c r="K25" s="131"/>
      <c r="M25" s="131"/>
      <c r="N25" s="131"/>
      <c r="O25" s="131"/>
    </row>
    <row r="26" spans="3:15" s="136" customFormat="1">
      <c r="E26" s="131"/>
      <c r="F26" s="131"/>
      <c r="G26" s="131"/>
      <c r="H26" s="131"/>
      <c r="I26" s="131"/>
      <c r="J26" s="131"/>
      <c r="K26" s="131"/>
      <c r="M26" s="131"/>
      <c r="N26" s="131"/>
      <c r="O26" s="131"/>
    </row>
    <row r="27" spans="3:15" s="136" customFormat="1">
      <c r="E27" s="131"/>
      <c r="F27" s="131"/>
      <c r="G27" s="131"/>
      <c r="H27" s="131"/>
      <c r="I27" s="131"/>
      <c r="J27" s="131"/>
      <c r="K27" s="131"/>
      <c r="M27" s="131"/>
      <c r="N27" s="131"/>
      <c r="O27" s="131"/>
    </row>
    <row r="28" spans="3:15" s="136" customFormat="1">
      <c r="E28" s="131"/>
      <c r="F28" s="131"/>
      <c r="G28" s="131"/>
      <c r="H28" s="131"/>
      <c r="I28" s="131"/>
      <c r="J28" s="131"/>
      <c r="K28" s="131"/>
      <c r="M28" s="131"/>
      <c r="N28" s="131"/>
      <c r="O28" s="131"/>
    </row>
    <row r="29" spans="3:15" s="136" customFormat="1">
      <c r="E29" s="131"/>
      <c r="F29" s="131"/>
      <c r="G29" s="131"/>
      <c r="H29" s="131"/>
      <c r="I29" s="131"/>
      <c r="J29" s="131"/>
      <c r="K29" s="131"/>
      <c r="M29" s="131"/>
      <c r="N29" s="131"/>
      <c r="O29" s="131"/>
    </row>
    <row r="30" spans="3:15" s="136" customFormat="1">
      <c r="E30" s="131"/>
      <c r="F30" s="131"/>
      <c r="G30" s="131"/>
      <c r="H30" s="131"/>
      <c r="I30" s="131"/>
      <c r="J30" s="131"/>
      <c r="K30" s="131"/>
      <c r="M30" s="131"/>
      <c r="N30" s="131"/>
      <c r="O30" s="131"/>
    </row>
    <row r="31" spans="3:15" s="136" customFormat="1">
      <c r="E31" s="131"/>
      <c r="F31" s="131"/>
      <c r="G31" s="131"/>
      <c r="H31" s="131"/>
      <c r="I31" s="131"/>
      <c r="J31" s="131"/>
      <c r="K31" s="131"/>
      <c r="M31" s="131"/>
      <c r="N31" s="131"/>
      <c r="O31" s="131"/>
    </row>
    <row r="32" spans="3:15" s="136" customFormat="1">
      <c r="E32" s="131"/>
      <c r="F32" s="131"/>
      <c r="G32" s="131"/>
      <c r="H32" s="131"/>
      <c r="I32" s="131"/>
      <c r="J32" s="131"/>
      <c r="K32" s="131"/>
      <c r="M32" s="131"/>
      <c r="N32" s="131"/>
      <c r="O32" s="131"/>
    </row>
    <row r="33" spans="5:15" s="136" customFormat="1">
      <c r="E33" s="131"/>
      <c r="F33" s="131"/>
      <c r="G33" s="131"/>
      <c r="H33" s="131"/>
      <c r="I33" s="131"/>
      <c r="J33" s="131"/>
      <c r="K33" s="131"/>
      <c r="M33" s="131"/>
      <c r="N33" s="131"/>
      <c r="O33" s="131"/>
    </row>
    <row r="34" spans="5:15" s="136" customFormat="1">
      <c r="E34" s="131"/>
      <c r="F34" s="131"/>
      <c r="G34" s="131"/>
      <c r="H34" s="131"/>
      <c r="I34" s="131"/>
      <c r="J34" s="131"/>
      <c r="K34" s="131"/>
      <c r="M34" s="131"/>
      <c r="N34" s="131"/>
      <c r="O34" s="131"/>
    </row>
    <row r="35" spans="5:15" s="136" customFormat="1">
      <c r="E35" s="131"/>
      <c r="F35" s="131"/>
      <c r="G35" s="131"/>
      <c r="H35" s="131"/>
      <c r="I35" s="131"/>
      <c r="J35" s="131"/>
      <c r="K35" s="131"/>
      <c r="M35" s="131"/>
      <c r="N35" s="131"/>
      <c r="O35" s="131"/>
    </row>
    <row r="36" spans="5:15" s="136" customFormat="1">
      <c r="E36" s="131"/>
      <c r="F36" s="131"/>
      <c r="G36" s="131"/>
      <c r="H36" s="131"/>
      <c r="I36" s="131"/>
      <c r="J36" s="131"/>
      <c r="K36" s="131"/>
      <c r="M36" s="131"/>
      <c r="N36" s="131"/>
      <c r="O36" s="131"/>
    </row>
    <row r="37" spans="5:15" s="136" customFormat="1">
      <c r="E37" s="131"/>
      <c r="F37" s="131"/>
      <c r="G37" s="131"/>
      <c r="H37" s="131"/>
      <c r="I37" s="131"/>
      <c r="J37" s="131"/>
      <c r="K37" s="131"/>
      <c r="M37" s="131"/>
      <c r="N37" s="131"/>
      <c r="O37" s="131"/>
    </row>
    <row r="38" spans="5:15" s="136" customFormat="1">
      <c r="E38" s="131"/>
      <c r="F38" s="131"/>
      <c r="G38" s="131"/>
      <c r="H38" s="131"/>
      <c r="I38" s="131"/>
      <c r="J38" s="131"/>
      <c r="K38" s="131"/>
      <c r="M38" s="131"/>
      <c r="N38" s="131"/>
      <c r="O38" s="131"/>
    </row>
    <row r="39" spans="5:15" s="136" customFormat="1">
      <c r="E39" s="131"/>
      <c r="F39" s="131"/>
      <c r="G39" s="131"/>
      <c r="H39" s="131"/>
      <c r="I39" s="131"/>
      <c r="J39" s="131"/>
      <c r="K39" s="131"/>
      <c r="M39" s="131"/>
      <c r="N39" s="131"/>
      <c r="O39" s="131"/>
    </row>
    <row r="40" spans="5:15" s="136" customFormat="1">
      <c r="E40" s="131"/>
      <c r="F40" s="131"/>
      <c r="G40" s="131"/>
      <c r="H40" s="131"/>
      <c r="I40" s="131"/>
      <c r="J40" s="131"/>
      <c r="K40" s="131"/>
      <c r="M40" s="131"/>
      <c r="N40" s="131"/>
      <c r="O40" s="131"/>
    </row>
    <row r="41" spans="5:15" s="136" customFormat="1">
      <c r="E41" s="131"/>
      <c r="F41" s="131"/>
      <c r="G41" s="131"/>
      <c r="H41" s="131"/>
      <c r="I41" s="131"/>
      <c r="J41" s="131"/>
      <c r="K41" s="131"/>
      <c r="M41" s="131"/>
      <c r="N41" s="131"/>
      <c r="O41" s="131"/>
    </row>
    <row r="42" spans="5:15" s="136" customFormat="1">
      <c r="E42" s="131"/>
      <c r="F42" s="131"/>
      <c r="G42" s="131"/>
      <c r="H42" s="131"/>
      <c r="I42" s="131"/>
      <c r="J42" s="131"/>
      <c r="K42" s="131"/>
      <c r="M42" s="131"/>
      <c r="N42" s="131"/>
      <c r="O42" s="131"/>
    </row>
    <row r="43" spans="5:15" s="136" customFormat="1">
      <c r="E43" s="131"/>
      <c r="F43" s="131"/>
      <c r="G43" s="131"/>
      <c r="H43" s="131"/>
      <c r="I43" s="131"/>
      <c r="J43" s="131"/>
      <c r="K43" s="131"/>
      <c r="M43" s="131"/>
      <c r="N43" s="131"/>
      <c r="O43" s="131"/>
    </row>
    <row r="44" spans="5:15" s="136" customFormat="1">
      <c r="E44" s="131"/>
      <c r="F44" s="131"/>
      <c r="G44" s="131"/>
      <c r="H44" s="131"/>
      <c r="I44" s="131"/>
      <c r="J44" s="131"/>
      <c r="K44" s="131"/>
      <c r="M44" s="131"/>
      <c r="N44" s="131"/>
      <c r="O44" s="131"/>
    </row>
    <row r="45" spans="5:15" s="136" customFormat="1">
      <c r="E45" s="131"/>
      <c r="F45" s="131"/>
      <c r="G45" s="131"/>
      <c r="H45" s="131"/>
      <c r="I45" s="131"/>
      <c r="J45" s="131"/>
      <c r="K45" s="131"/>
      <c r="M45" s="131"/>
      <c r="N45" s="131"/>
      <c r="O45" s="131"/>
    </row>
    <row r="46" spans="5:15" s="136" customFormat="1">
      <c r="E46" s="131"/>
      <c r="F46" s="131"/>
      <c r="G46" s="131"/>
      <c r="H46" s="131"/>
      <c r="I46" s="131"/>
      <c r="J46" s="131"/>
      <c r="K46" s="131"/>
      <c r="M46" s="131"/>
      <c r="N46" s="131"/>
      <c r="O46" s="131"/>
    </row>
    <row r="47" spans="5:15" s="136" customFormat="1">
      <c r="E47" s="131"/>
      <c r="F47" s="131"/>
      <c r="G47" s="131"/>
      <c r="H47" s="131"/>
      <c r="I47" s="131"/>
      <c r="J47" s="131"/>
      <c r="K47" s="131"/>
      <c r="M47" s="131"/>
      <c r="N47" s="131"/>
      <c r="O47" s="131"/>
    </row>
    <row r="48" spans="5:15" s="136" customFormat="1">
      <c r="E48" s="131"/>
      <c r="F48" s="131"/>
      <c r="G48" s="131"/>
      <c r="H48" s="131"/>
      <c r="I48" s="131"/>
      <c r="J48" s="131"/>
      <c r="K48" s="131"/>
      <c r="M48" s="131"/>
      <c r="N48" s="131"/>
      <c r="O48" s="131"/>
    </row>
    <row r="49" spans="5:15" s="136" customFormat="1">
      <c r="E49" s="131"/>
      <c r="F49" s="131"/>
      <c r="G49" s="131"/>
      <c r="H49" s="131"/>
      <c r="I49" s="131"/>
      <c r="J49" s="131"/>
      <c r="K49" s="131"/>
      <c r="M49" s="131"/>
      <c r="N49" s="131"/>
      <c r="O49" s="131"/>
    </row>
    <row r="50" spans="5:15" s="136" customFormat="1">
      <c r="E50" s="131"/>
      <c r="F50" s="131"/>
      <c r="G50" s="131"/>
      <c r="H50" s="131"/>
      <c r="I50" s="131"/>
      <c r="J50" s="131"/>
      <c r="K50" s="131"/>
      <c r="M50" s="131"/>
      <c r="N50" s="131"/>
      <c r="O50" s="131"/>
    </row>
    <row r="51" spans="5:15" s="136" customFormat="1">
      <c r="E51" s="131"/>
      <c r="F51" s="131"/>
      <c r="G51" s="131"/>
      <c r="H51" s="131"/>
      <c r="I51" s="131"/>
      <c r="J51" s="131"/>
      <c r="K51" s="131"/>
      <c r="M51" s="131"/>
      <c r="N51" s="131"/>
      <c r="O51" s="131"/>
    </row>
    <row r="52" spans="5:15" s="136" customFormat="1">
      <c r="E52" s="131"/>
      <c r="F52" s="131"/>
      <c r="G52" s="131"/>
      <c r="H52" s="131"/>
      <c r="I52" s="131"/>
      <c r="J52" s="131"/>
      <c r="K52" s="131"/>
      <c r="M52" s="131"/>
      <c r="N52" s="131"/>
      <c r="O52" s="131"/>
    </row>
    <row r="53" spans="5:15" s="136" customFormat="1">
      <c r="E53" s="131"/>
      <c r="F53" s="131"/>
      <c r="G53" s="131"/>
      <c r="H53" s="131"/>
      <c r="I53" s="131"/>
      <c r="J53" s="131"/>
      <c r="K53" s="131"/>
      <c r="M53" s="131"/>
      <c r="N53" s="131"/>
      <c r="O53" s="131"/>
    </row>
    <row r="54" spans="5:15" s="136" customFormat="1">
      <c r="E54" s="131"/>
      <c r="F54" s="131"/>
      <c r="G54" s="131"/>
      <c r="H54" s="131"/>
      <c r="I54" s="131"/>
      <c r="J54" s="131"/>
      <c r="K54" s="131"/>
      <c r="M54" s="131"/>
      <c r="N54" s="131"/>
      <c r="O54" s="131"/>
    </row>
    <row r="55" spans="5:15" s="136" customFormat="1">
      <c r="E55" s="131"/>
      <c r="F55" s="131"/>
      <c r="G55" s="131"/>
      <c r="H55" s="131"/>
      <c r="I55" s="131"/>
      <c r="J55" s="131"/>
      <c r="K55" s="131"/>
      <c r="M55" s="131"/>
      <c r="N55" s="131"/>
      <c r="O55" s="131"/>
    </row>
    <row r="56" spans="5:15" s="136" customFormat="1">
      <c r="E56" s="131"/>
      <c r="F56" s="131"/>
      <c r="G56" s="131"/>
      <c r="H56" s="131"/>
      <c r="I56" s="131"/>
      <c r="J56" s="131"/>
      <c r="K56" s="131"/>
      <c r="M56" s="131"/>
      <c r="N56" s="131"/>
      <c r="O56" s="131"/>
    </row>
    <row r="57" spans="5:15" s="136" customFormat="1">
      <c r="E57" s="131"/>
      <c r="F57" s="131"/>
      <c r="G57" s="131"/>
      <c r="H57" s="131"/>
      <c r="I57" s="131"/>
      <c r="J57" s="131"/>
      <c r="K57" s="131"/>
      <c r="M57" s="131"/>
      <c r="N57" s="131"/>
      <c r="O57" s="131"/>
    </row>
  </sheetData>
  <mergeCells count="2">
    <mergeCell ref="B1:O1"/>
    <mergeCell ref="B2:O2"/>
  </mergeCells>
  <pageMargins left="0.75" right="0.75" top="1" bottom="1" header="0.5" footer="0.5"/>
  <pageSetup scale="59" orientation="portrait" r:id="rId1"/>
  <headerFooter alignWithMargins="0"/>
  <legacyDrawing r:id="rId2"/>
</worksheet>
</file>

<file path=xl/worksheets/sheet56.xml><?xml version="1.0" encoding="utf-8"?>
<worksheet xmlns="http://schemas.openxmlformats.org/spreadsheetml/2006/main" xmlns:r="http://schemas.openxmlformats.org/officeDocument/2006/relationships">
  <sheetPr codeName="Sheet93">
    <pageSetUpPr fitToPage="1"/>
  </sheetPr>
  <dimension ref="A1:T244"/>
  <sheetViews>
    <sheetView zoomScale="70" zoomScaleNormal="70" workbookViewId="0">
      <selection sqref="A1:P1"/>
    </sheetView>
  </sheetViews>
  <sheetFormatPr defaultRowHeight="12.75"/>
  <cols>
    <col min="2" max="2" width="39.140625" bestFit="1" customWidth="1"/>
    <col min="3" max="3" width="17.7109375" customWidth="1"/>
    <col min="4" max="4" width="1.7109375" customWidth="1"/>
    <col min="5" max="5" width="17.7109375" customWidth="1"/>
    <col min="6" max="6" width="1.7109375" customWidth="1"/>
    <col min="7" max="7" width="17.7109375" customWidth="1"/>
    <col min="8" max="8" width="1.7109375" customWidth="1"/>
    <col min="9" max="9" width="17.7109375" customWidth="1"/>
    <col min="10" max="10" width="1.7109375" customWidth="1"/>
    <col min="11" max="11" width="17.7109375" customWidth="1"/>
    <col min="12" max="12" width="1.7109375" customWidth="1"/>
    <col min="13" max="13" width="17.7109375" customWidth="1"/>
    <col min="14" max="14" width="1.7109375" customWidth="1"/>
    <col min="15" max="15" width="17.7109375" customWidth="1"/>
    <col min="16" max="16" width="1.7109375" customWidth="1"/>
    <col min="17" max="17" width="18.28515625" bestFit="1" customWidth="1"/>
    <col min="18" max="18" width="1.7109375" customWidth="1"/>
    <col min="19" max="19" width="17.7109375" bestFit="1" customWidth="1"/>
    <col min="20" max="20" width="2.85546875" customWidth="1"/>
    <col min="21" max="21" width="16.7109375" customWidth="1"/>
  </cols>
  <sheetData>
    <row r="1" spans="1:20">
      <c r="A1" s="356" t="s">
        <v>134</v>
      </c>
      <c r="B1" s="356"/>
      <c r="C1" s="356"/>
      <c r="D1" s="356"/>
      <c r="E1" s="356"/>
      <c r="F1" s="356"/>
      <c r="G1" s="356"/>
      <c r="H1" s="356"/>
      <c r="I1" s="356"/>
      <c r="J1" s="356"/>
      <c r="K1" s="356"/>
      <c r="L1" s="356"/>
      <c r="M1" s="356"/>
      <c r="N1" s="356"/>
      <c r="O1" s="356"/>
      <c r="P1" s="356"/>
      <c r="Q1" s="356"/>
      <c r="R1" s="356"/>
      <c r="S1" s="356"/>
    </row>
    <row r="2" spans="1:20">
      <c r="A2" s="356" t="s">
        <v>1182</v>
      </c>
      <c r="B2" s="356"/>
      <c r="C2" s="356"/>
      <c r="D2" s="356"/>
      <c r="E2" s="356"/>
      <c r="F2" s="356"/>
      <c r="G2" s="356"/>
      <c r="H2" s="356"/>
      <c r="I2" s="356"/>
      <c r="J2" s="356"/>
      <c r="K2" s="356"/>
      <c r="L2" s="356"/>
      <c r="M2" s="356"/>
      <c r="N2" s="356"/>
      <c r="O2" s="356"/>
      <c r="P2" s="356"/>
      <c r="Q2" s="356"/>
      <c r="R2" s="356"/>
      <c r="S2" s="356"/>
    </row>
    <row r="3" spans="1:20">
      <c r="A3" s="357" t="str">
        <f>'Summary - Cost - PG 1 (Tot)'!A3:N3</f>
        <v>MARCH 2012</v>
      </c>
      <c r="B3" s="357"/>
      <c r="C3" s="357"/>
      <c r="D3" s="357"/>
      <c r="E3" s="357"/>
      <c r="F3" s="357"/>
      <c r="G3" s="357"/>
      <c r="H3" s="357"/>
      <c r="I3" s="357"/>
      <c r="J3" s="357"/>
      <c r="K3" s="357"/>
      <c r="L3" s="357"/>
      <c r="M3" s="357"/>
      <c r="N3" s="357"/>
      <c r="O3" s="357"/>
      <c r="P3" s="357"/>
      <c r="Q3" s="357"/>
      <c r="R3" s="357"/>
      <c r="S3" s="357"/>
    </row>
    <row r="4" spans="1:20">
      <c r="A4" s="190"/>
      <c r="B4" s="190"/>
      <c r="C4" s="190"/>
      <c r="D4" s="190"/>
      <c r="E4" s="190"/>
      <c r="F4" s="190"/>
      <c r="G4" s="190"/>
      <c r="H4" s="190"/>
      <c r="I4" s="190"/>
      <c r="J4" s="190"/>
      <c r="K4" s="190"/>
      <c r="L4" s="190"/>
      <c r="M4" s="190"/>
      <c r="N4" s="190"/>
      <c r="O4" s="190"/>
      <c r="P4" s="190"/>
      <c r="Q4" s="190"/>
      <c r="R4" s="190"/>
      <c r="S4" s="190"/>
    </row>
    <row r="5" spans="1:20">
      <c r="A5" s="190"/>
      <c r="B5" s="190"/>
      <c r="C5" s="190"/>
      <c r="D5" s="190"/>
      <c r="E5" s="190"/>
      <c r="F5" s="190"/>
      <c r="G5" s="190"/>
      <c r="H5" s="190"/>
      <c r="I5" s="190"/>
      <c r="J5" s="190"/>
      <c r="K5" s="190"/>
      <c r="L5" s="190"/>
      <c r="M5" s="190"/>
      <c r="N5" s="190"/>
      <c r="O5" s="190"/>
      <c r="P5" s="190"/>
      <c r="Q5" s="190"/>
      <c r="R5" s="190"/>
      <c r="S5" s="190"/>
    </row>
    <row r="6" spans="1:20">
      <c r="A6" s="190"/>
      <c r="B6" s="190"/>
      <c r="C6" s="41"/>
      <c r="D6" s="190"/>
      <c r="E6" s="41"/>
      <c r="F6" s="190"/>
      <c r="G6" s="41" t="s">
        <v>146</v>
      </c>
      <c r="H6" s="190"/>
      <c r="I6" s="41" t="s">
        <v>146</v>
      </c>
      <c r="J6" s="190"/>
      <c r="K6" s="41" t="s">
        <v>146</v>
      </c>
      <c r="L6" s="190"/>
      <c r="M6" s="41" t="s">
        <v>146</v>
      </c>
      <c r="N6" s="190"/>
      <c r="O6" s="41" t="s">
        <v>146</v>
      </c>
      <c r="P6" s="190"/>
      <c r="Q6" s="41"/>
      <c r="R6" s="190"/>
      <c r="S6" s="41"/>
    </row>
    <row r="7" spans="1:20">
      <c r="C7" s="41" t="s">
        <v>146</v>
      </c>
      <c r="D7" s="29"/>
      <c r="E7" s="41" t="s">
        <v>146</v>
      </c>
      <c r="F7" s="29"/>
      <c r="G7" s="41" t="s">
        <v>30</v>
      </c>
      <c r="H7" s="29"/>
      <c r="I7" s="41" t="s">
        <v>31</v>
      </c>
      <c r="J7" s="29"/>
      <c r="K7" s="41" t="s">
        <v>32</v>
      </c>
      <c r="L7" s="29"/>
      <c r="M7" s="41" t="s">
        <v>33</v>
      </c>
      <c r="N7" s="29"/>
      <c r="O7" s="41" t="s">
        <v>34</v>
      </c>
      <c r="P7" s="29"/>
      <c r="Q7" s="41"/>
      <c r="R7" s="29"/>
      <c r="S7" s="41"/>
    </row>
    <row r="8" spans="1:20">
      <c r="A8" s="3"/>
      <c r="C8" s="42" t="s">
        <v>954</v>
      </c>
      <c r="D8" s="29"/>
      <c r="E8" s="42" t="s">
        <v>152</v>
      </c>
      <c r="F8" s="29"/>
      <c r="G8" s="42" t="s">
        <v>149</v>
      </c>
      <c r="H8" s="29"/>
      <c r="I8" s="42" t="s">
        <v>149</v>
      </c>
      <c r="J8" s="29"/>
      <c r="K8" s="42" t="s">
        <v>150</v>
      </c>
      <c r="L8" s="29"/>
      <c r="M8" s="42" t="s">
        <v>151</v>
      </c>
      <c r="N8" s="29"/>
      <c r="O8" s="42" t="s">
        <v>153</v>
      </c>
      <c r="P8" s="29"/>
      <c r="Q8" s="42" t="s">
        <v>154</v>
      </c>
      <c r="R8" s="29"/>
      <c r="S8" s="42" t="s">
        <v>956</v>
      </c>
    </row>
    <row r="9" spans="1:20">
      <c r="A9" s="3"/>
      <c r="C9" s="29"/>
      <c r="D9" s="29"/>
      <c r="E9" s="29"/>
      <c r="F9" s="29"/>
      <c r="G9" s="29"/>
      <c r="H9" s="29"/>
      <c r="I9" s="29"/>
      <c r="J9" s="29"/>
      <c r="K9" s="29"/>
      <c r="L9" s="29"/>
      <c r="M9" s="29"/>
      <c r="N9" s="29"/>
      <c r="O9" s="29"/>
      <c r="P9" s="29"/>
      <c r="Q9" s="29"/>
      <c r="R9" s="29"/>
      <c r="S9" s="29"/>
    </row>
    <row r="10" spans="1:20">
      <c r="A10" s="3" t="s">
        <v>449</v>
      </c>
      <c r="C10" s="29"/>
      <c r="D10" s="29"/>
      <c r="E10" s="29"/>
      <c r="F10" s="29"/>
      <c r="G10" s="29"/>
      <c r="H10" s="29"/>
      <c r="I10" s="29"/>
      <c r="J10" s="29"/>
      <c r="K10" s="29"/>
      <c r="L10" s="29"/>
      <c r="M10" s="29"/>
      <c r="N10" s="29"/>
      <c r="O10" s="29"/>
      <c r="P10" s="29"/>
      <c r="Q10" s="29"/>
      <c r="R10" s="29"/>
      <c r="S10" s="29"/>
    </row>
    <row r="11" spans="1:20">
      <c r="B11" t="s">
        <v>455</v>
      </c>
      <c r="C11" s="33">
        <f>'Summary - Reserve - PG 2 (Tot)'!E10+'Summary - Reserve - PG 2 (Tot)'!E35+'Summary - Reserve - PG 2 (Tot)'!E51</f>
        <v>-3103890.72</v>
      </c>
      <c r="D11" s="33"/>
      <c r="E11" s="33">
        <f>+'Recon Depr Exp to IS P4 (Fin)'!E10+'Recon Depr Exp to IS P4 (PA)'!E11</f>
        <v>0</v>
      </c>
      <c r="F11" s="33"/>
      <c r="G11" s="33">
        <f>+'Recon Depr Exp to IS P4 (Fin)'!G10+'Recon Depr Exp to IS P4 (PA)'!G11</f>
        <v>0</v>
      </c>
      <c r="H11" s="33"/>
      <c r="I11" s="33">
        <f>+'Recon Depr Exp to IS P4 (Fin)'!I10+'Recon Depr Exp to IS P4 (PA)'!I11</f>
        <v>0</v>
      </c>
      <c r="J11" s="33"/>
      <c r="K11" s="33">
        <f>+'Recon Depr Exp to IS P4 (Fin)'!K10+'Recon Depr Exp to IS P4 (PA)'!K11</f>
        <v>0</v>
      </c>
      <c r="L11" s="33"/>
      <c r="M11" s="33">
        <f>+'Recon Depr Exp to IS P4 (Fin)'!M10+'Recon Depr Exp to IS P4 (PA)'!M11</f>
        <v>9169.369999999999</v>
      </c>
      <c r="N11" s="33"/>
      <c r="O11" s="33">
        <f>+'Recon Depr Exp to IS P4 (Fin)'!O10+'Recon Depr Exp to IS P4 (PA)'!O11</f>
        <v>0</v>
      </c>
      <c r="P11" s="33"/>
      <c r="Q11" s="33">
        <f>+'Recon Depr Exp to IS P4 (Fin)'!Q10+'Recon Depr Exp to IS P4 (PA)'!Q11</f>
        <v>0</v>
      </c>
      <c r="R11" s="33"/>
      <c r="S11" s="33">
        <f t="shared" ref="S11:S35" si="0">C11-E11+G11+I11+K11+M11+O11+Q11</f>
        <v>-3094721.35</v>
      </c>
      <c r="T11" s="33"/>
    </row>
    <row r="12" spans="1:20">
      <c r="B12" t="s">
        <v>851</v>
      </c>
      <c r="C12" s="33">
        <f>'Summary - Reserve - PG 2 (Tot)'!E11</f>
        <v>-515.09999999999991</v>
      </c>
      <c r="D12" s="33"/>
      <c r="E12" s="33">
        <f>+'Recon Depr Exp to IS P4 (Fin)'!E11+'Recon Depr Exp to IS P4 (PA)'!E12</f>
        <v>0</v>
      </c>
      <c r="F12" s="33"/>
      <c r="G12" s="33">
        <f>+'Recon Depr Exp to IS P4 (Fin)'!G11+'Recon Depr Exp to IS P4 (PA)'!G12</f>
        <v>0</v>
      </c>
      <c r="H12" s="33"/>
      <c r="I12" s="33">
        <f>+'Recon Depr Exp to IS P4 (Fin)'!I11+'Recon Depr Exp to IS P4 (PA)'!I12</f>
        <v>0</v>
      </c>
      <c r="J12" s="33"/>
      <c r="K12" s="33">
        <f>+'Recon Depr Exp to IS P4 (Fin)'!K11+'Recon Depr Exp to IS P4 (PA)'!K12</f>
        <v>0</v>
      </c>
      <c r="L12" s="33"/>
      <c r="M12" s="33">
        <f>+'Recon Depr Exp to IS P4 (Fin)'!M11+'Recon Depr Exp to IS P4 (PA)'!M12</f>
        <v>0</v>
      </c>
      <c r="N12" s="33"/>
      <c r="O12" s="33">
        <f>+'Recon Depr Exp to IS P4 (Fin)'!O11+'Recon Depr Exp to IS P4 (PA)'!O12</f>
        <v>0</v>
      </c>
      <c r="P12" s="33"/>
      <c r="Q12" s="33">
        <f>+'Recon Depr Exp to IS P4 (Fin)'!Q11+'Recon Depr Exp to IS P4 (PA)'!Q12</f>
        <v>0</v>
      </c>
      <c r="R12" s="33"/>
      <c r="S12" s="33">
        <f t="shared" si="0"/>
        <v>-515.09999999999991</v>
      </c>
      <c r="T12" s="33"/>
    </row>
    <row r="13" spans="1:20">
      <c r="B13" t="s">
        <v>48</v>
      </c>
      <c r="C13" s="34">
        <f>SUM(C11:C12)</f>
        <v>-3104405.8200000003</v>
      </c>
      <c r="D13" s="33"/>
      <c r="E13" s="34">
        <f>SUM(E11:E12)</f>
        <v>0</v>
      </c>
      <c r="F13" s="33"/>
      <c r="G13" s="34">
        <f>SUM(G11:G12)</f>
        <v>0</v>
      </c>
      <c r="H13" s="33"/>
      <c r="I13" s="34">
        <f>SUM(I11:I12)</f>
        <v>0</v>
      </c>
      <c r="J13" s="33"/>
      <c r="K13" s="34">
        <f>SUM(K11:K12)</f>
        <v>0</v>
      </c>
      <c r="L13" s="33"/>
      <c r="M13" s="34">
        <f>SUM(M11:M12)</f>
        <v>9169.369999999999</v>
      </c>
      <c r="N13" s="33"/>
      <c r="O13" s="34">
        <f>SUM(O11:O12)</f>
        <v>0</v>
      </c>
      <c r="P13" s="33"/>
      <c r="Q13" s="34">
        <f>SUM(Q11:Q12)</f>
        <v>0</v>
      </c>
      <c r="R13" s="33"/>
      <c r="S13" s="34">
        <f>SUM(S11:S12)</f>
        <v>-3095236.45</v>
      </c>
      <c r="T13" s="33"/>
    </row>
    <row r="14" spans="1:20">
      <c r="C14" s="33"/>
      <c r="D14" s="33"/>
      <c r="E14" s="33"/>
      <c r="F14" s="33"/>
      <c r="G14" s="33"/>
      <c r="H14" s="33"/>
      <c r="I14" s="33"/>
      <c r="J14" s="33"/>
      <c r="K14" s="33"/>
      <c r="L14" s="33"/>
      <c r="M14" s="33"/>
      <c r="N14" s="33"/>
      <c r="O14" s="33"/>
      <c r="P14" s="33"/>
      <c r="Q14" s="33"/>
      <c r="R14" s="33"/>
      <c r="S14" s="33"/>
      <c r="T14" s="33"/>
    </row>
    <row r="15" spans="1:20">
      <c r="B15" t="s">
        <v>113</v>
      </c>
      <c r="C15" s="33">
        <f>'Summary - Reserve - PG 2 (Tot)'!E12+'Summary - Reserve - PG 2 (Tot)'!E36+'Summary - Reserve - PG 2 (Tot)'!E52</f>
        <v>-5982410.3700000001</v>
      </c>
      <c r="D15" s="33"/>
      <c r="E15" s="33">
        <f>+'Recon Depr Exp to IS P4 (Fin)'!E14+'Recon Depr Exp to IS P4 (PA)'!E15</f>
        <v>0</v>
      </c>
      <c r="F15" s="33"/>
      <c r="G15" s="33">
        <f>+'Recon Depr Exp to IS P4 (Fin)'!G14+'Recon Depr Exp to IS P4 (PA)'!G15</f>
        <v>0</v>
      </c>
      <c r="H15" s="33"/>
      <c r="I15" s="33">
        <f>+'Recon Depr Exp to IS P4 (Fin)'!I14+'Recon Depr Exp to IS P4 (PA)'!I15</f>
        <v>0</v>
      </c>
      <c r="J15" s="33"/>
      <c r="K15" s="33">
        <f>+'Recon Depr Exp to IS P4 (Fin)'!K14+'Recon Depr Exp to IS P4 (PA)'!K15</f>
        <v>0</v>
      </c>
      <c r="L15" s="33"/>
      <c r="M15" s="33">
        <f>+'Recon Depr Exp to IS P4 (Fin)'!M14+'Recon Depr Exp to IS P4 (PA)'!M15</f>
        <v>0</v>
      </c>
      <c r="N15" s="33"/>
      <c r="O15" s="33">
        <f>+'Recon Depr Exp to IS P4 (Fin)'!O14+'Recon Depr Exp to IS P4 (PA)'!O15</f>
        <v>0</v>
      </c>
      <c r="P15" s="33"/>
      <c r="Q15" s="33">
        <f>+'Recon Depr Exp to IS P4 (Fin)'!Q14+'Recon Depr Exp to IS P4 (PA)'!Q15</f>
        <v>0</v>
      </c>
      <c r="R15" s="33"/>
      <c r="S15" s="33">
        <f t="shared" si="0"/>
        <v>-5982410.3700000001</v>
      </c>
      <c r="T15" s="33"/>
    </row>
    <row r="16" spans="1:20">
      <c r="B16" t="s">
        <v>852</v>
      </c>
      <c r="C16" s="33">
        <f>'Summary - Reserve - PG 2 (Tot)'!E13</f>
        <v>-2849.7799999999997</v>
      </c>
      <c r="D16" s="33"/>
      <c r="E16" s="33">
        <f>+'Recon Depr Exp to IS P4 (Fin)'!E15+'Recon Depr Exp to IS P4 (PA)'!E16</f>
        <v>0</v>
      </c>
      <c r="F16" s="33"/>
      <c r="G16" s="33">
        <f>+'Recon Depr Exp to IS P4 (Fin)'!G15+'Recon Depr Exp to IS P4 (PA)'!G16</f>
        <v>0</v>
      </c>
      <c r="H16" s="33"/>
      <c r="I16" s="33">
        <f>+'Recon Depr Exp to IS P4 (Fin)'!I15+'Recon Depr Exp to IS P4 (PA)'!I16</f>
        <v>0</v>
      </c>
      <c r="J16" s="33"/>
      <c r="K16" s="33">
        <f>+'Recon Depr Exp to IS P4 (Fin)'!K15+'Recon Depr Exp to IS P4 (PA)'!K16</f>
        <v>0</v>
      </c>
      <c r="L16" s="33"/>
      <c r="M16" s="33">
        <f>+'Recon Depr Exp to IS P4 (Fin)'!M15+'Recon Depr Exp to IS P4 (PA)'!M16</f>
        <v>0</v>
      </c>
      <c r="N16" s="33"/>
      <c r="O16" s="33">
        <f>+'Recon Depr Exp to IS P4 (Fin)'!O15+'Recon Depr Exp to IS P4 (PA)'!O16</f>
        <v>0</v>
      </c>
      <c r="P16" s="33"/>
      <c r="Q16" s="33">
        <f>+'Recon Depr Exp to IS P4 (Fin)'!Q15+'Recon Depr Exp to IS P4 (PA)'!Q16</f>
        <v>0</v>
      </c>
      <c r="R16" s="33"/>
      <c r="S16" s="33">
        <f t="shared" si="0"/>
        <v>-2849.7799999999997</v>
      </c>
      <c r="T16" s="33"/>
    </row>
    <row r="17" spans="2:20">
      <c r="B17" t="s">
        <v>114</v>
      </c>
      <c r="C17" s="33">
        <f>'Summary - Reserve - PG 2 (Tot)'!E14+'Summary - Reserve - PG 2 (Tot)'!E37+'Summary - Reserve - PG 2 (Tot)'!E53</f>
        <v>-137887.97</v>
      </c>
      <c r="D17" s="33"/>
      <c r="E17" s="33">
        <f>+'Recon Depr Exp to IS P4 (Fin)'!E16+'Recon Depr Exp to IS P4 (PA)'!E17</f>
        <v>0</v>
      </c>
      <c r="F17" s="33"/>
      <c r="G17" s="33">
        <f>+'Recon Depr Exp to IS P4 (Fin)'!G16+'Recon Depr Exp to IS P4 (PA)'!G17</f>
        <v>0</v>
      </c>
      <c r="H17" s="33"/>
      <c r="I17" s="33">
        <f>+'Recon Depr Exp to IS P4 (Fin)'!I16+'Recon Depr Exp to IS P4 (PA)'!I17</f>
        <v>0</v>
      </c>
      <c r="J17" s="33"/>
      <c r="K17" s="33">
        <f>+'Recon Depr Exp to IS P4 (Fin)'!K16+'Recon Depr Exp to IS P4 (PA)'!K17</f>
        <v>0</v>
      </c>
      <c r="L17" s="33"/>
      <c r="M17" s="33">
        <f>+'Recon Depr Exp to IS P4 (Fin)'!M16+'Recon Depr Exp to IS P4 (PA)'!M17</f>
        <v>80055.760000000009</v>
      </c>
      <c r="N17" s="33"/>
      <c r="O17" s="33">
        <f>+'Recon Depr Exp to IS P4 (Fin)'!O16+'Recon Depr Exp to IS P4 (PA)'!O17</f>
        <v>0</v>
      </c>
      <c r="P17" s="33"/>
      <c r="Q17" s="33">
        <f>+'Recon Depr Exp to IS P4 (Fin)'!Q16+'Recon Depr Exp to IS P4 (PA)'!Q17</f>
        <v>0</v>
      </c>
      <c r="R17" s="33"/>
      <c r="S17" s="33">
        <f t="shared" si="0"/>
        <v>-57832.209999999992</v>
      </c>
      <c r="T17" s="33"/>
    </row>
    <row r="18" spans="2:20">
      <c r="B18" t="s">
        <v>115</v>
      </c>
      <c r="C18" s="33">
        <f>'Summary - Reserve - PG 2 (Tot)'!E15+'Summary - Reserve - PG 2 (Tot)'!E38+'Summary - Reserve - PG 2 (Tot)'!E54</f>
        <v>-152207.15</v>
      </c>
      <c r="D18" s="33"/>
      <c r="E18" s="33">
        <f>+'Recon Depr Exp to IS P4 (Fin)'!E17+'Recon Depr Exp to IS P4 (PA)'!E18</f>
        <v>0</v>
      </c>
      <c r="F18" s="33"/>
      <c r="G18" s="33">
        <f>+'Recon Depr Exp to IS P4 (Fin)'!G17+'Recon Depr Exp to IS P4 (PA)'!G18</f>
        <v>0</v>
      </c>
      <c r="H18" s="33"/>
      <c r="I18" s="33">
        <f>+'Recon Depr Exp to IS P4 (Fin)'!I17+'Recon Depr Exp to IS P4 (PA)'!I18</f>
        <v>0</v>
      </c>
      <c r="J18" s="33"/>
      <c r="K18" s="33">
        <f>+'Recon Depr Exp to IS P4 (Fin)'!K17+'Recon Depr Exp to IS P4 (PA)'!K18</f>
        <v>0</v>
      </c>
      <c r="L18" s="33"/>
      <c r="M18" s="33">
        <f>+'Recon Depr Exp to IS P4 (Fin)'!M17+'Recon Depr Exp to IS P4 (PA)'!M18</f>
        <v>0</v>
      </c>
      <c r="N18" s="33"/>
      <c r="O18" s="33">
        <f>+'Recon Depr Exp to IS P4 (Fin)'!O17+'Recon Depr Exp to IS P4 (PA)'!O18</f>
        <v>0</v>
      </c>
      <c r="P18" s="33"/>
      <c r="Q18" s="33">
        <f>+'Recon Depr Exp to IS P4 (Fin)'!Q17+'Recon Depr Exp to IS P4 (PA)'!Q18</f>
        <v>0</v>
      </c>
      <c r="R18" s="33"/>
      <c r="S18" s="33">
        <f t="shared" si="0"/>
        <v>-152207.15</v>
      </c>
      <c r="T18" s="33"/>
    </row>
    <row r="19" spans="2:20">
      <c r="B19" t="s">
        <v>853</v>
      </c>
      <c r="C19" s="33">
        <f>'Summary - Reserve - PG 2 (Tot)'!E16</f>
        <v>-437.13</v>
      </c>
      <c r="D19" s="33"/>
      <c r="E19" s="33">
        <f>+'Recon Depr Exp to IS P4 (Fin)'!E18+'Recon Depr Exp to IS P4 (PA)'!E19</f>
        <v>0</v>
      </c>
      <c r="F19" s="33"/>
      <c r="G19" s="33">
        <f>+'Recon Depr Exp to IS P4 (Fin)'!G18+'Recon Depr Exp to IS P4 (PA)'!G19</f>
        <v>0</v>
      </c>
      <c r="H19" s="33"/>
      <c r="I19" s="33">
        <f>+'Recon Depr Exp to IS P4 (Fin)'!I18+'Recon Depr Exp to IS P4 (PA)'!I19</f>
        <v>0</v>
      </c>
      <c r="J19" s="33"/>
      <c r="K19" s="33">
        <f>+'Recon Depr Exp to IS P4 (Fin)'!K18+'Recon Depr Exp to IS P4 (PA)'!K19</f>
        <v>0</v>
      </c>
      <c r="L19" s="33"/>
      <c r="M19" s="33">
        <f>+'Recon Depr Exp to IS P4 (Fin)'!M18+'Recon Depr Exp to IS P4 (PA)'!M19</f>
        <v>0</v>
      </c>
      <c r="N19" s="33"/>
      <c r="O19" s="33">
        <f>+'Recon Depr Exp to IS P4 (Fin)'!O18+'Recon Depr Exp to IS P4 (PA)'!O19</f>
        <v>0</v>
      </c>
      <c r="P19" s="33"/>
      <c r="Q19" s="33">
        <f>+'Recon Depr Exp to IS P4 (Fin)'!Q18+'Recon Depr Exp to IS P4 (PA)'!Q19</f>
        <v>0</v>
      </c>
      <c r="R19" s="33"/>
      <c r="S19" s="33">
        <f t="shared" si="0"/>
        <v>-437.13</v>
      </c>
      <c r="T19" s="33"/>
    </row>
    <row r="20" spans="2:20">
      <c r="B20" t="s">
        <v>117</v>
      </c>
      <c r="C20" s="33">
        <f>'Summary - Reserve - PG 2 (Tot)'!E17+'Summary - Reserve - PG 2 (Tot)'!E39+'Summary - Reserve - PG 2 (Tot)'!E55</f>
        <v>-2185164.1599999997</v>
      </c>
      <c r="D20" s="33"/>
      <c r="E20" s="33">
        <f>+'Recon Depr Exp to IS P4 (Fin)'!E19+'Recon Depr Exp to IS P4 (PA)'!E20</f>
        <v>0</v>
      </c>
      <c r="F20" s="33"/>
      <c r="G20" s="33">
        <f>+'Recon Depr Exp to IS P4 (Fin)'!G19+'Recon Depr Exp to IS P4 (PA)'!G20</f>
        <v>0</v>
      </c>
      <c r="H20" s="33"/>
      <c r="I20" s="33">
        <f>+'Recon Depr Exp to IS P4 (Fin)'!I19+'Recon Depr Exp to IS P4 (PA)'!I20</f>
        <v>0</v>
      </c>
      <c r="J20" s="33"/>
      <c r="K20" s="33">
        <f>+'Recon Depr Exp to IS P4 (Fin)'!K19+'Recon Depr Exp to IS P4 (PA)'!K20</f>
        <v>15937.170000000002</v>
      </c>
      <c r="L20" s="33"/>
      <c r="M20" s="33">
        <f>+'Recon Depr Exp to IS P4 (Fin)'!M19+'Recon Depr Exp to IS P4 (PA)'!M20</f>
        <v>0</v>
      </c>
      <c r="N20" s="33"/>
      <c r="O20" s="33">
        <f>+'Recon Depr Exp to IS P4 (Fin)'!O19+'Recon Depr Exp to IS P4 (PA)'!O20</f>
        <v>0</v>
      </c>
      <c r="P20" s="33"/>
      <c r="Q20" s="33">
        <f>+'Recon Depr Exp to IS P4 (Fin)'!Q19+'Recon Depr Exp to IS P4 (PA)'!Q20</f>
        <v>0</v>
      </c>
      <c r="R20" s="33"/>
      <c r="S20" s="33">
        <f t="shared" si="0"/>
        <v>-2169226.9899999998</v>
      </c>
      <c r="T20" s="33"/>
    </row>
    <row r="21" spans="2:20">
      <c r="B21" t="s">
        <v>953</v>
      </c>
      <c r="C21" s="33">
        <f>'Summary - Reserve - PG 2 (Tot)'!E18</f>
        <v>-289.68</v>
      </c>
      <c r="D21" s="33"/>
      <c r="E21" s="33">
        <f>+'Recon Depr Exp to IS P4 (Fin)'!E20+'Recon Depr Exp to IS P4 (PA)'!E21</f>
        <v>0</v>
      </c>
      <c r="F21" s="33"/>
      <c r="G21" s="33">
        <f>+'Recon Depr Exp to IS P4 (Fin)'!G20+'Recon Depr Exp to IS P4 (PA)'!G21</f>
        <v>0</v>
      </c>
      <c r="H21" s="33"/>
      <c r="I21" s="33">
        <f>+'Recon Depr Exp to IS P4 (Fin)'!I20+'Recon Depr Exp to IS P4 (PA)'!I21</f>
        <v>0</v>
      </c>
      <c r="J21" s="33"/>
      <c r="K21" s="33">
        <f>+'Recon Depr Exp to IS P4 (Fin)'!K20+'Recon Depr Exp to IS P4 (PA)'!K21</f>
        <v>0</v>
      </c>
      <c r="L21" s="33"/>
      <c r="M21" s="33">
        <f>+'Recon Depr Exp to IS P4 (Fin)'!M20+'Recon Depr Exp to IS P4 (PA)'!M21</f>
        <v>0</v>
      </c>
      <c r="N21" s="33"/>
      <c r="O21" s="33">
        <f>+'Recon Depr Exp to IS P4 (Fin)'!O20+'Recon Depr Exp to IS P4 (PA)'!O21</f>
        <v>0</v>
      </c>
      <c r="P21" s="33"/>
      <c r="Q21" s="33">
        <f>+'Recon Depr Exp to IS P4 (Fin)'!Q20+'Recon Depr Exp to IS P4 (PA)'!Q21</f>
        <v>0</v>
      </c>
      <c r="R21" s="33"/>
      <c r="S21" s="33">
        <f t="shared" si="0"/>
        <v>-289.68</v>
      </c>
      <c r="T21" s="33"/>
    </row>
    <row r="22" spans="2:20">
      <c r="B22" t="s">
        <v>118</v>
      </c>
      <c r="C22" s="33">
        <f>'Summary - Reserve - PG 2 (Tot)'!E19+'Summary - Reserve - PG 2 (Tot)'!E40+'Summary - Reserve - PG 2 (Tot)'!E56</f>
        <v>-18151737.710000001</v>
      </c>
      <c r="D22" s="33"/>
      <c r="E22" s="33">
        <f>+'Recon Depr Exp to IS P4 (Fin)'!E21+'Recon Depr Exp to IS P4 (PA)'!E22</f>
        <v>15742.050000000001</v>
      </c>
      <c r="F22" s="33"/>
      <c r="G22" s="33">
        <f>+'Recon Depr Exp to IS P4 (Fin)'!G21+'Recon Depr Exp to IS P4 (PA)'!G22</f>
        <v>0</v>
      </c>
      <c r="H22" s="33"/>
      <c r="I22" s="33">
        <f>+'Recon Depr Exp to IS P4 (Fin)'!I21+'Recon Depr Exp to IS P4 (PA)'!I22</f>
        <v>39781.56</v>
      </c>
      <c r="J22" s="33"/>
      <c r="K22" s="33">
        <f>+'Recon Depr Exp to IS P4 (Fin)'!K21+'Recon Depr Exp to IS P4 (PA)'!K22</f>
        <v>0</v>
      </c>
      <c r="L22" s="33"/>
      <c r="M22" s="33">
        <f>+'Recon Depr Exp to IS P4 (Fin)'!M21+'Recon Depr Exp to IS P4 (PA)'!M22</f>
        <v>0</v>
      </c>
      <c r="N22" s="33"/>
      <c r="O22" s="33">
        <f>+'Recon Depr Exp to IS P4 (Fin)'!O21+'Recon Depr Exp to IS P4 (PA)'!O22</f>
        <v>0</v>
      </c>
      <c r="P22" s="33"/>
      <c r="Q22" s="33">
        <f>+'Recon Depr Exp to IS P4 (Fin)'!Q21+'Recon Depr Exp to IS P4 (PA)'!Q22</f>
        <v>0</v>
      </c>
      <c r="R22" s="33"/>
      <c r="S22" s="33">
        <f>C22-E22+G22+I22+K22+M22+O22+Q22</f>
        <v>-18127698.200000003</v>
      </c>
      <c r="T22" s="33"/>
    </row>
    <row r="23" spans="2:20">
      <c r="B23" t="s">
        <v>949</v>
      </c>
      <c r="C23" s="33">
        <f>'Summary - Reserve - PG 2 (Tot)'!E20</f>
        <v>-448236.04999999993</v>
      </c>
      <c r="D23" s="33"/>
      <c r="E23" s="33">
        <f>+'Recon Depr Exp to IS P4 (Fin)'!E22+'Recon Depr Exp to IS P4 (PA)'!E23</f>
        <v>0</v>
      </c>
      <c r="F23" s="33"/>
      <c r="G23" s="33">
        <f>+'Recon Depr Exp to IS P4 (Fin)'!G22+'Recon Depr Exp to IS P4 (PA)'!G23</f>
        <v>0</v>
      </c>
      <c r="H23" s="33"/>
      <c r="I23" s="33">
        <f>+'Recon Depr Exp to IS P4 (Fin)'!I22+'Recon Depr Exp to IS P4 (PA)'!I23</f>
        <v>0</v>
      </c>
      <c r="J23" s="33"/>
      <c r="K23" s="33">
        <f>+'Recon Depr Exp to IS P4 (Fin)'!K22+'Recon Depr Exp to IS P4 (PA)'!K23</f>
        <v>0</v>
      </c>
      <c r="L23" s="33"/>
      <c r="M23" s="33">
        <f>+'Recon Depr Exp to IS P4 (Fin)'!M22+'Recon Depr Exp to IS P4 (PA)'!M23</f>
        <v>0</v>
      </c>
      <c r="N23" s="33"/>
      <c r="O23" s="33">
        <f>+'Recon Depr Exp to IS P4 (Fin)'!O22+'Recon Depr Exp to IS P4 (PA)'!O23</f>
        <v>0</v>
      </c>
      <c r="P23" s="33"/>
      <c r="Q23" s="33">
        <f>+'Recon Depr Exp to IS P4 (Fin)'!Q22+'Recon Depr Exp to IS P4 (PA)'!Q23</f>
        <v>0</v>
      </c>
      <c r="R23" s="33"/>
      <c r="S23" s="33">
        <f t="shared" si="0"/>
        <v>-448236.04999999993</v>
      </c>
      <c r="T23" s="33"/>
    </row>
    <row r="24" spans="2:20">
      <c r="B24" t="s">
        <v>119</v>
      </c>
      <c r="C24" s="33">
        <f>'Summary - Reserve - PG 2 (Tot)'!E21+'Summary - Reserve - PG 2 (Tot)'!E41+'Summary - Reserve - PG 2 (Tot)'!E57</f>
        <v>-1427801.2899999998</v>
      </c>
      <c r="D24" s="33"/>
      <c r="E24" s="33">
        <f>+'Recon Depr Exp to IS P4 (Fin)'!E23+'Recon Depr Exp to IS P4 (PA)'!E24</f>
        <v>0</v>
      </c>
      <c r="F24" s="33"/>
      <c r="G24" s="33">
        <f>+'Recon Depr Exp to IS P4 (Fin)'!G23+'Recon Depr Exp to IS P4 (PA)'!G24</f>
        <v>0</v>
      </c>
      <c r="H24" s="33"/>
      <c r="I24" s="33">
        <f>+'Recon Depr Exp to IS P4 (Fin)'!I23+'Recon Depr Exp to IS P4 (PA)'!I24</f>
        <v>0</v>
      </c>
      <c r="J24" s="33"/>
      <c r="K24" s="33">
        <f>+'Recon Depr Exp to IS P4 (Fin)'!K23+'Recon Depr Exp to IS P4 (PA)'!K24</f>
        <v>0</v>
      </c>
      <c r="L24" s="33"/>
      <c r="M24" s="33">
        <f>+'Recon Depr Exp to IS P4 (Fin)'!M23+'Recon Depr Exp to IS P4 (PA)'!M24</f>
        <v>0</v>
      </c>
      <c r="N24" s="33"/>
      <c r="O24" s="33">
        <f>+'Recon Depr Exp to IS P4 (Fin)'!O23+'Recon Depr Exp to IS P4 (PA)'!O24</f>
        <v>0</v>
      </c>
      <c r="P24" s="33"/>
      <c r="Q24" s="33">
        <f>+'Recon Depr Exp to IS P4 (Fin)'!Q23+'Recon Depr Exp to IS P4 (PA)'!Q24</f>
        <v>0</v>
      </c>
      <c r="R24" s="33"/>
      <c r="S24" s="33">
        <f t="shared" si="0"/>
        <v>-1427801.2899999998</v>
      </c>
      <c r="T24" s="33"/>
    </row>
    <row r="25" spans="2:20">
      <c r="B25" t="s">
        <v>950</v>
      </c>
      <c r="C25" s="33">
        <f>'Summary - Reserve - PG 2 (Tot)'!E22</f>
        <v>-2038.83</v>
      </c>
      <c r="D25" s="33"/>
      <c r="E25" s="33">
        <f>+'Recon Depr Exp to IS P4 (Fin)'!E24+'Recon Depr Exp to IS P4 (PA)'!E25</f>
        <v>0</v>
      </c>
      <c r="F25" s="33"/>
      <c r="G25" s="33">
        <f>+'Recon Depr Exp to IS P4 (Fin)'!G24+'Recon Depr Exp to IS P4 (PA)'!G25</f>
        <v>0</v>
      </c>
      <c r="H25" s="33"/>
      <c r="I25" s="33">
        <f>+'Recon Depr Exp to IS P4 (Fin)'!I24+'Recon Depr Exp to IS P4 (PA)'!I25</f>
        <v>0</v>
      </c>
      <c r="J25" s="33"/>
      <c r="K25" s="33">
        <f>+'Recon Depr Exp to IS P4 (Fin)'!K24+'Recon Depr Exp to IS P4 (PA)'!K25</f>
        <v>0</v>
      </c>
      <c r="L25" s="33"/>
      <c r="M25" s="33">
        <f>+'Recon Depr Exp to IS P4 (Fin)'!M24+'Recon Depr Exp to IS P4 (PA)'!M25</f>
        <v>0</v>
      </c>
      <c r="N25" s="33"/>
      <c r="O25" s="33">
        <f>+'Recon Depr Exp to IS P4 (Fin)'!O24+'Recon Depr Exp to IS P4 (PA)'!O25</f>
        <v>0</v>
      </c>
      <c r="P25" s="33"/>
      <c r="Q25" s="33">
        <f>+'Recon Depr Exp to IS P4 (Fin)'!Q24+'Recon Depr Exp to IS P4 (PA)'!Q25</f>
        <v>0</v>
      </c>
      <c r="R25" s="33"/>
      <c r="S25" s="33">
        <f t="shared" si="0"/>
        <v>-2038.83</v>
      </c>
      <c r="T25" s="33"/>
    </row>
    <row r="26" spans="2:20">
      <c r="B26" t="s">
        <v>49</v>
      </c>
      <c r="C26" s="34">
        <f>SUM(C15:C25)</f>
        <v>-28491060.120000001</v>
      </c>
      <c r="D26" s="33"/>
      <c r="E26" s="34">
        <f>SUM(E15:E25)</f>
        <v>15742.050000000001</v>
      </c>
      <c r="F26" s="33"/>
      <c r="G26" s="34">
        <f>SUM(G15:G25)</f>
        <v>0</v>
      </c>
      <c r="H26" s="33"/>
      <c r="I26" s="34">
        <f>SUM(I15:I25)</f>
        <v>39781.56</v>
      </c>
      <c r="J26" s="33"/>
      <c r="K26" s="34">
        <f>SUM(K15:K25)</f>
        <v>15937.170000000002</v>
      </c>
      <c r="L26" s="33"/>
      <c r="M26" s="34">
        <f>SUM(M15:M25)</f>
        <v>80055.760000000009</v>
      </c>
      <c r="N26" s="33"/>
      <c r="O26" s="34">
        <f>SUM(O15:O25)</f>
        <v>0</v>
      </c>
      <c r="P26" s="33"/>
      <c r="Q26" s="34">
        <f>SUM(Q15:Q25)</f>
        <v>0</v>
      </c>
      <c r="R26" s="33"/>
      <c r="S26" s="34">
        <f>SUM(S15:S25)</f>
        <v>-28371027.680000003</v>
      </c>
      <c r="T26" s="33"/>
    </row>
    <row r="27" spans="2:20">
      <c r="C27" s="33"/>
      <c r="D27" s="33"/>
      <c r="E27" s="33"/>
      <c r="F27" s="33"/>
      <c r="G27" s="33"/>
      <c r="H27" s="33"/>
      <c r="I27" s="33"/>
      <c r="J27" s="33"/>
      <c r="K27" s="33"/>
      <c r="L27" s="33"/>
      <c r="M27" s="33"/>
      <c r="N27" s="33"/>
      <c r="O27" s="33"/>
      <c r="P27" s="33"/>
      <c r="Q27" s="33"/>
      <c r="R27" s="33"/>
      <c r="S27" s="33"/>
      <c r="T27" s="33"/>
    </row>
    <row r="28" spans="2:20">
      <c r="B28" t="s">
        <v>121</v>
      </c>
      <c r="C28" s="33">
        <f>'Summary - Reserve - PG 2 (Tot)'!E23+'Summary - Reserve - PG 2 (Tot)'!E42+'Summary - Reserve - PG 2 (Tot)'!E58</f>
        <v>-3852937.95</v>
      </c>
      <c r="D28" s="33"/>
      <c r="E28" s="33">
        <f>+'Recon Depr Exp to IS P4 (Fin)'!E27+'Recon Depr Exp to IS P4 (PA)'!E28</f>
        <v>0</v>
      </c>
      <c r="F28" s="33"/>
      <c r="G28" s="33">
        <f>+'Recon Depr Exp to IS P4 (Fin)'!G27+'Recon Depr Exp to IS P4 (PA)'!G28</f>
        <v>0</v>
      </c>
      <c r="H28" s="33"/>
      <c r="I28" s="33">
        <f>+'Recon Depr Exp to IS P4 (Fin)'!I27+'Recon Depr Exp to IS P4 (PA)'!I28</f>
        <v>0</v>
      </c>
      <c r="J28" s="33"/>
      <c r="K28" s="33">
        <f>+'Recon Depr Exp to IS P4 (Fin)'!K27+'Recon Depr Exp to IS P4 (PA)'!K28</f>
        <v>0</v>
      </c>
      <c r="L28" s="33"/>
      <c r="M28" s="33">
        <f>+'Recon Depr Exp to IS P4 (Fin)'!M27+'Recon Depr Exp to IS P4 (PA)'!M28</f>
        <v>0</v>
      </c>
      <c r="N28" s="33"/>
      <c r="O28" s="33">
        <f>+'Recon Depr Exp to IS P4 (Fin)'!O27+'Recon Depr Exp to IS P4 (PA)'!O28</f>
        <v>0</v>
      </c>
      <c r="P28" s="33"/>
      <c r="Q28" s="33">
        <f>+'Recon Depr Exp to IS P4 (Fin)'!Q27+'Recon Depr Exp to IS P4 (PA)'!Q28</f>
        <v>0</v>
      </c>
      <c r="R28" s="33"/>
      <c r="S28" s="33">
        <f t="shared" si="0"/>
        <v>-3852937.95</v>
      </c>
      <c r="T28" s="33"/>
    </row>
    <row r="29" spans="2:20">
      <c r="B29" t="s">
        <v>951</v>
      </c>
      <c r="C29" s="33">
        <f>'Summary - Reserve - PG 2 (Tot)'!E24</f>
        <v>-74185.929999999993</v>
      </c>
      <c r="D29" s="33"/>
      <c r="E29" s="33">
        <f>+'Recon Depr Exp to IS P4 (Fin)'!E28+'Recon Depr Exp to IS P4 (PA)'!E29</f>
        <v>0</v>
      </c>
      <c r="F29" s="33"/>
      <c r="G29" s="33">
        <f>+'Recon Depr Exp to IS P4 (Fin)'!G28+'Recon Depr Exp to IS P4 (PA)'!G29</f>
        <v>0</v>
      </c>
      <c r="H29" s="33"/>
      <c r="I29" s="33">
        <f>+'Recon Depr Exp to IS P4 (Fin)'!I28+'Recon Depr Exp to IS P4 (PA)'!I29</f>
        <v>0</v>
      </c>
      <c r="J29" s="33"/>
      <c r="K29" s="33">
        <f>+'Recon Depr Exp to IS P4 (Fin)'!K28+'Recon Depr Exp to IS P4 (PA)'!K29</f>
        <v>0</v>
      </c>
      <c r="L29" s="33"/>
      <c r="M29" s="33">
        <f>+'Recon Depr Exp to IS P4 (Fin)'!M28+'Recon Depr Exp to IS P4 (PA)'!M29</f>
        <v>0</v>
      </c>
      <c r="N29" s="33"/>
      <c r="O29" s="33">
        <f>+'Recon Depr Exp to IS P4 (Fin)'!O28+'Recon Depr Exp to IS P4 (PA)'!O29</f>
        <v>0</v>
      </c>
      <c r="P29" s="33"/>
      <c r="Q29" s="33">
        <f>+'Recon Depr Exp to IS P4 (Fin)'!Q28+'Recon Depr Exp to IS P4 (PA)'!Q29</f>
        <v>0</v>
      </c>
      <c r="R29" s="33"/>
      <c r="S29" s="33">
        <f t="shared" si="0"/>
        <v>-74185.929999999993</v>
      </c>
      <c r="T29" s="33"/>
    </row>
    <row r="30" spans="2:20">
      <c r="B30" t="s">
        <v>122</v>
      </c>
      <c r="C30" s="33">
        <f>'Summary - Reserve - PG 2 (Tot)'!E25+'Summary - Reserve - PG 2 (Tot)'!E43+'Summary - Reserve - PG 2 (Tot)'!E59</f>
        <v>-92481.41</v>
      </c>
      <c r="D30" s="33"/>
      <c r="E30" s="33">
        <f>+'Recon Depr Exp to IS P4 (Fin)'!E29+'Recon Depr Exp to IS P4 (PA)'!E30</f>
        <v>0</v>
      </c>
      <c r="F30" s="33"/>
      <c r="G30" s="33">
        <f>+'Recon Depr Exp to IS P4 (Fin)'!G29+'Recon Depr Exp to IS P4 (PA)'!G30</f>
        <v>0</v>
      </c>
      <c r="H30" s="33"/>
      <c r="I30" s="33">
        <f>+'Recon Depr Exp to IS P4 (Fin)'!I29+'Recon Depr Exp to IS P4 (PA)'!I30</f>
        <v>0</v>
      </c>
      <c r="J30" s="33"/>
      <c r="K30" s="33">
        <f>+'Recon Depr Exp to IS P4 (Fin)'!K29+'Recon Depr Exp to IS P4 (PA)'!K30</f>
        <v>0</v>
      </c>
      <c r="L30" s="33"/>
      <c r="M30" s="33">
        <f>+'Recon Depr Exp to IS P4 (Fin)'!M29+'Recon Depr Exp to IS P4 (PA)'!M30</f>
        <v>33668.22</v>
      </c>
      <c r="N30" s="33"/>
      <c r="O30" s="33">
        <f>+'Recon Depr Exp to IS P4 (Fin)'!O29+'Recon Depr Exp to IS P4 (PA)'!O30</f>
        <v>0</v>
      </c>
      <c r="P30" s="33"/>
      <c r="Q30" s="33">
        <f>+'Recon Depr Exp to IS P4 (Fin)'!Q29+'Recon Depr Exp to IS P4 (PA)'!Q30</f>
        <v>0</v>
      </c>
      <c r="R30" s="33"/>
      <c r="S30" s="33">
        <f>C30-E30+G30+I30+K30+M30+O30+Q30</f>
        <v>-58813.19</v>
      </c>
      <c r="T30" s="33"/>
    </row>
    <row r="31" spans="2:20">
      <c r="B31" t="s">
        <v>124</v>
      </c>
      <c r="C31" s="33">
        <f>'Summary - Reserve - PG 2 (Tot)'!E26+'Summary - Reserve - PG 2 (Tot)'!E44+'Summary - Reserve - PG 2 (Tot)'!E60</f>
        <v>-339666.92999999993</v>
      </c>
      <c r="D31" s="33"/>
      <c r="E31" s="33">
        <f>+'Recon Depr Exp to IS P4 (Fin)'!E30+'Recon Depr Exp to IS P4 (PA)'!E31</f>
        <v>6415.93</v>
      </c>
      <c r="F31" s="33"/>
      <c r="G31" s="33">
        <f>+'Recon Depr Exp to IS P4 (Fin)'!G30+'Recon Depr Exp to IS P4 (PA)'!G31</f>
        <v>0</v>
      </c>
      <c r="H31" s="33"/>
      <c r="I31" s="33">
        <f>+'Recon Depr Exp to IS P4 (Fin)'!I30+'Recon Depr Exp to IS P4 (PA)'!I31</f>
        <v>0</v>
      </c>
      <c r="J31" s="33"/>
      <c r="K31" s="33">
        <f>+'Recon Depr Exp to IS P4 (Fin)'!K30+'Recon Depr Exp to IS P4 (PA)'!K31</f>
        <v>0</v>
      </c>
      <c r="L31" s="33"/>
      <c r="M31" s="33">
        <f>+'Recon Depr Exp to IS P4 (Fin)'!M30+'Recon Depr Exp to IS P4 (PA)'!M31</f>
        <v>0</v>
      </c>
      <c r="N31" s="33"/>
      <c r="O31" s="33">
        <f>+'Recon Depr Exp to IS P4 (Fin)'!O30+'Recon Depr Exp to IS P4 (PA)'!O31</f>
        <v>0</v>
      </c>
      <c r="P31" s="33"/>
      <c r="Q31" s="33">
        <f>+'Recon Depr Exp to IS P4 (Fin)'!Q30+'Recon Depr Exp to IS P4 (PA)'!Q31</f>
        <v>0</v>
      </c>
      <c r="R31" s="33"/>
      <c r="S31" s="33">
        <f t="shared" si="0"/>
        <v>-346082.85999999993</v>
      </c>
      <c r="T31" s="33"/>
    </row>
    <row r="32" spans="2:20">
      <c r="B32" t="s">
        <v>952</v>
      </c>
      <c r="C32" s="33">
        <f>'Summary - Reserve - PG 2 (Tot)'!E27</f>
        <v>-55045.34</v>
      </c>
      <c r="D32" s="33"/>
      <c r="E32" s="33">
        <f>+'Recon Depr Exp to IS P4 (Fin)'!E31+'Recon Depr Exp to IS P4 (PA)'!E32</f>
        <v>0</v>
      </c>
      <c r="F32" s="33"/>
      <c r="G32" s="33">
        <f>+'Recon Depr Exp to IS P4 (Fin)'!G31+'Recon Depr Exp to IS P4 (PA)'!G32</f>
        <v>0</v>
      </c>
      <c r="H32" s="33"/>
      <c r="I32" s="33">
        <f>+'Recon Depr Exp to IS P4 (Fin)'!I31+'Recon Depr Exp to IS P4 (PA)'!I32</f>
        <v>0</v>
      </c>
      <c r="J32" s="33"/>
      <c r="K32" s="33">
        <f>+'Recon Depr Exp to IS P4 (Fin)'!K31+'Recon Depr Exp to IS P4 (PA)'!K32</f>
        <v>0</v>
      </c>
      <c r="L32" s="33"/>
      <c r="M32" s="33">
        <f>+'Recon Depr Exp to IS P4 (Fin)'!M31+'Recon Depr Exp to IS P4 (PA)'!M32</f>
        <v>0</v>
      </c>
      <c r="N32" s="33"/>
      <c r="O32" s="33">
        <f>+'Recon Depr Exp to IS P4 (Fin)'!O31+'Recon Depr Exp to IS P4 (PA)'!O32</f>
        <v>0</v>
      </c>
      <c r="P32" s="33"/>
      <c r="Q32" s="33">
        <f>+'Recon Depr Exp to IS P4 (Fin)'!Q31+'Recon Depr Exp to IS P4 (PA)'!Q32</f>
        <v>0</v>
      </c>
      <c r="R32" s="33"/>
      <c r="S32" s="33">
        <f t="shared" si="0"/>
        <v>-55045.34</v>
      </c>
      <c r="T32" s="33"/>
    </row>
    <row r="33" spans="1:20">
      <c r="B33" t="s">
        <v>129</v>
      </c>
      <c r="C33" s="33">
        <f>'Summary - Reserve - PG 2 (Tot)'!E28+'Summary - Reserve - PG 2 (Tot)'!E45+'Summary - Reserve - PG 2 (Tot)'!E61</f>
        <v>0</v>
      </c>
      <c r="D33" s="33"/>
      <c r="E33" s="33">
        <f>+'Recon Depr Exp to IS P4 (Fin)'!E32+'Recon Depr Exp to IS P4 (PA)'!E33</f>
        <v>0</v>
      </c>
      <c r="F33" s="33"/>
      <c r="G33" s="33">
        <f>+'Recon Depr Exp to IS P4 (Fin)'!G32+'Recon Depr Exp to IS P4 (PA)'!G33</f>
        <v>0</v>
      </c>
      <c r="H33" s="33"/>
      <c r="I33" s="33">
        <f>+'Recon Depr Exp to IS P4 (Fin)'!I32+'Recon Depr Exp to IS P4 (PA)'!I33</f>
        <v>0</v>
      </c>
      <c r="J33" s="33"/>
      <c r="K33" s="33">
        <f>+'Recon Depr Exp to IS P4 (Fin)'!K32+'Recon Depr Exp to IS P4 (PA)'!K33</f>
        <v>0</v>
      </c>
      <c r="L33" s="33"/>
      <c r="M33" s="33">
        <f>+'Recon Depr Exp to IS P4 (Fin)'!M32+'Recon Depr Exp to IS P4 (PA)'!M33</f>
        <v>0</v>
      </c>
      <c r="N33" s="33"/>
      <c r="O33" s="33">
        <f>+'Recon Depr Exp to IS P4 (Fin)'!O32+'Recon Depr Exp to IS P4 (PA)'!O33</f>
        <v>0</v>
      </c>
      <c r="P33" s="33"/>
      <c r="Q33" s="33">
        <f>+'Recon Depr Exp to IS P4 (Fin)'!Q32+'Recon Depr Exp to IS P4 (PA)'!Q33</f>
        <v>0</v>
      </c>
      <c r="R33" s="33"/>
      <c r="S33" s="33">
        <f t="shared" si="0"/>
        <v>0</v>
      </c>
      <c r="T33" s="33"/>
    </row>
    <row r="34" spans="1:20">
      <c r="B34" t="s">
        <v>125</v>
      </c>
      <c r="C34" s="300">
        <f>'Summary - Reserve - PG 2 (Tot)'!E29+'Summary - Reserve - PG 2 (Tot)'!E46+'Summary - Reserve - PG 2 (Tot)'!E62</f>
        <v>-17579.800000000003</v>
      </c>
      <c r="D34" s="300"/>
      <c r="E34" s="300">
        <f>+'Recon Depr Exp to IS P4 (Fin)'!E33+'Recon Depr Exp to IS P4 (PA)'!E34</f>
        <v>0</v>
      </c>
      <c r="F34" s="300"/>
      <c r="G34" s="300">
        <f>+'Recon Depr Exp to IS P4 (Fin)'!G33+'Recon Depr Exp to IS P4 (PA)'!G34</f>
        <v>0</v>
      </c>
      <c r="H34" s="300"/>
      <c r="I34" s="300">
        <f>+'Recon Depr Exp to IS P4 (Fin)'!I33+'Recon Depr Exp to IS P4 (PA)'!I34</f>
        <v>0</v>
      </c>
      <c r="J34" s="300"/>
      <c r="K34" s="300">
        <f>+'Recon Depr Exp to IS P4 (Fin)'!K33+'Recon Depr Exp to IS P4 (PA)'!K34</f>
        <v>0</v>
      </c>
      <c r="L34" s="300"/>
      <c r="M34" s="300">
        <f>+'Recon Depr Exp to IS P4 (Fin)'!M33+'Recon Depr Exp to IS P4 (PA)'!M34</f>
        <v>0</v>
      </c>
      <c r="N34" s="300"/>
      <c r="O34" s="300">
        <f>+'Recon Depr Exp to IS P4 (Fin)'!O33+'Recon Depr Exp to IS P4 (PA)'!O34</f>
        <v>0</v>
      </c>
      <c r="P34" s="300"/>
      <c r="Q34" s="300">
        <f>+'Recon Depr Exp to IS P4 (Fin)'!Q33+'Recon Depr Exp to IS P4 (PA)'!Q34</f>
        <v>0</v>
      </c>
      <c r="R34" s="300"/>
      <c r="S34" s="300">
        <f t="shared" si="0"/>
        <v>-17579.800000000003</v>
      </c>
      <c r="T34" s="300"/>
    </row>
    <row r="35" spans="1:20">
      <c r="B35" t="s">
        <v>1443</v>
      </c>
      <c r="C35" s="35">
        <f>'Summary - Reserve - PG 2 (Tot)'!E30+'Summary - Reserve - PG 2 (Tot)'!E47+'Summary - Reserve - PG 2 (Tot)'!E63</f>
        <v>-26453.13</v>
      </c>
      <c r="D35" s="37"/>
      <c r="E35" s="300">
        <f>+'Recon Depr Exp to IS P4 (Fin)'!E34+'Recon Depr Exp to IS P4 (PA)'!E35</f>
        <v>0</v>
      </c>
      <c r="F35" s="37"/>
      <c r="G35" s="300">
        <f>+'Recon Depr Exp to IS P4 (Fin)'!G34+'Recon Depr Exp to IS P4 (PA)'!G35</f>
        <v>0</v>
      </c>
      <c r="H35" s="37"/>
      <c r="I35" s="300">
        <f>+'Recon Depr Exp to IS P4 (Fin)'!I34+'Recon Depr Exp to IS P4 (PA)'!I35</f>
        <v>0</v>
      </c>
      <c r="J35" s="37"/>
      <c r="K35" s="300">
        <f>+'Recon Depr Exp to IS P4 (Fin)'!K34+'Recon Depr Exp to IS P4 (PA)'!K35</f>
        <v>0</v>
      </c>
      <c r="L35" s="37"/>
      <c r="M35" s="300">
        <f>+'Recon Depr Exp to IS P4 (Fin)'!M34+'Recon Depr Exp to IS P4 (PA)'!M35</f>
        <v>0</v>
      </c>
      <c r="N35" s="37"/>
      <c r="O35" s="300">
        <f>+'Recon Depr Exp to IS P4 (Fin)'!O34+'Recon Depr Exp to IS P4 (PA)'!O35</f>
        <v>0</v>
      </c>
      <c r="P35" s="37"/>
      <c r="Q35" s="300">
        <f>+'Recon Depr Exp to IS P4 (Fin)'!Q34+'Recon Depr Exp to IS P4 (PA)'!Q35</f>
        <v>0</v>
      </c>
      <c r="R35" s="37"/>
      <c r="S35" s="35">
        <f t="shared" si="0"/>
        <v>-26453.13</v>
      </c>
      <c r="T35" s="300"/>
    </row>
    <row r="36" spans="1:20">
      <c r="B36" t="s">
        <v>50</v>
      </c>
      <c r="C36" s="34">
        <f>SUM(C28:C35)</f>
        <v>-4458350.49</v>
      </c>
      <c r="D36" s="37"/>
      <c r="E36" s="34">
        <f>SUM(E28:E35)</f>
        <v>6415.93</v>
      </c>
      <c r="F36" s="37"/>
      <c r="G36" s="34">
        <f>SUM(G28:G35)</f>
        <v>0</v>
      </c>
      <c r="H36" s="37"/>
      <c r="I36" s="34">
        <f>SUM(I28:I35)</f>
        <v>0</v>
      </c>
      <c r="J36" s="37"/>
      <c r="K36" s="34">
        <f>SUM(K28:K35)</f>
        <v>0</v>
      </c>
      <c r="L36" s="37"/>
      <c r="M36" s="34">
        <f>SUM(M28:M35)</f>
        <v>33668.22</v>
      </c>
      <c r="N36" s="37"/>
      <c r="O36" s="34">
        <f>SUM(O28:O35)</f>
        <v>0</v>
      </c>
      <c r="P36" s="37"/>
      <c r="Q36" s="34">
        <f>SUM(Q28:Q35)</f>
        <v>0</v>
      </c>
      <c r="R36" s="37"/>
      <c r="S36" s="34">
        <f>SUM(S28:S35)</f>
        <v>-4431098.2</v>
      </c>
      <c r="T36" s="33"/>
    </row>
    <row r="37" spans="1:20">
      <c r="C37" s="37"/>
      <c r="D37" s="37"/>
      <c r="E37" s="37"/>
      <c r="F37" s="37"/>
      <c r="G37" s="37"/>
      <c r="H37" s="37"/>
      <c r="I37" s="37"/>
      <c r="J37" s="37"/>
      <c r="K37" s="37"/>
      <c r="L37" s="37"/>
      <c r="M37" s="37"/>
      <c r="N37" s="37"/>
      <c r="O37" s="37"/>
      <c r="P37" s="37"/>
      <c r="Q37" s="37"/>
      <c r="R37" s="37"/>
      <c r="S37" s="37"/>
      <c r="T37" s="33"/>
    </row>
    <row r="38" spans="1:20" ht="13.5" thickBot="1">
      <c r="B38" s="2" t="s">
        <v>35</v>
      </c>
      <c r="C38" s="44">
        <f>C36+C26+C13</f>
        <v>-36053816.43</v>
      </c>
      <c r="D38" s="37"/>
      <c r="E38" s="44">
        <f>E36+E26+E13</f>
        <v>22157.980000000003</v>
      </c>
      <c r="F38" s="37"/>
      <c r="G38" s="44">
        <f>G36+G26+G13</f>
        <v>0</v>
      </c>
      <c r="H38" s="37"/>
      <c r="I38" s="44">
        <f>I36+I26+I13</f>
        <v>39781.56</v>
      </c>
      <c r="J38" s="37"/>
      <c r="K38" s="44">
        <f>K36+K26+K13</f>
        <v>15937.170000000002</v>
      </c>
      <c r="L38" s="37"/>
      <c r="M38" s="44">
        <f>M36+M26+M13</f>
        <v>122893.35</v>
      </c>
      <c r="N38" s="37"/>
      <c r="O38" s="44">
        <f>O36+O26+O13</f>
        <v>0</v>
      </c>
      <c r="P38" s="37"/>
      <c r="Q38" s="44">
        <f>Q36+Q26+Q13</f>
        <v>0</v>
      </c>
      <c r="R38" s="37"/>
      <c r="S38" s="44">
        <f>S36+S26+S13</f>
        <v>-35897362.330000006</v>
      </c>
      <c r="T38" s="33"/>
    </row>
    <row r="39" spans="1:20" ht="13.5" thickTop="1">
      <c r="C39" s="37"/>
      <c r="D39" s="37"/>
      <c r="E39" s="37"/>
      <c r="F39" s="37"/>
      <c r="G39" s="37"/>
      <c r="H39" s="37"/>
      <c r="I39" s="37"/>
      <c r="J39" s="37"/>
      <c r="K39" s="37"/>
      <c r="L39" s="37"/>
      <c r="M39" s="37"/>
      <c r="N39" s="37"/>
      <c r="O39" s="37"/>
      <c r="P39" s="37"/>
      <c r="Q39" s="37"/>
      <c r="R39" s="37"/>
      <c r="S39" s="37"/>
    </row>
    <row r="40" spans="1:20">
      <c r="C40" s="37"/>
      <c r="D40" s="37"/>
      <c r="E40" s="37"/>
      <c r="F40" s="37"/>
      <c r="G40" s="37"/>
      <c r="H40" s="37"/>
      <c r="I40" s="37"/>
      <c r="J40" s="37"/>
      <c r="K40" s="37"/>
      <c r="L40" s="37"/>
      <c r="M40" s="37"/>
      <c r="N40" s="37"/>
      <c r="O40" s="37"/>
      <c r="P40" s="37"/>
      <c r="Q40" s="37"/>
      <c r="R40" s="37"/>
      <c r="S40" s="37"/>
      <c r="T40" s="33"/>
    </row>
    <row r="41" spans="1:20">
      <c r="A41" s="3" t="s">
        <v>658</v>
      </c>
      <c r="C41" s="37"/>
      <c r="D41" s="37"/>
      <c r="E41" s="37"/>
      <c r="F41" s="37"/>
      <c r="G41" s="37"/>
      <c r="H41" s="37"/>
      <c r="I41" s="37"/>
      <c r="J41" s="37"/>
      <c r="K41" s="37"/>
      <c r="L41" s="37"/>
      <c r="M41" s="37"/>
      <c r="N41" s="37"/>
      <c r="O41" s="37"/>
      <c r="P41" s="37"/>
      <c r="Q41" s="37"/>
      <c r="R41" s="37"/>
      <c r="S41" s="37"/>
      <c r="T41" s="33"/>
    </row>
    <row r="42" spans="1:20">
      <c r="B42" t="s">
        <v>652</v>
      </c>
      <c r="C42" s="37">
        <f>'Summary - Reserve - PG 2 (Tot)'!E81</f>
        <v>-2177175.2999999998</v>
      </c>
      <c r="D42" s="37"/>
      <c r="E42" s="37">
        <v>0</v>
      </c>
      <c r="F42" s="37"/>
      <c r="G42" s="37">
        <v>0</v>
      </c>
      <c r="H42" s="37"/>
      <c r="I42" s="37">
        <v>0</v>
      </c>
      <c r="J42" s="37"/>
      <c r="K42" s="37">
        <v>0</v>
      </c>
      <c r="L42" s="37"/>
      <c r="M42" s="37">
        <v>0</v>
      </c>
      <c r="N42" s="37"/>
      <c r="O42" s="37">
        <v>0</v>
      </c>
      <c r="P42" s="37"/>
      <c r="Q42" s="37">
        <v>0</v>
      </c>
      <c r="R42" s="37"/>
      <c r="S42" s="37">
        <f>Q42+O42+M42+K42+I42+G42+E42+C42</f>
        <v>-2177175.2999999998</v>
      </c>
      <c r="T42" s="33"/>
    </row>
    <row r="43" spans="1:20">
      <c r="B43" t="s">
        <v>112</v>
      </c>
      <c r="C43" s="37">
        <f>'Summary - Reserve - PG 2 (Tot)'!E82</f>
        <v>0</v>
      </c>
      <c r="D43" s="37"/>
      <c r="E43" s="37">
        <v>0</v>
      </c>
      <c r="F43" s="37"/>
      <c r="G43" s="37">
        <v>0</v>
      </c>
      <c r="H43" s="37"/>
      <c r="I43" s="37">
        <v>0</v>
      </c>
      <c r="J43" s="37"/>
      <c r="K43" s="37">
        <v>0</v>
      </c>
      <c r="L43" s="37"/>
      <c r="M43" s="37">
        <v>0</v>
      </c>
      <c r="N43" s="37"/>
      <c r="O43" s="37">
        <v>0</v>
      </c>
      <c r="P43" s="37"/>
      <c r="Q43" s="37">
        <v>0</v>
      </c>
      <c r="R43" s="37"/>
      <c r="S43" s="37">
        <f>Q43+O43+M43+K43+I43+G43+E43+C43</f>
        <v>0</v>
      </c>
      <c r="T43" s="33"/>
    </row>
    <row r="44" spans="1:20">
      <c r="B44" t="s">
        <v>120</v>
      </c>
      <c r="C44" s="35">
        <f>'Summary - Reserve - PG 2 (Tot)'!E83</f>
        <v>0</v>
      </c>
      <c r="D44" s="37"/>
      <c r="E44" s="35">
        <v>0</v>
      </c>
      <c r="F44" s="37"/>
      <c r="G44" s="35">
        <v>0</v>
      </c>
      <c r="H44" s="37"/>
      <c r="I44" s="35">
        <v>0</v>
      </c>
      <c r="J44" s="37"/>
      <c r="K44" s="35">
        <v>0</v>
      </c>
      <c r="L44" s="37"/>
      <c r="M44" s="35">
        <v>0</v>
      </c>
      <c r="N44" s="37"/>
      <c r="O44" s="35">
        <v>0</v>
      </c>
      <c r="P44" s="37"/>
      <c r="Q44" s="35">
        <v>0</v>
      </c>
      <c r="R44" s="37"/>
      <c r="S44" s="35">
        <f>Q44+O44+M44+K44+I44+G44+E44+C44</f>
        <v>0</v>
      </c>
      <c r="T44" s="33"/>
    </row>
    <row r="45" spans="1:20">
      <c r="B45" s="47"/>
      <c r="C45" s="37">
        <f>SUM(C42:C44)</f>
        <v>-2177175.2999999998</v>
      </c>
      <c r="D45" s="37"/>
      <c r="E45" s="37">
        <f>SUM(E42:E44)</f>
        <v>0</v>
      </c>
      <c r="F45" s="37"/>
      <c r="G45" s="37">
        <f>SUM(G42:G44)</f>
        <v>0</v>
      </c>
      <c r="H45" s="37"/>
      <c r="I45" s="37">
        <f>SUM(I42:I44)</f>
        <v>0</v>
      </c>
      <c r="J45" s="37"/>
      <c r="K45" s="37">
        <f>SUM(K42:K44)</f>
        <v>0</v>
      </c>
      <c r="L45" s="37"/>
      <c r="M45" s="37">
        <f>SUM(M42:M44)</f>
        <v>0</v>
      </c>
      <c r="N45" s="37"/>
      <c r="O45" s="37">
        <f>SUM(O42:O44)</f>
        <v>0</v>
      </c>
      <c r="P45" s="37"/>
      <c r="Q45" s="37">
        <f>SUM(Q42:Q44)</f>
        <v>0</v>
      </c>
      <c r="R45" s="37"/>
      <c r="S45" s="37">
        <f>SUM(S42:S44)</f>
        <v>-2177175.2999999998</v>
      </c>
      <c r="T45" s="33"/>
    </row>
    <row r="46" spans="1:20">
      <c r="B46" s="47"/>
      <c r="C46" s="37"/>
      <c r="D46" s="37"/>
      <c r="E46" s="37"/>
      <c r="F46" s="37"/>
      <c r="G46" s="37"/>
      <c r="H46" s="37"/>
      <c r="I46" s="37"/>
      <c r="J46" s="37"/>
      <c r="K46" s="37"/>
      <c r="L46" s="37"/>
      <c r="M46" s="37"/>
      <c r="N46" s="37"/>
      <c r="O46" s="37"/>
      <c r="P46" s="37"/>
      <c r="Q46" s="37"/>
      <c r="R46" s="37"/>
      <c r="S46" s="37"/>
      <c r="T46" s="33"/>
    </row>
    <row r="47" spans="1:20">
      <c r="C47" s="33"/>
      <c r="D47" s="33"/>
      <c r="E47" s="33"/>
      <c r="F47" s="33"/>
      <c r="G47" s="33"/>
      <c r="H47" s="33"/>
      <c r="I47" s="33"/>
      <c r="J47" s="33"/>
      <c r="K47" s="33"/>
      <c r="L47" s="33"/>
      <c r="M47" s="33"/>
      <c r="N47" s="33"/>
      <c r="O47" s="33"/>
      <c r="P47" s="33"/>
      <c r="Q47" s="33"/>
      <c r="R47" s="33"/>
      <c r="S47" s="33"/>
      <c r="T47" s="33"/>
    </row>
    <row r="48" spans="1:20" ht="13.5" thickBot="1">
      <c r="B48" s="3" t="s">
        <v>148</v>
      </c>
      <c r="C48" s="44">
        <f>C38+C45</f>
        <v>-38230991.729999997</v>
      </c>
      <c r="D48" s="33"/>
      <c r="E48" s="33"/>
      <c r="F48" s="33"/>
      <c r="G48" s="33"/>
      <c r="H48" s="33"/>
      <c r="I48" s="33"/>
      <c r="J48" s="33"/>
      <c r="K48" s="33"/>
      <c r="L48" s="33"/>
      <c r="M48" s="33"/>
      <c r="N48" s="33"/>
      <c r="O48" s="33"/>
      <c r="P48" s="33"/>
      <c r="Q48" s="33"/>
      <c r="R48" s="33"/>
      <c r="S48" s="44">
        <f>S38+S45</f>
        <v>-38074537.630000003</v>
      </c>
      <c r="T48" s="33"/>
    </row>
    <row r="49" spans="3:20" ht="13.5" thickTop="1">
      <c r="C49" s="33"/>
      <c r="D49" s="33"/>
      <c r="E49" s="33"/>
      <c r="F49" s="33"/>
      <c r="G49" s="33"/>
      <c r="H49" s="33"/>
      <c r="I49" s="33"/>
      <c r="J49" s="33"/>
      <c r="K49" s="33"/>
      <c r="L49" s="33"/>
      <c r="M49" s="33"/>
      <c r="N49" s="33"/>
      <c r="O49" s="33"/>
      <c r="P49" s="33"/>
      <c r="Q49" s="33"/>
      <c r="R49" s="33"/>
      <c r="S49" s="33"/>
      <c r="T49" s="33"/>
    </row>
    <row r="50" spans="3:20">
      <c r="C50" s="33"/>
      <c r="D50" s="33"/>
      <c r="E50" s="33"/>
      <c r="F50" s="33"/>
      <c r="G50" s="33"/>
      <c r="H50" s="33"/>
      <c r="I50" s="33"/>
      <c r="J50" s="33"/>
      <c r="K50" s="33"/>
      <c r="L50" s="33"/>
      <c r="M50" s="33"/>
      <c r="N50" s="33"/>
      <c r="O50" s="33"/>
      <c r="P50" s="33"/>
      <c r="Q50" s="33" t="s">
        <v>1276</v>
      </c>
      <c r="R50" s="33"/>
      <c r="S50" s="34">
        <f>-'Recon Depr Exp to IS P4 (Fin)'!O51-'Recon Depr Exp to IS P4 (Fin)'!O52-'Recon Depr Exp to IS P4 (Fin)'!O65-'Recon Depr Exp to IS P4 (Fin)'!O66+'Recon Depr Exp to IS P4 (PA)'!S50</f>
        <v>-35897362.32</v>
      </c>
      <c r="T50" s="33"/>
    </row>
    <row r="51" spans="3:20">
      <c r="C51" s="33"/>
      <c r="D51" s="33"/>
      <c r="E51" s="33"/>
      <c r="F51" s="33"/>
      <c r="G51" s="33"/>
      <c r="H51" s="33"/>
      <c r="I51" s="33"/>
      <c r="J51" s="33"/>
      <c r="K51" s="33"/>
      <c r="L51" s="33"/>
      <c r="M51" s="33"/>
      <c r="N51" s="33"/>
      <c r="O51" s="33"/>
      <c r="P51" s="33"/>
      <c r="Q51" s="33" t="s">
        <v>47</v>
      </c>
      <c r="R51" s="33"/>
      <c r="S51" s="33">
        <f>+S38-S50</f>
        <v>-1.000000536441803E-2</v>
      </c>
      <c r="T51" s="33"/>
    </row>
    <row r="52" spans="3:20">
      <c r="C52" s="5"/>
      <c r="D52" s="5"/>
      <c r="E52" s="5"/>
      <c r="F52" s="5"/>
      <c r="G52" s="5"/>
      <c r="H52" s="5"/>
      <c r="I52" s="5"/>
      <c r="J52" s="5"/>
      <c r="K52" s="5"/>
      <c r="L52" s="5"/>
      <c r="M52" s="5"/>
      <c r="N52" s="5"/>
      <c r="O52" s="5"/>
      <c r="P52" s="5"/>
      <c r="Q52" s="5"/>
      <c r="R52" s="5"/>
      <c r="S52" s="5"/>
      <c r="T52" s="5"/>
    </row>
    <row r="53" spans="3:20">
      <c r="C53" s="5"/>
      <c r="D53" s="5"/>
      <c r="E53" s="5"/>
      <c r="F53" s="5"/>
      <c r="G53" s="5"/>
      <c r="H53" s="5"/>
      <c r="I53" s="5"/>
      <c r="J53" s="5"/>
      <c r="K53" s="5"/>
      <c r="L53" s="5"/>
      <c r="M53" s="5"/>
      <c r="N53" s="5"/>
      <c r="O53" s="5"/>
      <c r="P53" s="5"/>
      <c r="Q53" s="5"/>
      <c r="R53" s="5"/>
      <c r="S53" s="5"/>
      <c r="T53" s="5"/>
    </row>
    <row r="54" spans="3:20">
      <c r="C54" s="5"/>
      <c r="D54" s="5"/>
      <c r="E54" s="5"/>
      <c r="F54" s="5"/>
      <c r="G54" s="5"/>
      <c r="H54" s="5"/>
      <c r="I54" s="5"/>
      <c r="J54" s="5"/>
      <c r="K54" s="5"/>
      <c r="L54" s="5"/>
      <c r="M54" s="5"/>
      <c r="N54" s="5"/>
      <c r="O54" s="5"/>
      <c r="P54" s="5"/>
      <c r="Q54" s="5"/>
      <c r="R54" s="5"/>
      <c r="S54" s="5"/>
      <c r="T54" s="5"/>
    </row>
    <row r="55" spans="3:20">
      <c r="C55" s="5"/>
      <c r="D55" s="5"/>
      <c r="E55" s="5"/>
      <c r="F55" s="5"/>
      <c r="G55" s="5"/>
      <c r="H55" s="5"/>
      <c r="I55" s="5"/>
      <c r="J55" s="5"/>
      <c r="K55" s="5"/>
      <c r="L55" s="5"/>
      <c r="M55" s="5"/>
      <c r="N55" s="5"/>
      <c r="O55" s="5"/>
      <c r="P55" s="5"/>
      <c r="Q55" s="5"/>
      <c r="R55" s="5"/>
      <c r="S55" s="5"/>
      <c r="T55" s="5"/>
    </row>
    <row r="56" spans="3:20">
      <c r="C56" s="5"/>
      <c r="D56" s="5"/>
      <c r="E56" s="5"/>
      <c r="F56" s="5"/>
      <c r="G56" s="5"/>
      <c r="H56" s="5"/>
      <c r="I56" s="5"/>
      <c r="J56" s="5"/>
      <c r="K56" s="5"/>
      <c r="L56" s="5"/>
      <c r="M56" s="5"/>
      <c r="N56" s="5"/>
      <c r="O56" s="5"/>
      <c r="P56" s="5"/>
      <c r="Q56" s="5"/>
      <c r="R56" s="5"/>
      <c r="S56" s="5"/>
      <c r="T56" s="5"/>
    </row>
    <row r="57" spans="3:20">
      <c r="C57" s="5"/>
      <c r="D57" s="5"/>
      <c r="E57" s="5"/>
      <c r="F57" s="5"/>
      <c r="G57" s="5"/>
      <c r="H57" s="5"/>
      <c r="I57" s="5"/>
      <c r="J57" s="5"/>
      <c r="K57" s="5"/>
      <c r="L57" s="5"/>
      <c r="M57" s="5"/>
      <c r="N57" s="5"/>
      <c r="O57" s="5"/>
      <c r="P57" s="5"/>
      <c r="Q57" s="5"/>
      <c r="R57" s="5"/>
      <c r="S57" s="5"/>
      <c r="T57" s="5"/>
    </row>
    <row r="58" spans="3:20">
      <c r="C58" s="5"/>
      <c r="D58" s="5"/>
      <c r="E58" s="5"/>
      <c r="F58" s="5"/>
      <c r="G58" s="5"/>
      <c r="H58" s="5"/>
      <c r="I58" s="5"/>
      <c r="J58" s="5"/>
      <c r="K58" s="5"/>
      <c r="L58" s="5"/>
      <c r="M58" s="5"/>
      <c r="N58" s="5"/>
      <c r="O58" s="5"/>
      <c r="P58" s="5"/>
      <c r="Q58" s="5"/>
      <c r="R58" s="5"/>
      <c r="S58" s="5"/>
      <c r="T58" s="5"/>
    </row>
    <row r="59" spans="3:20">
      <c r="C59" s="5"/>
      <c r="D59" s="5"/>
      <c r="E59" s="5"/>
      <c r="F59" s="5"/>
      <c r="G59" s="5"/>
      <c r="H59" s="5"/>
      <c r="I59" s="5"/>
      <c r="J59" s="5"/>
      <c r="K59" s="5"/>
      <c r="L59" s="5"/>
      <c r="M59" s="5"/>
      <c r="N59" s="5"/>
      <c r="O59" s="5"/>
      <c r="P59" s="5"/>
      <c r="Q59" s="5"/>
      <c r="R59" s="5"/>
      <c r="S59" s="5"/>
      <c r="T59" s="5"/>
    </row>
    <row r="60" spans="3:20">
      <c r="C60" s="5"/>
      <c r="D60" s="5"/>
      <c r="E60" s="5"/>
      <c r="F60" s="5"/>
      <c r="G60" s="5"/>
      <c r="H60" s="5"/>
      <c r="I60" s="5"/>
      <c r="J60" s="5"/>
      <c r="K60" s="5"/>
      <c r="L60" s="5"/>
      <c r="M60" s="5"/>
      <c r="N60" s="5"/>
      <c r="O60" s="5"/>
      <c r="P60" s="5"/>
      <c r="Q60" s="5"/>
      <c r="R60" s="5"/>
      <c r="S60" s="5"/>
      <c r="T60" s="5"/>
    </row>
    <row r="61" spans="3:20">
      <c r="C61" s="5"/>
      <c r="D61" s="5"/>
      <c r="E61" s="5"/>
      <c r="F61" s="5"/>
      <c r="G61" s="5"/>
      <c r="H61" s="5"/>
      <c r="I61" s="5"/>
      <c r="J61" s="5"/>
      <c r="K61" s="5"/>
      <c r="L61" s="5"/>
      <c r="M61" s="5"/>
      <c r="N61" s="5"/>
      <c r="O61" s="5"/>
      <c r="P61" s="5"/>
      <c r="Q61" s="5"/>
      <c r="R61" s="5"/>
      <c r="S61" s="5"/>
      <c r="T61" s="5"/>
    </row>
    <row r="62" spans="3:20">
      <c r="C62" s="5"/>
      <c r="D62" s="5"/>
      <c r="E62" s="5"/>
      <c r="F62" s="5"/>
      <c r="G62" s="5"/>
      <c r="H62" s="5"/>
      <c r="I62" s="5"/>
      <c r="J62" s="5"/>
      <c r="K62" s="5"/>
      <c r="L62" s="5"/>
      <c r="M62" s="5"/>
      <c r="N62" s="5"/>
      <c r="O62" s="5"/>
      <c r="P62" s="5"/>
      <c r="Q62" s="5"/>
      <c r="R62" s="5"/>
      <c r="S62" s="5"/>
      <c r="T62" s="5"/>
    </row>
    <row r="63" spans="3:20">
      <c r="C63" s="5"/>
      <c r="D63" s="5"/>
      <c r="E63" s="5"/>
      <c r="F63" s="5"/>
      <c r="G63" s="5"/>
      <c r="H63" s="5"/>
      <c r="I63" s="5"/>
      <c r="J63" s="5"/>
      <c r="K63" s="5"/>
      <c r="L63" s="5"/>
      <c r="M63" s="5"/>
      <c r="N63" s="5"/>
      <c r="O63" s="5"/>
      <c r="P63" s="5"/>
      <c r="Q63" s="5"/>
      <c r="R63" s="5"/>
      <c r="S63" s="5"/>
      <c r="T63" s="5"/>
    </row>
    <row r="64" spans="3:20">
      <c r="C64" s="5"/>
      <c r="D64" s="5"/>
      <c r="E64" s="5"/>
      <c r="F64" s="5"/>
      <c r="G64" s="5"/>
      <c r="H64" s="5"/>
      <c r="I64" s="5"/>
      <c r="J64" s="5"/>
      <c r="K64" s="5"/>
      <c r="L64" s="5"/>
      <c r="M64" s="5"/>
      <c r="N64" s="5"/>
      <c r="O64" s="5"/>
      <c r="P64" s="5"/>
      <c r="Q64" s="5"/>
      <c r="R64" s="5"/>
      <c r="S64" s="5"/>
      <c r="T64" s="5"/>
    </row>
    <row r="65" spans="3:20">
      <c r="C65" s="5"/>
      <c r="D65" s="5"/>
      <c r="E65" s="5"/>
      <c r="F65" s="5"/>
      <c r="G65" s="5"/>
      <c r="H65" s="5"/>
      <c r="I65" s="5"/>
      <c r="J65" s="5"/>
      <c r="K65" s="5"/>
      <c r="L65" s="5"/>
      <c r="M65" s="5"/>
      <c r="N65" s="5"/>
      <c r="O65" s="5"/>
      <c r="P65" s="5"/>
      <c r="Q65" s="5"/>
      <c r="R65" s="5"/>
      <c r="S65" s="5"/>
      <c r="T65" s="5"/>
    </row>
    <row r="66" spans="3:20">
      <c r="C66" s="5"/>
      <c r="D66" s="5"/>
      <c r="E66" s="5"/>
      <c r="F66" s="5"/>
      <c r="G66" s="5"/>
      <c r="H66" s="5"/>
      <c r="I66" s="5"/>
      <c r="J66" s="5"/>
      <c r="K66" s="5"/>
      <c r="L66" s="5"/>
      <c r="M66" s="5"/>
      <c r="N66" s="5"/>
      <c r="O66" s="5"/>
      <c r="P66" s="5"/>
      <c r="Q66" s="5"/>
      <c r="R66" s="5"/>
      <c r="S66" s="5"/>
      <c r="T66" s="5"/>
    </row>
    <row r="67" spans="3:20">
      <c r="C67" s="5"/>
      <c r="D67" s="5"/>
      <c r="E67" s="5"/>
      <c r="F67" s="5"/>
      <c r="G67" s="5"/>
      <c r="H67" s="5"/>
      <c r="I67" s="5"/>
      <c r="J67" s="5"/>
      <c r="K67" s="5"/>
      <c r="L67" s="5"/>
      <c r="M67" s="5"/>
      <c r="N67" s="5"/>
      <c r="O67" s="5"/>
      <c r="P67" s="5"/>
      <c r="Q67" s="5"/>
      <c r="R67" s="5"/>
      <c r="S67" s="5"/>
      <c r="T67" s="5"/>
    </row>
    <row r="68" spans="3:20">
      <c r="C68" s="5"/>
      <c r="D68" s="5"/>
      <c r="E68" s="5"/>
      <c r="F68" s="5"/>
      <c r="G68" s="5"/>
      <c r="H68" s="5"/>
      <c r="I68" s="5"/>
      <c r="J68" s="5"/>
      <c r="K68" s="5"/>
      <c r="L68" s="5"/>
      <c r="M68" s="5"/>
      <c r="N68" s="5"/>
      <c r="O68" s="5"/>
      <c r="P68" s="5"/>
      <c r="Q68" s="5"/>
      <c r="R68" s="5"/>
      <c r="S68" s="5"/>
      <c r="T68" s="5"/>
    </row>
    <row r="69" spans="3:20">
      <c r="C69" s="5"/>
      <c r="D69" s="5"/>
      <c r="E69" s="5"/>
      <c r="F69" s="5"/>
      <c r="G69" s="5"/>
      <c r="H69" s="5"/>
      <c r="I69" s="5"/>
      <c r="J69" s="5"/>
      <c r="K69" s="5"/>
      <c r="L69" s="5"/>
      <c r="M69" s="5"/>
      <c r="N69" s="5"/>
      <c r="O69" s="5"/>
      <c r="P69" s="5"/>
      <c r="Q69" s="5"/>
      <c r="R69" s="5"/>
      <c r="S69" s="5"/>
      <c r="T69" s="5"/>
    </row>
    <row r="70" spans="3:20">
      <c r="C70" s="5"/>
      <c r="D70" s="5"/>
      <c r="E70" s="5"/>
      <c r="F70" s="5"/>
      <c r="G70" s="5"/>
      <c r="H70" s="5"/>
      <c r="I70" s="5"/>
      <c r="J70" s="5"/>
      <c r="K70" s="5"/>
      <c r="L70" s="5"/>
      <c r="M70" s="5"/>
      <c r="N70" s="5"/>
      <c r="O70" s="5"/>
      <c r="P70" s="5"/>
      <c r="Q70" s="5"/>
      <c r="R70" s="5"/>
      <c r="S70" s="5"/>
      <c r="T70" s="5"/>
    </row>
    <row r="71" spans="3:20">
      <c r="C71" s="5"/>
      <c r="D71" s="5"/>
      <c r="E71" s="5"/>
      <c r="F71" s="5"/>
      <c r="G71" s="5"/>
      <c r="H71" s="5"/>
      <c r="I71" s="5"/>
      <c r="J71" s="5"/>
      <c r="K71" s="5"/>
      <c r="L71" s="5"/>
      <c r="M71" s="5"/>
      <c r="N71" s="5"/>
      <c r="O71" s="5"/>
      <c r="P71" s="5"/>
      <c r="Q71" s="5"/>
      <c r="R71" s="5"/>
      <c r="S71" s="5"/>
      <c r="T71" s="5"/>
    </row>
    <row r="72" spans="3:20">
      <c r="C72" s="5"/>
      <c r="D72" s="5"/>
      <c r="E72" s="5"/>
      <c r="F72" s="5"/>
      <c r="G72" s="5"/>
      <c r="H72" s="5"/>
      <c r="I72" s="5"/>
      <c r="J72" s="5"/>
      <c r="K72" s="5"/>
      <c r="L72" s="5"/>
      <c r="M72" s="5"/>
      <c r="N72" s="5"/>
      <c r="O72" s="5"/>
      <c r="P72" s="5"/>
      <c r="Q72" s="5"/>
      <c r="R72" s="5"/>
      <c r="S72" s="5"/>
      <c r="T72" s="5"/>
    </row>
    <row r="73" spans="3:20">
      <c r="C73" s="5"/>
      <c r="D73" s="5"/>
      <c r="E73" s="5"/>
      <c r="F73" s="5"/>
      <c r="G73" s="5"/>
      <c r="H73" s="5"/>
      <c r="I73" s="5"/>
      <c r="J73" s="5"/>
      <c r="K73" s="5"/>
      <c r="L73" s="5"/>
      <c r="M73" s="5"/>
      <c r="N73" s="5"/>
      <c r="O73" s="5"/>
      <c r="P73" s="5"/>
      <c r="Q73" s="5"/>
      <c r="R73" s="5"/>
      <c r="S73" s="5"/>
      <c r="T73" s="5"/>
    </row>
    <row r="74" spans="3:20">
      <c r="C74" s="5"/>
      <c r="D74" s="5"/>
      <c r="E74" s="5"/>
      <c r="F74" s="5"/>
      <c r="G74" s="5"/>
      <c r="H74" s="5"/>
      <c r="I74" s="5"/>
      <c r="J74" s="5"/>
      <c r="K74" s="5"/>
      <c r="L74" s="5"/>
      <c r="M74" s="5"/>
      <c r="N74" s="5"/>
      <c r="O74" s="5"/>
      <c r="P74" s="5"/>
      <c r="Q74" s="5"/>
      <c r="R74" s="5"/>
      <c r="S74" s="5"/>
      <c r="T74" s="5"/>
    </row>
    <row r="75" spans="3:20">
      <c r="C75" s="5"/>
      <c r="D75" s="5"/>
      <c r="E75" s="5"/>
      <c r="F75" s="5"/>
      <c r="G75" s="5"/>
      <c r="H75" s="5"/>
      <c r="I75" s="5"/>
      <c r="J75" s="5"/>
      <c r="K75" s="5"/>
      <c r="L75" s="5"/>
      <c r="M75" s="5"/>
      <c r="N75" s="5"/>
      <c r="O75" s="5"/>
      <c r="P75" s="5"/>
      <c r="Q75" s="5"/>
      <c r="R75" s="5"/>
      <c r="S75" s="5"/>
      <c r="T75" s="5"/>
    </row>
    <row r="76" spans="3:20">
      <c r="C76" s="5"/>
      <c r="D76" s="5"/>
      <c r="E76" s="5"/>
      <c r="F76" s="5"/>
      <c r="G76" s="5"/>
      <c r="H76" s="5"/>
      <c r="I76" s="5"/>
      <c r="J76" s="5"/>
      <c r="K76" s="5"/>
      <c r="L76" s="5"/>
      <c r="M76" s="5"/>
      <c r="N76" s="5"/>
      <c r="O76" s="5"/>
      <c r="P76" s="5"/>
      <c r="Q76" s="5"/>
      <c r="R76" s="5"/>
      <c r="S76" s="5"/>
      <c r="T76" s="5"/>
    </row>
    <row r="77" spans="3:20">
      <c r="C77" s="5"/>
      <c r="D77" s="5"/>
      <c r="E77" s="5"/>
      <c r="F77" s="5"/>
      <c r="G77" s="5"/>
      <c r="H77" s="5"/>
      <c r="I77" s="5"/>
      <c r="J77" s="5"/>
      <c r="K77" s="5"/>
      <c r="L77" s="5"/>
      <c r="M77" s="5"/>
      <c r="N77" s="5"/>
      <c r="O77" s="5"/>
      <c r="P77" s="5"/>
      <c r="Q77" s="5"/>
      <c r="R77" s="5"/>
      <c r="S77" s="5"/>
      <c r="T77" s="5"/>
    </row>
    <row r="78" spans="3:20">
      <c r="C78" s="5"/>
      <c r="D78" s="5"/>
      <c r="E78" s="5"/>
      <c r="F78" s="5"/>
      <c r="G78" s="5"/>
      <c r="H78" s="5"/>
      <c r="I78" s="5"/>
      <c r="J78" s="5"/>
      <c r="K78" s="5"/>
      <c r="L78" s="5"/>
      <c r="M78" s="5"/>
      <c r="N78" s="5"/>
      <c r="O78" s="5"/>
      <c r="P78" s="5"/>
      <c r="Q78" s="5"/>
      <c r="R78" s="5"/>
      <c r="S78" s="5"/>
      <c r="T78" s="5"/>
    </row>
    <row r="79" spans="3:20">
      <c r="C79" s="5"/>
      <c r="D79" s="5"/>
      <c r="E79" s="5"/>
      <c r="F79" s="5"/>
      <c r="G79" s="5"/>
      <c r="H79" s="5"/>
      <c r="I79" s="5"/>
      <c r="J79" s="5"/>
      <c r="K79" s="5"/>
      <c r="L79" s="5"/>
      <c r="M79" s="5"/>
      <c r="N79" s="5"/>
      <c r="O79" s="5"/>
      <c r="P79" s="5"/>
      <c r="Q79" s="5"/>
      <c r="R79" s="5"/>
      <c r="S79" s="5"/>
      <c r="T79" s="5"/>
    </row>
    <row r="80" spans="3:20">
      <c r="C80" s="5"/>
      <c r="D80" s="5"/>
      <c r="E80" s="5"/>
      <c r="F80" s="5"/>
      <c r="G80" s="5"/>
      <c r="H80" s="5"/>
      <c r="I80" s="5"/>
      <c r="J80" s="5"/>
      <c r="K80" s="5"/>
      <c r="L80" s="5"/>
      <c r="M80" s="5"/>
      <c r="N80" s="5"/>
      <c r="O80" s="5"/>
      <c r="P80" s="5"/>
      <c r="Q80" s="5"/>
      <c r="R80" s="5"/>
      <c r="S80" s="5"/>
      <c r="T80" s="5"/>
    </row>
    <row r="81" spans="3:20">
      <c r="C81" s="5"/>
      <c r="D81" s="5"/>
      <c r="E81" s="5"/>
      <c r="F81" s="5"/>
      <c r="G81" s="5"/>
      <c r="H81" s="5"/>
      <c r="I81" s="5"/>
      <c r="J81" s="5"/>
      <c r="K81" s="5"/>
      <c r="L81" s="5"/>
      <c r="M81" s="5"/>
      <c r="N81" s="5"/>
      <c r="O81" s="5"/>
      <c r="P81" s="5"/>
      <c r="Q81" s="5"/>
      <c r="R81" s="5"/>
      <c r="S81" s="5"/>
      <c r="T81" s="5"/>
    </row>
    <row r="82" spans="3:20">
      <c r="C82" s="5"/>
      <c r="D82" s="5"/>
      <c r="E82" s="5"/>
      <c r="F82" s="5"/>
      <c r="G82" s="5"/>
      <c r="H82" s="5"/>
      <c r="I82" s="5"/>
      <c r="J82" s="5"/>
      <c r="K82" s="5"/>
      <c r="L82" s="5"/>
      <c r="M82" s="5"/>
      <c r="N82" s="5"/>
      <c r="O82" s="5"/>
      <c r="P82" s="5"/>
      <c r="Q82" s="5"/>
      <c r="R82" s="5"/>
      <c r="S82" s="5"/>
      <c r="T82" s="5"/>
    </row>
    <row r="83" spans="3:20">
      <c r="C83" s="5"/>
      <c r="D83" s="5"/>
      <c r="E83" s="5"/>
      <c r="F83" s="5"/>
      <c r="G83" s="5"/>
      <c r="H83" s="5"/>
      <c r="I83" s="5"/>
      <c r="J83" s="5"/>
      <c r="K83" s="5"/>
      <c r="L83" s="5"/>
      <c r="M83" s="5"/>
      <c r="N83" s="5"/>
      <c r="O83" s="5"/>
      <c r="P83" s="5"/>
      <c r="Q83" s="5"/>
      <c r="R83" s="5"/>
      <c r="S83" s="5"/>
      <c r="T83" s="5"/>
    </row>
    <row r="84" spans="3:20">
      <c r="C84" s="5"/>
      <c r="D84" s="5"/>
      <c r="E84" s="5"/>
      <c r="F84" s="5"/>
      <c r="G84" s="5"/>
      <c r="H84" s="5"/>
      <c r="I84" s="5"/>
      <c r="J84" s="5"/>
      <c r="K84" s="5"/>
      <c r="L84" s="5"/>
      <c r="M84" s="5"/>
      <c r="N84" s="5"/>
      <c r="O84" s="5"/>
      <c r="P84" s="5"/>
      <c r="Q84" s="5"/>
      <c r="R84" s="5"/>
      <c r="S84" s="5"/>
      <c r="T84" s="5"/>
    </row>
    <row r="85" spans="3:20">
      <c r="C85" s="5"/>
      <c r="D85" s="5"/>
      <c r="E85" s="5"/>
      <c r="F85" s="5"/>
      <c r="G85" s="5"/>
      <c r="H85" s="5"/>
      <c r="I85" s="5"/>
      <c r="J85" s="5"/>
      <c r="K85" s="5"/>
      <c r="L85" s="5"/>
      <c r="M85" s="5"/>
      <c r="N85" s="5"/>
      <c r="O85" s="5"/>
      <c r="P85" s="5"/>
      <c r="Q85" s="5"/>
      <c r="R85" s="5"/>
      <c r="S85" s="5"/>
      <c r="T85" s="5"/>
    </row>
    <row r="86" spans="3:20">
      <c r="C86" s="5"/>
      <c r="D86" s="5"/>
      <c r="E86" s="5"/>
      <c r="F86" s="5"/>
      <c r="G86" s="5"/>
      <c r="H86" s="5"/>
      <c r="I86" s="5"/>
      <c r="J86" s="5"/>
      <c r="K86" s="5"/>
      <c r="L86" s="5"/>
      <c r="M86" s="5"/>
      <c r="N86" s="5"/>
      <c r="O86" s="5"/>
      <c r="P86" s="5"/>
      <c r="Q86" s="5"/>
      <c r="R86" s="5"/>
      <c r="S86" s="5"/>
      <c r="T86" s="5"/>
    </row>
    <row r="87" spans="3:20">
      <c r="C87" s="5"/>
      <c r="D87" s="5"/>
      <c r="E87" s="5"/>
      <c r="F87" s="5"/>
      <c r="G87" s="5"/>
      <c r="H87" s="5"/>
      <c r="I87" s="5"/>
      <c r="J87" s="5"/>
      <c r="K87" s="5"/>
      <c r="L87" s="5"/>
      <c r="M87" s="5"/>
      <c r="N87" s="5"/>
      <c r="O87" s="5"/>
      <c r="P87" s="5"/>
      <c r="Q87" s="5"/>
      <c r="R87" s="5"/>
      <c r="S87" s="5"/>
      <c r="T87" s="5"/>
    </row>
    <row r="88" spans="3:20">
      <c r="C88" s="5"/>
      <c r="D88" s="5"/>
      <c r="E88" s="5"/>
      <c r="F88" s="5"/>
      <c r="G88" s="5"/>
      <c r="H88" s="5"/>
      <c r="I88" s="5"/>
      <c r="J88" s="5"/>
      <c r="K88" s="5"/>
      <c r="L88" s="5"/>
      <c r="M88" s="5"/>
      <c r="N88" s="5"/>
      <c r="O88" s="5"/>
      <c r="P88" s="5"/>
      <c r="Q88" s="5"/>
      <c r="R88" s="5"/>
      <c r="S88" s="5"/>
      <c r="T88" s="5"/>
    </row>
    <row r="89" spans="3:20">
      <c r="C89" s="5"/>
      <c r="D89" s="5"/>
      <c r="E89" s="5"/>
      <c r="F89" s="5"/>
      <c r="G89" s="5"/>
      <c r="H89" s="5"/>
      <c r="I89" s="5"/>
      <c r="J89" s="5"/>
      <c r="K89" s="5"/>
      <c r="L89" s="5"/>
      <c r="M89" s="5"/>
      <c r="N89" s="5"/>
      <c r="O89" s="5"/>
      <c r="P89" s="5"/>
      <c r="Q89" s="5"/>
      <c r="R89" s="5"/>
      <c r="S89" s="5"/>
      <c r="T89" s="5"/>
    </row>
    <row r="90" spans="3:20">
      <c r="C90" s="5"/>
      <c r="D90" s="5"/>
      <c r="E90" s="5"/>
      <c r="F90" s="5"/>
      <c r="G90" s="5"/>
      <c r="H90" s="5"/>
      <c r="I90" s="5"/>
      <c r="J90" s="5"/>
      <c r="K90" s="5"/>
      <c r="L90" s="5"/>
      <c r="M90" s="5"/>
      <c r="N90" s="5"/>
      <c r="O90" s="5"/>
      <c r="P90" s="5"/>
      <c r="Q90" s="5"/>
      <c r="R90" s="5"/>
      <c r="S90" s="5"/>
      <c r="T90" s="5"/>
    </row>
    <row r="91" spans="3:20">
      <c r="C91" s="5"/>
      <c r="D91" s="5"/>
      <c r="E91" s="5"/>
      <c r="F91" s="5"/>
      <c r="G91" s="5"/>
      <c r="H91" s="5"/>
      <c r="I91" s="5"/>
      <c r="J91" s="5"/>
      <c r="K91" s="5"/>
      <c r="L91" s="5"/>
      <c r="M91" s="5"/>
      <c r="N91" s="5"/>
      <c r="O91" s="5"/>
      <c r="P91" s="5"/>
      <c r="Q91" s="5"/>
      <c r="R91" s="5"/>
      <c r="S91" s="5"/>
      <c r="T91" s="5"/>
    </row>
    <row r="92" spans="3:20">
      <c r="C92" s="5"/>
      <c r="D92" s="5"/>
      <c r="E92" s="5"/>
      <c r="F92" s="5"/>
      <c r="G92" s="5"/>
      <c r="H92" s="5"/>
      <c r="I92" s="5"/>
      <c r="J92" s="5"/>
      <c r="K92" s="5"/>
      <c r="L92" s="5"/>
      <c r="M92" s="5"/>
      <c r="N92" s="5"/>
      <c r="O92" s="5"/>
      <c r="P92" s="5"/>
      <c r="Q92" s="5"/>
      <c r="R92" s="5"/>
      <c r="S92" s="5"/>
      <c r="T92" s="5"/>
    </row>
    <row r="93" spans="3:20">
      <c r="C93" s="5"/>
      <c r="D93" s="5"/>
      <c r="E93" s="5"/>
      <c r="F93" s="5"/>
      <c r="G93" s="5"/>
      <c r="H93" s="5"/>
      <c r="I93" s="5"/>
      <c r="J93" s="5"/>
      <c r="K93" s="5"/>
      <c r="L93" s="5"/>
      <c r="M93" s="5"/>
      <c r="N93" s="5"/>
      <c r="O93" s="5"/>
      <c r="P93" s="5"/>
      <c r="Q93" s="5"/>
      <c r="R93" s="5"/>
      <c r="S93" s="5"/>
      <c r="T93" s="5"/>
    </row>
    <row r="94" spans="3:20">
      <c r="C94" s="5"/>
      <c r="D94" s="5"/>
      <c r="E94" s="5"/>
      <c r="F94" s="5"/>
      <c r="G94" s="5"/>
      <c r="H94" s="5"/>
      <c r="I94" s="5"/>
      <c r="J94" s="5"/>
      <c r="K94" s="5"/>
      <c r="L94" s="5"/>
      <c r="M94" s="5"/>
      <c r="N94" s="5"/>
      <c r="O94" s="5"/>
      <c r="P94" s="5"/>
      <c r="Q94" s="5"/>
      <c r="R94" s="5"/>
      <c r="S94" s="5"/>
      <c r="T94" s="5"/>
    </row>
    <row r="95" spans="3:20">
      <c r="C95" s="5"/>
      <c r="D95" s="5"/>
      <c r="E95" s="5"/>
      <c r="F95" s="5"/>
      <c r="G95" s="5"/>
      <c r="H95" s="5"/>
      <c r="I95" s="5"/>
      <c r="J95" s="5"/>
      <c r="K95" s="5"/>
      <c r="L95" s="5"/>
      <c r="M95" s="5"/>
      <c r="N95" s="5"/>
      <c r="O95" s="5"/>
      <c r="P95" s="5"/>
      <c r="Q95" s="5"/>
      <c r="R95" s="5"/>
      <c r="S95" s="5"/>
      <c r="T95" s="5"/>
    </row>
    <row r="96" spans="3:20">
      <c r="C96" s="5"/>
      <c r="D96" s="5"/>
      <c r="E96" s="5"/>
      <c r="F96" s="5"/>
      <c r="G96" s="5"/>
      <c r="H96" s="5"/>
      <c r="I96" s="5"/>
      <c r="J96" s="5"/>
      <c r="K96" s="5"/>
      <c r="L96" s="5"/>
      <c r="M96" s="5"/>
      <c r="N96" s="5"/>
      <c r="O96" s="5"/>
      <c r="P96" s="5"/>
      <c r="Q96" s="5"/>
      <c r="R96" s="5"/>
      <c r="S96" s="5"/>
      <c r="T96" s="5"/>
    </row>
    <row r="97" spans="3:20">
      <c r="C97" s="5"/>
      <c r="D97" s="5"/>
      <c r="E97" s="5"/>
      <c r="F97" s="5"/>
      <c r="G97" s="5"/>
      <c r="H97" s="5"/>
      <c r="I97" s="5"/>
      <c r="J97" s="5"/>
      <c r="K97" s="5"/>
      <c r="L97" s="5"/>
      <c r="M97" s="5"/>
      <c r="N97" s="5"/>
      <c r="O97" s="5"/>
      <c r="P97" s="5"/>
      <c r="Q97" s="5"/>
      <c r="R97" s="5"/>
      <c r="S97" s="5"/>
      <c r="T97" s="5"/>
    </row>
    <row r="98" spans="3:20">
      <c r="C98" s="5"/>
      <c r="D98" s="5"/>
      <c r="E98" s="5"/>
      <c r="F98" s="5"/>
      <c r="G98" s="5"/>
      <c r="H98" s="5"/>
      <c r="I98" s="5"/>
      <c r="J98" s="5"/>
      <c r="K98" s="5"/>
      <c r="L98" s="5"/>
      <c r="M98" s="5"/>
      <c r="N98" s="5"/>
      <c r="O98" s="5"/>
      <c r="P98" s="5"/>
      <c r="Q98" s="5"/>
      <c r="R98" s="5"/>
      <c r="S98" s="5"/>
      <c r="T98" s="5"/>
    </row>
    <row r="99" spans="3:20">
      <c r="C99" s="5"/>
      <c r="D99" s="5"/>
      <c r="E99" s="5"/>
      <c r="F99" s="5"/>
      <c r="G99" s="5"/>
      <c r="H99" s="5"/>
      <c r="I99" s="5"/>
      <c r="J99" s="5"/>
      <c r="K99" s="5"/>
      <c r="L99" s="5"/>
      <c r="M99" s="5"/>
      <c r="N99" s="5"/>
      <c r="O99" s="5"/>
      <c r="P99" s="5"/>
      <c r="Q99" s="5"/>
      <c r="R99" s="5"/>
      <c r="S99" s="5"/>
      <c r="T99" s="5"/>
    </row>
    <row r="100" spans="3:20">
      <c r="C100" s="5"/>
      <c r="D100" s="5"/>
      <c r="E100" s="5"/>
      <c r="F100" s="5"/>
      <c r="G100" s="5"/>
      <c r="H100" s="5"/>
      <c r="I100" s="5"/>
      <c r="J100" s="5"/>
      <c r="K100" s="5"/>
      <c r="L100" s="5"/>
      <c r="M100" s="5"/>
      <c r="N100" s="5"/>
      <c r="O100" s="5"/>
      <c r="P100" s="5"/>
      <c r="Q100" s="5"/>
      <c r="R100" s="5"/>
      <c r="S100" s="5"/>
      <c r="T100" s="5"/>
    </row>
    <row r="101" spans="3:20">
      <c r="C101" s="5"/>
      <c r="D101" s="5"/>
      <c r="E101" s="5"/>
      <c r="F101" s="5"/>
      <c r="G101" s="5"/>
      <c r="H101" s="5"/>
      <c r="I101" s="5"/>
      <c r="J101" s="5"/>
      <c r="K101" s="5"/>
      <c r="L101" s="5"/>
      <c r="M101" s="5"/>
      <c r="N101" s="5"/>
      <c r="O101" s="5"/>
      <c r="P101" s="5"/>
      <c r="Q101" s="5"/>
      <c r="R101" s="5"/>
      <c r="S101" s="5"/>
      <c r="T101" s="5"/>
    </row>
    <row r="102" spans="3:20">
      <c r="C102" s="5"/>
      <c r="D102" s="5"/>
      <c r="E102" s="5"/>
      <c r="F102" s="5"/>
      <c r="G102" s="5"/>
      <c r="H102" s="5"/>
      <c r="I102" s="5"/>
      <c r="J102" s="5"/>
      <c r="K102" s="5"/>
      <c r="L102" s="5"/>
      <c r="M102" s="5"/>
      <c r="N102" s="5"/>
      <c r="O102" s="5"/>
      <c r="P102" s="5"/>
      <c r="Q102" s="5"/>
      <c r="R102" s="5"/>
      <c r="S102" s="5"/>
      <c r="T102" s="5"/>
    </row>
    <row r="103" spans="3:20">
      <c r="C103" s="5"/>
      <c r="D103" s="5"/>
      <c r="E103" s="5"/>
      <c r="F103" s="5"/>
      <c r="G103" s="5"/>
      <c r="H103" s="5"/>
      <c r="I103" s="5"/>
      <c r="J103" s="5"/>
      <c r="K103" s="5"/>
      <c r="L103" s="5"/>
      <c r="M103" s="5"/>
      <c r="N103" s="5"/>
      <c r="O103" s="5"/>
      <c r="P103" s="5"/>
      <c r="Q103" s="5"/>
      <c r="R103" s="5"/>
      <c r="S103" s="5"/>
      <c r="T103" s="5"/>
    </row>
    <row r="104" spans="3:20">
      <c r="C104" s="5"/>
      <c r="D104" s="5"/>
      <c r="E104" s="5"/>
      <c r="F104" s="5"/>
      <c r="G104" s="5"/>
      <c r="H104" s="5"/>
      <c r="I104" s="5"/>
      <c r="J104" s="5"/>
      <c r="K104" s="5"/>
      <c r="L104" s="5"/>
      <c r="M104" s="5"/>
      <c r="N104" s="5"/>
      <c r="O104" s="5"/>
      <c r="P104" s="5"/>
      <c r="Q104" s="5"/>
      <c r="R104" s="5"/>
      <c r="S104" s="5"/>
      <c r="T104" s="5"/>
    </row>
    <row r="105" spans="3:20">
      <c r="C105" s="5"/>
      <c r="D105" s="5"/>
      <c r="E105" s="5"/>
      <c r="F105" s="5"/>
      <c r="G105" s="5"/>
      <c r="H105" s="5"/>
      <c r="I105" s="5"/>
      <c r="J105" s="5"/>
      <c r="K105" s="5"/>
      <c r="L105" s="5"/>
      <c r="M105" s="5"/>
      <c r="N105" s="5"/>
      <c r="O105" s="5"/>
      <c r="P105" s="5"/>
      <c r="Q105" s="5"/>
      <c r="R105" s="5"/>
      <c r="S105" s="5"/>
      <c r="T105" s="5"/>
    </row>
    <row r="106" spans="3:20">
      <c r="C106" s="5"/>
      <c r="D106" s="5"/>
      <c r="E106" s="5"/>
      <c r="F106" s="5"/>
      <c r="G106" s="5"/>
      <c r="H106" s="5"/>
      <c r="I106" s="5"/>
      <c r="J106" s="5"/>
      <c r="K106" s="5"/>
      <c r="L106" s="5"/>
      <c r="M106" s="5"/>
      <c r="N106" s="5"/>
      <c r="O106" s="5"/>
      <c r="P106" s="5"/>
      <c r="Q106" s="5"/>
      <c r="R106" s="5"/>
      <c r="S106" s="5"/>
      <c r="T106" s="5"/>
    </row>
    <row r="107" spans="3:20">
      <c r="C107" s="5"/>
      <c r="D107" s="5"/>
      <c r="E107" s="5"/>
      <c r="F107" s="5"/>
      <c r="G107" s="5"/>
      <c r="H107" s="5"/>
      <c r="I107" s="5"/>
      <c r="J107" s="5"/>
      <c r="K107" s="5"/>
      <c r="L107" s="5"/>
      <c r="M107" s="5"/>
      <c r="N107" s="5"/>
      <c r="O107" s="5"/>
      <c r="P107" s="5"/>
      <c r="Q107" s="5"/>
      <c r="R107" s="5"/>
      <c r="S107" s="5"/>
      <c r="T107" s="5"/>
    </row>
    <row r="108" spans="3:20">
      <c r="C108" s="5"/>
      <c r="D108" s="5"/>
      <c r="E108" s="5"/>
      <c r="F108" s="5"/>
      <c r="G108" s="5"/>
      <c r="H108" s="5"/>
      <c r="I108" s="5"/>
      <c r="J108" s="5"/>
      <c r="K108" s="5"/>
      <c r="L108" s="5"/>
      <c r="M108" s="5"/>
      <c r="N108" s="5"/>
      <c r="O108" s="5"/>
      <c r="P108" s="5"/>
      <c r="Q108" s="5"/>
      <c r="R108" s="5"/>
      <c r="S108" s="5"/>
      <c r="T108" s="5"/>
    </row>
    <row r="109" spans="3:20">
      <c r="C109" s="5"/>
      <c r="D109" s="5"/>
      <c r="E109" s="5"/>
      <c r="F109" s="5"/>
      <c r="G109" s="5"/>
      <c r="H109" s="5"/>
      <c r="I109" s="5"/>
      <c r="J109" s="5"/>
      <c r="K109" s="5"/>
      <c r="L109" s="5"/>
      <c r="M109" s="5"/>
      <c r="N109" s="5"/>
      <c r="O109" s="5"/>
      <c r="P109" s="5"/>
      <c r="Q109" s="5"/>
      <c r="R109" s="5"/>
      <c r="S109" s="5"/>
      <c r="T109" s="5"/>
    </row>
    <row r="110" spans="3:20">
      <c r="C110" s="5"/>
      <c r="D110" s="5"/>
      <c r="E110" s="5"/>
      <c r="F110" s="5"/>
      <c r="G110" s="5"/>
      <c r="H110" s="5"/>
      <c r="I110" s="5"/>
      <c r="J110" s="5"/>
      <c r="K110" s="5"/>
      <c r="L110" s="5"/>
      <c r="M110" s="5"/>
      <c r="N110" s="5"/>
      <c r="O110" s="5"/>
      <c r="P110" s="5"/>
      <c r="Q110" s="5"/>
      <c r="R110" s="5"/>
      <c r="S110" s="5"/>
      <c r="T110" s="5"/>
    </row>
    <row r="111" spans="3:20">
      <c r="C111" s="5"/>
      <c r="D111" s="5"/>
      <c r="E111" s="5"/>
      <c r="F111" s="5"/>
      <c r="G111" s="5"/>
      <c r="H111" s="5"/>
      <c r="I111" s="5"/>
      <c r="J111" s="5"/>
      <c r="K111" s="5"/>
      <c r="L111" s="5"/>
      <c r="M111" s="5"/>
      <c r="N111" s="5"/>
      <c r="O111" s="5"/>
      <c r="P111" s="5"/>
      <c r="Q111" s="5"/>
      <c r="R111" s="5"/>
      <c r="S111" s="5"/>
      <c r="T111" s="5"/>
    </row>
    <row r="112" spans="3:20">
      <c r="C112" s="5"/>
      <c r="D112" s="5"/>
      <c r="E112" s="5"/>
      <c r="F112" s="5"/>
      <c r="G112" s="5"/>
      <c r="H112" s="5"/>
      <c r="I112" s="5"/>
      <c r="J112" s="5"/>
      <c r="K112" s="5"/>
      <c r="L112" s="5"/>
      <c r="M112" s="5"/>
      <c r="N112" s="5"/>
      <c r="O112" s="5"/>
      <c r="P112" s="5"/>
      <c r="Q112" s="5"/>
      <c r="R112" s="5"/>
      <c r="S112" s="5"/>
      <c r="T112" s="5"/>
    </row>
    <row r="113" spans="3:20">
      <c r="C113" s="5"/>
      <c r="D113" s="5"/>
      <c r="E113" s="5"/>
      <c r="F113" s="5"/>
      <c r="G113" s="5"/>
      <c r="H113" s="5"/>
      <c r="I113" s="5"/>
      <c r="J113" s="5"/>
      <c r="K113" s="5"/>
      <c r="L113" s="5"/>
      <c r="M113" s="5"/>
      <c r="N113" s="5"/>
      <c r="O113" s="5"/>
      <c r="P113" s="5"/>
      <c r="Q113" s="5"/>
      <c r="R113" s="5"/>
      <c r="S113" s="5"/>
      <c r="T113" s="5"/>
    </row>
    <row r="114" spans="3:20">
      <c r="C114" s="5"/>
      <c r="D114" s="5"/>
      <c r="E114" s="5"/>
      <c r="F114" s="5"/>
      <c r="G114" s="5"/>
      <c r="H114" s="5"/>
      <c r="I114" s="5"/>
      <c r="J114" s="5"/>
      <c r="K114" s="5"/>
      <c r="L114" s="5"/>
      <c r="M114" s="5"/>
      <c r="N114" s="5"/>
      <c r="O114" s="5"/>
      <c r="P114" s="5"/>
      <c r="Q114" s="5"/>
      <c r="R114" s="5"/>
      <c r="S114" s="5"/>
      <c r="T114" s="5"/>
    </row>
    <row r="115" spans="3:20">
      <c r="C115" s="5"/>
      <c r="D115" s="5"/>
      <c r="E115" s="5"/>
      <c r="F115" s="5"/>
      <c r="G115" s="5"/>
      <c r="H115" s="5"/>
      <c r="I115" s="5"/>
      <c r="J115" s="5"/>
      <c r="K115" s="5"/>
      <c r="L115" s="5"/>
      <c r="M115" s="5"/>
      <c r="N115" s="5"/>
      <c r="O115" s="5"/>
      <c r="P115" s="5"/>
      <c r="Q115" s="5"/>
      <c r="R115" s="5"/>
      <c r="S115" s="5"/>
      <c r="T115" s="5"/>
    </row>
    <row r="116" spans="3:20">
      <c r="C116" s="5"/>
      <c r="D116" s="5"/>
      <c r="E116" s="5"/>
      <c r="F116" s="5"/>
      <c r="G116" s="5"/>
      <c r="H116" s="5"/>
      <c r="I116" s="5"/>
      <c r="J116" s="5"/>
      <c r="K116" s="5"/>
      <c r="L116" s="5"/>
      <c r="M116" s="5"/>
      <c r="N116" s="5"/>
      <c r="O116" s="5"/>
      <c r="P116" s="5"/>
      <c r="Q116" s="5"/>
      <c r="R116" s="5"/>
      <c r="S116" s="5"/>
      <c r="T116" s="5"/>
    </row>
    <row r="117" spans="3:20">
      <c r="C117" s="5"/>
      <c r="D117" s="5"/>
      <c r="E117" s="5"/>
      <c r="F117" s="5"/>
      <c r="G117" s="5"/>
      <c r="H117" s="5"/>
      <c r="I117" s="5"/>
      <c r="J117" s="5"/>
      <c r="K117" s="5"/>
      <c r="L117" s="5"/>
      <c r="M117" s="5"/>
      <c r="N117" s="5"/>
      <c r="O117" s="5"/>
      <c r="P117" s="5"/>
      <c r="Q117" s="5"/>
      <c r="R117" s="5"/>
      <c r="S117" s="5"/>
      <c r="T117" s="5"/>
    </row>
    <row r="118" spans="3:20">
      <c r="C118" s="5"/>
      <c r="D118" s="5"/>
      <c r="E118" s="5"/>
      <c r="F118" s="5"/>
      <c r="G118" s="5"/>
      <c r="H118" s="5"/>
      <c r="I118" s="5"/>
      <c r="J118" s="5"/>
      <c r="K118" s="5"/>
      <c r="L118" s="5"/>
      <c r="M118" s="5"/>
      <c r="N118" s="5"/>
      <c r="O118" s="5"/>
      <c r="P118" s="5"/>
      <c r="Q118" s="5"/>
      <c r="R118" s="5"/>
      <c r="S118" s="5"/>
      <c r="T118" s="5"/>
    </row>
    <row r="119" spans="3:20">
      <c r="C119" s="5"/>
      <c r="D119" s="5"/>
      <c r="E119" s="5"/>
      <c r="F119" s="5"/>
      <c r="G119" s="5"/>
      <c r="H119" s="5"/>
      <c r="I119" s="5"/>
      <c r="J119" s="5"/>
      <c r="K119" s="5"/>
      <c r="L119" s="5"/>
      <c r="M119" s="5"/>
      <c r="N119" s="5"/>
      <c r="O119" s="5"/>
      <c r="P119" s="5"/>
      <c r="Q119" s="5"/>
      <c r="R119" s="5"/>
      <c r="S119" s="5"/>
      <c r="T119" s="5"/>
    </row>
    <row r="120" spans="3:20">
      <c r="C120" s="5"/>
      <c r="D120" s="5"/>
      <c r="E120" s="5"/>
      <c r="F120" s="5"/>
      <c r="G120" s="5"/>
      <c r="H120" s="5"/>
      <c r="I120" s="5"/>
      <c r="J120" s="5"/>
      <c r="K120" s="5"/>
      <c r="L120" s="5"/>
      <c r="M120" s="5"/>
      <c r="N120" s="5"/>
      <c r="O120" s="5"/>
      <c r="P120" s="5"/>
      <c r="Q120" s="5"/>
      <c r="R120" s="5"/>
      <c r="S120" s="5"/>
      <c r="T120" s="5"/>
    </row>
    <row r="121" spans="3:20">
      <c r="C121" s="5"/>
      <c r="D121" s="5"/>
      <c r="E121" s="5"/>
      <c r="F121" s="5"/>
      <c r="G121" s="5"/>
      <c r="H121" s="5"/>
      <c r="I121" s="5"/>
      <c r="J121" s="5"/>
      <c r="K121" s="5"/>
      <c r="L121" s="5"/>
      <c r="M121" s="5"/>
      <c r="N121" s="5"/>
      <c r="O121" s="5"/>
      <c r="P121" s="5"/>
      <c r="Q121" s="5"/>
      <c r="R121" s="5"/>
      <c r="S121" s="5"/>
      <c r="T121" s="5"/>
    </row>
    <row r="122" spans="3:20">
      <c r="C122" s="5"/>
      <c r="D122" s="5"/>
      <c r="E122" s="5"/>
      <c r="F122" s="5"/>
      <c r="G122" s="5"/>
      <c r="H122" s="5"/>
      <c r="I122" s="5"/>
      <c r="J122" s="5"/>
      <c r="K122" s="5"/>
      <c r="L122" s="5"/>
      <c r="M122" s="5"/>
      <c r="N122" s="5"/>
      <c r="O122" s="5"/>
      <c r="P122" s="5"/>
      <c r="Q122" s="5"/>
      <c r="R122" s="5"/>
      <c r="S122" s="5"/>
      <c r="T122" s="5"/>
    </row>
    <row r="123" spans="3:20">
      <c r="C123" s="5"/>
      <c r="D123" s="5"/>
      <c r="E123" s="5"/>
      <c r="F123" s="5"/>
      <c r="G123" s="5"/>
      <c r="H123" s="5"/>
      <c r="I123" s="5"/>
      <c r="J123" s="5"/>
      <c r="K123" s="5"/>
      <c r="L123" s="5"/>
      <c r="M123" s="5"/>
      <c r="N123" s="5"/>
      <c r="O123" s="5"/>
      <c r="P123" s="5"/>
      <c r="Q123" s="5"/>
      <c r="R123" s="5"/>
      <c r="S123" s="5"/>
      <c r="T123" s="5"/>
    </row>
    <row r="124" spans="3:20">
      <c r="C124" s="5"/>
      <c r="D124" s="5"/>
      <c r="E124" s="5"/>
      <c r="F124" s="5"/>
      <c r="G124" s="5"/>
      <c r="H124" s="5"/>
      <c r="I124" s="5"/>
      <c r="J124" s="5"/>
      <c r="K124" s="5"/>
      <c r="L124" s="5"/>
      <c r="M124" s="5"/>
      <c r="N124" s="5"/>
      <c r="O124" s="5"/>
      <c r="P124" s="5"/>
      <c r="Q124" s="5"/>
      <c r="R124" s="5"/>
      <c r="S124" s="5"/>
      <c r="T124" s="5"/>
    </row>
    <row r="125" spans="3:20">
      <c r="C125" s="5"/>
      <c r="D125" s="5"/>
      <c r="E125" s="5"/>
      <c r="F125" s="5"/>
      <c r="G125" s="5"/>
      <c r="H125" s="5"/>
      <c r="I125" s="5"/>
      <c r="J125" s="5"/>
      <c r="K125" s="5"/>
      <c r="L125" s="5"/>
      <c r="M125" s="5"/>
      <c r="N125" s="5"/>
      <c r="O125" s="5"/>
      <c r="P125" s="5"/>
      <c r="Q125" s="5"/>
      <c r="R125" s="5"/>
      <c r="S125" s="5"/>
      <c r="T125" s="5"/>
    </row>
    <row r="126" spans="3:20">
      <c r="C126" s="5"/>
      <c r="D126" s="5"/>
      <c r="E126" s="5"/>
      <c r="F126" s="5"/>
      <c r="G126" s="5"/>
      <c r="H126" s="5"/>
      <c r="I126" s="5"/>
      <c r="J126" s="5"/>
      <c r="K126" s="5"/>
      <c r="L126" s="5"/>
      <c r="M126" s="5"/>
      <c r="N126" s="5"/>
      <c r="O126" s="5"/>
      <c r="P126" s="5"/>
      <c r="Q126" s="5"/>
      <c r="R126" s="5"/>
      <c r="S126" s="5"/>
      <c r="T126" s="5"/>
    </row>
    <row r="127" spans="3:20">
      <c r="C127" s="5"/>
      <c r="D127" s="5"/>
      <c r="E127" s="5"/>
      <c r="F127" s="5"/>
      <c r="G127" s="5"/>
      <c r="H127" s="5"/>
      <c r="I127" s="5"/>
      <c r="J127" s="5"/>
      <c r="K127" s="5"/>
      <c r="L127" s="5"/>
      <c r="M127" s="5"/>
      <c r="N127" s="5"/>
      <c r="O127" s="5"/>
      <c r="P127" s="5"/>
      <c r="Q127" s="5"/>
      <c r="R127" s="5"/>
      <c r="S127" s="5"/>
      <c r="T127" s="5"/>
    </row>
    <row r="128" spans="3:20">
      <c r="C128" s="5"/>
      <c r="D128" s="5"/>
      <c r="E128" s="5"/>
      <c r="F128" s="5"/>
      <c r="G128" s="5"/>
      <c r="H128" s="5"/>
      <c r="I128" s="5"/>
      <c r="J128" s="5"/>
      <c r="K128" s="5"/>
      <c r="L128" s="5"/>
      <c r="M128" s="5"/>
      <c r="N128" s="5"/>
      <c r="O128" s="5"/>
      <c r="P128" s="5"/>
      <c r="Q128" s="5"/>
      <c r="R128" s="5"/>
      <c r="S128" s="5"/>
      <c r="T128" s="5"/>
    </row>
    <row r="129" spans="3:20">
      <c r="C129" s="5"/>
      <c r="D129" s="5"/>
      <c r="E129" s="5"/>
      <c r="F129" s="5"/>
      <c r="G129" s="5"/>
      <c r="H129" s="5"/>
      <c r="I129" s="5"/>
      <c r="J129" s="5"/>
      <c r="K129" s="5"/>
      <c r="L129" s="5"/>
      <c r="M129" s="5"/>
      <c r="N129" s="5"/>
      <c r="O129" s="5"/>
      <c r="P129" s="5"/>
      <c r="Q129" s="5"/>
      <c r="R129" s="5"/>
      <c r="S129" s="5"/>
      <c r="T129" s="5"/>
    </row>
    <row r="130" spans="3:20">
      <c r="C130" s="5"/>
      <c r="D130" s="5"/>
      <c r="E130" s="5"/>
      <c r="F130" s="5"/>
      <c r="G130" s="5"/>
      <c r="H130" s="5"/>
      <c r="I130" s="5"/>
      <c r="J130" s="5"/>
      <c r="K130" s="5"/>
      <c r="L130" s="5"/>
      <c r="M130" s="5"/>
      <c r="N130" s="5"/>
      <c r="O130" s="5"/>
      <c r="P130" s="5"/>
      <c r="Q130" s="5"/>
      <c r="R130" s="5"/>
      <c r="S130" s="5"/>
      <c r="T130" s="5"/>
    </row>
    <row r="131" spans="3:20">
      <c r="C131" s="5"/>
      <c r="D131" s="5"/>
      <c r="E131" s="5"/>
      <c r="F131" s="5"/>
      <c r="G131" s="5"/>
      <c r="H131" s="5"/>
      <c r="I131" s="5"/>
      <c r="J131" s="5"/>
      <c r="K131" s="5"/>
      <c r="L131" s="5"/>
      <c r="M131" s="5"/>
      <c r="N131" s="5"/>
      <c r="O131" s="5"/>
      <c r="P131" s="5"/>
      <c r="Q131" s="5"/>
      <c r="R131" s="5"/>
      <c r="S131" s="5"/>
      <c r="T131" s="5"/>
    </row>
    <row r="132" spans="3:20">
      <c r="C132" s="5"/>
      <c r="D132" s="5"/>
      <c r="E132" s="5"/>
      <c r="F132" s="5"/>
      <c r="G132" s="5"/>
      <c r="H132" s="5"/>
      <c r="I132" s="5"/>
      <c r="J132" s="5"/>
      <c r="K132" s="5"/>
      <c r="L132" s="5"/>
      <c r="M132" s="5"/>
      <c r="N132" s="5"/>
      <c r="O132" s="5"/>
      <c r="P132" s="5"/>
      <c r="Q132" s="5"/>
      <c r="R132" s="5"/>
      <c r="S132" s="5"/>
      <c r="T132" s="5"/>
    </row>
    <row r="133" spans="3:20">
      <c r="C133" s="5"/>
      <c r="D133" s="5"/>
      <c r="E133" s="5"/>
      <c r="F133" s="5"/>
      <c r="G133" s="5"/>
      <c r="H133" s="5"/>
      <c r="I133" s="5"/>
      <c r="J133" s="5"/>
      <c r="K133" s="5"/>
      <c r="L133" s="5"/>
      <c r="M133" s="5"/>
      <c r="N133" s="5"/>
      <c r="O133" s="5"/>
      <c r="P133" s="5"/>
      <c r="Q133" s="5"/>
      <c r="R133" s="5"/>
      <c r="S133" s="5"/>
      <c r="T133" s="5"/>
    </row>
    <row r="134" spans="3:20">
      <c r="C134" s="5"/>
      <c r="D134" s="5"/>
      <c r="E134" s="5"/>
      <c r="F134" s="5"/>
      <c r="G134" s="5"/>
      <c r="H134" s="5"/>
      <c r="I134" s="5"/>
      <c r="J134" s="5"/>
      <c r="K134" s="5"/>
      <c r="L134" s="5"/>
      <c r="M134" s="5"/>
      <c r="N134" s="5"/>
      <c r="O134" s="5"/>
      <c r="P134" s="5"/>
      <c r="Q134" s="5"/>
      <c r="R134" s="5"/>
      <c r="S134" s="5"/>
      <c r="T134" s="5"/>
    </row>
    <row r="135" spans="3:20">
      <c r="C135" s="5"/>
      <c r="D135" s="5"/>
      <c r="E135" s="5"/>
      <c r="F135" s="5"/>
      <c r="G135" s="5"/>
      <c r="H135" s="5"/>
      <c r="I135" s="5"/>
      <c r="J135" s="5"/>
      <c r="K135" s="5"/>
      <c r="L135" s="5"/>
      <c r="M135" s="5"/>
      <c r="N135" s="5"/>
      <c r="O135" s="5"/>
      <c r="P135" s="5"/>
      <c r="Q135" s="5"/>
      <c r="R135" s="5"/>
      <c r="S135" s="5"/>
      <c r="T135" s="5"/>
    </row>
    <row r="136" spans="3:20">
      <c r="C136" s="5"/>
      <c r="D136" s="5"/>
      <c r="E136" s="5"/>
      <c r="F136" s="5"/>
      <c r="G136" s="5"/>
      <c r="H136" s="5"/>
      <c r="I136" s="5"/>
      <c r="J136" s="5"/>
      <c r="K136" s="5"/>
      <c r="L136" s="5"/>
      <c r="M136" s="5"/>
      <c r="N136" s="5"/>
      <c r="O136" s="5"/>
      <c r="P136" s="5"/>
      <c r="Q136" s="5"/>
      <c r="R136" s="5"/>
      <c r="S136" s="5"/>
      <c r="T136" s="5"/>
    </row>
    <row r="137" spans="3:20">
      <c r="C137" s="5"/>
      <c r="D137" s="5"/>
      <c r="E137" s="5"/>
      <c r="F137" s="5"/>
      <c r="G137" s="5"/>
      <c r="H137" s="5"/>
      <c r="I137" s="5"/>
      <c r="J137" s="5"/>
      <c r="K137" s="5"/>
      <c r="L137" s="5"/>
      <c r="M137" s="5"/>
      <c r="N137" s="5"/>
      <c r="O137" s="5"/>
      <c r="P137" s="5"/>
      <c r="Q137" s="5"/>
      <c r="R137" s="5"/>
      <c r="S137" s="5"/>
      <c r="T137" s="5"/>
    </row>
    <row r="138" spans="3:20">
      <c r="C138" s="5"/>
      <c r="D138" s="5"/>
      <c r="E138" s="5"/>
      <c r="F138" s="5"/>
      <c r="G138" s="5"/>
      <c r="H138" s="5"/>
      <c r="I138" s="5"/>
      <c r="J138" s="5"/>
      <c r="K138" s="5"/>
      <c r="L138" s="5"/>
      <c r="M138" s="5"/>
      <c r="N138" s="5"/>
      <c r="O138" s="5"/>
      <c r="P138" s="5"/>
      <c r="Q138" s="5"/>
      <c r="R138" s="5"/>
      <c r="S138" s="5"/>
      <c r="T138" s="5"/>
    </row>
    <row r="139" spans="3:20">
      <c r="C139" s="5"/>
      <c r="D139" s="5"/>
      <c r="E139" s="5"/>
      <c r="F139" s="5"/>
      <c r="G139" s="5"/>
      <c r="H139" s="5"/>
      <c r="I139" s="5"/>
      <c r="J139" s="5"/>
      <c r="K139" s="5"/>
      <c r="L139" s="5"/>
      <c r="M139" s="5"/>
      <c r="N139" s="5"/>
      <c r="O139" s="5"/>
      <c r="P139" s="5"/>
      <c r="Q139" s="5"/>
      <c r="R139" s="5"/>
      <c r="S139" s="5"/>
      <c r="T139" s="5"/>
    </row>
    <row r="140" spans="3:20">
      <c r="C140" s="5"/>
      <c r="D140" s="5"/>
      <c r="E140" s="5"/>
      <c r="F140" s="5"/>
      <c r="G140" s="5"/>
      <c r="H140" s="5"/>
      <c r="I140" s="5"/>
      <c r="J140" s="5"/>
      <c r="K140" s="5"/>
      <c r="L140" s="5"/>
      <c r="M140" s="5"/>
      <c r="N140" s="5"/>
      <c r="O140" s="5"/>
      <c r="P140" s="5"/>
      <c r="Q140" s="5"/>
      <c r="R140" s="5"/>
      <c r="S140" s="5"/>
      <c r="T140" s="5"/>
    </row>
    <row r="141" spans="3:20">
      <c r="C141" s="5"/>
      <c r="D141" s="5"/>
      <c r="E141" s="5"/>
      <c r="F141" s="5"/>
      <c r="G141" s="5"/>
      <c r="H141" s="5"/>
      <c r="I141" s="5"/>
      <c r="J141" s="5"/>
      <c r="K141" s="5"/>
      <c r="L141" s="5"/>
      <c r="M141" s="5"/>
      <c r="N141" s="5"/>
      <c r="O141" s="5"/>
      <c r="P141" s="5"/>
      <c r="Q141" s="5"/>
      <c r="R141" s="5"/>
      <c r="S141" s="5"/>
      <c r="T141" s="5"/>
    </row>
    <row r="142" spans="3:20">
      <c r="C142" s="5"/>
      <c r="D142" s="5"/>
      <c r="E142" s="5"/>
      <c r="F142" s="5"/>
      <c r="G142" s="5"/>
      <c r="H142" s="5"/>
      <c r="I142" s="5"/>
      <c r="J142" s="5"/>
      <c r="K142" s="5"/>
      <c r="L142" s="5"/>
      <c r="M142" s="5"/>
      <c r="N142" s="5"/>
      <c r="O142" s="5"/>
      <c r="P142" s="5"/>
      <c r="Q142" s="5"/>
      <c r="R142" s="5"/>
      <c r="S142" s="5"/>
      <c r="T142" s="5"/>
    </row>
    <row r="143" spans="3:20">
      <c r="C143" s="5"/>
      <c r="D143" s="5"/>
      <c r="E143" s="5"/>
      <c r="F143" s="5"/>
      <c r="G143" s="5"/>
      <c r="H143" s="5"/>
      <c r="I143" s="5"/>
      <c r="J143" s="5"/>
      <c r="K143" s="5"/>
      <c r="L143" s="5"/>
      <c r="M143" s="5"/>
      <c r="N143" s="5"/>
      <c r="O143" s="5"/>
      <c r="P143" s="5"/>
      <c r="Q143" s="5"/>
      <c r="R143" s="5"/>
      <c r="S143" s="5"/>
      <c r="T143" s="5"/>
    </row>
    <row r="144" spans="3:20">
      <c r="C144" s="5"/>
      <c r="D144" s="5"/>
      <c r="E144" s="5"/>
      <c r="F144" s="5"/>
      <c r="G144" s="5"/>
      <c r="H144" s="5"/>
      <c r="I144" s="5"/>
      <c r="J144" s="5"/>
      <c r="K144" s="5"/>
      <c r="L144" s="5"/>
      <c r="M144" s="5"/>
      <c r="N144" s="5"/>
      <c r="O144" s="5"/>
      <c r="P144" s="5"/>
      <c r="Q144" s="5"/>
      <c r="R144" s="5"/>
      <c r="S144" s="5"/>
      <c r="T144" s="5"/>
    </row>
    <row r="145" spans="3:20">
      <c r="C145" s="5"/>
      <c r="D145" s="5"/>
      <c r="E145" s="5"/>
      <c r="F145" s="5"/>
      <c r="G145" s="5"/>
      <c r="H145" s="5"/>
      <c r="I145" s="5"/>
      <c r="J145" s="5"/>
      <c r="K145" s="5"/>
      <c r="L145" s="5"/>
      <c r="M145" s="5"/>
      <c r="N145" s="5"/>
      <c r="O145" s="5"/>
      <c r="P145" s="5"/>
      <c r="Q145" s="5"/>
      <c r="R145" s="5"/>
      <c r="S145" s="5"/>
      <c r="T145" s="5"/>
    </row>
    <row r="146" spans="3:20">
      <c r="C146" s="5"/>
      <c r="D146" s="5"/>
      <c r="E146" s="5"/>
      <c r="F146" s="5"/>
      <c r="G146" s="5"/>
      <c r="H146" s="5"/>
      <c r="I146" s="5"/>
      <c r="J146" s="5"/>
      <c r="K146" s="5"/>
      <c r="L146" s="5"/>
      <c r="M146" s="5"/>
      <c r="N146" s="5"/>
      <c r="O146" s="5"/>
      <c r="P146" s="5"/>
      <c r="Q146" s="5"/>
      <c r="R146" s="5"/>
      <c r="S146" s="5"/>
      <c r="T146" s="5"/>
    </row>
    <row r="147" spans="3:20">
      <c r="C147" s="5"/>
      <c r="D147" s="5"/>
      <c r="E147" s="5"/>
      <c r="F147" s="5"/>
      <c r="G147" s="5"/>
      <c r="H147" s="5"/>
      <c r="I147" s="5"/>
      <c r="J147" s="5"/>
      <c r="K147" s="5"/>
      <c r="L147" s="5"/>
      <c r="M147" s="5"/>
      <c r="N147" s="5"/>
      <c r="O147" s="5"/>
      <c r="P147" s="5"/>
      <c r="Q147" s="5"/>
      <c r="R147" s="5"/>
      <c r="S147" s="5"/>
      <c r="T147" s="5"/>
    </row>
    <row r="148" spans="3:20">
      <c r="C148" s="5"/>
      <c r="D148" s="5"/>
      <c r="E148" s="5"/>
      <c r="F148" s="5"/>
      <c r="G148" s="5"/>
      <c r="H148" s="5"/>
      <c r="I148" s="5"/>
      <c r="J148" s="5"/>
      <c r="K148" s="5"/>
      <c r="L148" s="5"/>
      <c r="M148" s="5"/>
      <c r="N148" s="5"/>
      <c r="O148" s="5"/>
      <c r="P148" s="5"/>
      <c r="Q148" s="5"/>
      <c r="R148" s="5"/>
      <c r="S148" s="5"/>
      <c r="T148" s="5"/>
    </row>
    <row r="149" spans="3:20">
      <c r="C149" s="5"/>
      <c r="D149" s="5"/>
      <c r="E149" s="5"/>
      <c r="F149" s="5"/>
      <c r="G149" s="5"/>
      <c r="H149" s="5"/>
      <c r="I149" s="5"/>
      <c r="J149" s="5"/>
      <c r="K149" s="5"/>
      <c r="L149" s="5"/>
      <c r="M149" s="5"/>
      <c r="N149" s="5"/>
      <c r="O149" s="5"/>
      <c r="P149" s="5"/>
      <c r="Q149" s="5"/>
      <c r="R149" s="5"/>
      <c r="S149" s="5"/>
      <c r="T149" s="5"/>
    </row>
    <row r="150" spans="3:20">
      <c r="C150" s="5"/>
      <c r="D150" s="5"/>
      <c r="E150" s="5"/>
      <c r="F150" s="5"/>
      <c r="G150" s="5"/>
      <c r="H150" s="5"/>
      <c r="I150" s="5"/>
      <c r="J150" s="5"/>
      <c r="K150" s="5"/>
      <c r="L150" s="5"/>
      <c r="M150" s="5"/>
      <c r="N150" s="5"/>
      <c r="O150" s="5"/>
      <c r="P150" s="5"/>
      <c r="Q150" s="5"/>
      <c r="R150" s="5"/>
      <c r="S150" s="5"/>
      <c r="T150" s="5"/>
    </row>
    <row r="151" spans="3:20">
      <c r="C151" s="5"/>
      <c r="D151" s="5"/>
      <c r="E151" s="5"/>
      <c r="F151" s="5"/>
      <c r="G151" s="5"/>
      <c r="H151" s="5"/>
      <c r="I151" s="5"/>
      <c r="J151" s="5"/>
      <c r="K151" s="5"/>
      <c r="L151" s="5"/>
      <c r="M151" s="5"/>
      <c r="N151" s="5"/>
      <c r="O151" s="5"/>
      <c r="P151" s="5"/>
      <c r="Q151" s="5"/>
      <c r="R151" s="5"/>
      <c r="S151" s="5"/>
      <c r="T151" s="5"/>
    </row>
    <row r="152" spans="3:20">
      <c r="C152" s="5"/>
      <c r="D152" s="5"/>
      <c r="E152" s="5"/>
      <c r="F152" s="5"/>
      <c r="G152" s="5"/>
      <c r="H152" s="5"/>
      <c r="I152" s="5"/>
      <c r="J152" s="5"/>
      <c r="K152" s="5"/>
      <c r="L152" s="5"/>
      <c r="M152" s="5"/>
      <c r="N152" s="5"/>
      <c r="O152" s="5"/>
      <c r="P152" s="5"/>
      <c r="Q152" s="5"/>
      <c r="R152" s="5"/>
      <c r="S152" s="5"/>
      <c r="T152" s="5"/>
    </row>
    <row r="153" spans="3:20">
      <c r="C153" s="5"/>
      <c r="D153" s="5"/>
      <c r="E153" s="5"/>
      <c r="F153" s="5"/>
      <c r="G153" s="5"/>
      <c r="H153" s="5"/>
      <c r="I153" s="5"/>
      <c r="J153" s="5"/>
      <c r="K153" s="5"/>
      <c r="L153" s="5"/>
      <c r="M153" s="5"/>
      <c r="N153" s="5"/>
      <c r="O153" s="5"/>
      <c r="P153" s="5"/>
      <c r="Q153" s="5"/>
      <c r="R153" s="5"/>
      <c r="S153" s="5"/>
      <c r="T153" s="5"/>
    </row>
    <row r="154" spans="3:20">
      <c r="C154" s="5"/>
      <c r="D154" s="5"/>
      <c r="E154" s="5"/>
      <c r="F154" s="5"/>
      <c r="G154" s="5"/>
      <c r="H154" s="5"/>
      <c r="I154" s="5"/>
      <c r="J154" s="5"/>
      <c r="K154" s="5"/>
      <c r="L154" s="5"/>
      <c r="M154" s="5"/>
      <c r="N154" s="5"/>
      <c r="O154" s="5"/>
      <c r="P154" s="5"/>
      <c r="Q154" s="5"/>
      <c r="R154" s="5"/>
      <c r="S154" s="5"/>
      <c r="T154" s="5"/>
    </row>
    <row r="155" spans="3:20">
      <c r="C155" s="5"/>
      <c r="D155" s="5"/>
      <c r="E155" s="5"/>
      <c r="F155" s="5"/>
      <c r="G155" s="5"/>
      <c r="H155" s="5"/>
      <c r="I155" s="5"/>
      <c r="J155" s="5"/>
      <c r="K155" s="5"/>
      <c r="L155" s="5"/>
      <c r="M155" s="5"/>
      <c r="N155" s="5"/>
      <c r="O155" s="5"/>
      <c r="P155" s="5"/>
      <c r="Q155" s="5"/>
      <c r="R155" s="5"/>
      <c r="S155" s="5"/>
      <c r="T155" s="5"/>
    </row>
    <row r="156" spans="3:20">
      <c r="C156" s="5"/>
      <c r="D156" s="5"/>
      <c r="E156" s="5"/>
      <c r="F156" s="5"/>
      <c r="G156" s="5"/>
      <c r="H156" s="5"/>
      <c r="I156" s="5"/>
      <c r="J156" s="5"/>
      <c r="K156" s="5"/>
      <c r="L156" s="5"/>
      <c r="M156" s="5"/>
      <c r="N156" s="5"/>
      <c r="O156" s="5"/>
      <c r="P156" s="5"/>
      <c r="Q156" s="5"/>
      <c r="R156" s="5"/>
      <c r="S156" s="5"/>
      <c r="T156" s="5"/>
    </row>
    <row r="157" spans="3:20">
      <c r="C157" s="5"/>
      <c r="D157" s="5"/>
      <c r="E157" s="5"/>
      <c r="F157" s="5"/>
      <c r="G157" s="5"/>
      <c r="H157" s="5"/>
      <c r="I157" s="5"/>
      <c r="J157" s="5"/>
      <c r="K157" s="5"/>
      <c r="L157" s="5"/>
      <c r="M157" s="5"/>
      <c r="N157" s="5"/>
      <c r="O157" s="5"/>
      <c r="P157" s="5"/>
      <c r="Q157" s="5"/>
      <c r="R157" s="5"/>
      <c r="S157" s="5"/>
      <c r="T157" s="5"/>
    </row>
    <row r="158" spans="3:20">
      <c r="C158" s="5"/>
      <c r="D158" s="5"/>
      <c r="E158" s="5"/>
      <c r="F158" s="5"/>
      <c r="G158" s="5"/>
      <c r="H158" s="5"/>
      <c r="I158" s="5"/>
      <c r="J158" s="5"/>
      <c r="K158" s="5"/>
      <c r="L158" s="5"/>
      <c r="M158" s="5"/>
      <c r="N158" s="5"/>
      <c r="O158" s="5"/>
      <c r="P158" s="5"/>
      <c r="Q158" s="5"/>
      <c r="R158" s="5"/>
      <c r="S158" s="5"/>
      <c r="T158" s="5"/>
    </row>
    <row r="159" spans="3:20">
      <c r="C159" s="5"/>
      <c r="D159" s="5"/>
      <c r="E159" s="5"/>
      <c r="F159" s="5"/>
      <c r="G159" s="5"/>
      <c r="H159" s="5"/>
      <c r="I159" s="5"/>
      <c r="J159" s="5"/>
      <c r="K159" s="5"/>
      <c r="L159" s="5"/>
      <c r="M159" s="5"/>
      <c r="N159" s="5"/>
      <c r="O159" s="5"/>
      <c r="P159" s="5"/>
      <c r="Q159" s="5"/>
      <c r="R159" s="5"/>
      <c r="S159" s="5"/>
      <c r="T159" s="5"/>
    </row>
    <row r="160" spans="3:20">
      <c r="C160" s="5"/>
      <c r="D160" s="5"/>
      <c r="E160" s="5"/>
      <c r="F160" s="5"/>
      <c r="G160" s="5"/>
      <c r="H160" s="5"/>
      <c r="I160" s="5"/>
      <c r="J160" s="5"/>
      <c r="K160" s="5"/>
      <c r="L160" s="5"/>
      <c r="M160" s="5"/>
      <c r="N160" s="5"/>
      <c r="O160" s="5"/>
      <c r="P160" s="5"/>
      <c r="Q160" s="5"/>
      <c r="R160" s="5"/>
      <c r="S160" s="5"/>
      <c r="T160" s="5"/>
    </row>
    <row r="161" spans="3:20">
      <c r="C161" s="5"/>
      <c r="D161" s="5"/>
      <c r="E161" s="5"/>
      <c r="F161" s="5"/>
      <c r="G161" s="5"/>
      <c r="H161" s="5"/>
      <c r="I161" s="5"/>
      <c r="J161" s="5"/>
      <c r="K161" s="5"/>
      <c r="L161" s="5"/>
      <c r="M161" s="5"/>
      <c r="N161" s="5"/>
      <c r="O161" s="5"/>
      <c r="P161" s="5"/>
      <c r="Q161" s="5"/>
      <c r="R161" s="5"/>
      <c r="S161" s="5"/>
      <c r="T161" s="5"/>
    </row>
    <row r="162" spans="3:20">
      <c r="C162" s="5"/>
      <c r="D162" s="5"/>
      <c r="E162" s="5"/>
      <c r="F162" s="5"/>
      <c r="G162" s="5"/>
      <c r="H162" s="5"/>
      <c r="I162" s="5"/>
      <c r="J162" s="5"/>
      <c r="K162" s="5"/>
      <c r="L162" s="5"/>
      <c r="M162" s="5"/>
      <c r="N162" s="5"/>
      <c r="O162" s="5"/>
      <c r="P162" s="5"/>
      <c r="Q162" s="5"/>
      <c r="R162" s="5"/>
      <c r="S162" s="5"/>
      <c r="T162" s="5"/>
    </row>
    <row r="163" spans="3:20">
      <c r="C163" s="5"/>
      <c r="D163" s="5"/>
      <c r="E163" s="5"/>
      <c r="F163" s="5"/>
      <c r="G163" s="5"/>
      <c r="H163" s="5"/>
      <c r="I163" s="5"/>
      <c r="J163" s="5"/>
      <c r="K163" s="5"/>
      <c r="L163" s="5"/>
      <c r="M163" s="5"/>
      <c r="N163" s="5"/>
      <c r="O163" s="5"/>
      <c r="P163" s="5"/>
      <c r="Q163" s="5"/>
      <c r="R163" s="5"/>
      <c r="S163" s="5"/>
      <c r="T163" s="5"/>
    </row>
    <row r="164" spans="3:20">
      <c r="C164" s="5"/>
      <c r="D164" s="5"/>
      <c r="E164" s="5"/>
      <c r="F164" s="5"/>
      <c r="G164" s="5"/>
      <c r="H164" s="5"/>
      <c r="I164" s="5"/>
      <c r="J164" s="5"/>
      <c r="K164" s="5"/>
      <c r="L164" s="5"/>
      <c r="M164" s="5"/>
      <c r="N164" s="5"/>
      <c r="O164" s="5"/>
      <c r="P164" s="5"/>
      <c r="Q164" s="5"/>
      <c r="R164" s="5"/>
      <c r="S164" s="5"/>
      <c r="T164" s="5"/>
    </row>
    <row r="165" spans="3:20">
      <c r="C165" s="5"/>
      <c r="D165" s="5"/>
      <c r="E165" s="5"/>
      <c r="F165" s="5"/>
      <c r="G165" s="5"/>
      <c r="H165" s="5"/>
      <c r="I165" s="5"/>
      <c r="J165" s="5"/>
      <c r="K165" s="5"/>
      <c r="L165" s="5"/>
      <c r="M165" s="5"/>
      <c r="N165" s="5"/>
      <c r="O165" s="5"/>
      <c r="P165" s="5"/>
      <c r="Q165" s="5"/>
      <c r="R165" s="5"/>
      <c r="S165" s="5"/>
      <c r="T165" s="5"/>
    </row>
    <row r="166" spans="3:20">
      <c r="C166" s="5"/>
      <c r="D166" s="5"/>
      <c r="E166" s="5"/>
      <c r="F166" s="5"/>
      <c r="G166" s="5"/>
      <c r="H166" s="5"/>
      <c r="I166" s="5"/>
      <c r="J166" s="5"/>
      <c r="K166" s="5"/>
      <c r="L166" s="5"/>
      <c r="M166" s="5"/>
      <c r="N166" s="5"/>
      <c r="O166" s="5"/>
      <c r="P166" s="5"/>
      <c r="Q166" s="5"/>
      <c r="R166" s="5"/>
      <c r="S166" s="5"/>
      <c r="T166" s="5"/>
    </row>
    <row r="167" spans="3:20">
      <c r="C167" s="5"/>
      <c r="D167" s="5"/>
      <c r="E167" s="5"/>
      <c r="F167" s="5"/>
      <c r="G167" s="5"/>
      <c r="H167" s="5"/>
      <c r="I167" s="5"/>
      <c r="J167" s="5"/>
      <c r="K167" s="5"/>
      <c r="L167" s="5"/>
      <c r="M167" s="5"/>
      <c r="N167" s="5"/>
      <c r="O167" s="5"/>
      <c r="P167" s="5"/>
      <c r="Q167" s="5"/>
      <c r="R167" s="5"/>
      <c r="S167" s="5"/>
      <c r="T167" s="5"/>
    </row>
    <row r="168" spans="3:20">
      <c r="C168" s="5"/>
      <c r="D168" s="5"/>
      <c r="E168" s="5"/>
      <c r="F168" s="5"/>
      <c r="G168" s="5"/>
      <c r="H168" s="5"/>
      <c r="I168" s="5"/>
      <c r="J168" s="5"/>
      <c r="K168" s="5"/>
      <c r="L168" s="5"/>
      <c r="M168" s="5"/>
      <c r="N168" s="5"/>
      <c r="O168" s="5"/>
      <c r="P168" s="5"/>
      <c r="Q168" s="5"/>
      <c r="R168" s="5"/>
      <c r="S168" s="5"/>
      <c r="T168" s="5"/>
    </row>
    <row r="169" spans="3:20">
      <c r="C169" s="5"/>
      <c r="D169" s="5"/>
      <c r="E169" s="5"/>
      <c r="F169" s="5"/>
      <c r="G169" s="5"/>
      <c r="H169" s="5"/>
      <c r="I169" s="5"/>
      <c r="J169" s="5"/>
      <c r="K169" s="5"/>
      <c r="L169" s="5"/>
      <c r="M169" s="5"/>
      <c r="N169" s="5"/>
      <c r="O169" s="5"/>
      <c r="P169" s="5"/>
      <c r="Q169" s="5"/>
      <c r="R169" s="5"/>
      <c r="S169" s="5"/>
      <c r="T169" s="5"/>
    </row>
    <row r="170" spans="3:20">
      <c r="C170" s="5"/>
      <c r="D170" s="5"/>
      <c r="E170" s="5"/>
      <c r="F170" s="5"/>
      <c r="G170" s="5"/>
      <c r="H170" s="5"/>
      <c r="I170" s="5"/>
      <c r="J170" s="5"/>
      <c r="K170" s="5"/>
      <c r="L170" s="5"/>
      <c r="M170" s="5"/>
      <c r="N170" s="5"/>
      <c r="O170" s="5"/>
      <c r="P170" s="5"/>
      <c r="Q170" s="5"/>
      <c r="R170" s="5"/>
      <c r="S170" s="5"/>
      <c r="T170" s="5"/>
    </row>
    <row r="171" spans="3:20">
      <c r="C171" s="5"/>
      <c r="D171" s="5"/>
      <c r="E171" s="5"/>
      <c r="F171" s="5"/>
      <c r="G171" s="5"/>
      <c r="H171" s="5"/>
      <c r="I171" s="5"/>
      <c r="J171" s="5"/>
      <c r="K171" s="5"/>
      <c r="L171" s="5"/>
      <c r="M171" s="5"/>
      <c r="N171" s="5"/>
      <c r="O171" s="5"/>
      <c r="P171" s="5"/>
      <c r="Q171" s="5"/>
      <c r="R171" s="5"/>
      <c r="S171" s="5"/>
      <c r="T171" s="5"/>
    </row>
    <row r="172" spans="3:20">
      <c r="C172" s="5"/>
      <c r="D172" s="5"/>
      <c r="E172" s="5"/>
      <c r="F172" s="5"/>
      <c r="G172" s="5"/>
      <c r="H172" s="5"/>
      <c r="I172" s="5"/>
      <c r="J172" s="5"/>
      <c r="K172" s="5"/>
      <c r="L172" s="5"/>
      <c r="M172" s="5"/>
      <c r="N172" s="5"/>
      <c r="O172" s="5"/>
      <c r="P172" s="5"/>
      <c r="Q172" s="5"/>
      <c r="R172" s="5"/>
      <c r="S172" s="5"/>
      <c r="T172" s="5"/>
    </row>
    <row r="173" spans="3:20">
      <c r="C173" s="5"/>
      <c r="D173" s="5"/>
      <c r="E173" s="5"/>
      <c r="F173" s="5"/>
      <c r="G173" s="5"/>
      <c r="H173" s="5"/>
      <c r="I173" s="5"/>
      <c r="J173" s="5"/>
      <c r="K173" s="5"/>
      <c r="L173" s="5"/>
      <c r="M173" s="5"/>
      <c r="N173" s="5"/>
      <c r="O173" s="5"/>
      <c r="P173" s="5"/>
      <c r="Q173" s="5"/>
      <c r="R173" s="5"/>
      <c r="S173" s="5"/>
      <c r="T173" s="5"/>
    </row>
    <row r="174" spans="3:20">
      <c r="C174" s="5"/>
      <c r="D174" s="5"/>
      <c r="E174" s="5"/>
      <c r="F174" s="5"/>
      <c r="G174" s="5"/>
      <c r="H174" s="5"/>
      <c r="I174" s="5"/>
      <c r="J174" s="5"/>
      <c r="K174" s="5"/>
      <c r="L174" s="5"/>
      <c r="M174" s="5"/>
      <c r="N174" s="5"/>
      <c r="O174" s="5"/>
      <c r="P174" s="5"/>
      <c r="Q174" s="5"/>
      <c r="R174" s="5"/>
      <c r="S174" s="5"/>
      <c r="T174" s="5"/>
    </row>
    <row r="175" spans="3:20">
      <c r="C175" s="5"/>
      <c r="D175" s="5"/>
      <c r="E175" s="5"/>
      <c r="F175" s="5"/>
      <c r="G175" s="5"/>
      <c r="H175" s="5"/>
      <c r="I175" s="5"/>
      <c r="J175" s="5"/>
      <c r="K175" s="5"/>
      <c r="L175" s="5"/>
      <c r="M175" s="5"/>
      <c r="N175" s="5"/>
      <c r="O175" s="5"/>
      <c r="P175" s="5"/>
      <c r="Q175" s="5"/>
      <c r="R175" s="5"/>
      <c r="S175" s="5"/>
      <c r="T175" s="5"/>
    </row>
    <row r="176" spans="3:20">
      <c r="C176" s="5"/>
      <c r="D176" s="5"/>
      <c r="E176" s="5"/>
      <c r="F176" s="5"/>
      <c r="G176" s="5"/>
      <c r="H176" s="5"/>
      <c r="I176" s="5"/>
      <c r="J176" s="5"/>
      <c r="K176" s="5"/>
      <c r="L176" s="5"/>
      <c r="M176" s="5"/>
      <c r="N176" s="5"/>
      <c r="O176" s="5"/>
      <c r="P176" s="5"/>
      <c r="Q176" s="5"/>
      <c r="R176" s="5"/>
      <c r="S176" s="5"/>
      <c r="T176" s="5"/>
    </row>
    <row r="177" spans="3:20">
      <c r="C177" s="5"/>
      <c r="D177" s="5"/>
      <c r="E177" s="5"/>
      <c r="F177" s="5"/>
      <c r="G177" s="5"/>
      <c r="H177" s="5"/>
      <c r="I177" s="5"/>
      <c r="J177" s="5"/>
      <c r="K177" s="5"/>
      <c r="L177" s="5"/>
      <c r="M177" s="5"/>
      <c r="N177" s="5"/>
      <c r="O177" s="5"/>
      <c r="P177" s="5"/>
      <c r="Q177" s="5"/>
      <c r="R177" s="5"/>
      <c r="S177" s="5"/>
      <c r="T177" s="5"/>
    </row>
    <row r="178" spans="3:20">
      <c r="C178" s="5"/>
      <c r="D178" s="5"/>
      <c r="E178" s="5"/>
      <c r="F178" s="5"/>
      <c r="G178" s="5"/>
      <c r="H178" s="5"/>
      <c r="I178" s="5"/>
      <c r="J178" s="5"/>
      <c r="K178" s="5"/>
      <c r="L178" s="5"/>
      <c r="M178" s="5"/>
      <c r="N178" s="5"/>
      <c r="O178" s="5"/>
      <c r="P178" s="5"/>
      <c r="Q178" s="5"/>
      <c r="R178" s="5"/>
      <c r="S178" s="5"/>
      <c r="T178" s="5"/>
    </row>
    <row r="179" spans="3:20">
      <c r="C179" s="5"/>
      <c r="D179" s="5"/>
      <c r="E179" s="5"/>
      <c r="F179" s="5"/>
      <c r="G179" s="5"/>
      <c r="H179" s="5"/>
      <c r="I179" s="5"/>
      <c r="J179" s="5"/>
      <c r="K179" s="5"/>
      <c r="L179" s="5"/>
      <c r="M179" s="5"/>
      <c r="N179" s="5"/>
      <c r="O179" s="5"/>
      <c r="P179" s="5"/>
      <c r="Q179" s="5"/>
      <c r="R179" s="5"/>
      <c r="S179" s="5"/>
      <c r="T179" s="5"/>
    </row>
    <row r="180" spans="3:20">
      <c r="C180" s="5"/>
      <c r="D180" s="5"/>
      <c r="E180" s="5"/>
      <c r="F180" s="5"/>
      <c r="G180" s="5"/>
      <c r="H180" s="5"/>
      <c r="I180" s="5"/>
      <c r="J180" s="5"/>
      <c r="K180" s="5"/>
      <c r="L180" s="5"/>
      <c r="M180" s="5"/>
      <c r="N180" s="5"/>
      <c r="O180" s="5"/>
      <c r="P180" s="5"/>
      <c r="Q180" s="5"/>
      <c r="R180" s="5"/>
      <c r="S180" s="5"/>
      <c r="T180" s="5"/>
    </row>
    <row r="181" spans="3:20">
      <c r="C181" s="5"/>
      <c r="D181" s="5"/>
      <c r="E181" s="5"/>
      <c r="F181" s="5"/>
      <c r="G181" s="5"/>
      <c r="H181" s="5"/>
      <c r="I181" s="5"/>
      <c r="J181" s="5"/>
      <c r="K181" s="5"/>
      <c r="L181" s="5"/>
      <c r="M181" s="5"/>
      <c r="N181" s="5"/>
      <c r="O181" s="5"/>
      <c r="P181" s="5"/>
      <c r="Q181" s="5"/>
      <c r="R181" s="5"/>
      <c r="S181" s="5"/>
      <c r="T181" s="5"/>
    </row>
    <row r="182" spans="3:20">
      <c r="C182" s="5"/>
      <c r="D182" s="5"/>
      <c r="E182" s="5"/>
      <c r="F182" s="5"/>
      <c r="G182" s="5"/>
      <c r="H182" s="5"/>
      <c r="I182" s="5"/>
      <c r="J182" s="5"/>
      <c r="K182" s="5"/>
      <c r="L182" s="5"/>
      <c r="M182" s="5"/>
      <c r="N182" s="5"/>
      <c r="O182" s="5"/>
      <c r="P182" s="5"/>
      <c r="Q182" s="5"/>
      <c r="R182" s="5"/>
      <c r="S182" s="5"/>
      <c r="T182" s="5"/>
    </row>
    <row r="183" spans="3:20">
      <c r="C183" s="5"/>
      <c r="D183" s="5"/>
      <c r="E183" s="5"/>
      <c r="F183" s="5"/>
      <c r="G183" s="5"/>
      <c r="H183" s="5"/>
      <c r="I183" s="5"/>
      <c r="J183" s="5"/>
      <c r="K183" s="5"/>
      <c r="L183" s="5"/>
      <c r="M183" s="5"/>
      <c r="N183" s="5"/>
      <c r="O183" s="5"/>
      <c r="P183" s="5"/>
      <c r="Q183" s="5"/>
      <c r="R183" s="5"/>
      <c r="S183" s="5"/>
      <c r="T183" s="5"/>
    </row>
    <row r="184" spans="3:20">
      <c r="C184" s="5"/>
      <c r="D184" s="5"/>
      <c r="E184" s="5"/>
      <c r="F184" s="5"/>
      <c r="G184" s="5"/>
      <c r="H184" s="5"/>
      <c r="I184" s="5"/>
      <c r="J184" s="5"/>
      <c r="K184" s="5"/>
      <c r="L184" s="5"/>
      <c r="M184" s="5"/>
      <c r="N184" s="5"/>
      <c r="O184" s="5"/>
      <c r="P184" s="5"/>
      <c r="Q184" s="5"/>
      <c r="R184" s="5"/>
      <c r="S184" s="5"/>
      <c r="T184" s="5"/>
    </row>
    <row r="185" spans="3:20">
      <c r="C185" s="5"/>
      <c r="D185" s="5"/>
      <c r="E185" s="5"/>
      <c r="F185" s="5"/>
      <c r="G185" s="5"/>
      <c r="H185" s="5"/>
      <c r="I185" s="5"/>
      <c r="J185" s="5"/>
      <c r="K185" s="5"/>
      <c r="L185" s="5"/>
      <c r="M185" s="5"/>
      <c r="N185" s="5"/>
      <c r="O185" s="5"/>
      <c r="P185" s="5"/>
      <c r="Q185" s="5"/>
      <c r="R185" s="5"/>
      <c r="S185" s="5"/>
      <c r="T185" s="5"/>
    </row>
    <row r="186" spans="3:20">
      <c r="C186" s="5"/>
      <c r="D186" s="5"/>
      <c r="E186" s="5"/>
      <c r="F186" s="5"/>
      <c r="G186" s="5"/>
      <c r="H186" s="5"/>
      <c r="I186" s="5"/>
      <c r="J186" s="5"/>
      <c r="K186" s="5"/>
      <c r="L186" s="5"/>
      <c r="M186" s="5"/>
      <c r="N186" s="5"/>
      <c r="O186" s="5"/>
      <c r="P186" s="5"/>
      <c r="Q186" s="5"/>
      <c r="R186" s="5"/>
      <c r="S186" s="5"/>
      <c r="T186" s="5"/>
    </row>
    <row r="187" spans="3:20">
      <c r="C187" s="5"/>
      <c r="D187" s="5"/>
      <c r="E187" s="5"/>
      <c r="F187" s="5"/>
      <c r="G187" s="5"/>
      <c r="H187" s="5"/>
      <c r="I187" s="5"/>
      <c r="J187" s="5"/>
      <c r="K187" s="5"/>
      <c r="L187" s="5"/>
      <c r="M187" s="5"/>
      <c r="N187" s="5"/>
      <c r="O187" s="5"/>
      <c r="P187" s="5"/>
      <c r="Q187" s="5"/>
      <c r="R187" s="5"/>
      <c r="S187" s="5"/>
      <c r="T187" s="5"/>
    </row>
    <row r="188" spans="3:20">
      <c r="C188" s="5"/>
      <c r="D188" s="5"/>
      <c r="E188" s="5"/>
      <c r="F188" s="5"/>
      <c r="G188" s="5"/>
      <c r="H188" s="5"/>
      <c r="I188" s="5"/>
      <c r="J188" s="5"/>
      <c r="K188" s="5"/>
      <c r="L188" s="5"/>
      <c r="M188" s="5"/>
      <c r="N188" s="5"/>
      <c r="O188" s="5"/>
      <c r="P188" s="5"/>
      <c r="Q188" s="5"/>
      <c r="R188" s="5"/>
      <c r="S188" s="5"/>
      <c r="T188" s="5"/>
    </row>
    <row r="189" spans="3:20">
      <c r="C189" s="5"/>
      <c r="D189" s="5"/>
      <c r="E189" s="5"/>
      <c r="F189" s="5"/>
      <c r="G189" s="5"/>
      <c r="H189" s="5"/>
      <c r="I189" s="5"/>
      <c r="J189" s="5"/>
      <c r="K189" s="5"/>
      <c r="L189" s="5"/>
      <c r="M189" s="5"/>
      <c r="N189" s="5"/>
      <c r="O189" s="5"/>
      <c r="P189" s="5"/>
      <c r="Q189" s="5"/>
      <c r="R189" s="5"/>
      <c r="S189" s="5"/>
      <c r="T189" s="5"/>
    </row>
    <row r="190" spans="3:20">
      <c r="C190" s="5"/>
      <c r="D190" s="5"/>
      <c r="E190" s="5"/>
      <c r="F190" s="5"/>
      <c r="G190" s="5"/>
      <c r="H190" s="5"/>
      <c r="I190" s="5"/>
      <c r="J190" s="5"/>
      <c r="K190" s="5"/>
      <c r="L190" s="5"/>
      <c r="M190" s="5"/>
      <c r="N190" s="5"/>
      <c r="O190" s="5"/>
      <c r="P190" s="5"/>
      <c r="Q190" s="5"/>
      <c r="R190" s="5"/>
      <c r="S190" s="5"/>
      <c r="T190" s="5"/>
    </row>
    <row r="191" spans="3:20">
      <c r="C191" s="5"/>
      <c r="D191" s="5"/>
      <c r="E191" s="5"/>
      <c r="F191" s="5"/>
      <c r="G191" s="5"/>
      <c r="H191" s="5"/>
      <c r="I191" s="5"/>
      <c r="J191" s="5"/>
      <c r="K191" s="5"/>
      <c r="L191" s="5"/>
      <c r="M191" s="5"/>
      <c r="N191" s="5"/>
      <c r="O191" s="5"/>
      <c r="P191" s="5"/>
      <c r="Q191" s="5"/>
      <c r="R191" s="5"/>
      <c r="S191" s="5"/>
      <c r="T191" s="5"/>
    </row>
    <row r="192" spans="3:20">
      <c r="C192" s="5"/>
      <c r="D192" s="5"/>
      <c r="E192" s="5"/>
      <c r="F192" s="5"/>
      <c r="G192" s="5"/>
      <c r="H192" s="5"/>
      <c r="I192" s="5"/>
      <c r="J192" s="5"/>
      <c r="K192" s="5"/>
      <c r="L192" s="5"/>
      <c r="M192" s="5"/>
      <c r="N192" s="5"/>
      <c r="O192" s="5"/>
      <c r="P192" s="5"/>
      <c r="Q192" s="5"/>
      <c r="R192" s="5"/>
      <c r="S192" s="5"/>
      <c r="T192" s="5"/>
    </row>
    <row r="193" spans="3:20">
      <c r="C193" s="5"/>
      <c r="D193" s="5"/>
      <c r="E193" s="5"/>
      <c r="F193" s="5"/>
      <c r="G193" s="5"/>
      <c r="H193" s="5"/>
      <c r="I193" s="5"/>
      <c r="J193" s="5"/>
      <c r="K193" s="5"/>
      <c r="L193" s="5"/>
      <c r="M193" s="5"/>
      <c r="N193" s="5"/>
      <c r="O193" s="5"/>
      <c r="P193" s="5"/>
      <c r="Q193" s="5"/>
      <c r="R193" s="5"/>
      <c r="S193" s="5"/>
      <c r="T193" s="5"/>
    </row>
    <row r="194" spans="3:20">
      <c r="C194" s="5"/>
      <c r="D194" s="5"/>
      <c r="E194" s="5"/>
      <c r="F194" s="5"/>
      <c r="G194" s="5"/>
      <c r="H194" s="5"/>
      <c r="I194" s="5"/>
      <c r="J194" s="5"/>
      <c r="K194" s="5"/>
      <c r="L194" s="5"/>
      <c r="M194" s="5"/>
      <c r="N194" s="5"/>
      <c r="O194" s="5"/>
      <c r="P194" s="5"/>
      <c r="Q194" s="5"/>
      <c r="R194" s="5"/>
      <c r="S194" s="5"/>
      <c r="T194" s="5"/>
    </row>
    <row r="195" spans="3:20">
      <c r="C195" s="5"/>
      <c r="D195" s="5"/>
      <c r="E195" s="5"/>
      <c r="F195" s="5"/>
      <c r="G195" s="5"/>
      <c r="H195" s="5"/>
      <c r="I195" s="5"/>
      <c r="J195" s="5"/>
      <c r="K195" s="5"/>
      <c r="L195" s="5"/>
      <c r="M195" s="5"/>
      <c r="N195" s="5"/>
      <c r="O195" s="5"/>
      <c r="P195" s="5"/>
      <c r="Q195" s="5"/>
      <c r="R195" s="5"/>
      <c r="S195" s="5"/>
      <c r="T195" s="5"/>
    </row>
    <row r="196" spans="3:20">
      <c r="C196" s="5"/>
      <c r="D196" s="5"/>
      <c r="E196" s="5"/>
      <c r="F196" s="5"/>
      <c r="G196" s="5"/>
      <c r="H196" s="5"/>
      <c r="I196" s="5"/>
      <c r="J196" s="5"/>
      <c r="K196" s="5"/>
      <c r="L196" s="5"/>
      <c r="M196" s="5"/>
      <c r="N196" s="5"/>
      <c r="O196" s="5"/>
      <c r="P196" s="5"/>
      <c r="Q196" s="5"/>
      <c r="R196" s="5"/>
      <c r="S196" s="5"/>
      <c r="T196" s="5"/>
    </row>
    <row r="197" spans="3:20">
      <c r="C197" s="5"/>
      <c r="D197" s="5"/>
      <c r="E197" s="5"/>
      <c r="F197" s="5"/>
      <c r="G197" s="5"/>
      <c r="H197" s="5"/>
      <c r="I197" s="5"/>
      <c r="J197" s="5"/>
      <c r="K197" s="5"/>
      <c r="L197" s="5"/>
      <c r="M197" s="5"/>
      <c r="N197" s="5"/>
      <c r="O197" s="5"/>
      <c r="P197" s="5"/>
      <c r="Q197" s="5"/>
      <c r="R197" s="5"/>
      <c r="S197" s="5"/>
      <c r="T197" s="5"/>
    </row>
    <row r="198" spans="3:20">
      <c r="C198" s="5"/>
      <c r="D198" s="5"/>
      <c r="E198" s="5"/>
      <c r="F198" s="5"/>
      <c r="G198" s="5"/>
      <c r="H198" s="5"/>
      <c r="I198" s="5"/>
      <c r="J198" s="5"/>
      <c r="K198" s="5"/>
      <c r="L198" s="5"/>
      <c r="M198" s="5"/>
      <c r="N198" s="5"/>
      <c r="O198" s="5"/>
      <c r="P198" s="5"/>
      <c r="Q198" s="5"/>
      <c r="R198" s="5"/>
      <c r="S198" s="5"/>
      <c r="T198" s="5"/>
    </row>
    <row r="199" spans="3:20">
      <c r="C199" s="5"/>
      <c r="D199" s="5"/>
      <c r="E199" s="5"/>
      <c r="F199" s="5"/>
      <c r="G199" s="5"/>
      <c r="H199" s="5"/>
      <c r="I199" s="5"/>
      <c r="J199" s="5"/>
      <c r="K199" s="5"/>
      <c r="L199" s="5"/>
      <c r="M199" s="5"/>
      <c r="N199" s="5"/>
      <c r="O199" s="5"/>
      <c r="P199" s="5"/>
      <c r="Q199" s="5"/>
      <c r="R199" s="5"/>
      <c r="S199" s="5"/>
      <c r="T199" s="5"/>
    </row>
    <row r="200" spans="3:20">
      <c r="C200" s="5"/>
      <c r="D200" s="5"/>
      <c r="E200" s="5"/>
      <c r="F200" s="5"/>
      <c r="G200" s="5"/>
      <c r="H200" s="5"/>
      <c r="I200" s="5"/>
      <c r="J200" s="5"/>
      <c r="K200" s="5"/>
      <c r="L200" s="5"/>
      <c r="M200" s="5"/>
      <c r="N200" s="5"/>
      <c r="O200" s="5"/>
      <c r="P200" s="5"/>
      <c r="Q200" s="5"/>
      <c r="R200" s="5"/>
      <c r="S200" s="5"/>
      <c r="T200" s="5"/>
    </row>
    <row r="201" spans="3:20">
      <c r="C201" s="5"/>
      <c r="D201" s="5"/>
      <c r="E201" s="5"/>
      <c r="F201" s="5"/>
      <c r="G201" s="5"/>
      <c r="H201" s="5"/>
      <c r="I201" s="5"/>
      <c r="J201" s="5"/>
      <c r="K201" s="5"/>
      <c r="L201" s="5"/>
      <c r="M201" s="5"/>
      <c r="N201" s="5"/>
      <c r="O201" s="5"/>
      <c r="P201" s="5"/>
      <c r="Q201" s="5"/>
      <c r="R201" s="5"/>
      <c r="S201" s="5"/>
      <c r="T201" s="5"/>
    </row>
    <row r="202" spans="3:20">
      <c r="C202" s="5"/>
      <c r="D202" s="5"/>
      <c r="E202" s="5"/>
      <c r="F202" s="5"/>
      <c r="G202" s="5"/>
      <c r="H202" s="5"/>
      <c r="I202" s="5"/>
      <c r="J202" s="5"/>
      <c r="K202" s="5"/>
      <c r="L202" s="5"/>
      <c r="M202" s="5"/>
      <c r="N202" s="5"/>
      <c r="O202" s="5"/>
      <c r="P202" s="5"/>
      <c r="Q202" s="5"/>
      <c r="R202" s="5"/>
      <c r="S202" s="5"/>
      <c r="T202" s="5"/>
    </row>
    <row r="203" spans="3:20">
      <c r="C203" s="5"/>
      <c r="D203" s="5"/>
      <c r="E203" s="5"/>
      <c r="F203" s="5"/>
      <c r="G203" s="5"/>
      <c r="H203" s="5"/>
      <c r="I203" s="5"/>
      <c r="J203" s="5"/>
      <c r="K203" s="5"/>
      <c r="L203" s="5"/>
      <c r="M203" s="5"/>
      <c r="N203" s="5"/>
      <c r="O203" s="5"/>
      <c r="P203" s="5"/>
      <c r="Q203" s="5"/>
      <c r="R203" s="5"/>
      <c r="S203" s="5"/>
      <c r="T203" s="5"/>
    </row>
    <row r="204" spans="3:20">
      <c r="C204" s="5"/>
      <c r="D204" s="5"/>
      <c r="E204" s="5"/>
      <c r="F204" s="5"/>
      <c r="G204" s="5"/>
      <c r="H204" s="5"/>
      <c r="I204" s="5"/>
      <c r="J204" s="5"/>
      <c r="K204" s="5"/>
      <c r="L204" s="5"/>
      <c r="M204" s="5"/>
      <c r="N204" s="5"/>
      <c r="O204" s="5"/>
      <c r="P204" s="5"/>
      <c r="Q204" s="5"/>
      <c r="R204" s="5"/>
      <c r="S204" s="5"/>
      <c r="T204" s="5"/>
    </row>
    <row r="205" spans="3:20">
      <c r="C205" s="5"/>
      <c r="D205" s="5"/>
      <c r="E205" s="5"/>
      <c r="F205" s="5"/>
      <c r="G205" s="5"/>
      <c r="H205" s="5"/>
      <c r="I205" s="5"/>
      <c r="J205" s="5"/>
      <c r="K205" s="5"/>
      <c r="L205" s="5"/>
      <c r="M205" s="5"/>
      <c r="N205" s="5"/>
      <c r="O205" s="5"/>
      <c r="P205" s="5"/>
      <c r="Q205" s="5"/>
      <c r="R205" s="5"/>
      <c r="S205" s="5"/>
      <c r="T205" s="5"/>
    </row>
    <row r="206" spans="3:20">
      <c r="C206" s="5"/>
      <c r="D206" s="5"/>
      <c r="E206" s="5"/>
      <c r="F206" s="5"/>
      <c r="G206" s="5"/>
      <c r="H206" s="5"/>
      <c r="I206" s="5"/>
      <c r="J206" s="5"/>
      <c r="K206" s="5"/>
      <c r="L206" s="5"/>
      <c r="M206" s="5"/>
      <c r="N206" s="5"/>
      <c r="O206" s="5"/>
      <c r="P206" s="5"/>
      <c r="Q206" s="5"/>
      <c r="R206" s="5"/>
      <c r="S206" s="5"/>
      <c r="T206" s="5"/>
    </row>
    <row r="207" spans="3:20">
      <c r="C207" s="5"/>
      <c r="D207" s="5"/>
      <c r="E207" s="5"/>
      <c r="F207" s="5"/>
      <c r="G207" s="5"/>
      <c r="H207" s="5"/>
      <c r="I207" s="5"/>
      <c r="J207" s="5"/>
      <c r="K207" s="5"/>
      <c r="L207" s="5"/>
      <c r="M207" s="5"/>
      <c r="N207" s="5"/>
      <c r="O207" s="5"/>
      <c r="P207" s="5"/>
      <c r="Q207" s="5"/>
      <c r="R207" s="5"/>
      <c r="S207" s="5"/>
      <c r="T207" s="5"/>
    </row>
    <row r="208" spans="3:20">
      <c r="C208" s="5"/>
      <c r="D208" s="5"/>
      <c r="E208" s="5"/>
      <c r="F208" s="5"/>
      <c r="G208" s="5"/>
      <c r="H208" s="5"/>
      <c r="I208" s="5"/>
      <c r="J208" s="5"/>
      <c r="K208" s="5"/>
      <c r="L208" s="5"/>
      <c r="M208" s="5"/>
      <c r="N208" s="5"/>
      <c r="O208" s="5"/>
      <c r="P208" s="5"/>
      <c r="Q208" s="5"/>
      <c r="R208" s="5"/>
      <c r="S208" s="5"/>
      <c r="T208" s="5"/>
    </row>
    <row r="209" spans="3:20">
      <c r="C209" s="5"/>
      <c r="D209" s="5"/>
      <c r="E209" s="5"/>
      <c r="F209" s="5"/>
      <c r="G209" s="5"/>
      <c r="H209" s="5"/>
      <c r="I209" s="5"/>
      <c r="J209" s="5"/>
      <c r="K209" s="5"/>
      <c r="L209" s="5"/>
      <c r="M209" s="5"/>
      <c r="N209" s="5"/>
      <c r="O209" s="5"/>
      <c r="P209" s="5"/>
      <c r="Q209" s="5"/>
      <c r="R209" s="5"/>
      <c r="S209" s="5"/>
      <c r="T209" s="5"/>
    </row>
    <row r="210" spans="3:20">
      <c r="C210" s="5"/>
      <c r="D210" s="5"/>
      <c r="E210" s="5"/>
      <c r="F210" s="5"/>
      <c r="G210" s="5"/>
      <c r="H210" s="5"/>
      <c r="I210" s="5"/>
      <c r="J210" s="5"/>
      <c r="K210" s="5"/>
      <c r="L210" s="5"/>
      <c r="M210" s="5"/>
      <c r="N210" s="5"/>
      <c r="O210" s="5"/>
      <c r="P210" s="5"/>
      <c r="Q210" s="5"/>
      <c r="R210" s="5"/>
      <c r="S210" s="5"/>
      <c r="T210" s="5"/>
    </row>
    <row r="211" spans="3:20">
      <c r="C211" s="5"/>
      <c r="D211" s="5"/>
      <c r="E211" s="5"/>
      <c r="F211" s="5"/>
      <c r="G211" s="5"/>
      <c r="H211" s="5"/>
      <c r="I211" s="5"/>
      <c r="J211" s="5"/>
      <c r="K211" s="5"/>
      <c r="L211" s="5"/>
      <c r="M211" s="5"/>
      <c r="N211" s="5"/>
      <c r="O211" s="5"/>
      <c r="P211" s="5"/>
      <c r="Q211" s="5"/>
      <c r="R211" s="5"/>
      <c r="S211" s="5"/>
      <c r="T211" s="5"/>
    </row>
    <row r="212" spans="3:20">
      <c r="C212" s="5"/>
      <c r="D212" s="5"/>
      <c r="E212" s="5"/>
      <c r="F212" s="5"/>
      <c r="G212" s="5"/>
      <c r="H212" s="5"/>
      <c r="I212" s="5"/>
      <c r="J212" s="5"/>
      <c r="K212" s="5"/>
      <c r="L212" s="5"/>
      <c r="M212" s="5"/>
      <c r="N212" s="5"/>
      <c r="O212" s="5"/>
      <c r="P212" s="5"/>
      <c r="Q212" s="5"/>
      <c r="R212" s="5"/>
      <c r="S212" s="5"/>
      <c r="T212" s="5"/>
    </row>
    <row r="213" spans="3:20">
      <c r="C213" s="5"/>
      <c r="D213" s="5"/>
      <c r="E213" s="5"/>
      <c r="F213" s="5"/>
      <c r="G213" s="5"/>
      <c r="H213" s="5"/>
      <c r="I213" s="5"/>
      <c r="J213" s="5"/>
      <c r="K213" s="5"/>
      <c r="L213" s="5"/>
      <c r="M213" s="5"/>
      <c r="N213" s="5"/>
      <c r="O213" s="5"/>
      <c r="P213" s="5"/>
      <c r="Q213" s="5"/>
      <c r="R213" s="5"/>
      <c r="S213" s="5"/>
      <c r="T213" s="5"/>
    </row>
    <row r="214" spans="3:20">
      <c r="C214" s="5"/>
      <c r="D214" s="5"/>
      <c r="E214" s="5"/>
      <c r="F214" s="5"/>
      <c r="G214" s="5"/>
      <c r="H214" s="5"/>
      <c r="I214" s="5"/>
      <c r="J214" s="5"/>
      <c r="K214" s="5"/>
      <c r="L214" s="5"/>
      <c r="M214" s="5"/>
      <c r="N214" s="5"/>
      <c r="O214" s="5"/>
      <c r="P214" s="5"/>
      <c r="Q214" s="5"/>
      <c r="R214" s="5"/>
      <c r="S214" s="5"/>
      <c r="T214" s="5"/>
    </row>
    <row r="215" spans="3:20">
      <c r="C215" s="5"/>
      <c r="D215" s="5"/>
      <c r="E215" s="5"/>
      <c r="F215" s="5"/>
      <c r="G215" s="5"/>
      <c r="H215" s="5"/>
      <c r="I215" s="5"/>
      <c r="J215" s="5"/>
      <c r="K215" s="5"/>
      <c r="L215" s="5"/>
      <c r="M215" s="5"/>
      <c r="N215" s="5"/>
      <c r="O215" s="5"/>
      <c r="P215" s="5"/>
      <c r="Q215" s="5"/>
      <c r="R215" s="5"/>
      <c r="S215" s="5"/>
      <c r="T215" s="5"/>
    </row>
    <row r="216" spans="3:20">
      <c r="C216" s="5"/>
      <c r="D216" s="5"/>
      <c r="E216" s="5"/>
      <c r="F216" s="5"/>
      <c r="G216" s="5"/>
      <c r="H216" s="5"/>
      <c r="I216" s="5"/>
      <c r="J216" s="5"/>
      <c r="K216" s="5"/>
      <c r="L216" s="5"/>
      <c r="M216" s="5"/>
      <c r="N216" s="5"/>
      <c r="O216" s="5"/>
      <c r="P216" s="5"/>
      <c r="Q216" s="5"/>
      <c r="R216" s="5"/>
      <c r="S216" s="5"/>
      <c r="T216" s="5"/>
    </row>
    <row r="217" spans="3:20">
      <c r="C217" s="5"/>
      <c r="D217" s="5"/>
      <c r="E217" s="5"/>
      <c r="F217" s="5"/>
      <c r="G217" s="5"/>
      <c r="H217" s="5"/>
      <c r="I217" s="5"/>
      <c r="J217" s="5"/>
      <c r="K217" s="5"/>
      <c r="L217" s="5"/>
      <c r="M217" s="5"/>
      <c r="N217" s="5"/>
      <c r="O217" s="5"/>
      <c r="P217" s="5"/>
      <c r="Q217" s="5"/>
      <c r="R217" s="5"/>
      <c r="S217" s="5"/>
      <c r="T217" s="5"/>
    </row>
    <row r="218" spans="3:20">
      <c r="C218" s="5"/>
      <c r="D218" s="5"/>
      <c r="E218" s="5"/>
      <c r="F218" s="5"/>
      <c r="G218" s="5"/>
      <c r="H218" s="5"/>
      <c r="I218" s="5"/>
      <c r="J218" s="5"/>
      <c r="K218" s="5"/>
      <c r="L218" s="5"/>
      <c r="M218" s="5"/>
      <c r="N218" s="5"/>
      <c r="O218" s="5"/>
      <c r="P218" s="5"/>
      <c r="Q218" s="5"/>
      <c r="R218" s="5"/>
      <c r="S218" s="5"/>
      <c r="T218" s="5"/>
    </row>
    <row r="219" spans="3:20">
      <c r="C219" s="5"/>
      <c r="D219" s="5"/>
      <c r="E219" s="5"/>
      <c r="F219" s="5"/>
      <c r="G219" s="5"/>
      <c r="H219" s="5"/>
      <c r="I219" s="5"/>
      <c r="J219" s="5"/>
      <c r="K219" s="5"/>
      <c r="L219" s="5"/>
      <c r="M219" s="5"/>
      <c r="N219" s="5"/>
      <c r="O219" s="5"/>
      <c r="P219" s="5"/>
      <c r="Q219" s="5"/>
      <c r="R219" s="5"/>
      <c r="S219" s="5"/>
      <c r="T219" s="5"/>
    </row>
    <row r="220" spans="3:20">
      <c r="C220" s="5"/>
      <c r="D220" s="5"/>
      <c r="E220" s="5"/>
      <c r="F220" s="5"/>
      <c r="G220" s="5"/>
      <c r="H220" s="5"/>
      <c r="I220" s="5"/>
      <c r="J220" s="5"/>
      <c r="K220" s="5"/>
      <c r="L220" s="5"/>
      <c r="M220" s="5"/>
      <c r="N220" s="5"/>
      <c r="O220" s="5"/>
      <c r="P220" s="5"/>
      <c r="Q220" s="5"/>
      <c r="R220" s="5"/>
      <c r="S220" s="5"/>
      <c r="T220" s="5"/>
    </row>
    <row r="221" spans="3:20">
      <c r="C221" s="5"/>
      <c r="D221" s="5"/>
      <c r="E221" s="5"/>
      <c r="F221" s="5"/>
      <c r="G221" s="5"/>
      <c r="H221" s="5"/>
      <c r="I221" s="5"/>
      <c r="J221" s="5"/>
      <c r="K221" s="5"/>
      <c r="L221" s="5"/>
      <c r="M221" s="5"/>
      <c r="N221" s="5"/>
      <c r="O221" s="5"/>
      <c r="P221" s="5"/>
      <c r="Q221" s="5"/>
      <c r="R221" s="5"/>
      <c r="S221" s="5"/>
      <c r="T221" s="5"/>
    </row>
    <row r="222" spans="3:20">
      <c r="C222" s="5"/>
      <c r="D222" s="5"/>
      <c r="E222" s="5"/>
      <c r="F222" s="5"/>
      <c r="G222" s="5"/>
      <c r="H222" s="5"/>
      <c r="I222" s="5"/>
      <c r="J222" s="5"/>
      <c r="K222" s="5"/>
      <c r="L222" s="5"/>
      <c r="M222" s="5"/>
      <c r="N222" s="5"/>
      <c r="O222" s="5"/>
      <c r="P222" s="5"/>
      <c r="Q222" s="5"/>
      <c r="R222" s="5"/>
      <c r="S222" s="5"/>
      <c r="T222" s="5"/>
    </row>
    <row r="223" spans="3:20">
      <c r="C223" s="5"/>
      <c r="D223" s="5"/>
      <c r="E223" s="5"/>
      <c r="F223" s="5"/>
      <c r="G223" s="5"/>
      <c r="H223" s="5"/>
      <c r="I223" s="5"/>
      <c r="J223" s="5"/>
      <c r="K223" s="5"/>
      <c r="L223" s="5"/>
      <c r="M223" s="5"/>
      <c r="N223" s="5"/>
      <c r="O223" s="5"/>
      <c r="P223" s="5"/>
      <c r="Q223" s="5"/>
      <c r="R223" s="5"/>
      <c r="S223" s="5"/>
      <c r="T223" s="5"/>
    </row>
    <row r="224" spans="3:20">
      <c r="C224" s="5"/>
      <c r="D224" s="5"/>
      <c r="E224" s="5"/>
      <c r="F224" s="5"/>
      <c r="G224" s="5"/>
      <c r="H224" s="5"/>
      <c r="I224" s="5"/>
      <c r="J224" s="5"/>
      <c r="K224" s="5"/>
      <c r="L224" s="5"/>
      <c r="M224" s="5"/>
      <c r="N224" s="5"/>
      <c r="O224" s="5"/>
      <c r="P224" s="5"/>
      <c r="Q224" s="5"/>
      <c r="R224" s="5"/>
      <c r="S224" s="5"/>
      <c r="T224" s="5"/>
    </row>
    <row r="225" spans="3:20">
      <c r="C225" s="5"/>
      <c r="D225" s="5"/>
      <c r="E225" s="5"/>
      <c r="F225" s="5"/>
      <c r="G225" s="5"/>
      <c r="H225" s="5"/>
      <c r="I225" s="5"/>
      <c r="J225" s="5"/>
      <c r="K225" s="5"/>
      <c r="L225" s="5"/>
      <c r="M225" s="5"/>
      <c r="N225" s="5"/>
      <c r="O225" s="5"/>
      <c r="P225" s="5"/>
      <c r="Q225" s="5"/>
      <c r="R225" s="5"/>
      <c r="S225" s="5"/>
      <c r="T225" s="5"/>
    </row>
    <row r="226" spans="3:20">
      <c r="C226" s="5"/>
      <c r="D226" s="5"/>
      <c r="E226" s="5"/>
      <c r="F226" s="5"/>
      <c r="G226" s="5"/>
      <c r="H226" s="5"/>
      <c r="I226" s="5"/>
      <c r="J226" s="5"/>
      <c r="K226" s="5"/>
      <c r="L226" s="5"/>
      <c r="M226" s="5"/>
      <c r="N226" s="5"/>
      <c r="O226" s="5"/>
      <c r="P226" s="5"/>
      <c r="Q226" s="5"/>
      <c r="R226" s="5"/>
      <c r="S226" s="5"/>
      <c r="T226" s="5"/>
    </row>
    <row r="227" spans="3:20">
      <c r="C227" s="5"/>
      <c r="D227" s="5"/>
      <c r="E227" s="5"/>
      <c r="F227" s="5"/>
      <c r="G227" s="5"/>
      <c r="H227" s="5"/>
      <c r="I227" s="5"/>
      <c r="J227" s="5"/>
      <c r="K227" s="5"/>
      <c r="L227" s="5"/>
      <c r="M227" s="5"/>
      <c r="N227" s="5"/>
      <c r="O227" s="5"/>
      <c r="P227" s="5"/>
      <c r="Q227" s="5"/>
      <c r="R227" s="5"/>
      <c r="S227" s="5"/>
      <c r="T227" s="5"/>
    </row>
    <row r="228" spans="3:20">
      <c r="C228" s="5"/>
      <c r="D228" s="5"/>
      <c r="E228" s="5"/>
      <c r="F228" s="5"/>
      <c r="G228" s="5"/>
      <c r="H228" s="5"/>
      <c r="I228" s="5"/>
      <c r="J228" s="5"/>
      <c r="K228" s="5"/>
      <c r="L228" s="5"/>
      <c r="M228" s="5"/>
      <c r="N228" s="5"/>
      <c r="O228" s="5"/>
      <c r="P228" s="5"/>
      <c r="Q228" s="5"/>
      <c r="R228" s="5"/>
      <c r="S228" s="5"/>
      <c r="T228" s="5"/>
    </row>
    <row r="229" spans="3:20">
      <c r="C229" s="5"/>
      <c r="D229" s="5"/>
      <c r="E229" s="5"/>
      <c r="F229" s="5"/>
      <c r="G229" s="5"/>
      <c r="H229" s="5"/>
      <c r="I229" s="5"/>
      <c r="J229" s="5"/>
      <c r="K229" s="5"/>
      <c r="L229" s="5"/>
      <c r="M229" s="5"/>
      <c r="N229" s="5"/>
      <c r="O229" s="5"/>
      <c r="P229" s="5"/>
      <c r="Q229" s="5"/>
      <c r="R229" s="5"/>
      <c r="S229" s="5"/>
      <c r="T229" s="5"/>
    </row>
    <row r="230" spans="3:20">
      <c r="C230" s="5"/>
      <c r="D230" s="5"/>
      <c r="E230" s="5"/>
      <c r="F230" s="5"/>
      <c r="G230" s="5"/>
      <c r="H230" s="5"/>
      <c r="I230" s="5"/>
      <c r="J230" s="5"/>
      <c r="K230" s="5"/>
      <c r="L230" s="5"/>
      <c r="M230" s="5"/>
      <c r="N230" s="5"/>
      <c r="O230" s="5"/>
      <c r="P230" s="5"/>
      <c r="Q230" s="5"/>
      <c r="R230" s="5"/>
      <c r="S230" s="5"/>
      <c r="T230" s="5"/>
    </row>
    <row r="231" spans="3:20">
      <c r="C231" s="5"/>
      <c r="D231" s="5"/>
      <c r="E231" s="5"/>
      <c r="F231" s="5"/>
      <c r="G231" s="5"/>
      <c r="H231" s="5"/>
      <c r="I231" s="5"/>
      <c r="J231" s="5"/>
      <c r="K231" s="5"/>
      <c r="L231" s="5"/>
      <c r="M231" s="5"/>
      <c r="N231" s="5"/>
      <c r="O231" s="5"/>
      <c r="P231" s="5"/>
      <c r="Q231" s="5"/>
      <c r="R231" s="5"/>
      <c r="S231" s="5"/>
      <c r="T231" s="5"/>
    </row>
    <row r="232" spans="3:20">
      <c r="C232" s="5"/>
      <c r="D232" s="5"/>
      <c r="E232" s="5"/>
      <c r="F232" s="5"/>
      <c r="G232" s="5"/>
      <c r="H232" s="5"/>
      <c r="I232" s="5"/>
      <c r="J232" s="5"/>
      <c r="K232" s="5"/>
      <c r="L232" s="5"/>
      <c r="M232" s="5"/>
      <c r="N232" s="5"/>
      <c r="O232" s="5"/>
      <c r="P232" s="5"/>
      <c r="Q232" s="5"/>
      <c r="R232" s="5"/>
      <c r="S232" s="5"/>
      <c r="T232" s="5"/>
    </row>
    <row r="233" spans="3:20">
      <c r="C233" s="5"/>
      <c r="D233" s="5"/>
      <c r="E233" s="5"/>
      <c r="F233" s="5"/>
      <c r="G233" s="5"/>
      <c r="H233" s="5"/>
      <c r="I233" s="5"/>
      <c r="J233" s="5"/>
      <c r="K233" s="5"/>
      <c r="L233" s="5"/>
      <c r="M233" s="5"/>
      <c r="N233" s="5"/>
      <c r="O233" s="5"/>
      <c r="P233" s="5"/>
      <c r="Q233" s="5"/>
      <c r="R233" s="5"/>
      <c r="S233" s="5"/>
      <c r="T233" s="5"/>
    </row>
    <row r="234" spans="3:20">
      <c r="C234" s="5"/>
      <c r="D234" s="5"/>
      <c r="E234" s="5"/>
      <c r="F234" s="5"/>
      <c r="G234" s="5"/>
      <c r="H234" s="5"/>
      <c r="I234" s="5"/>
      <c r="J234" s="5"/>
      <c r="K234" s="5"/>
      <c r="L234" s="5"/>
      <c r="M234" s="5"/>
      <c r="N234" s="5"/>
      <c r="O234" s="5"/>
      <c r="P234" s="5"/>
      <c r="Q234" s="5"/>
      <c r="R234" s="5"/>
      <c r="S234" s="5"/>
      <c r="T234" s="5"/>
    </row>
    <row r="235" spans="3:20">
      <c r="C235" s="5"/>
      <c r="D235" s="5"/>
      <c r="E235" s="5"/>
      <c r="F235" s="5"/>
      <c r="G235" s="5"/>
      <c r="H235" s="5"/>
      <c r="I235" s="5"/>
      <c r="J235" s="5"/>
      <c r="K235" s="5"/>
      <c r="L235" s="5"/>
      <c r="M235" s="5"/>
      <c r="N235" s="5"/>
      <c r="O235" s="5"/>
      <c r="P235" s="5"/>
      <c r="Q235" s="5"/>
      <c r="R235" s="5"/>
      <c r="S235" s="5"/>
      <c r="T235" s="5"/>
    </row>
    <row r="236" spans="3:20">
      <c r="C236" s="5"/>
      <c r="D236" s="5"/>
      <c r="E236" s="5"/>
      <c r="F236" s="5"/>
      <c r="G236" s="5"/>
      <c r="H236" s="5"/>
      <c r="I236" s="5"/>
      <c r="J236" s="5"/>
      <c r="K236" s="5"/>
      <c r="L236" s="5"/>
      <c r="M236" s="5"/>
      <c r="N236" s="5"/>
      <c r="O236" s="5"/>
      <c r="P236" s="5"/>
      <c r="Q236" s="5"/>
      <c r="R236" s="5"/>
      <c r="S236" s="5"/>
      <c r="T236" s="5"/>
    </row>
    <row r="237" spans="3:20">
      <c r="C237" s="5"/>
      <c r="D237" s="5"/>
      <c r="E237" s="5"/>
      <c r="F237" s="5"/>
      <c r="G237" s="5"/>
      <c r="H237" s="5"/>
      <c r="I237" s="5"/>
      <c r="J237" s="5"/>
      <c r="K237" s="5"/>
      <c r="L237" s="5"/>
      <c r="M237" s="5"/>
      <c r="N237" s="5"/>
      <c r="O237" s="5"/>
      <c r="P237" s="5"/>
      <c r="Q237" s="5"/>
      <c r="R237" s="5"/>
      <c r="S237" s="5"/>
      <c r="T237" s="5"/>
    </row>
    <row r="238" spans="3:20">
      <c r="C238" s="5"/>
      <c r="D238" s="5"/>
      <c r="E238" s="5"/>
      <c r="F238" s="5"/>
      <c r="G238" s="5"/>
      <c r="H238" s="5"/>
      <c r="I238" s="5"/>
      <c r="J238" s="5"/>
      <c r="K238" s="5"/>
      <c r="L238" s="5"/>
      <c r="M238" s="5"/>
      <c r="N238" s="5"/>
      <c r="O238" s="5"/>
      <c r="P238" s="5"/>
      <c r="Q238" s="5"/>
      <c r="R238" s="5"/>
      <c r="S238" s="5"/>
      <c r="T238" s="5"/>
    </row>
    <row r="239" spans="3:20">
      <c r="C239" s="5"/>
      <c r="D239" s="5"/>
      <c r="E239" s="5"/>
      <c r="F239" s="5"/>
      <c r="G239" s="5"/>
      <c r="H239" s="5"/>
      <c r="I239" s="5"/>
      <c r="J239" s="5"/>
      <c r="K239" s="5"/>
      <c r="L239" s="5"/>
      <c r="M239" s="5"/>
      <c r="N239" s="5"/>
      <c r="O239" s="5"/>
      <c r="P239" s="5"/>
      <c r="Q239" s="5"/>
      <c r="R239" s="5"/>
      <c r="S239" s="5"/>
      <c r="T239" s="5"/>
    </row>
    <row r="240" spans="3:20">
      <c r="C240" s="5"/>
      <c r="D240" s="5"/>
      <c r="E240" s="5"/>
      <c r="F240" s="5"/>
      <c r="G240" s="5"/>
      <c r="H240" s="5"/>
      <c r="I240" s="5"/>
      <c r="J240" s="5"/>
      <c r="K240" s="5"/>
      <c r="L240" s="5"/>
      <c r="M240" s="5"/>
      <c r="N240" s="5"/>
      <c r="O240" s="5"/>
      <c r="P240" s="5"/>
      <c r="Q240" s="5"/>
      <c r="R240" s="5"/>
      <c r="S240" s="5"/>
      <c r="T240" s="5"/>
    </row>
    <row r="241" spans="3:20">
      <c r="C241" s="5"/>
      <c r="D241" s="5"/>
      <c r="E241" s="5"/>
      <c r="F241" s="5"/>
      <c r="G241" s="5"/>
      <c r="H241" s="5"/>
      <c r="I241" s="5"/>
      <c r="J241" s="5"/>
      <c r="K241" s="5"/>
      <c r="L241" s="5"/>
      <c r="M241" s="5"/>
      <c r="N241" s="5"/>
      <c r="O241" s="5"/>
      <c r="P241" s="5"/>
      <c r="Q241" s="5"/>
      <c r="R241" s="5"/>
      <c r="S241" s="5"/>
      <c r="T241" s="5"/>
    </row>
    <row r="242" spans="3:20">
      <c r="C242" s="5"/>
      <c r="D242" s="5"/>
      <c r="E242" s="5"/>
      <c r="F242" s="5"/>
      <c r="G242" s="5"/>
      <c r="H242" s="5"/>
      <c r="I242" s="5"/>
      <c r="J242" s="5"/>
      <c r="K242" s="5"/>
      <c r="L242" s="5"/>
      <c r="M242" s="5"/>
      <c r="N242" s="5"/>
      <c r="O242" s="5"/>
      <c r="P242" s="5"/>
      <c r="Q242" s="5"/>
      <c r="R242" s="5"/>
      <c r="S242" s="5"/>
      <c r="T242" s="5"/>
    </row>
    <row r="243" spans="3:20">
      <c r="C243" s="5"/>
      <c r="D243" s="5"/>
      <c r="E243" s="5"/>
      <c r="F243" s="5"/>
      <c r="G243" s="5"/>
      <c r="H243" s="5"/>
      <c r="I243" s="5"/>
      <c r="J243" s="5"/>
      <c r="K243" s="5"/>
      <c r="L243" s="5"/>
      <c r="M243" s="5"/>
      <c r="N243" s="5"/>
      <c r="O243" s="5"/>
      <c r="P243" s="5"/>
      <c r="Q243" s="5"/>
      <c r="R243" s="5"/>
      <c r="S243" s="5"/>
      <c r="T243" s="5"/>
    </row>
    <row r="244" spans="3:20">
      <c r="C244" s="5"/>
      <c r="D244" s="5"/>
      <c r="E244" s="5"/>
      <c r="F244" s="5"/>
      <c r="G244" s="5"/>
      <c r="H244" s="5"/>
      <c r="I244" s="5"/>
      <c r="J244" s="5"/>
      <c r="K244" s="5"/>
      <c r="L244" s="5"/>
      <c r="M244" s="5"/>
      <c r="N244" s="5"/>
      <c r="O244" s="5"/>
      <c r="P244" s="5"/>
      <c r="Q244" s="5"/>
      <c r="R244" s="5"/>
      <c r="S244" s="5"/>
      <c r="T244" s="5"/>
    </row>
  </sheetData>
  <mergeCells count="3">
    <mergeCell ref="A1:S1"/>
    <mergeCell ref="A2:S2"/>
    <mergeCell ref="A3:S3"/>
  </mergeCells>
  <pageMargins left="0.75" right="0.75" top="1" bottom="1" header="0.5" footer="0.5"/>
  <pageSetup scale="55" orientation="landscape" r:id="rId1"/>
  <headerFooter alignWithMargins="0">
    <oddFooter>&amp;L&amp;Z
&amp;F&amp;C&amp;A&amp;R4.&amp;P</oddFooter>
  </headerFooter>
</worksheet>
</file>

<file path=xl/worksheets/sheet57.xml><?xml version="1.0" encoding="utf-8"?>
<worksheet xmlns="http://schemas.openxmlformats.org/spreadsheetml/2006/main" xmlns:r="http://schemas.openxmlformats.org/officeDocument/2006/relationships">
  <sheetPr codeName="Sheet94">
    <pageSetUpPr fitToPage="1"/>
  </sheetPr>
  <dimension ref="A1:P160"/>
  <sheetViews>
    <sheetView zoomScale="90" zoomScaleNormal="90" workbookViewId="0">
      <pane xSplit="1" ySplit="10" topLeftCell="B11" activePane="bottomRight" state="frozen"/>
      <selection sqref="A1:P1"/>
      <selection pane="topRight" sqref="A1:P1"/>
      <selection pane="bottomLeft" sqref="A1:P1"/>
      <selection pane="bottomRight" sqref="A1:P1"/>
    </sheetView>
  </sheetViews>
  <sheetFormatPr defaultRowHeight="12.75"/>
  <cols>
    <col min="1" max="1" width="40.5703125" bestFit="1" customWidth="1"/>
    <col min="2" max="2" width="17.7109375" customWidth="1"/>
    <col min="3" max="3" width="1.7109375" customWidth="1"/>
    <col min="4" max="4" width="17.7109375" customWidth="1"/>
    <col min="5" max="5" width="1.7109375" customWidth="1"/>
    <col min="6" max="6" width="17.7109375" customWidth="1"/>
    <col min="7" max="7" width="1.7109375" customWidth="1"/>
    <col min="8" max="8" width="17.7109375" customWidth="1"/>
    <col min="9" max="9" width="1.7109375" customWidth="1"/>
    <col min="10" max="10" width="17.7109375" customWidth="1"/>
    <col min="11" max="11" width="1.7109375" customWidth="1"/>
    <col min="12" max="12" width="17.7109375" customWidth="1"/>
    <col min="13" max="13" width="2.140625" customWidth="1"/>
    <col min="14" max="14" width="16.7109375" customWidth="1"/>
    <col min="15" max="15" width="2.28515625" customWidth="1"/>
    <col min="16" max="16" width="23.140625" bestFit="1" customWidth="1"/>
  </cols>
  <sheetData>
    <row r="1" spans="1:16" s="38" customFormat="1" ht="15.75">
      <c r="A1" s="366" t="s">
        <v>134</v>
      </c>
      <c r="B1" s="366"/>
      <c r="C1" s="366"/>
      <c r="D1" s="366"/>
      <c r="E1" s="366"/>
      <c r="F1" s="366"/>
      <c r="G1" s="366"/>
      <c r="H1" s="366"/>
      <c r="I1" s="366"/>
      <c r="J1" s="366"/>
      <c r="K1" s="366"/>
      <c r="L1" s="366"/>
      <c r="M1" s="366"/>
      <c r="N1" s="366"/>
      <c r="O1" s="366"/>
      <c r="P1" s="366"/>
    </row>
    <row r="2" spans="1:16" s="38" customFormat="1" ht="15.75">
      <c r="A2" s="367" t="s">
        <v>1183</v>
      </c>
      <c r="B2" s="366"/>
      <c r="C2" s="366"/>
      <c r="D2" s="366"/>
      <c r="E2" s="366"/>
      <c r="F2" s="366"/>
      <c r="G2" s="366"/>
      <c r="H2" s="366"/>
      <c r="I2" s="366"/>
      <c r="J2" s="366"/>
      <c r="K2" s="366"/>
      <c r="L2" s="366"/>
      <c r="M2" s="366"/>
      <c r="N2" s="366"/>
      <c r="O2" s="366"/>
      <c r="P2" s="366"/>
    </row>
    <row r="3" spans="1:16">
      <c r="A3" s="357" t="str">
        <f>'Summary - Cost - PG 1 (Tot)'!A3:N3</f>
        <v>MARCH 2012</v>
      </c>
      <c r="B3" s="357"/>
      <c r="C3" s="357"/>
      <c r="D3" s="357"/>
      <c r="E3" s="357"/>
      <c r="F3" s="357"/>
      <c r="G3" s="357"/>
      <c r="H3" s="357"/>
      <c r="I3" s="357"/>
      <c r="J3" s="357"/>
      <c r="K3" s="357"/>
      <c r="L3" s="357"/>
      <c r="M3" s="357"/>
      <c r="N3" s="357"/>
      <c r="O3" s="357"/>
      <c r="P3" s="357"/>
    </row>
    <row r="4" spans="1:16">
      <c r="A4" s="190"/>
      <c r="B4" s="190"/>
      <c r="C4" s="190"/>
      <c r="D4" s="190"/>
      <c r="E4" s="190"/>
      <c r="F4" s="190"/>
      <c r="G4" s="190"/>
      <c r="H4" s="190"/>
      <c r="I4" s="190"/>
      <c r="J4" s="190"/>
      <c r="K4" s="190"/>
      <c r="L4" s="190"/>
    </row>
    <row r="6" spans="1:16">
      <c r="B6" s="41" t="s">
        <v>25</v>
      </c>
      <c r="D6" s="182"/>
      <c r="F6" s="182"/>
      <c r="H6" s="41" t="s">
        <v>612</v>
      </c>
      <c r="J6" s="182"/>
      <c r="L6" s="41" t="s">
        <v>26</v>
      </c>
      <c r="P6" s="29" t="s">
        <v>422</v>
      </c>
    </row>
    <row r="7" spans="1:16" s="10" customFormat="1">
      <c r="A7" s="12" t="s">
        <v>371</v>
      </c>
      <c r="B7" s="42" t="s">
        <v>27</v>
      </c>
      <c r="C7"/>
      <c r="D7" s="42" t="s">
        <v>107</v>
      </c>
      <c r="E7"/>
      <c r="F7" s="42" t="s">
        <v>108</v>
      </c>
      <c r="G7"/>
      <c r="H7" s="42" t="s">
        <v>613</v>
      </c>
      <c r="I7"/>
      <c r="J7" s="42" t="s">
        <v>109</v>
      </c>
      <c r="K7"/>
      <c r="L7" s="42" t="s">
        <v>27</v>
      </c>
      <c r="N7" s="42" t="s">
        <v>46</v>
      </c>
      <c r="P7" s="42" t="s">
        <v>419</v>
      </c>
    </row>
    <row r="8" spans="1:16" s="10" customFormat="1">
      <c r="A8" s="12" t="s">
        <v>296</v>
      </c>
      <c r="B8" s="54"/>
      <c r="C8"/>
      <c r="D8" s="54"/>
      <c r="E8"/>
      <c r="F8" s="54"/>
      <c r="G8"/>
      <c r="H8" s="54"/>
      <c r="I8"/>
      <c r="J8" s="54"/>
      <c r="K8"/>
      <c r="L8" s="54"/>
    </row>
    <row r="9" spans="1:16" s="10" customFormat="1">
      <c r="A9" s="12" t="s">
        <v>420</v>
      </c>
      <c r="B9"/>
      <c r="C9"/>
      <c r="D9"/>
      <c r="E9"/>
      <c r="F9"/>
      <c r="G9"/>
      <c r="H9"/>
      <c r="I9"/>
      <c r="J9"/>
      <c r="K9"/>
      <c r="L9"/>
    </row>
    <row r="10" spans="1:16" s="10" customFormat="1">
      <c r="A10" s="12" t="s">
        <v>807</v>
      </c>
      <c r="B10"/>
      <c r="C10"/>
      <c r="D10"/>
      <c r="E10"/>
      <c r="F10"/>
      <c r="G10"/>
      <c r="H10"/>
      <c r="I10"/>
      <c r="J10"/>
      <c r="K10"/>
      <c r="L10"/>
    </row>
    <row r="11" spans="1:16">
      <c r="A11" t="s">
        <v>19</v>
      </c>
      <c r="B11" s="182">
        <f>'KY_Cost Plant Acct-Com-P8(Tot)'!B11</f>
        <v>1685316.06</v>
      </c>
      <c r="C11" s="182"/>
      <c r="D11" s="182">
        <f>'KY_Cost Plant Acct-Com-P8(Tot)'!D11</f>
        <v>0</v>
      </c>
      <c r="E11" s="182"/>
      <c r="F11" s="182">
        <f>'KY_Cost Plant Acct-Com-P8(Tot)'!F11</f>
        <v>0</v>
      </c>
      <c r="G11" s="182"/>
      <c r="H11" s="182">
        <f>'KY_Cost Plant Acct-Com-P8(Tot)'!H11</f>
        <v>0</v>
      </c>
      <c r="I11" s="182"/>
      <c r="J11" s="182">
        <f t="shared" ref="J11:J39" si="0">H11+F11+D11</f>
        <v>0</v>
      </c>
      <c r="K11" s="182"/>
      <c r="L11" s="182">
        <f t="shared" ref="L11:L39" si="1">J11+B11</f>
        <v>1685316.06</v>
      </c>
      <c r="M11" s="4"/>
      <c r="N11" s="89">
        <f>'KY_Res by Plant Acct-P29 (Tot)'!R405</f>
        <v>0</v>
      </c>
      <c r="P11" s="89">
        <f t="shared" ref="P11:P39" si="2">L11+N11</f>
        <v>1685316.06</v>
      </c>
    </row>
    <row r="12" spans="1:16">
      <c r="A12" t="s">
        <v>20</v>
      </c>
      <c r="B12" s="182">
        <f>'KY_Cost Plant Acct-Com-P8(Tot)'!B12</f>
        <v>74183.680000000008</v>
      </c>
      <c r="C12" s="182"/>
      <c r="D12" s="182">
        <f>'KY_Cost Plant Acct-Com-P8(Tot)'!D12</f>
        <v>0</v>
      </c>
      <c r="E12" s="182"/>
      <c r="F12" s="182">
        <f>'KY_Cost Plant Acct-Com-P8(Tot)'!F12</f>
        <v>0</v>
      </c>
      <c r="G12" s="182"/>
      <c r="H12" s="182">
        <f>'KY_Cost Plant Acct-Com-P8(Tot)'!H12</f>
        <v>0</v>
      </c>
      <c r="I12" s="182"/>
      <c r="J12" s="182">
        <f t="shared" si="0"/>
        <v>0</v>
      </c>
      <c r="K12" s="182"/>
      <c r="L12" s="182">
        <f t="shared" si="1"/>
        <v>74183.680000000008</v>
      </c>
      <c r="M12" s="4"/>
      <c r="N12" s="89">
        <f>'KY_Res by Plant Acct-P29 (Tot)'!R406</f>
        <v>-8445.9399999999951</v>
      </c>
      <c r="P12" s="89">
        <f t="shared" si="2"/>
        <v>65737.74000000002</v>
      </c>
    </row>
    <row r="13" spans="1:16">
      <c r="A13" t="s">
        <v>266</v>
      </c>
      <c r="B13" s="182">
        <f>'KY_Cost Plant Acct-Com-P8(Tot)'!B13+'KY_Cost Plant Acct-Com-P8(Tot)'!B48</f>
        <v>44198440.730000012</v>
      </c>
      <c r="C13" s="182"/>
      <c r="D13" s="182">
        <f>'KY_Cost Plant Acct-Com-P8(Tot)'!D13+'KY_Cost Plant Acct-Com-P8(Tot)'!D48</f>
        <v>324894.92</v>
      </c>
      <c r="E13" s="182"/>
      <c r="F13" s="182">
        <f>'KY_Cost Plant Acct-Com-P8(Tot)'!F13</f>
        <v>-48802.84</v>
      </c>
      <c r="G13" s="182"/>
      <c r="H13" s="182">
        <f>'KY_Cost Plant Acct-Com-P8(Tot)'!H13</f>
        <v>0</v>
      </c>
      <c r="I13" s="182"/>
      <c r="J13" s="182">
        <f t="shared" si="0"/>
        <v>276092.07999999996</v>
      </c>
      <c r="K13" s="182"/>
      <c r="L13" s="182">
        <f t="shared" si="1"/>
        <v>44474532.81000001</v>
      </c>
      <c r="M13" s="4"/>
      <c r="N13" s="89">
        <f>'KY_Res by Plant Acct-P29 (Tot)'!R410+'KY_Res by Plant Acct-P29 (Tot)'!R407+'KY_Res by Plant Acct-P29 (Tot)'!R411+'KY_Res by Plant Acct-P29 (Tot)'!R409+'KY_Res by Plant Acct-P29 (Tot)'!R408</f>
        <v>-2473836.8300000029</v>
      </c>
      <c r="P13" s="89">
        <f t="shared" si="2"/>
        <v>42000695.980000004</v>
      </c>
    </row>
    <row r="14" spans="1:16">
      <c r="A14" t="s">
        <v>84</v>
      </c>
      <c r="B14" s="182">
        <f>'KY_Cost Plant Acct-Com-P8(Tot)'!B14</f>
        <v>1013117.8600000001</v>
      </c>
      <c r="C14" s="182"/>
      <c r="D14" s="182">
        <f>'KY_Cost Plant Acct-Com-P8(Tot)'!D14</f>
        <v>0</v>
      </c>
      <c r="E14" s="182"/>
      <c r="F14" s="182">
        <f>'KY_Cost Plant Acct-Com-P8(Tot)'!F14</f>
        <v>0</v>
      </c>
      <c r="G14" s="182"/>
      <c r="H14" s="182">
        <f>'KY_Cost Plant Acct-Com-P8(Tot)'!H14</f>
        <v>0</v>
      </c>
      <c r="I14" s="182"/>
      <c r="J14" s="182">
        <f t="shared" si="0"/>
        <v>0</v>
      </c>
      <c r="K14" s="182"/>
      <c r="L14" s="182">
        <f t="shared" si="1"/>
        <v>1013117.8600000001</v>
      </c>
      <c r="M14" s="4"/>
      <c r="N14" s="89">
        <f>'KY_Res by Plant Acct-P29 (Tot)'!R412</f>
        <v>-177788.02999999985</v>
      </c>
      <c r="P14" s="89">
        <f t="shared" si="2"/>
        <v>835329.83000000031</v>
      </c>
    </row>
    <row r="15" spans="1:16">
      <c r="A15" t="s">
        <v>85</v>
      </c>
      <c r="B15" s="182">
        <f>'KY_Cost Plant Acct-Com-P8(Tot)'!B15</f>
        <v>3930848.6400000006</v>
      </c>
      <c r="C15" s="182"/>
      <c r="D15" s="182">
        <f>'KY_Cost Plant Acct-Com-P8(Tot)'!D15</f>
        <v>0</v>
      </c>
      <c r="E15" s="182"/>
      <c r="F15" s="182">
        <f>'KY_Cost Plant Acct-Com-P8(Tot)'!F15</f>
        <v>-46260.709999999992</v>
      </c>
      <c r="G15" s="182"/>
      <c r="H15" s="182">
        <f>'KY_Cost Plant Acct-Com-P8(Tot)'!H15</f>
        <v>0</v>
      </c>
      <c r="I15" s="182"/>
      <c r="J15" s="182">
        <f t="shared" si="0"/>
        <v>-46260.709999999992</v>
      </c>
      <c r="K15" s="182"/>
      <c r="L15" s="182">
        <f t="shared" si="1"/>
        <v>3884587.9300000006</v>
      </c>
      <c r="M15" s="4"/>
      <c r="N15" s="89">
        <f>'KY_Res by Plant Acct-P29 (Tot)'!R413</f>
        <v>-525069.4499999996</v>
      </c>
      <c r="P15" s="89">
        <f t="shared" si="2"/>
        <v>3359518.4800000009</v>
      </c>
    </row>
    <row r="16" spans="1:16">
      <c r="A16" t="s">
        <v>86</v>
      </c>
      <c r="B16" s="182">
        <f>'KY_Cost Plant Acct-Com-P8(Tot)'!B16</f>
        <v>390665.41</v>
      </c>
      <c r="C16" s="182"/>
      <c r="D16" s="182">
        <f>'KY_Cost Plant Acct-Com-P8(Tot)'!D16</f>
        <v>0</v>
      </c>
      <c r="E16" s="182"/>
      <c r="F16" s="182">
        <f>'KY_Cost Plant Acct-Com-P8(Tot)'!F16</f>
        <v>0</v>
      </c>
      <c r="G16" s="182"/>
      <c r="H16" s="182">
        <f>'KY_Cost Plant Acct-Com-P8(Tot)'!H16</f>
        <v>0</v>
      </c>
      <c r="I16" s="182"/>
      <c r="J16" s="182">
        <f t="shared" si="0"/>
        <v>0</v>
      </c>
      <c r="K16" s="182"/>
      <c r="L16" s="182">
        <f t="shared" si="1"/>
        <v>390665.41</v>
      </c>
      <c r="M16" s="4"/>
      <c r="N16" s="89">
        <f>'KY_Res by Plant Acct-P29 (Tot)'!R414</f>
        <v>-26668.19</v>
      </c>
      <c r="P16" s="89">
        <f t="shared" si="2"/>
        <v>363997.22</v>
      </c>
    </row>
    <row r="17" spans="1:16">
      <c r="A17" t="s">
        <v>87</v>
      </c>
      <c r="B17" s="182">
        <f>'KY_Cost Plant Acct-Com-P8(Tot)'!B17+'KY_Cost Plant Acct-Com-P8(Tot)'!B49</f>
        <v>879507.93</v>
      </c>
      <c r="C17" s="182"/>
      <c r="D17" s="182">
        <f>'KY_Cost Plant Acct-Com-P8(Tot)'!D17+'KY_Cost Plant Acct-Com-P8(Tot)'!D49</f>
        <v>0</v>
      </c>
      <c r="E17" s="182"/>
      <c r="F17" s="182">
        <f>'KY_Cost Plant Acct-Com-P8(Tot)'!F17+'KY_Cost Plant Acct-Com-P8(Tot)'!F49</f>
        <v>0</v>
      </c>
      <c r="G17" s="182"/>
      <c r="H17" s="182">
        <f>'KY_Cost Plant Acct-Com-P8(Tot)'!H17+'KY_Cost Plant Acct-Com-P8(Tot)'!H49</f>
        <v>0</v>
      </c>
      <c r="I17" s="182"/>
      <c r="J17" s="182">
        <f t="shared" si="0"/>
        <v>0</v>
      </c>
      <c r="K17" s="182"/>
      <c r="L17" s="182">
        <f t="shared" si="1"/>
        <v>879507.93</v>
      </c>
      <c r="M17" s="4"/>
      <c r="N17" s="89">
        <f>'KY_Res by Plant Acct-P29 (Tot)'!R415</f>
        <v>-52487.600000000006</v>
      </c>
      <c r="P17" s="89">
        <f t="shared" si="2"/>
        <v>827020.33000000007</v>
      </c>
    </row>
    <row r="18" spans="1:16">
      <c r="A18" t="s">
        <v>88</v>
      </c>
      <c r="B18" s="182">
        <f>'KY_Cost Plant Acct-Com-P8(Tot)'!B18+'KY_Cost Plant Acct-Com-P8(Tot)'!B50</f>
        <v>6616065.8500000006</v>
      </c>
      <c r="C18" s="182"/>
      <c r="D18" s="182">
        <f>'KY_Cost Plant Acct-Com-P8(Tot)'!D18+'KY_Cost Plant Acct-Com-P8(Tot)'!D50</f>
        <v>141502.9</v>
      </c>
      <c r="E18" s="182"/>
      <c r="F18" s="182">
        <f>'KY_Cost Plant Acct-Com-P8(Tot)'!F18</f>
        <v>0</v>
      </c>
      <c r="G18" s="182"/>
      <c r="H18" s="182">
        <f>'KY_Cost Plant Acct-Com-P8(Tot)'!H18</f>
        <v>0</v>
      </c>
      <c r="I18" s="182"/>
      <c r="J18" s="182">
        <f t="shared" si="0"/>
        <v>141502.9</v>
      </c>
      <c r="K18" s="182"/>
      <c r="L18" s="182">
        <f t="shared" si="1"/>
        <v>6757568.7500000009</v>
      </c>
      <c r="M18" s="4"/>
      <c r="N18" s="89">
        <f>'KY_Res by Plant Acct-P29 (Tot)'!R416</f>
        <v>-985168.74999999942</v>
      </c>
      <c r="P18" s="89">
        <f t="shared" si="2"/>
        <v>5772400.0000000019</v>
      </c>
    </row>
    <row r="19" spans="1:16">
      <c r="A19" t="s">
        <v>89</v>
      </c>
      <c r="B19" s="182">
        <f>'KY_Cost Plant Acct-Com-P8(Tot)'!B19+'KY_Cost Plant Acct-Com-P8(Tot)'!B51</f>
        <v>1222997.8199999998</v>
      </c>
      <c r="C19" s="182"/>
      <c r="D19" s="182">
        <f>'KY_Cost Plant Acct-Com-P8(Tot)'!D19+'KY_Cost Plant Acct-Com-P8(Tot)'!D51</f>
        <v>0</v>
      </c>
      <c r="E19" s="182"/>
      <c r="F19" s="182">
        <f>'KY_Cost Plant Acct-Com-P8(Tot)'!F19</f>
        <v>0</v>
      </c>
      <c r="G19" s="182"/>
      <c r="H19" s="182">
        <f>'KY_Cost Plant Acct-Com-P8(Tot)'!H19</f>
        <v>0</v>
      </c>
      <c r="I19" s="182"/>
      <c r="J19" s="182">
        <f t="shared" si="0"/>
        <v>0</v>
      </c>
      <c r="K19" s="182"/>
      <c r="L19" s="182">
        <f t="shared" si="1"/>
        <v>1222997.8199999998</v>
      </c>
      <c r="M19" s="4"/>
      <c r="N19" s="89">
        <f>'KY_Res by Plant Acct-P29 (Tot)'!R417</f>
        <v>22859.509999999944</v>
      </c>
      <c r="P19" s="89">
        <f t="shared" si="2"/>
        <v>1245857.3299999998</v>
      </c>
    </row>
    <row r="20" spans="1:16">
      <c r="A20" t="s">
        <v>90</v>
      </c>
      <c r="B20" s="182">
        <f>'KY_Cost Plant Acct-Com-P8(Tot)'!B20+'KY_Cost Plant Acct-Com-P8(Tot)'!B52</f>
        <v>5476641.6399999987</v>
      </c>
      <c r="C20" s="182"/>
      <c r="D20" s="182">
        <f>'KY_Cost Plant Acct-Com-P8(Tot)'!D20+'KY_Cost Plant Acct-Com-P8(Tot)'!D52</f>
        <v>856015.5</v>
      </c>
      <c r="E20" s="182"/>
      <c r="F20" s="182">
        <f>'KY_Cost Plant Acct-Com-P8(Tot)'!F20</f>
        <v>0</v>
      </c>
      <c r="G20" s="182"/>
      <c r="H20" s="182">
        <f>'KY_Cost Plant Acct-Com-P8(Tot)'!H20+'KY_Cost Plant Acct-Com-P8(Tot)'!H52</f>
        <v>0</v>
      </c>
      <c r="I20" s="182"/>
      <c r="J20" s="182">
        <f t="shared" si="0"/>
        <v>856015.5</v>
      </c>
      <c r="K20" s="182"/>
      <c r="L20" s="182">
        <f t="shared" si="1"/>
        <v>6332657.1399999987</v>
      </c>
      <c r="M20" s="4"/>
      <c r="N20" s="89">
        <f>'KY_Res by Plant Acct-P29 (Tot)'!R418</f>
        <v>-4704571.6300000008</v>
      </c>
      <c r="P20" s="89">
        <f t="shared" si="2"/>
        <v>1628085.5099999979</v>
      </c>
    </row>
    <row r="21" spans="1:16">
      <c r="A21" t="s">
        <v>91</v>
      </c>
      <c r="B21" s="182">
        <f>'KY_Cost Plant Acct-Com-P8(Tot)'!B21+'KY_Cost Plant Acct-Com-P8(Tot)'!B53</f>
        <v>2457815.3499999996</v>
      </c>
      <c r="C21" s="182"/>
      <c r="D21" s="182">
        <f>'KY_Cost Plant Acct-Com-P8(Tot)'!D21+'KY_Cost Plant Acct-Com-P8(Tot)'!D53</f>
        <v>248747.5</v>
      </c>
      <c r="E21" s="182"/>
      <c r="F21" s="182">
        <f>'KY_Cost Plant Acct-Com-P8(Tot)'!F21</f>
        <v>0</v>
      </c>
      <c r="G21" s="182"/>
      <c r="H21" s="182">
        <f>'KY_Cost Plant Acct-Com-P8(Tot)'!H21</f>
        <v>0</v>
      </c>
      <c r="I21" s="182"/>
      <c r="J21" s="182">
        <f t="shared" si="0"/>
        <v>248747.5</v>
      </c>
      <c r="K21" s="182"/>
      <c r="L21" s="182">
        <f t="shared" si="1"/>
        <v>2706562.8499999996</v>
      </c>
      <c r="M21" s="4"/>
      <c r="N21" s="89">
        <f>'KY_Res by Plant Acct-P29 (Tot)'!R419</f>
        <v>-1083365.9200000002</v>
      </c>
      <c r="P21" s="89">
        <f t="shared" si="2"/>
        <v>1623196.9299999995</v>
      </c>
    </row>
    <row r="22" spans="1:16">
      <c r="A22" s="179" t="s">
        <v>1430</v>
      </c>
      <c r="B22" s="182">
        <f>'KY_Cost Plant Acct-Com-P8(Tot)'!B22+'KY_Cost Plant Acct-Com-P8(Tot)'!B54</f>
        <v>-8182.2300000000105</v>
      </c>
      <c r="C22" s="182"/>
      <c r="D22" s="182">
        <f>'KY_Cost Plant Acct-Com-P8(Tot)'!D22+'KY_Cost Plant Acct-Com-P8(Tot)'!D54</f>
        <v>0</v>
      </c>
      <c r="E22" s="182"/>
      <c r="F22" s="182">
        <f>'KY_Cost Plant Acct-Com-P8(Tot)'!F22</f>
        <v>0</v>
      </c>
      <c r="G22" s="182"/>
      <c r="H22" s="182">
        <f>'KY_Cost Plant Acct-Com-P8(Tot)'!H22</f>
        <v>0</v>
      </c>
      <c r="I22" s="182"/>
      <c r="J22" s="182">
        <f t="shared" ref="J22" si="3">H22+F22+D22</f>
        <v>0</v>
      </c>
      <c r="K22" s="182"/>
      <c r="L22" s="182">
        <f t="shared" ref="L22" si="4">J22+B22</f>
        <v>-8182.2300000000105</v>
      </c>
      <c r="M22" s="4"/>
      <c r="N22" s="89">
        <f>'KY_Res by Plant Acct-P29 (Tot)'!R420</f>
        <v>-3743.7000000000025</v>
      </c>
      <c r="P22" s="89">
        <f t="shared" ref="P22" si="5">L22+N22</f>
        <v>-11925.930000000013</v>
      </c>
    </row>
    <row r="23" spans="1:16">
      <c r="A23" t="s">
        <v>92</v>
      </c>
      <c r="B23" s="182">
        <f>'KY_Cost Plant Acct-Com-P8(Tot)'!B23+'KY_Cost Plant Acct-Com-P8(Tot)'!B54</f>
        <v>1498409.3099999996</v>
      </c>
      <c r="C23" s="182"/>
      <c r="D23" s="182">
        <f>'KY_Cost Plant Acct-Com-P8(Tot)'!D23+'KY_Cost Plant Acct-Com-P8(Tot)'!D54</f>
        <v>0</v>
      </c>
      <c r="E23" s="182"/>
      <c r="F23" s="182">
        <f>'KY_Cost Plant Acct-Com-P8(Tot)'!F23</f>
        <v>0</v>
      </c>
      <c r="G23" s="182"/>
      <c r="H23" s="182">
        <f>'KY_Cost Plant Acct-Com-P8(Tot)'!H23</f>
        <v>0</v>
      </c>
      <c r="I23" s="182"/>
      <c r="J23" s="182">
        <f t="shared" si="0"/>
        <v>0</v>
      </c>
      <c r="K23" s="182"/>
      <c r="L23" s="182">
        <f t="shared" si="1"/>
        <v>1498409.3099999996</v>
      </c>
      <c r="M23" s="4"/>
      <c r="N23" s="89">
        <f>'KY_Res by Plant Acct-P29 (Tot)'!R421</f>
        <v>50577.849999999708</v>
      </c>
      <c r="P23" s="89">
        <f t="shared" si="2"/>
        <v>1548987.1599999992</v>
      </c>
    </row>
    <row r="24" spans="1:16">
      <c r="A24" t="s">
        <v>93</v>
      </c>
      <c r="B24" s="182">
        <f>'KY_Cost Plant Acct-Com-P8(Tot)'!B24</f>
        <v>145237.13</v>
      </c>
      <c r="C24" s="182"/>
      <c r="D24" s="182">
        <f>'KY_Cost Plant Acct-Com-P8(Tot)'!D24</f>
        <v>0</v>
      </c>
      <c r="E24" s="182"/>
      <c r="F24" s="182">
        <f>'KY_Cost Plant Acct-Com-P8(Tot)'!F24</f>
        <v>0</v>
      </c>
      <c r="G24" s="182"/>
      <c r="H24" s="182">
        <f>'KY_Cost Plant Acct-Com-P8(Tot)'!H24</f>
        <v>0</v>
      </c>
      <c r="I24" s="182"/>
      <c r="J24" s="182">
        <f t="shared" si="0"/>
        <v>0</v>
      </c>
      <c r="K24" s="182"/>
      <c r="L24" s="182">
        <f t="shared" si="1"/>
        <v>145237.13</v>
      </c>
      <c r="M24" s="4"/>
      <c r="N24" s="89">
        <f>'KY_Res by Plant Acct-P29 (Tot)'!R422</f>
        <v>-29769.890000000003</v>
      </c>
      <c r="P24" s="89">
        <f t="shared" si="2"/>
        <v>115467.24</v>
      </c>
    </row>
    <row r="25" spans="1:16">
      <c r="A25" t="s">
        <v>94</v>
      </c>
      <c r="B25" s="182">
        <f>'KY_Cost Plant Acct-Com-P8(Tot)'!B25</f>
        <v>55541.72</v>
      </c>
      <c r="C25" s="182"/>
      <c r="D25" s="182">
        <f>'KY_Cost Plant Acct-Com-P8(Tot)'!D25+'KY_Cost Plant Acct-Com-P8(Tot)'!D55</f>
        <v>0</v>
      </c>
      <c r="E25" s="182"/>
      <c r="F25" s="182">
        <f>'KY_Cost Plant Acct-Com-P8(Tot)'!F25</f>
        <v>0</v>
      </c>
      <c r="G25" s="182"/>
      <c r="H25" s="182">
        <f>'KY_Cost Plant Acct-Com-P8(Tot)'!H25</f>
        <v>0</v>
      </c>
      <c r="I25" s="182"/>
      <c r="J25" s="182">
        <f t="shared" si="0"/>
        <v>0</v>
      </c>
      <c r="K25" s="182"/>
      <c r="L25" s="182">
        <f t="shared" si="1"/>
        <v>55541.72</v>
      </c>
      <c r="M25" s="4"/>
      <c r="N25" s="89">
        <f>'KY_Res by Plant Acct-P29 (Tot)'!R423</f>
        <v>-873.23000000000047</v>
      </c>
      <c r="P25" s="89">
        <f t="shared" si="2"/>
        <v>54668.49</v>
      </c>
    </row>
    <row r="26" spans="1:16">
      <c r="A26" t="s">
        <v>95</v>
      </c>
      <c r="B26" s="182">
        <f>'KY_Cost Plant Acct-Com-P8(Tot)'!B26+'KY_Cost Plant Acct-Com-P8(Tot)'!B56</f>
        <v>668891.63000000024</v>
      </c>
      <c r="C26" s="182"/>
      <c r="D26" s="182">
        <f>'KY_Cost Plant Acct-Com-P8(Tot)'!D26+'KY_Cost Plant Acct-Com-P8(Tot)'!D56</f>
        <v>0</v>
      </c>
      <c r="E26" s="182"/>
      <c r="F26" s="182">
        <f>'KY_Cost Plant Acct-Com-P8(Tot)'!F26</f>
        <v>0</v>
      </c>
      <c r="G26" s="182"/>
      <c r="H26" s="182">
        <f>'KY_Cost Plant Acct-Com-P8(Tot)'!H26</f>
        <v>0</v>
      </c>
      <c r="I26" s="182"/>
      <c r="J26" s="182">
        <f t="shared" si="0"/>
        <v>0</v>
      </c>
      <c r="K26" s="182"/>
      <c r="L26" s="182">
        <f t="shared" si="1"/>
        <v>668891.63000000024</v>
      </c>
      <c r="M26" s="4"/>
      <c r="N26" s="89">
        <f>'KY_Res by Plant Acct-P29 (Tot)'!R424</f>
        <v>-69410.370000000024</v>
      </c>
      <c r="P26" s="89">
        <f t="shared" si="2"/>
        <v>599481.26000000024</v>
      </c>
    </row>
    <row r="27" spans="1:16">
      <c r="A27" t="s">
        <v>96</v>
      </c>
      <c r="B27" s="182">
        <f>'KY_Cost Plant Acct-Com-P8(Tot)'!B27+'KY_Cost Plant Acct-Com-P8(Tot)'!B57</f>
        <v>2697877.29</v>
      </c>
      <c r="C27" s="182"/>
      <c r="D27" s="182">
        <f>'KY_Cost Plant Acct-Com-P8(Tot)'!D27+'KY_Cost Plant Acct-Com-P8(Tot)'!D57</f>
        <v>0</v>
      </c>
      <c r="E27" s="182"/>
      <c r="F27" s="182">
        <f>'KY_Cost Plant Acct-Com-P8(Tot)'!F27</f>
        <v>0</v>
      </c>
      <c r="G27" s="182"/>
      <c r="H27" s="182">
        <f>'KY_Cost Plant Acct-Com-P8(Tot)'!H27</f>
        <v>4435.22</v>
      </c>
      <c r="I27" s="182"/>
      <c r="J27" s="182">
        <f t="shared" si="0"/>
        <v>4435.22</v>
      </c>
      <c r="K27" s="182"/>
      <c r="L27" s="182">
        <f t="shared" si="1"/>
        <v>2702312.5100000002</v>
      </c>
      <c r="M27" s="4"/>
      <c r="N27" s="89">
        <f>'KY_Res by Plant Acct-P29 (Tot)'!R425</f>
        <v>-233839.57999999978</v>
      </c>
      <c r="P27" s="89">
        <f t="shared" si="2"/>
        <v>2468472.9300000006</v>
      </c>
    </row>
    <row r="28" spans="1:16">
      <c r="A28" t="s">
        <v>97</v>
      </c>
      <c r="B28" s="182">
        <f>'KY_Cost Plant Acct-Com-P8(Tot)'!B28</f>
        <v>-231.25</v>
      </c>
      <c r="C28" s="182"/>
      <c r="D28" s="182">
        <f>'KY_Cost Plant Acct-Com-P8(Tot)'!D28</f>
        <v>0</v>
      </c>
      <c r="E28" s="182"/>
      <c r="F28" s="182">
        <f>'KY_Cost Plant Acct-Com-P8(Tot)'!F28</f>
        <v>0</v>
      </c>
      <c r="G28" s="182"/>
      <c r="H28" s="182">
        <f>'KY_Cost Plant Acct-Com-P8(Tot)'!H28</f>
        <v>0</v>
      </c>
      <c r="I28" s="182"/>
      <c r="J28" s="182">
        <f t="shared" si="0"/>
        <v>0</v>
      </c>
      <c r="K28" s="182"/>
      <c r="L28" s="182">
        <f t="shared" si="1"/>
        <v>-231.25</v>
      </c>
      <c r="M28" s="4"/>
      <c r="N28" s="89">
        <f>'KY_Res by Plant Acct-P29 (Tot)'!R426</f>
        <v>231.25000000000182</v>
      </c>
      <c r="P28" s="89">
        <f t="shared" si="2"/>
        <v>1.8189894035458565E-12</v>
      </c>
    </row>
    <row r="29" spans="1:16">
      <c r="A29" t="s">
        <v>98</v>
      </c>
      <c r="B29" s="182">
        <f>'KY_Cost Plant Acct-Com-P8(Tot)'!B29</f>
        <v>33440.929999999993</v>
      </c>
      <c r="C29" s="182"/>
      <c r="D29" s="182">
        <f>'KY_Cost Plant Acct-Com-P8(Tot)'!D29</f>
        <v>0</v>
      </c>
      <c r="E29" s="182"/>
      <c r="F29" s="182">
        <f>'KY_Cost Plant Acct-Com-P8(Tot)'!F29</f>
        <v>0</v>
      </c>
      <c r="G29" s="182"/>
      <c r="H29" s="182">
        <f>'KY_Cost Plant Acct-Com-P8(Tot)'!H29</f>
        <v>0</v>
      </c>
      <c r="I29" s="182"/>
      <c r="J29" s="182">
        <f t="shared" si="0"/>
        <v>0</v>
      </c>
      <c r="K29" s="182"/>
      <c r="L29" s="182">
        <f t="shared" si="1"/>
        <v>33440.929999999993</v>
      </c>
      <c r="M29" s="4"/>
      <c r="N29" s="89">
        <f>'KY_Res by Plant Acct-P29 (Tot)'!R427</f>
        <v>-6451.5</v>
      </c>
      <c r="P29" s="89">
        <f t="shared" si="2"/>
        <v>26989.429999999993</v>
      </c>
    </row>
    <row r="30" spans="1:16">
      <c r="A30" t="s">
        <v>99</v>
      </c>
      <c r="B30" s="182">
        <f>'KY_Cost Plant Acct-Com-P8(Tot)'!B30</f>
        <v>4777.4500000000007</v>
      </c>
      <c r="C30" s="182"/>
      <c r="D30" s="182">
        <f>'KY_Cost Plant Acct-Com-P8(Tot)'!D30</f>
        <v>0</v>
      </c>
      <c r="E30" s="182"/>
      <c r="F30" s="182">
        <f>'KY_Cost Plant Acct-Com-P8(Tot)'!F30</f>
        <v>0</v>
      </c>
      <c r="G30" s="182"/>
      <c r="H30" s="182">
        <f>'KY_Cost Plant Acct-Com-P8(Tot)'!H30</f>
        <v>0</v>
      </c>
      <c r="I30" s="182"/>
      <c r="J30" s="182">
        <f t="shared" si="0"/>
        <v>0</v>
      </c>
      <c r="K30" s="182"/>
      <c r="L30" s="182">
        <f t="shared" si="1"/>
        <v>4777.4500000000007</v>
      </c>
      <c r="M30" s="4"/>
      <c r="N30" s="89">
        <f>'KY_Res by Plant Acct-P29 (Tot)'!R428</f>
        <v>-58.940000000002186</v>
      </c>
      <c r="P30" s="89">
        <f t="shared" si="2"/>
        <v>4718.5099999999984</v>
      </c>
    </row>
    <row r="31" spans="1:16">
      <c r="A31" t="s">
        <v>4</v>
      </c>
      <c r="B31" s="182">
        <f>'KY_Cost Plant Acct-Com-P8(Tot)'!B31+'KY_Cost Plant Acct-Com-P8(Tot)'!B58+'IN_Cost Plant Acct-Com-P10(Tot)'!B10</f>
        <v>22650152.770000003</v>
      </c>
      <c r="C31" s="182"/>
      <c r="D31" s="182">
        <f>'KY_Cost Plant Acct-Com-P8(Tot)'!D31+'KY_Cost Plant Acct-Com-P8(Tot)'!D58+'IN_Cost Plant Acct-Com-P10(Tot)'!D10+'IN_Cost Plant Acct-Com-P10(Tot)'!D19</f>
        <v>165871.69</v>
      </c>
      <c r="E31" s="182"/>
      <c r="F31" s="182">
        <f>'KY_Cost Plant Acct-Com-P8(Tot)'!F31+'IN_Cost Plant Acct-Com-P10(Tot)'!F10</f>
        <v>-991.89</v>
      </c>
      <c r="G31" s="182"/>
      <c r="H31" s="182">
        <f>'KY_Cost Plant Acct-Com-P8(Tot)'!H31+'IN_Cost Plant Acct-Com-P10(Tot)'!H10+'KY_Cost Plant Acct-Com-P8(Tot)'!H58</f>
        <v>0</v>
      </c>
      <c r="I31" s="182"/>
      <c r="J31" s="182">
        <f t="shared" si="0"/>
        <v>164879.79999999999</v>
      </c>
      <c r="K31" s="182"/>
      <c r="L31" s="182">
        <f t="shared" si="1"/>
        <v>22815032.570000004</v>
      </c>
      <c r="M31" s="4"/>
      <c r="N31" s="89">
        <f>'KY_Res by Plant Acct-P29 (Tot)'!R429+'IN_Res by Plant Acct-P30 (Tot)'!R43</f>
        <v>-6751638.330000001</v>
      </c>
      <c r="P31" s="89">
        <f t="shared" si="2"/>
        <v>16063394.240000002</v>
      </c>
    </row>
    <row r="32" spans="1:16">
      <c r="A32" t="s">
        <v>100</v>
      </c>
      <c r="B32" s="182">
        <f>'KY_Cost Plant Acct-Com-P8(Tot)'!B32+'KY_Cost Plant Acct-Com-P8(Tot)'!B59</f>
        <v>737382.70999999973</v>
      </c>
      <c r="C32" s="182"/>
      <c r="D32" s="182">
        <f>'KY_Cost Plant Acct-Com-P8(Tot)'!D32+'KY_Cost Plant Acct-Com-P8(Tot)'!D59</f>
        <v>71987.520000000004</v>
      </c>
      <c r="E32" s="182"/>
      <c r="F32" s="182">
        <f>'KY_Cost Plant Acct-Com-P8(Tot)'!F32</f>
        <v>0</v>
      </c>
      <c r="G32" s="182"/>
      <c r="H32" s="182">
        <f>'KY_Cost Plant Acct-Com-P8(Tot)'!H32</f>
        <v>0</v>
      </c>
      <c r="I32" s="182"/>
      <c r="J32" s="182">
        <f t="shared" si="0"/>
        <v>71987.520000000004</v>
      </c>
      <c r="K32" s="182"/>
      <c r="L32" s="182">
        <f t="shared" si="1"/>
        <v>809370.22999999975</v>
      </c>
      <c r="M32" s="4"/>
      <c r="N32" s="89">
        <f>'KY_Res by Plant Acct-P29 (Tot)'!R430</f>
        <v>-80425.169999999707</v>
      </c>
      <c r="P32" s="89">
        <f t="shared" si="2"/>
        <v>728945.06</v>
      </c>
    </row>
    <row r="33" spans="1:16">
      <c r="A33" t="s">
        <v>101</v>
      </c>
      <c r="B33" s="182">
        <f>'KY_Cost Plant Acct-Com-P8(Tot)'!B33</f>
        <v>21641.249999999884</v>
      </c>
      <c r="C33" s="182"/>
      <c r="D33" s="182">
        <f>'KY_Cost Plant Acct-Com-P8(Tot)'!D33+'KY_Cost Plant Acct-Com-P8(Tot)'!D60</f>
        <v>0</v>
      </c>
      <c r="E33" s="182"/>
      <c r="F33" s="182">
        <f>'KY_Cost Plant Acct-Com-P8(Tot)'!F33</f>
        <v>0</v>
      </c>
      <c r="G33" s="182"/>
      <c r="H33" s="182">
        <f>'KY_Cost Plant Acct-Com-P8(Tot)'!H33</f>
        <v>-4435.22</v>
      </c>
      <c r="I33" s="182"/>
      <c r="J33" s="182">
        <f t="shared" si="0"/>
        <v>-4435.22</v>
      </c>
      <c r="K33" s="182"/>
      <c r="L33" s="182">
        <f t="shared" si="1"/>
        <v>17206.029999999882</v>
      </c>
      <c r="M33" s="4"/>
      <c r="N33" s="89">
        <f>'KY_Res by Plant Acct-P29 (Tot)'!R431</f>
        <v>-122328.81999999985</v>
      </c>
      <c r="P33" s="89">
        <f t="shared" si="2"/>
        <v>-105122.78999999996</v>
      </c>
    </row>
    <row r="34" spans="1:16">
      <c r="A34" t="s">
        <v>102</v>
      </c>
      <c r="B34" s="182">
        <f>'KY_Cost Plant Acct-Com-P8(Tot)'!B34</f>
        <v>101389.77</v>
      </c>
      <c r="C34" s="182"/>
      <c r="D34" s="182">
        <f>'KY_Cost Plant Acct-Com-P8(Tot)'!D34</f>
        <v>0</v>
      </c>
      <c r="E34" s="182"/>
      <c r="F34" s="182">
        <f>'KY_Cost Plant Acct-Com-P8(Tot)'!F34</f>
        <v>0</v>
      </c>
      <c r="G34" s="182"/>
      <c r="H34" s="182">
        <f>'KY_Cost Plant Acct-Com-P8(Tot)'!H34</f>
        <v>0</v>
      </c>
      <c r="I34" s="182"/>
      <c r="J34" s="182">
        <f t="shared" si="0"/>
        <v>0</v>
      </c>
      <c r="K34" s="182"/>
      <c r="L34" s="182">
        <f t="shared" si="1"/>
        <v>101389.77</v>
      </c>
      <c r="M34" s="4"/>
      <c r="N34" s="89">
        <f>'KY_Res by Plant Acct-P29 (Tot)'!R432</f>
        <v>-2918.6899999999973</v>
      </c>
      <c r="P34" s="89">
        <f t="shared" si="2"/>
        <v>98471.08</v>
      </c>
    </row>
    <row r="35" spans="1:16">
      <c r="A35" t="s">
        <v>103</v>
      </c>
      <c r="B35" s="182">
        <f>'KY_Cost Plant Acct-Com-P8(Tot)'!B35</f>
        <v>83782.289999999994</v>
      </c>
      <c r="C35" s="182"/>
      <c r="D35" s="182">
        <f>'KY_Cost Plant Acct-Com-P8(Tot)'!D35</f>
        <v>0</v>
      </c>
      <c r="E35" s="182"/>
      <c r="F35" s="182">
        <f>'KY_Cost Plant Acct-Com-P8(Tot)'!F35</f>
        <v>0</v>
      </c>
      <c r="G35" s="182"/>
      <c r="H35" s="182">
        <f>'KY_Cost Plant Acct-Com-P8(Tot)'!H35</f>
        <v>0</v>
      </c>
      <c r="I35" s="182"/>
      <c r="J35" s="182">
        <f t="shared" si="0"/>
        <v>0</v>
      </c>
      <c r="K35" s="182"/>
      <c r="L35" s="182">
        <f t="shared" si="1"/>
        <v>83782.289999999994</v>
      </c>
      <c r="M35" s="4"/>
      <c r="N35" s="89">
        <f>'KY_Res by Plant Acct-P29 (Tot)'!R447</f>
        <v>0</v>
      </c>
      <c r="P35" s="89">
        <f t="shared" si="2"/>
        <v>83782.289999999994</v>
      </c>
    </row>
    <row r="36" spans="1:16">
      <c r="A36" t="s">
        <v>267</v>
      </c>
      <c r="B36" s="182">
        <f>'KY_Cost Plant Acct-Com-P8(Tot)'!B36</f>
        <v>0</v>
      </c>
      <c r="C36" s="182"/>
      <c r="D36" s="182">
        <f>'KY_Cost Plant Acct-Com-P8(Tot)'!D36</f>
        <v>0</v>
      </c>
      <c r="E36" s="182"/>
      <c r="F36" s="182">
        <f>'KY_Cost Plant Acct-Com-P8(Tot)'!F36</f>
        <v>0</v>
      </c>
      <c r="G36" s="182"/>
      <c r="H36" s="182">
        <f>'KY_Cost Plant Acct-Com-P8(Tot)'!H36</f>
        <v>0</v>
      </c>
      <c r="I36" s="182"/>
      <c r="J36" s="182">
        <f t="shared" si="0"/>
        <v>0</v>
      </c>
      <c r="K36" s="182"/>
      <c r="L36" s="182">
        <f t="shared" si="1"/>
        <v>0</v>
      </c>
      <c r="M36" s="4"/>
      <c r="N36" s="89">
        <f>'KY_Res by Plant Acct-P29 (Tot)'!R448</f>
        <v>0</v>
      </c>
      <c r="P36" s="89">
        <f t="shared" si="2"/>
        <v>0</v>
      </c>
    </row>
    <row r="37" spans="1:16">
      <c r="A37" t="s">
        <v>268</v>
      </c>
      <c r="B37" s="182">
        <f>'KY_Cost Plant Acct-Com-P8(Tot)'!B37+'KY_Cost Plant Acct-Com-P8(Tot)'!B61</f>
        <v>13631987.229999997</v>
      </c>
      <c r="C37" s="182"/>
      <c r="D37" s="182">
        <f>'KY_Cost Plant Acct-Com-P8(Tot)'!D37+'KY_Cost Plant Acct-Com-P8(Tot)'!D61</f>
        <v>4367912.870000001</v>
      </c>
      <c r="E37" s="182"/>
      <c r="F37" s="182">
        <f>'KY_Cost Plant Acct-Com-P8(Tot)'!F37</f>
        <v>-400877.43000000005</v>
      </c>
      <c r="G37" s="182"/>
      <c r="H37" s="182">
        <f>'KY_Cost Plant Acct-Com-P8(Tot)'!H37+'KY_Cost Plant Acct-Com-P8(Tot)'!H61</f>
        <v>0</v>
      </c>
      <c r="I37" s="182"/>
      <c r="J37" s="182">
        <f t="shared" si="0"/>
        <v>3967035.4400000009</v>
      </c>
      <c r="K37" s="182"/>
      <c r="L37" s="182">
        <f t="shared" si="1"/>
        <v>17599022.669999998</v>
      </c>
      <c r="M37" s="4"/>
      <c r="N37" s="89">
        <f>'KY_Res by Plant Acct-P29 (Tot)'!R449</f>
        <v>-4407576.0100000026</v>
      </c>
      <c r="P37" s="89">
        <f t="shared" si="2"/>
        <v>13191446.659999996</v>
      </c>
    </row>
    <row r="38" spans="1:16">
      <c r="A38" t="s">
        <v>1023</v>
      </c>
      <c r="B38" s="182">
        <f>'KY_Cost Plant Acct-Com-P8(Tot)'!B38+'KY_Cost Plant Acct-Com-P8(Tot)'!B62</f>
        <v>38050593.11999999</v>
      </c>
      <c r="C38" s="182"/>
      <c r="D38" s="182">
        <f>'KY_Cost Plant Acct-Com-P8(Tot)'!D38+'KY_Cost Plant Acct-Com-P8(Tot)'!D62</f>
        <v>165079.18</v>
      </c>
      <c r="E38" s="182"/>
      <c r="F38" s="182">
        <f>'KY_Cost Plant Acct-Com-P8(Tot)'!F38</f>
        <v>0</v>
      </c>
      <c r="G38" s="182"/>
      <c r="H38" s="182">
        <f>'KY_Cost Plant Acct-Com-P8(Tot)'!H38+'KY_Cost Plant Acct-Com-P8(Tot)'!H62</f>
        <v>0</v>
      </c>
      <c r="I38" s="182"/>
      <c r="J38" s="182">
        <f t="shared" si="0"/>
        <v>165079.18</v>
      </c>
      <c r="K38" s="182"/>
      <c r="L38" s="182">
        <f t="shared" si="1"/>
        <v>38215672.29999999</v>
      </c>
      <c r="M38" s="4"/>
      <c r="N38" s="89">
        <f>'KY_Res by Plant Acct-P29 (Tot)'!R450</f>
        <v>-6172032.6600000001</v>
      </c>
      <c r="P38" s="89">
        <f t="shared" si="2"/>
        <v>32043639.639999989</v>
      </c>
    </row>
    <row r="39" spans="1:16">
      <c r="A39" t="s">
        <v>269</v>
      </c>
      <c r="B39" s="48">
        <f>'KY_Cost Plant Acct-Com-P8(Tot)'!B39</f>
        <v>0</v>
      </c>
      <c r="C39" s="52"/>
      <c r="D39" s="48">
        <f>'KY_Cost Plant Acct-Com-P8(Tot)'!D39</f>
        <v>0</v>
      </c>
      <c r="E39" s="52"/>
      <c r="F39" s="48">
        <f>'KY_Cost Plant Acct-Com-P8(Tot)'!F39</f>
        <v>0</v>
      </c>
      <c r="G39" s="52"/>
      <c r="H39" s="48">
        <f>'KY_Cost Plant Acct-Com-P8(Tot)'!H39</f>
        <v>0</v>
      </c>
      <c r="I39" s="52"/>
      <c r="J39" s="48">
        <f t="shared" si="0"/>
        <v>0</v>
      </c>
      <c r="K39" s="52"/>
      <c r="L39" s="48">
        <f t="shared" si="1"/>
        <v>0</v>
      </c>
      <c r="M39" s="55"/>
      <c r="N39" s="90">
        <f>'KY_Res by Plant Acct-P29 (Tot)'!R451</f>
        <v>0</v>
      </c>
      <c r="P39" s="90">
        <f t="shared" si="2"/>
        <v>0</v>
      </c>
    </row>
    <row r="40" spans="1:16">
      <c r="B40" s="52">
        <f>SUM(B11:B39)</f>
        <v>148318292.09000003</v>
      </c>
      <c r="C40" s="52"/>
      <c r="D40" s="52">
        <f>SUM(D11:D39)</f>
        <v>6342012.0800000001</v>
      </c>
      <c r="E40" s="52"/>
      <c r="F40" s="52">
        <f>SUM(F11:F39)</f>
        <v>-496932.87000000005</v>
      </c>
      <c r="G40" s="52"/>
      <c r="H40" s="52">
        <f>SUM(H11:H39)</f>
        <v>0</v>
      </c>
      <c r="I40" s="52"/>
      <c r="J40" s="52">
        <f>SUM(J11:J39)</f>
        <v>5845079.2100000009</v>
      </c>
      <c r="K40" s="52"/>
      <c r="L40" s="52">
        <f>SUM(L11:L39)</f>
        <v>154163371.30000001</v>
      </c>
      <c r="M40" s="55"/>
      <c r="N40" s="52">
        <f>SUM(N11:N39)</f>
        <v>-27844800.620000005</v>
      </c>
      <c r="P40" s="52">
        <f>SUM(P11:P39)</f>
        <v>126318570.67999998</v>
      </c>
    </row>
    <row r="41" spans="1:16">
      <c r="B41" s="52"/>
      <c r="C41" s="52"/>
      <c r="D41" s="52"/>
      <c r="E41" s="52"/>
      <c r="F41" s="52"/>
      <c r="G41" s="52"/>
      <c r="H41" s="52"/>
      <c r="I41" s="52"/>
      <c r="J41" s="52"/>
      <c r="K41" s="52"/>
      <c r="L41" s="52"/>
      <c r="M41" s="55"/>
    </row>
    <row r="42" spans="1:16">
      <c r="B42" s="52"/>
      <c r="C42" s="52"/>
      <c r="D42" s="52"/>
      <c r="E42" s="52"/>
      <c r="F42" s="52"/>
      <c r="G42" s="52"/>
      <c r="H42" s="52"/>
      <c r="I42" s="52"/>
      <c r="J42" s="52"/>
      <c r="K42" s="52"/>
      <c r="L42" s="52"/>
      <c r="M42" s="55"/>
    </row>
    <row r="43" spans="1:16" ht="13.5" thickBot="1">
      <c r="A43" s="3" t="s">
        <v>203</v>
      </c>
      <c r="B43" s="46">
        <f>B40</f>
        <v>148318292.09000003</v>
      </c>
      <c r="C43" s="55"/>
      <c r="D43" s="46">
        <f>D40</f>
        <v>6342012.0800000001</v>
      </c>
      <c r="E43" s="55"/>
      <c r="F43" s="46">
        <f>F40</f>
        <v>-496932.87000000005</v>
      </c>
      <c r="G43" s="55"/>
      <c r="H43" s="46">
        <f>H40</f>
        <v>0</v>
      </c>
      <c r="I43" s="55"/>
      <c r="J43" s="46">
        <f>J40</f>
        <v>5845079.2100000009</v>
      </c>
      <c r="K43" s="55"/>
      <c r="L43" s="46">
        <f>L40</f>
        <v>154163371.30000001</v>
      </c>
      <c r="M43" s="55"/>
      <c r="N43" s="46">
        <f>N40</f>
        <v>-27844800.620000005</v>
      </c>
      <c r="P43" s="46">
        <f>P40</f>
        <v>126318570.67999998</v>
      </c>
    </row>
    <row r="44" spans="1:16" ht="13.5" thickTop="1">
      <c r="B44" s="52"/>
      <c r="C44" s="52"/>
      <c r="D44" s="52"/>
      <c r="E44" s="52"/>
      <c r="F44" s="52"/>
      <c r="G44" s="52"/>
      <c r="H44" s="52"/>
      <c r="I44" s="52"/>
      <c r="J44" s="52"/>
      <c r="K44" s="52"/>
      <c r="L44" s="52"/>
      <c r="M44" s="55"/>
    </row>
    <row r="45" spans="1:16">
      <c r="B45" s="52"/>
      <c r="C45" s="52"/>
      <c r="D45" s="52"/>
      <c r="E45" s="52"/>
      <c r="F45" s="52"/>
      <c r="G45" s="52"/>
      <c r="H45" s="52"/>
      <c r="I45" s="52"/>
      <c r="J45" s="52"/>
      <c r="K45" s="52"/>
      <c r="L45" s="52">
        <f>+L43-'Tot Com PIS_COST SPLITS P6(Tot)'!L76</f>
        <v>0</v>
      </c>
      <c r="M45" s="55"/>
    </row>
    <row r="46" spans="1:16">
      <c r="B46" s="182"/>
      <c r="C46" s="182"/>
      <c r="D46" s="182"/>
      <c r="E46" s="182"/>
      <c r="F46" s="182"/>
      <c r="G46" s="182"/>
      <c r="H46" s="182"/>
      <c r="I46" s="182"/>
      <c r="J46" s="182"/>
      <c r="K46" s="182"/>
      <c r="L46" s="182"/>
      <c r="M46" s="4"/>
    </row>
    <row r="47" spans="1:16">
      <c r="B47" s="4"/>
      <c r="C47" s="4"/>
      <c r="D47" s="4"/>
      <c r="E47" s="4"/>
      <c r="F47" s="4"/>
      <c r="G47" s="4"/>
      <c r="H47" s="4"/>
      <c r="I47" s="4"/>
      <c r="J47" s="4"/>
      <c r="K47" s="4"/>
      <c r="L47" s="4"/>
      <c r="M47" s="4"/>
    </row>
    <row r="48" spans="1:16">
      <c r="B48" s="4"/>
      <c r="C48" s="4"/>
      <c r="D48" s="4"/>
      <c r="E48" s="4"/>
      <c r="F48" s="4"/>
      <c r="G48" s="4"/>
      <c r="H48" s="4"/>
      <c r="I48" s="4"/>
      <c r="J48" s="4"/>
      <c r="K48" s="4"/>
      <c r="L48" s="4"/>
      <c r="M48" s="4"/>
    </row>
    <row r="49" spans="2:13">
      <c r="B49" s="4"/>
      <c r="C49" s="4"/>
      <c r="D49" s="4"/>
      <c r="E49" s="4"/>
      <c r="F49" s="4"/>
      <c r="G49" s="4"/>
      <c r="H49" s="4"/>
      <c r="I49" s="4"/>
      <c r="J49" s="4"/>
      <c r="K49" s="4"/>
      <c r="L49" s="4"/>
      <c r="M49" s="4"/>
    </row>
    <row r="50" spans="2:13">
      <c r="B50" s="4"/>
      <c r="C50" s="4"/>
      <c r="D50" s="4"/>
      <c r="E50" s="4"/>
      <c r="F50" s="4"/>
      <c r="G50" s="4"/>
      <c r="H50" s="4"/>
      <c r="I50" s="4"/>
      <c r="J50" s="4"/>
      <c r="K50" s="4"/>
      <c r="L50" s="4"/>
      <c r="M50" s="4"/>
    </row>
    <row r="51" spans="2:13">
      <c r="B51" s="4"/>
      <c r="C51" s="4"/>
      <c r="D51" s="4"/>
      <c r="E51" s="4"/>
      <c r="F51" s="4"/>
      <c r="G51" s="4"/>
      <c r="H51" s="4"/>
      <c r="I51" s="4"/>
      <c r="J51" s="4"/>
      <c r="K51" s="4"/>
      <c r="L51" s="4"/>
      <c r="M51" s="4"/>
    </row>
    <row r="52" spans="2:13">
      <c r="B52" s="4"/>
      <c r="C52" s="4"/>
      <c r="D52" s="4"/>
      <c r="E52" s="4"/>
      <c r="F52" s="4"/>
      <c r="G52" s="4"/>
      <c r="H52" s="4"/>
      <c r="I52" s="4"/>
      <c r="J52" s="4"/>
      <c r="K52" s="4"/>
      <c r="L52" s="4"/>
      <c r="M52" s="4"/>
    </row>
    <row r="53" spans="2:13">
      <c r="B53" s="4"/>
      <c r="C53" s="4"/>
      <c r="D53" s="4"/>
      <c r="E53" s="4"/>
      <c r="F53" s="4"/>
      <c r="G53" s="4"/>
      <c r="H53" s="4"/>
      <c r="I53" s="4"/>
      <c r="J53" s="4"/>
      <c r="K53" s="4"/>
      <c r="L53" s="4"/>
      <c r="M53" s="4"/>
    </row>
    <row r="54" spans="2:13">
      <c r="B54" s="4"/>
      <c r="C54" s="4"/>
      <c r="D54" s="4"/>
      <c r="E54" s="4"/>
      <c r="F54" s="4"/>
      <c r="G54" s="4"/>
      <c r="H54" s="4"/>
      <c r="I54" s="4"/>
      <c r="J54" s="4"/>
      <c r="K54" s="4"/>
      <c r="L54" s="4"/>
      <c r="M54" s="4"/>
    </row>
    <row r="55" spans="2:13">
      <c r="B55" s="4"/>
      <c r="C55" s="4"/>
      <c r="D55" s="4"/>
      <c r="E55" s="4"/>
      <c r="F55" s="4"/>
      <c r="G55" s="4"/>
      <c r="H55" s="4"/>
      <c r="I55" s="4"/>
      <c r="J55" s="4"/>
      <c r="K55" s="4"/>
      <c r="L55" s="4"/>
      <c r="M55" s="4"/>
    </row>
    <row r="56" spans="2:13">
      <c r="B56" s="4"/>
      <c r="C56" s="4"/>
      <c r="D56" s="4"/>
      <c r="E56" s="4"/>
      <c r="F56" s="4"/>
      <c r="G56" s="4"/>
      <c r="H56" s="4"/>
      <c r="I56" s="4"/>
      <c r="J56" s="4"/>
      <c r="K56" s="4"/>
      <c r="L56" s="4"/>
      <c r="M56" s="4"/>
    </row>
    <row r="57" spans="2:13">
      <c r="B57" s="4"/>
      <c r="C57" s="4"/>
      <c r="D57" s="4"/>
      <c r="E57" s="4"/>
      <c r="F57" s="4"/>
      <c r="G57" s="4"/>
      <c r="H57" s="4"/>
      <c r="I57" s="4"/>
      <c r="J57" s="4"/>
      <c r="K57" s="4"/>
      <c r="L57" s="4"/>
      <c r="M57" s="4"/>
    </row>
    <row r="58" spans="2:13">
      <c r="B58" s="4"/>
      <c r="C58" s="4"/>
      <c r="D58" s="4"/>
      <c r="E58" s="4"/>
      <c r="F58" s="4"/>
      <c r="G58" s="4"/>
      <c r="H58" s="4"/>
      <c r="I58" s="4"/>
      <c r="J58" s="4"/>
      <c r="K58" s="4"/>
      <c r="L58" s="4"/>
      <c r="M58" s="4"/>
    </row>
    <row r="59" spans="2:13">
      <c r="B59" s="4"/>
      <c r="C59" s="4"/>
      <c r="D59" s="4"/>
      <c r="E59" s="4"/>
      <c r="F59" s="4"/>
      <c r="G59" s="4"/>
      <c r="H59" s="4"/>
      <c r="I59" s="4"/>
      <c r="J59" s="4"/>
      <c r="K59" s="4"/>
      <c r="L59" s="4"/>
      <c r="M59" s="4"/>
    </row>
    <row r="60" spans="2:13">
      <c r="B60" s="4"/>
      <c r="C60" s="4"/>
      <c r="D60" s="4"/>
      <c r="E60" s="4"/>
      <c r="F60" s="4"/>
      <c r="G60" s="4"/>
      <c r="H60" s="4"/>
      <c r="I60" s="4"/>
      <c r="J60" s="4"/>
      <c r="K60" s="4"/>
      <c r="L60" s="4"/>
      <c r="M60" s="4"/>
    </row>
    <row r="61" spans="2:13">
      <c r="B61" s="4"/>
      <c r="C61" s="4"/>
      <c r="D61" s="4"/>
      <c r="E61" s="4"/>
      <c r="F61" s="4"/>
      <c r="G61" s="4"/>
      <c r="H61" s="4"/>
      <c r="I61" s="4"/>
      <c r="J61" s="4"/>
      <c r="K61" s="4"/>
      <c r="L61" s="4"/>
      <c r="M61" s="4"/>
    </row>
    <row r="62" spans="2:13">
      <c r="B62" s="4"/>
      <c r="C62" s="4"/>
      <c r="D62" s="4"/>
      <c r="E62" s="4"/>
      <c r="F62" s="4"/>
      <c r="G62" s="4"/>
      <c r="H62" s="4"/>
      <c r="I62" s="4"/>
      <c r="J62" s="4"/>
      <c r="K62" s="4"/>
      <c r="L62" s="4"/>
      <c r="M62" s="4"/>
    </row>
    <row r="63" spans="2:13">
      <c r="B63" s="4"/>
      <c r="C63" s="4"/>
      <c r="D63" s="4"/>
      <c r="E63" s="4"/>
      <c r="F63" s="4"/>
      <c r="G63" s="4"/>
      <c r="H63" s="4"/>
      <c r="I63" s="4"/>
      <c r="J63" s="4"/>
      <c r="K63" s="4"/>
      <c r="L63" s="4"/>
      <c r="M63" s="4"/>
    </row>
    <row r="64" spans="2:13">
      <c r="B64" s="4"/>
      <c r="C64" s="4"/>
      <c r="D64" s="4"/>
      <c r="E64" s="4"/>
      <c r="F64" s="4"/>
      <c r="G64" s="4"/>
      <c r="H64" s="4"/>
      <c r="I64" s="4"/>
      <c r="J64" s="4"/>
      <c r="K64" s="4"/>
      <c r="L64" s="4"/>
      <c r="M64" s="4"/>
    </row>
    <row r="65" spans="2:13">
      <c r="B65" s="4"/>
      <c r="C65" s="4"/>
      <c r="D65" s="4"/>
      <c r="E65" s="4"/>
      <c r="F65" s="4"/>
      <c r="G65" s="4"/>
      <c r="H65" s="4"/>
      <c r="I65" s="4"/>
      <c r="J65" s="4"/>
      <c r="K65" s="4"/>
      <c r="L65" s="4"/>
      <c r="M65" s="4"/>
    </row>
    <row r="66" spans="2:13">
      <c r="B66" s="4"/>
      <c r="C66" s="4"/>
      <c r="D66" s="4"/>
      <c r="E66" s="4"/>
      <c r="F66" s="4"/>
      <c r="G66" s="4"/>
      <c r="H66" s="4"/>
      <c r="I66" s="4"/>
      <c r="J66" s="4"/>
      <c r="K66" s="4"/>
      <c r="L66" s="4"/>
      <c r="M66" s="4"/>
    </row>
    <row r="67" spans="2:13">
      <c r="B67" s="4"/>
      <c r="C67" s="4"/>
      <c r="D67" s="4"/>
      <c r="E67" s="4"/>
      <c r="F67" s="4"/>
      <c r="G67" s="4"/>
      <c r="H67" s="4"/>
      <c r="I67" s="4"/>
      <c r="J67" s="4"/>
      <c r="K67" s="4"/>
      <c r="L67" s="4"/>
      <c r="M67" s="4"/>
    </row>
    <row r="68" spans="2:13">
      <c r="B68" s="4"/>
      <c r="C68" s="4"/>
      <c r="D68" s="4"/>
      <c r="E68" s="4"/>
      <c r="F68" s="4"/>
      <c r="G68" s="4"/>
      <c r="H68" s="4"/>
      <c r="I68" s="4"/>
      <c r="J68" s="4"/>
      <c r="K68" s="4"/>
      <c r="L68" s="4"/>
      <c r="M68" s="4"/>
    </row>
    <row r="69" spans="2:13">
      <c r="B69" s="4"/>
      <c r="C69" s="4"/>
      <c r="D69" s="4"/>
      <c r="E69" s="4"/>
      <c r="F69" s="4"/>
      <c r="G69" s="4"/>
      <c r="H69" s="4"/>
      <c r="I69" s="4"/>
      <c r="J69" s="4"/>
      <c r="K69" s="4"/>
      <c r="L69" s="4"/>
      <c r="M69" s="4"/>
    </row>
    <row r="70" spans="2:13">
      <c r="B70" s="4"/>
      <c r="C70" s="4"/>
      <c r="D70" s="4"/>
      <c r="E70" s="4"/>
      <c r="F70" s="4"/>
      <c r="G70" s="4"/>
      <c r="H70" s="4"/>
      <c r="I70" s="4"/>
      <c r="J70" s="4"/>
      <c r="K70" s="4"/>
      <c r="L70" s="4"/>
      <c r="M70" s="4"/>
    </row>
    <row r="71" spans="2:13">
      <c r="B71" s="4"/>
      <c r="C71" s="4"/>
      <c r="D71" s="4"/>
      <c r="E71" s="4"/>
      <c r="F71" s="4"/>
      <c r="G71" s="4"/>
      <c r="H71" s="4"/>
      <c r="I71" s="4"/>
      <c r="J71" s="4"/>
      <c r="K71" s="4"/>
      <c r="L71" s="4"/>
      <c r="M71" s="4"/>
    </row>
    <row r="72" spans="2:13">
      <c r="B72" s="4"/>
      <c r="C72" s="4"/>
      <c r="D72" s="4"/>
      <c r="E72" s="4"/>
      <c r="F72" s="4"/>
      <c r="G72" s="4"/>
      <c r="H72" s="4"/>
      <c r="I72" s="4"/>
      <c r="J72" s="4"/>
      <c r="K72" s="4"/>
      <c r="L72" s="4"/>
      <c r="M72" s="4"/>
    </row>
    <row r="73" spans="2:13">
      <c r="B73" s="4"/>
      <c r="C73" s="4"/>
      <c r="D73" s="4"/>
      <c r="E73" s="4"/>
      <c r="F73" s="4"/>
      <c r="G73" s="4"/>
      <c r="H73" s="4"/>
      <c r="I73" s="4"/>
      <c r="J73" s="4"/>
      <c r="K73" s="4"/>
      <c r="L73" s="4"/>
      <c r="M73" s="4"/>
    </row>
    <row r="74" spans="2:13">
      <c r="B74" s="4"/>
      <c r="C74" s="4"/>
      <c r="D74" s="4"/>
      <c r="E74" s="4"/>
      <c r="F74" s="4"/>
      <c r="G74" s="4"/>
      <c r="H74" s="4"/>
      <c r="I74" s="4"/>
      <c r="J74" s="4"/>
      <c r="K74" s="4"/>
      <c r="L74" s="4"/>
      <c r="M74" s="4"/>
    </row>
    <row r="75" spans="2:13">
      <c r="B75" s="4"/>
      <c r="C75" s="4"/>
      <c r="D75" s="4"/>
      <c r="E75" s="4"/>
      <c r="F75" s="4"/>
      <c r="G75" s="4"/>
      <c r="H75" s="4"/>
      <c r="I75" s="4"/>
      <c r="J75" s="4"/>
      <c r="K75" s="4"/>
      <c r="L75" s="4"/>
      <c r="M75" s="4"/>
    </row>
    <row r="76" spans="2:13">
      <c r="B76" s="4"/>
      <c r="C76" s="4"/>
      <c r="D76" s="4"/>
      <c r="E76" s="4"/>
      <c r="F76" s="4"/>
      <c r="G76" s="4"/>
      <c r="H76" s="4"/>
      <c r="I76" s="4"/>
      <c r="J76" s="4"/>
      <c r="K76" s="4"/>
      <c r="L76" s="4"/>
      <c r="M76" s="4"/>
    </row>
    <row r="77" spans="2:13">
      <c r="B77" s="4"/>
      <c r="C77" s="4"/>
      <c r="D77" s="4"/>
      <c r="E77" s="4"/>
      <c r="F77" s="4"/>
      <c r="G77" s="4"/>
      <c r="H77" s="4"/>
      <c r="I77" s="4"/>
      <c r="J77" s="4"/>
      <c r="K77" s="4"/>
      <c r="L77" s="4"/>
      <c r="M77" s="4"/>
    </row>
    <row r="78" spans="2:13">
      <c r="B78" s="4"/>
      <c r="C78" s="4"/>
      <c r="D78" s="4"/>
      <c r="E78" s="4"/>
      <c r="F78" s="4"/>
      <c r="G78" s="4"/>
      <c r="H78" s="4"/>
      <c r="I78" s="4"/>
      <c r="J78" s="4"/>
      <c r="K78" s="4"/>
      <c r="L78" s="4"/>
      <c r="M78" s="4"/>
    </row>
    <row r="79" spans="2:13">
      <c r="B79" s="4"/>
      <c r="C79" s="4"/>
      <c r="D79" s="4"/>
      <c r="E79" s="4"/>
      <c r="F79" s="4"/>
      <c r="G79" s="4"/>
      <c r="H79" s="4"/>
      <c r="I79" s="4"/>
      <c r="J79" s="4"/>
      <c r="K79" s="4"/>
      <c r="L79" s="4"/>
      <c r="M79" s="4"/>
    </row>
    <row r="80" spans="2:13">
      <c r="B80" s="4"/>
      <c r="C80" s="4"/>
      <c r="D80" s="4"/>
      <c r="E80" s="4"/>
      <c r="F80" s="4"/>
      <c r="G80" s="4"/>
      <c r="H80" s="4"/>
      <c r="I80" s="4"/>
      <c r="J80" s="4"/>
      <c r="K80" s="4"/>
      <c r="L80" s="4"/>
      <c r="M80" s="4"/>
    </row>
    <row r="81" spans="2:13">
      <c r="B81" s="4"/>
      <c r="C81" s="4"/>
      <c r="D81" s="4"/>
      <c r="E81" s="4"/>
      <c r="F81" s="4"/>
      <c r="G81" s="4"/>
      <c r="H81" s="4"/>
      <c r="I81" s="4"/>
      <c r="J81" s="4"/>
      <c r="K81" s="4"/>
      <c r="L81" s="4"/>
      <c r="M81" s="4"/>
    </row>
    <row r="82" spans="2:13">
      <c r="B82" s="4"/>
      <c r="C82" s="4"/>
      <c r="D82" s="4"/>
      <c r="E82" s="4"/>
      <c r="F82" s="4"/>
      <c r="G82" s="4"/>
      <c r="H82" s="4"/>
      <c r="I82" s="4"/>
      <c r="J82" s="4"/>
      <c r="K82" s="4"/>
      <c r="L82" s="4"/>
      <c r="M82" s="4"/>
    </row>
    <row r="83" spans="2:13">
      <c r="B83" s="4"/>
      <c r="C83" s="4"/>
      <c r="D83" s="4"/>
      <c r="E83" s="4"/>
      <c r="F83" s="4"/>
      <c r="G83" s="4"/>
      <c r="H83" s="4"/>
      <c r="I83" s="4"/>
      <c r="J83" s="4"/>
      <c r="K83" s="4"/>
      <c r="L83" s="4"/>
      <c r="M83" s="4"/>
    </row>
    <row r="84" spans="2:13">
      <c r="B84" s="4"/>
      <c r="C84" s="4"/>
      <c r="D84" s="4"/>
      <c r="E84" s="4"/>
      <c r="F84" s="4"/>
      <c r="G84" s="4"/>
      <c r="H84" s="4"/>
      <c r="I84" s="4"/>
      <c r="J84" s="4"/>
      <c r="K84" s="4"/>
      <c r="L84" s="4"/>
      <c r="M84" s="4"/>
    </row>
    <row r="85" spans="2:13">
      <c r="B85" s="4"/>
      <c r="C85" s="4"/>
      <c r="D85" s="4"/>
      <c r="E85" s="4"/>
      <c r="F85" s="4"/>
      <c r="G85" s="4"/>
      <c r="H85" s="4"/>
      <c r="I85" s="4"/>
      <c r="J85" s="4"/>
      <c r="K85" s="4"/>
      <c r="L85" s="4"/>
      <c r="M85" s="4"/>
    </row>
    <row r="86" spans="2:13">
      <c r="B86" s="4"/>
      <c r="C86" s="4"/>
      <c r="D86" s="4"/>
      <c r="E86" s="4"/>
      <c r="F86" s="4"/>
      <c r="G86" s="4"/>
      <c r="H86" s="4"/>
      <c r="I86" s="4"/>
      <c r="J86" s="4"/>
      <c r="K86" s="4"/>
      <c r="L86" s="4"/>
      <c r="M86" s="4"/>
    </row>
    <row r="87" spans="2:13">
      <c r="B87" s="4"/>
      <c r="C87" s="4"/>
      <c r="D87" s="4"/>
      <c r="E87" s="4"/>
      <c r="F87" s="4"/>
      <c r="G87" s="4"/>
      <c r="H87" s="4"/>
      <c r="I87" s="4"/>
      <c r="J87" s="4"/>
      <c r="K87" s="4"/>
      <c r="L87" s="4"/>
      <c r="M87" s="4"/>
    </row>
    <row r="88" spans="2:13">
      <c r="B88" s="4"/>
      <c r="C88" s="4"/>
      <c r="D88" s="4"/>
      <c r="E88" s="4"/>
      <c r="F88" s="4"/>
      <c r="G88" s="4"/>
      <c r="H88" s="4"/>
      <c r="I88" s="4"/>
      <c r="J88" s="4"/>
      <c r="K88" s="4"/>
      <c r="L88" s="4"/>
      <c r="M88" s="4"/>
    </row>
    <row r="89" spans="2:13">
      <c r="B89" s="4"/>
      <c r="C89" s="4"/>
      <c r="D89" s="4"/>
      <c r="E89" s="4"/>
      <c r="F89" s="4"/>
      <c r="G89" s="4"/>
      <c r="H89" s="4"/>
      <c r="I89" s="4"/>
      <c r="J89" s="4"/>
      <c r="K89" s="4"/>
      <c r="L89" s="4"/>
      <c r="M89" s="4"/>
    </row>
    <row r="90" spans="2:13">
      <c r="B90" s="4"/>
      <c r="C90" s="4"/>
      <c r="D90" s="4"/>
      <c r="E90" s="4"/>
      <c r="F90" s="4"/>
      <c r="G90" s="4"/>
      <c r="H90" s="4"/>
      <c r="I90" s="4"/>
      <c r="J90" s="4"/>
      <c r="K90" s="4"/>
      <c r="L90" s="4"/>
      <c r="M90" s="4"/>
    </row>
    <row r="91" spans="2:13">
      <c r="B91" s="4"/>
      <c r="C91" s="4"/>
      <c r="D91" s="4"/>
      <c r="E91" s="4"/>
      <c r="F91" s="4"/>
      <c r="G91" s="4"/>
      <c r="H91" s="4"/>
      <c r="I91" s="4"/>
      <c r="J91" s="4"/>
      <c r="K91" s="4"/>
      <c r="L91" s="4"/>
      <c r="M91" s="4"/>
    </row>
    <row r="92" spans="2:13">
      <c r="B92" s="4"/>
      <c r="C92" s="4"/>
      <c r="D92" s="4"/>
      <c r="E92" s="4"/>
      <c r="F92" s="4"/>
      <c r="G92" s="4"/>
      <c r="H92" s="4"/>
      <c r="I92" s="4"/>
      <c r="J92" s="4"/>
      <c r="K92" s="4"/>
      <c r="L92" s="4"/>
      <c r="M92" s="4"/>
    </row>
    <row r="93" spans="2:13">
      <c r="B93" s="4"/>
      <c r="C93" s="4"/>
      <c r="D93" s="4"/>
      <c r="E93" s="4"/>
      <c r="F93" s="4"/>
      <c r="G93" s="4"/>
      <c r="H93" s="4"/>
      <c r="I93" s="4"/>
      <c r="J93" s="4"/>
      <c r="K93" s="4"/>
      <c r="L93" s="4"/>
      <c r="M93" s="4"/>
    </row>
    <row r="94" spans="2:13">
      <c r="B94" s="4"/>
      <c r="C94" s="4"/>
      <c r="D94" s="4"/>
      <c r="E94" s="4"/>
      <c r="F94" s="4"/>
      <c r="G94" s="4"/>
      <c r="H94" s="4"/>
      <c r="I94" s="4"/>
      <c r="J94" s="4"/>
      <c r="K94" s="4"/>
      <c r="L94" s="4"/>
      <c r="M94" s="4"/>
    </row>
    <row r="95" spans="2:13">
      <c r="B95" s="4"/>
      <c r="C95" s="4"/>
      <c r="D95" s="4"/>
      <c r="E95" s="4"/>
      <c r="F95" s="4"/>
      <c r="G95" s="4"/>
      <c r="H95" s="4"/>
      <c r="I95" s="4"/>
      <c r="J95" s="4"/>
      <c r="K95" s="4"/>
      <c r="L95" s="4"/>
      <c r="M95" s="4"/>
    </row>
    <row r="96" spans="2:13">
      <c r="B96" s="4"/>
      <c r="C96" s="4"/>
      <c r="D96" s="4"/>
      <c r="E96" s="4"/>
      <c r="F96" s="4"/>
      <c r="G96" s="4"/>
      <c r="H96" s="4"/>
      <c r="I96" s="4"/>
      <c r="J96" s="4"/>
      <c r="K96" s="4"/>
      <c r="L96" s="4"/>
      <c r="M96" s="4"/>
    </row>
    <row r="97" spans="2:13">
      <c r="B97" s="4"/>
      <c r="C97" s="4"/>
      <c r="D97" s="4"/>
      <c r="E97" s="4"/>
      <c r="F97" s="4"/>
      <c r="G97" s="4"/>
      <c r="H97" s="4"/>
      <c r="I97" s="4"/>
      <c r="J97" s="4"/>
      <c r="K97" s="4"/>
      <c r="L97" s="4"/>
      <c r="M97" s="4"/>
    </row>
    <row r="98" spans="2:13">
      <c r="B98" s="4"/>
      <c r="C98" s="4"/>
      <c r="D98" s="4"/>
      <c r="E98" s="4"/>
      <c r="F98" s="4"/>
      <c r="G98" s="4"/>
      <c r="H98" s="4"/>
      <c r="I98" s="4"/>
      <c r="J98" s="4"/>
      <c r="K98" s="4"/>
      <c r="L98" s="4"/>
      <c r="M98" s="4"/>
    </row>
    <row r="99" spans="2:13">
      <c r="B99" s="4"/>
      <c r="C99" s="4"/>
      <c r="D99" s="4"/>
      <c r="E99" s="4"/>
      <c r="F99" s="4"/>
      <c r="G99" s="4"/>
      <c r="H99" s="4"/>
      <c r="I99" s="4"/>
      <c r="J99" s="4"/>
      <c r="K99" s="4"/>
      <c r="L99" s="4"/>
      <c r="M99" s="4"/>
    </row>
    <row r="100" spans="2:13">
      <c r="B100" s="4"/>
      <c r="C100" s="4"/>
      <c r="D100" s="4"/>
      <c r="E100" s="4"/>
      <c r="F100" s="4"/>
      <c r="G100" s="4"/>
      <c r="H100" s="4"/>
      <c r="I100" s="4"/>
      <c r="J100" s="4"/>
      <c r="K100" s="4"/>
      <c r="L100" s="4"/>
      <c r="M100" s="4"/>
    </row>
    <row r="101" spans="2:13">
      <c r="B101" s="4"/>
      <c r="C101" s="4"/>
      <c r="D101" s="4"/>
      <c r="E101" s="4"/>
      <c r="F101" s="4"/>
      <c r="G101" s="4"/>
      <c r="H101" s="4"/>
      <c r="I101" s="4"/>
      <c r="J101" s="4"/>
      <c r="K101" s="4"/>
      <c r="L101" s="4"/>
      <c r="M101" s="4"/>
    </row>
    <row r="102" spans="2:13">
      <c r="B102" s="4"/>
      <c r="C102" s="4"/>
      <c r="D102" s="4"/>
      <c r="E102" s="4"/>
      <c r="F102" s="4"/>
      <c r="G102" s="4"/>
      <c r="H102" s="4"/>
      <c r="I102" s="4"/>
      <c r="J102" s="4"/>
      <c r="K102" s="4"/>
      <c r="L102" s="4"/>
      <c r="M102" s="4"/>
    </row>
    <row r="103" spans="2:13">
      <c r="B103" s="4"/>
      <c r="C103" s="4"/>
      <c r="D103" s="4"/>
      <c r="E103" s="4"/>
      <c r="F103" s="4"/>
      <c r="G103" s="4"/>
      <c r="H103" s="4"/>
      <c r="I103" s="4"/>
      <c r="J103" s="4"/>
      <c r="K103" s="4"/>
      <c r="L103" s="4"/>
      <c r="M103" s="4"/>
    </row>
    <row r="104" spans="2:13">
      <c r="B104" s="4"/>
      <c r="C104" s="4"/>
      <c r="D104" s="4"/>
      <c r="E104" s="4"/>
      <c r="F104" s="4"/>
      <c r="G104" s="4"/>
      <c r="H104" s="4"/>
      <c r="I104" s="4"/>
      <c r="J104" s="4"/>
      <c r="K104" s="4"/>
      <c r="L104" s="4"/>
      <c r="M104" s="4"/>
    </row>
    <row r="105" spans="2:13">
      <c r="B105" s="4"/>
      <c r="C105" s="4"/>
      <c r="D105" s="4"/>
      <c r="E105" s="4"/>
      <c r="F105" s="4"/>
      <c r="G105" s="4"/>
      <c r="H105" s="4"/>
      <c r="I105" s="4"/>
      <c r="J105" s="4"/>
      <c r="K105" s="4"/>
      <c r="L105" s="4"/>
      <c r="M105" s="4"/>
    </row>
    <row r="106" spans="2:13">
      <c r="B106" s="4"/>
      <c r="C106" s="4"/>
      <c r="D106" s="4"/>
      <c r="E106" s="4"/>
      <c r="F106" s="4"/>
      <c r="G106" s="4"/>
      <c r="H106" s="4"/>
      <c r="I106" s="4"/>
      <c r="J106" s="4"/>
      <c r="K106" s="4"/>
      <c r="L106" s="4"/>
      <c r="M106" s="4"/>
    </row>
    <row r="107" spans="2:13">
      <c r="B107" s="4"/>
      <c r="C107" s="4"/>
      <c r="D107" s="4"/>
      <c r="E107" s="4"/>
      <c r="F107" s="4"/>
      <c r="G107" s="4"/>
      <c r="H107" s="4"/>
      <c r="I107" s="4"/>
      <c r="J107" s="4"/>
      <c r="K107" s="4"/>
      <c r="L107" s="4"/>
      <c r="M107" s="4"/>
    </row>
    <row r="108" spans="2:13">
      <c r="B108" s="4"/>
      <c r="C108" s="4"/>
      <c r="D108" s="4"/>
      <c r="E108" s="4"/>
      <c r="F108" s="4"/>
      <c r="G108" s="4"/>
      <c r="H108" s="4"/>
      <c r="I108" s="4"/>
      <c r="J108" s="4"/>
      <c r="K108" s="4"/>
      <c r="L108" s="4"/>
      <c r="M108" s="4"/>
    </row>
    <row r="109" spans="2:13">
      <c r="B109" s="4"/>
      <c r="C109" s="4"/>
      <c r="D109" s="4"/>
      <c r="E109" s="4"/>
      <c r="F109" s="4"/>
      <c r="G109" s="4"/>
      <c r="H109" s="4"/>
      <c r="I109" s="4"/>
      <c r="J109" s="4"/>
      <c r="K109" s="4"/>
      <c r="L109" s="4"/>
      <c r="M109" s="4"/>
    </row>
    <row r="110" spans="2:13">
      <c r="B110" s="4"/>
      <c r="C110" s="4"/>
      <c r="D110" s="4"/>
      <c r="E110" s="4"/>
      <c r="F110" s="4"/>
      <c r="G110" s="4"/>
      <c r="H110" s="4"/>
      <c r="I110" s="4"/>
      <c r="J110" s="4"/>
      <c r="K110" s="4"/>
      <c r="L110" s="4"/>
      <c r="M110" s="4"/>
    </row>
    <row r="111" spans="2:13">
      <c r="B111" s="4"/>
      <c r="C111" s="4"/>
      <c r="D111" s="4"/>
      <c r="E111" s="4"/>
      <c r="F111" s="4"/>
      <c r="G111" s="4"/>
      <c r="H111" s="4"/>
      <c r="I111" s="4"/>
      <c r="J111" s="4"/>
      <c r="K111" s="4"/>
      <c r="L111" s="4"/>
      <c r="M111" s="4"/>
    </row>
    <row r="112" spans="2:13">
      <c r="B112" s="4"/>
      <c r="C112" s="4"/>
      <c r="D112" s="4"/>
      <c r="E112" s="4"/>
      <c r="F112" s="4"/>
      <c r="G112" s="4"/>
      <c r="H112" s="4"/>
      <c r="I112" s="4"/>
      <c r="J112" s="4"/>
      <c r="K112" s="4"/>
      <c r="L112" s="4"/>
      <c r="M112" s="4"/>
    </row>
    <row r="113" spans="2:13">
      <c r="B113" s="4"/>
      <c r="C113" s="4"/>
      <c r="D113" s="4"/>
      <c r="E113" s="4"/>
      <c r="F113" s="4"/>
      <c r="G113" s="4"/>
      <c r="H113" s="4"/>
      <c r="I113" s="4"/>
      <c r="J113" s="4"/>
      <c r="K113" s="4"/>
      <c r="L113" s="4"/>
      <c r="M113" s="4"/>
    </row>
    <row r="114" spans="2:13">
      <c r="B114" s="4"/>
      <c r="C114" s="4"/>
      <c r="D114" s="4"/>
      <c r="E114" s="4"/>
      <c r="F114" s="4"/>
      <c r="G114" s="4"/>
      <c r="H114" s="4"/>
      <c r="I114" s="4"/>
      <c r="J114" s="4"/>
      <c r="K114" s="4"/>
      <c r="L114" s="4"/>
      <c r="M114" s="4"/>
    </row>
    <row r="115" spans="2:13">
      <c r="B115" s="4"/>
      <c r="C115" s="4"/>
      <c r="D115" s="4"/>
      <c r="E115" s="4"/>
      <c r="F115" s="4"/>
      <c r="G115" s="4"/>
      <c r="H115" s="4"/>
      <c r="I115" s="4"/>
      <c r="J115" s="4"/>
      <c r="K115" s="4"/>
      <c r="L115" s="4"/>
      <c r="M115" s="4"/>
    </row>
    <row r="116" spans="2:13">
      <c r="B116" s="4"/>
      <c r="C116" s="4"/>
      <c r="D116" s="4"/>
      <c r="E116" s="4"/>
      <c r="F116" s="4"/>
      <c r="G116" s="4"/>
      <c r="H116" s="4"/>
      <c r="I116" s="4"/>
      <c r="J116" s="4"/>
      <c r="K116" s="4"/>
      <c r="L116" s="4"/>
      <c r="M116" s="4"/>
    </row>
    <row r="117" spans="2:13">
      <c r="B117" s="4"/>
      <c r="C117" s="4"/>
      <c r="D117" s="4"/>
      <c r="E117" s="4"/>
      <c r="F117" s="4"/>
      <c r="G117" s="4"/>
      <c r="H117" s="4"/>
      <c r="I117" s="4"/>
      <c r="J117" s="4"/>
      <c r="K117" s="4"/>
      <c r="L117" s="4"/>
      <c r="M117" s="4"/>
    </row>
    <row r="118" spans="2:13">
      <c r="B118" s="4"/>
      <c r="C118" s="4"/>
      <c r="D118" s="4"/>
      <c r="E118" s="4"/>
      <c r="F118" s="4"/>
      <c r="G118" s="4"/>
      <c r="H118" s="4"/>
      <c r="I118" s="4"/>
      <c r="J118" s="4"/>
      <c r="K118" s="4"/>
      <c r="L118" s="4"/>
      <c r="M118" s="4"/>
    </row>
    <row r="119" spans="2:13">
      <c r="B119" s="4"/>
      <c r="C119" s="4"/>
      <c r="D119" s="4"/>
      <c r="E119" s="4"/>
      <c r="F119" s="4"/>
      <c r="G119" s="4"/>
      <c r="H119" s="4"/>
      <c r="I119" s="4"/>
      <c r="J119" s="4"/>
      <c r="K119" s="4"/>
      <c r="L119" s="4"/>
      <c r="M119" s="4"/>
    </row>
    <row r="120" spans="2:13">
      <c r="B120" s="4"/>
      <c r="C120" s="4"/>
      <c r="D120" s="4"/>
      <c r="E120" s="4"/>
      <c r="F120" s="4"/>
      <c r="G120" s="4"/>
      <c r="H120" s="4"/>
      <c r="I120" s="4"/>
      <c r="J120" s="4"/>
      <c r="K120" s="4"/>
      <c r="L120" s="4"/>
      <c r="M120" s="4"/>
    </row>
    <row r="121" spans="2:13">
      <c r="B121" s="4"/>
      <c r="C121" s="4"/>
      <c r="D121" s="4"/>
      <c r="E121" s="4"/>
      <c r="F121" s="4"/>
      <c r="G121" s="4"/>
      <c r="H121" s="4"/>
      <c r="I121" s="4"/>
      <c r="J121" s="4"/>
      <c r="K121" s="4"/>
      <c r="L121" s="4"/>
      <c r="M121" s="4"/>
    </row>
    <row r="122" spans="2:13">
      <c r="B122" s="4"/>
      <c r="C122" s="4"/>
      <c r="D122" s="4"/>
      <c r="E122" s="4"/>
      <c r="F122" s="4"/>
      <c r="G122" s="4"/>
      <c r="H122" s="4"/>
      <c r="I122" s="4"/>
      <c r="J122" s="4"/>
      <c r="K122" s="4"/>
      <c r="L122" s="4"/>
      <c r="M122" s="4"/>
    </row>
    <row r="123" spans="2:13">
      <c r="B123" s="4"/>
      <c r="C123" s="4"/>
      <c r="D123" s="4"/>
      <c r="E123" s="4"/>
      <c r="F123" s="4"/>
      <c r="G123" s="4"/>
      <c r="H123" s="4"/>
      <c r="I123" s="4"/>
      <c r="J123" s="4"/>
      <c r="K123" s="4"/>
      <c r="L123" s="4"/>
      <c r="M123" s="4"/>
    </row>
    <row r="124" spans="2:13">
      <c r="B124" s="4"/>
      <c r="C124" s="4"/>
      <c r="D124" s="4"/>
      <c r="E124" s="4"/>
      <c r="F124" s="4"/>
      <c r="G124" s="4"/>
      <c r="H124" s="4"/>
      <c r="I124" s="4"/>
      <c r="J124" s="4"/>
      <c r="K124" s="4"/>
      <c r="L124" s="4"/>
      <c r="M124" s="4"/>
    </row>
    <row r="125" spans="2:13">
      <c r="B125" s="4"/>
      <c r="C125" s="4"/>
      <c r="D125" s="4"/>
      <c r="E125" s="4"/>
      <c r="F125" s="4"/>
      <c r="G125" s="4"/>
      <c r="H125" s="4"/>
      <c r="I125" s="4"/>
      <c r="J125" s="4"/>
      <c r="K125" s="4"/>
      <c r="L125" s="4"/>
      <c r="M125" s="4"/>
    </row>
    <row r="126" spans="2:13">
      <c r="B126" s="4"/>
      <c r="C126" s="4"/>
      <c r="D126" s="4"/>
      <c r="E126" s="4"/>
      <c r="F126" s="4"/>
      <c r="G126" s="4"/>
      <c r="H126" s="4"/>
      <c r="I126" s="4"/>
      <c r="J126" s="4"/>
      <c r="K126" s="4"/>
      <c r="L126" s="4"/>
      <c r="M126" s="4"/>
    </row>
    <row r="127" spans="2:13">
      <c r="B127" s="4"/>
      <c r="C127" s="4"/>
      <c r="D127" s="4"/>
      <c r="E127" s="4"/>
      <c r="F127" s="4"/>
      <c r="G127" s="4"/>
      <c r="H127" s="4"/>
      <c r="I127" s="4"/>
      <c r="J127" s="4"/>
      <c r="K127" s="4"/>
      <c r="L127" s="4"/>
      <c r="M127" s="4"/>
    </row>
    <row r="128" spans="2:13">
      <c r="B128" s="4"/>
      <c r="C128" s="4"/>
      <c r="D128" s="4"/>
      <c r="E128" s="4"/>
      <c r="F128" s="4"/>
      <c r="G128" s="4"/>
      <c r="H128" s="4"/>
      <c r="I128" s="4"/>
      <c r="J128" s="4"/>
      <c r="K128" s="4"/>
      <c r="L128" s="4"/>
      <c r="M128" s="4"/>
    </row>
    <row r="129" spans="2:13">
      <c r="B129" s="4"/>
      <c r="C129" s="4"/>
      <c r="D129" s="4"/>
      <c r="E129" s="4"/>
      <c r="F129" s="4"/>
      <c r="G129" s="4"/>
      <c r="H129" s="4"/>
      <c r="I129" s="4"/>
      <c r="J129" s="4"/>
      <c r="K129" s="4"/>
      <c r="L129" s="4"/>
      <c r="M129" s="4"/>
    </row>
    <row r="130" spans="2:13">
      <c r="B130" s="4"/>
      <c r="C130" s="4"/>
      <c r="D130" s="4"/>
      <c r="E130" s="4"/>
      <c r="F130" s="4"/>
      <c r="G130" s="4"/>
      <c r="H130" s="4"/>
      <c r="I130" s="4"/>
      <c r="J130" s="4"/>
      <c r="K130" s="4"/>
      <c r="L130" s="4"/>
      <c r="M130" s="4"/>
    </row>
    <row r="131" spans="2:13">
      <c r="B131" s="4"/>
      <c r="C131" s="4"/>
      <c r="D131" s="4"/>
      <c r="E131" s="4"/>
      <c r="F131" s="4"/>
      <c r="G131" s="4"/>
      <c r="H131" s="4"/>
      <c r="I131" s="4"/>
      <c r="J131" s="4"/>
      <c r="K131" s="4"/>
      <c r="L131" s="4"/>
      <c r="M131" s="4"/>
    </row>
    <row r="132" spans="2:13">
      <c r="B132" s="4"/>
      <c r="C132" s="4"/>
      <c r="D132" s="4"/>
      <c r="E132" s="4"/>
      <c r="F132" s="4"/>
      <c r="G132" s="4"/>
      <c r="H132" s="4"/>
      <c r="I132" s="4"/>
      <c r="J132" s="4"/>
      <c r="K132" s="4"/>
      <c r="L132" s="4"/>
      <c r="M132" s="4"/>
    </row>
    <row r="133" spans="2:13">
      <c r="B133" s="4"/>
      <c r="C133" s="4"/>
      <c r="D133" s="4"/>
      <c r="E133" s="4"/>
      <c r="F133" s="4"/>
      <c r="G133" s="4"/>
      <c r="H133" s="4"/>
      <c r="I133" s="4"/>
      <c r="J133" s="4"/>
      <c r="K133" s="4"/>
      <c r="L133" s="4"/>
      <c r="M133" s="4"/>
    </row>
    <row r="134" spans="2:13">
      <c r="B134" s="4"/>
      <c r="C134" s="4"/>
      <c r="D134" s="4"/>
      <c r="E134" s="4"/>
      <c r="F134" s="4"/>
      <c r="G134" s="4"/>
      <c r="H134" s="4"/>
      <c r="I134" s="4"/>
      <c r="J134" s="4"/>
      <c r="K134" s="4"/>
      <c r="L134" s="4"/>
      <c r="M134" s="4"/>
    </row>
    <row r="135" spans="2:13">
      <c r="B135" s="4"/>
      <c r="C135" s="4"/>
      <c r="D135" s="4"/>
      <c r="E135" s="4"/>
      <c r="F135" s="4"/>
      <c r="G135" s="4"/>
      <c r="H135" s="4"/>
      <c r="I135" s="4"/>
      <c r="J135" s="4"/>
      <c r="K135" s="4"/>
      <c r="L135" s="4"/>
      <c r="M135" s="4"/>
    </row>
    <row r="136" spans="2:13">
      <c r="B136" s="4"/>
      <c r="C136" s="4"/>
      <c r="D136" s="4"/>
      <c r="E136" s="4"/>
      <c r="F136" s="4"/>
      <c r="G136" s="4"/>
      <c r="H136" s="4"/>
      <c r="I136" s="4"/>
      <c r="J136" s="4"/>
      <c r="K136" s="4"/>
      <c r="L136" s="4"/>
      <c r="M136" s="4"/>
    </row>
    <row r="137" spans="2:13">
      <c r="B137" s="4"/>
      <c r="C137" s="4"/>
      <c r="D137" s="4"/>
      <c r="E137" s="4"/>
      <c r="F137" s="4"/>
      <c r="G137" s="4"/>
      <c r="H137" s="4"/>
      <c r="I137" s="4"/>
      <c r="J137" s="4"/>
      <c r="K137" s="4"/>
      <c r="L137" s="4"/>
      <c r="M137" s="4"/>
    </row>
    <row r="138" spans="2:13">
      <c r="B138" s="4"/>
      <c r="C138" s="4"/>
      <c r="D138" s="4"/>
      <c r="E138" s="4"/>
      <c r="F138" s="4"/>
      <c r="G138" s="4"/>
      <c r="H138" s="4"/>
      <c r="I138" s="4"/>
      <c r="J138" s="4"/>
      <c r="K138" s="4"/>
      <c r="L138" s="4"/>
      <c r="M138" s="4"/>
    </row>
    <row r="139" spans="2:13">
      <c r="B139" s="4"/>
      <c r="C139" s="4"/>
      <c r="D139" s="4"/>
      <c r="E139" s="4"/>
      <c r="F139" s="4"/>
      <c r="G139" s="4"/>
      <c r="H139" s="4"/>
      <c r="I139" s="4"/>
      <c r="J139" s="4"/>
      <c r="K139" s="4"/>
      <c r="L139" s="4"/>
      <c r="M139" s="4"/>
    </row>
    <row r="140" spans="2:13">
      <c r="B140" s="4"/>
      <c r="C140" s="4"/>
      <c r="D140" s="4"/>
      <c r="E140" s="4"/>
      <c r="F140" s="4"/>
      <c r="G140" s="4"/>
      <c r="H140" s="4"/>
      <c r="I140" s="4"/>
      <c r="J140" s="4"/>
      <c r="K140" s="4"/>
      <c r="L140" s="4"/>
      <c r="M140" s="4"/>
    </row>
    <row r="141" spans="2:13">
      <c r="B141" s="4"/>
      <c r="C141" s="4"/>
      <c r="D141" s="4"/>
      <c r="E141" s="4"/>
      <c r="F141" s="4"/>
      <c r="G141" s="4"/>
      <c r="H141" s="4"/>
      <c r="I141" s="4"/>
      <c r="J141" s="4"/>
      <c r="K141" s="4"/>
      <c r="L141" s="4"/>
      <c r="M141" s="4"/>
    </row>
    <row r="142" spans="2:13">
      <c r="B142" s="4"/>
      <c r="C142" s="4"/>
      <c r="D142" s="4"/>
      <c r="E142" s="4"/>
      <c r="F142" s="4"/>
      <c r="G142" s="4"/>
      <c r="H142" s="4"/>
      <c r="I142" s="4"/>
      <c r="J142" s="4"/>
      <c r="K142" s="4"/>
      <c r="L142" s="4"/>
      <c r="M142" s="4"/>
    </row>
    <row r="143" spans="2:13">
      <c r="B143" s="4"/>
      <c r="C143" s="4"/>
      <c r="D143" s="4"/>
      <c r="E143" s="4"/>
      <c r="F143" s="4"/>
      <c r="G143" s="4"/>
      <c r="H143" s="4"/>
      <c r="I143" s="4"/>
      <c r="J143" s="4"/>
      <c r="K143" s="4"/>
      <c r="L143" s="4"/>
      <c r="M143" s="4"/>
    </row>
    <row r="144" spans="2:13">
      <c r="B144" s="4"/>
      <c r="C144" s="4"/>
      <c r="D144" s="4"/>
      <c r="E144" s="4"/>
      <c r="F144" s="4"/>
      <c r="G144" s="4"/>
      <c r="H144" s="4"/>
      <c r="I144" s="4"/>
      <c r="J144" s="4"/>
      <c r="K144" s="4"/>
      <c r="L144" s="4"/>
      <c r="M144" s="4"/>
    </row>
    <row r="145" spans="2:13">
      <c r="B145" s="4"/>
      <c r="C145" s="4"/>
      <c r="D145" s="4"/>
      <c r="E145" s="4"/>
      <c r="F145" s="4"/>
      <c r="G145" s="4"/>
      <c r="H145" s="4"/>
      <c r="I145" s="4"/>
      <c r="J145" s="4"/>
      <c r="K145" s="4"/>
      <c r="L145" s="4"/>
      <c r="M145" s="4"/>
    </row>
    <row r="146" spans="2:13">
      <c r="B146" s="4"/>
      <c r="C146" s="4"/>
      <c r="D146" s="4"/>
      <c r="E146" s="4"/>
      <c r="F146" s="4"/>
      <c r="G146" s="4"/>
      <c r="H146" s="4"/>
      <c r="I146" s="4"/>
      <c r="J146" s="4"/>
      <c r="K146" s="4"/>
      <c r="L146" s="4"/>
      <c r="M146" s="4"/>
    </row>
    <row r="147" spans="2:13">
      <c r="B147" s="4"/>
      <c r="C147" s="4"/>
      <c r="D147" s="4"/>
      <c r="E147" s="4"/>
      <c r="F147" s="4"/>
      <c r="G147" s="4"/>
      <c r="H147" s="4"/>
      <c r="I147" s="4"/>
      <c r="J147" s="4"/>
      <c r="K147" s="4"/>
      <c r="L147" s="4"/>
      <c r="M147" s="4"/>
    </row>
    <row r="148" spans="2:13">
      <c r="B148" s="4"/>
      <c r="C148" s="4"/>
      <c r="D148" s="4"/>
      <c r="E148" s="4"/>
      <c r="F148" s="4"/>
      <c r="G148" s="4"/>
      <c r="H148" s="4"/>
      <c r="I148" s="4"/>
      <c r="J148" s="4"/>
      <c r="K148" s="4"/>
      <c r="L148" s="4"/>
      <c r="M148" s="4"/>
    </row>
    <row r="149" spans="2:13">
      <c r="B149" s="4"/>
      <c r="C149" s="4"/>
      <c r="D149" s="4"/>
      <c r="E149" s="4"/>
      <c r="F149" s="4"/>
      <c r="G149" s="4"/>
      <c r="H149" s="4"/>
      <c r="I149" s="4"/>
      <c r="J149" s="4"/>
      <c r="K149" s="4"/>
      <c r="L149" s="4"/>
      <c r="M149" s="4"/>
    </row>
    <row r="150" spans="2:13">
      <c r="B150" s="4"/>
      <c r="C150" s="4"/>
      <c r="D150" s="4"/>
      <c r="E150" s="4"/>
      <c r="F150" s="4"/>
      <c r="G150" s="4"/>
      <c r="H150" s="4"/>
      <c r="I150" s="4"/>
      <c r="J150" s="4"/>
      <c r="K150" s="4"/>
      <c r="L150" s="4"/>
      <c r="M150" s="4"/>
    </row>
    <row r="151" spans="2:13">
      <c r="B151" s="4"/>
      <c r="C151" s="4"/>
      <c r="D151" s="4"/>
      <c r="E151" s="4"/>
      <c r="F151" s="4"/>
      <c r="G151" s="4"/>
      <c r="H151" s="4"/>
      <c r="I151" s="4"/>
      <c r="J151" s="4"/>
      <c r="K151" s="4"/>
      <c r="L151" s="4"/>
      <c r="M151" s="4"/>
    </row>
    <row r="152" spans="2:13">
      <c r="B152" s="4"/>
      <c r="C152" s="4"/>
      <c r="D152" s="4"/>
      <c r="E152" s="4"/>
      <c r="F152" s="4"/>
      <c r="G152" s="4"/>
      <c r="H152" s="4"/>
      <c r="I152" s="4"/>
      <c r="J152" s="4"/>
      <c r="K152" s="4"/>
      <c r="L152" s="4"/>
      <c r="M152" s="4"/>
    </row>
    <row r="153" spans="2:13">
      <c r="B153" s="4"/>
      <c r="C153" s="4"/>
      <c r="D153" s="4"/>
      <c r="E153" s="4"/>
      <c r="F153" s="4"/>
      <c r="G153" s="4"/>
      <c r="H153" s="4"/>
      <c r="I153" s="4"/>
      <c r="J153" s="4"/>
      <c r="K153" s="4"/>
      <c r="L153" s="4"/>
      <c r="M153" s="4"/>
    </row>
    <row r="154" spans="2:13">
      <c r="B154" s="4"/>
      <c r="C154" s="4"/>
      <c r="D154" s="4"/>
      <c r="E154" s="4"/>
      <c r="F154" s="4"/>
      <c r="G154" s="4"/>
      <c r="H154" s="4"/>
      <c r="I154" s="4"/>
      <c r="J154" s="4"/>
      <c r="K154" s="4"/>
      <c r="L154" s="4"/>
      <c r="M154" s="4"/>
    </row>
    <row r="155" spans="2:13">
      <c r="B155" s="4"/>
      <c r="C155" s="4"/>
      <c r="D155" s="4"/>
      <c r="E155" s="4"/>
      <c r="F155" s="4"/>
      <c r="G155" s="4"/>
      <c r="H155" s="4"/>
      <c r="I155" s="4"/>
      <c r="J155" s="4"/>
      <c r="K155" s="4"/>
      <c r="L155" s="4"/>
      <c r="M155" s="4"/>
    </row>
    <row r="156" spans="2:13">
      <c r="B156" s="4"/>
      <c r="C156" s="4"/>
      <c r="D156" s="4"/>
      <c r="E156" s="4"/>
      <c r="F156" s="4"/>
      <c r="G156" s="4"/>
      <c r="H156" s="4"/>
      <c r="I156" s="4"/>
      <c r="J156" s="4"/>
      <c r="K156" s="4"/>
      <c r="L156" s="4"/>
      <c r="M156" s="4"/>
    </row>
    <row r="157" spans="2:13">
      <c r="B157" s="4"/>
      <c r="C157" s="4"/>
      <c r="D157" s="4"/>
      <c r="E157" s="4"/>
      <c r="F157" s="4"/>
      <c r="G157" s="4"/>
      <c r="H157" s="4"/>
      <c r="I157" s="4"/>
      <c r="J157" s="4"/>
      <c r="K157" s="4"/>
      <c r="L157" s="4"/>
      <c r="M157" s="4"/>
    </row>
    <row r="158" spans="2:13">
      <c r="B158" s="4"/>
      <c r="C158" s="4"/>
      <c r="D158" s="4"/>
      <c r="E158" s="4"/>
      <c r="F158" s="4"/>
      <c r="G158" s="4"/>
      <c r="H158" s="4"/>
      <c r="I158" s="4"/>
      <c r="J158" s="4"/>
      <c r="K158" s="4"/>
      <c r="L158" s="4"/>
      <c r="M158" s="4"/>
    </row>
    <row r="159" spans="2:13">
      <c r="B159" s="4"/>
      <c r="C159" s="4"/>
      <c r="D159" s="4"/>
      <c r="E159" s="4"/>
      <c r="F159" s="4"/>
      <c r="G159" s="4"/>
      <c r="H159" s="4"/>
      <c r="I159" s="4"/>
      <c r="J159" s="4"/>
      <c r="K159" s="4"/>
      <c r="L159" s="4"/>
      <c r="M159" s="4"/>
    </row>
    <row r="160" spans="2:13">
      <c r="B160" s="4"/>
      <c r="C160" s="4"/>
      <c r="D160" s="4"/>
      <c r="E160" s="4"/>
      <c r="F160" s="4"/>
      <c r="G160" s="4"/>
      <c r="H160" s="4"/>
      <c r="I160" s="4"/>
      <c r="J160" s="4"/>
      <c r="K160" s="4"/>
      <c r="L160" s="4"/>
      <c r="M160" s="4"/>
    </row>
  </sheetData>
  <mergeCells count="3">
    <mergeCell ref="A1:P1"/>
    <mergeCell ref="A2:P2"/>
    <mergeCell ref="A3:P3"/>
  </mergeCells>
  <pageMargins left="0.75" right="0.75" top="1" bottom="1" header="0.5" footer="0.5"/>
  <pageSetup scale="61" orientation="landscape" r:id="rId1"/>
  <headerFooter alignWithMargins="0">
    <oddFooter>&amp;L&amp;Z
&amp;F&amp;C&amp;A&amp;R5.&amp;P</oddFooter>
  </headerFooter>
  <rowBreaks count="1" manualBreakCount="1">
    <brk id="44" max="15" man="1"/>
  </rowBreaks>
</worksheet>
</file>

<file path=xl/worksheets/sheet58.xml><?xml version="1.0" encoding="utf-8"?>
<worksheet xmlns="http://schemas.openxmlformats.org/spreadsheetml/2006/main" xmlns:r="http://schemas.openxmlformats.org/officeDocument/2006/relationships">
  <sheetPr codeName="Sheet95"/>
  <dimension ref="A1:M193"/>
  <sheetViews>
    <sheetView zoomScaleNormal="100" workbookViewId="0">
      <selection sqref="A1:P1"/>
    </sheetView>
  </sheetViews>
  <sheetFormatPr defaultRowHeight="12.75"/>
  <cols>
    <col min="1" max="1" width="40.5703125" bestFit="1" customWidth="1"/>
    <col min="2" max="2" width="17.7109375" customWidth="1"/>
    <col min="3" max="3" width="1.7109375" customWidth="1"/>
    <col min="4" max="4" width="17.7109375" customWidth="1"/>
    <col min="5" max="5" width="1.7109375" customWidth="1"/>
    <col min="6" max="6" width="17.7109375" customWidth="1"/>
    <col min="7" max="7" width="1.7109375" customWidth="1"/>
    <col min="8" max="8" width="17.7109375" customWidth="1"/>
    <col min="9" max="9" width="1.7109375" customWidth="1"/>
    <col min="10" max="10" width="17.7109375" customWidth="1"/>
    <col min="11" max="11" width="1.7109375" customWidth="1"/>
    <col min="12" max="12" width="17.7109375" customWidth="1"/>
    <col min="13" max="13" width="2.140625" customWidth="1"/>
  </cols>
  <sheetData>
    <row r="1" spans="1:13" s="38" customFormat="1" ht="15.75">
      <c r="A1" s="366" t="s">
        <v>134</v>
      </c>
      <c r="B1" s="366"/>
      <c r="C1" s="366"/>
      <c r="D1" s="366"/>
      <c r="E1" s="366"/>
      <c r="F1" s="366"/>
      <c r="G1" s="366"/>
      <c r="H1" s="366"/>
      <c r="I1" s="366"/>
      <c r="J1" s="366"/>
      <c r="K1" s="366"/>
      <c r="L1" s="366"/>
      <c r="M1" s="366"/>
    </row>
    <row r="2" spans="1:13" s="38" customFormat="1" ht="15.75">
      <c r="A2" s="367" t="s">
        <v>1184</v>
      </c>
      <c r="B2" s="366"/>
      <c r="C2" s="366"/>
      <c r="D2" s="366"/>
      <c r="E2" s="366"/>
      <c r="F2" s="366"/>
      <c r="G2" s="366"/>
      <c r="H2" s="366"/>
      <c r="I2" s="366"/>
      <c r="J2" s="366"/>
      <c r="K2" s="366"/>
      <c r="L2" s="366"/>
      <c r="M2" s="366"/>
    </row>
    <row r="3" spans="1:13">
      <c r="A3" s="357" t="str">
        <f>'Summary - Cost - PG 1 (Tot)'!A3:N3</f>
        <v>MARCH 2012</v>
      </c>
      <c r="B3" s="357"/>
      <c r="C3" s="357"/>
      <c r="D3" s="357"/>
      <c r="E3" s="357"/>
      <c r="F3" s="357"/>
      <c r="G3" s="357"/>
      <c r="H3" s="357"/>
      <c r="I3" s="357"/>
      <c r="J3" s="357"/>
      <c r="K3" s="357"/>
      <c r="L3" s="357"/>
      <c r="M3" s="357"/>
    </row>
    <row r="4" spans="1:13">
      <c r="A4" s="190"/>
      <c r="B4" s="190"/>
      <c r="C4" s="190"/>
      <c r="D4" s="190"/>
      <c r="E4" s="190"/>
      <c r="F4" s="190"/>
      <c r="G4" s="190"/>
      <c r="H4" s="190"/>
      <c r="I4" s="190"/>
      <c r="J4" s="190"/>
      <c r="K4" s="190"/>
      <c r="L4" s="190"/>
    </row>
    <row r="6" spans="1:13">
      <c r="B6" s="41" t="s">
        <v>25</v>
      </c>
      <c r="D6" s="182"/>
      <c r="F6" s="182"/>
      <c r="H6" s="41" t="s">
        <v>612</v>
      </c>
      <c r="J6" s="182"/>
      <c r="L6" s="41" t="s">
        <v>26</v>
      </c>
    </row>
    <row r="7" spans="1:13" s="10" customFormat="1">
      <c r="A7" s="12" t="s">
        <v>371</v>
      </c>
      <c r="B7" s="42" t="s">
        <v>27</v>
      </c>
      <c r="C7"/>
      <c r="D7" s="42" t="s">
        <v>107</v>
      </c>
      <c r="E7"/>
      <c r="F7" s="42" t="s">
        <v>108</v>
      </c>
      <c r="G7"/>
      <c r="H7" s="42" t="s">
        <v>613</v>
      </c>
      <c r="I7"/>
      <c r="J7" s="42" t="s">
        <v>109</v>
      </c>
      <c r="K7"/>
      <c r="L7" s="42" t="s">
        <v>27</v>
      </c>
    </row>
    <row r="8" spans="1:13" s="10" customFormat="1">
      <c r="A8" s="12" t="s">
        <v>205</v>
      </c>
      <c r="B8" s="54"/>
      <c r="C8"/>
      <c r="D8" s="54"/>
      <c r="E8"/>
      <c r="F8" s="54"/>
      <c r="G8"/>
      <c r="H8" s="54"/>
      <c r="I8"/>
      <c r="J8" s="54"/>
      <c r="K8"/>
      <c r="L8" s="54"/>
    </row>
    <row r="9" spans="1:13" s="10" customFormat="1">
      <c r="A9" s="12" t="s">
        <v>420</v>
      </c>
      <c r="B9"/>
      <c r="C9"/>
      <c r="D9"/>
      <c r="E9"/>
      <c r="F9"/>
      <c r="G9"/>
      <c r="H9"/>
      <c r="I9"/>
      <c r="J9"/>
      <c r="K9"/>
      <c r="L9"/>
    </row>
    <row r="10" spans="1:13" s="10" customFormat="1">
      <c r="A10" s="12" t="s">
        <v>807</v>
      </c>
      <c r="B10"/>
      <c r="C10"/>
      <c r="D10"/>
      <c r="E10"/>
      <c r="F10"/>
      <c r="G10"/>
      <c r="H10"/>
      <c r="I10"/>
      <c r="J10"/>
      <c r="K10"/>
      <c r="L10"/>
    </row>
    <row r="11" spans="1:13">
      <c r="A11" t="s">
        <v>19</v>
      </c>
      <c r="B11" s="182">
        <f>'KY_Cost Plant Acct-Com-P8(Tot)'!B11</f>
        <v>1685316.06</v>
      </c>
      <c r="C11" s="182"/>
      <c r="D11" s="182">
        <f>'KY_Cost Plant Acct-Com-P8(Tot)'!D11</f>
        <v>0</v>
      </c>
      <c r="E11" s="182"/>
      <c r="F11" s="182">
        <f>'KY_Cost Plant Acct-Com-P8(Tot)'!F11</f>
        <v>0</v>
      </c>
      <c r="G11" s="182"/>
      <c r="H11" s="182">
        <f>'KY_Cost Plant Acct-Com-P8(Tot)'!H11</f>
        <v>0</v>
      </c>
      <c r="I11" s="182"/>
      <c r="J11" s="182">
        <f t="shared" ref="J11:J39" si="0">H11+F11+D11</f>
        <v>0</v>
      </c>
      <c r="K11" s="182"/>
      <c r="L11" s="182">
        <f t="shared" ref="L11:L39" si="1">J11+B11</f>
        <v>1685316.06</v>
      </c>
      <c r="M11" s="4"/>
    </row>
    <row r="12" spans="1:13">
      <c r="A12" t="s">
        <v>20</v>
      </c>
      <c r="B12" s="182">
        <f>'KY_Cost Plant Acct-Com-P8(Tot)'!B12</f>
        <v>74183.680000000008</v>
      </c>
      <c r="C12" s="182"/>
      <c r="D12" s="182">
        <f>'KY_Cost Plant Acct-Com-P8(Tot)'!D12</f>
        <v>0</v>
      </c>
      <c r="E12" s="182"/>
      <c r="F12" s="182">
        <f>'KY_Cost Plant Acct-Com-P8(Tot)'!F12</f>
        <v>0</v>
      </c>
      <c r="G12" s="182"/>
      <c r="H12" s="182">
        <f>'KY_Cost Plant Acct-Com-P8(Tot)'!H12</f>
        <v>0</v>
      </c>
      <c r="I12" s="182"/>
      <c r="J12" s="182">
        <f t="shared" si="0"/>
        <v>0</v>
      </c>
      <c r="K12" s="182"/>
      <c r="L12" s="182">
        <f t="shared" si="1"/>
        <v>74183.680000000008</v>
      </c>
      <c r="M12" s="4"/>
    </row>
    <row r="13" spans="1:13">
      <c r="A13" t="s">
        <v>266</v>
      </c>
      <c r="B13" s="182">
        <f>'KY_Cost Plant Acct-Com-P8(Tot)'!B13</f>
        <v>43718522.160000011</v>
      </c>
      <c r="C13" s="182"/>
      <c r="D13" s="182">
        <f>'KY_Cost Plant Acct-Com-P8(Tot)'!D13</f>
        <v>795499</v>
      </c>
      <c r="E13" s="182"/>
      <c r="F13" s="182">
        <f>'KY_Cost Plant Acct-Com-P8(Tot)'!F13</f>
        <v>-48802.84</v>
      </c>
      <c r="G13" s="182"/>
      <c r="H13" s="182">
        <f>'KY_Cost Plant Acct-Com-P8(Tot)'!H13</f>
        <v>0</v>
      </c>
      <c r="I13" s="182"/>
      <c r="J13" s="182">
        <f t="shared" si="0"/>
        <v>746696.16</v>
      </c>
      <c r="K13" s="182"/>
      <c r="L13" s="182">
        <f t="shared" si="1"/>
        <v>44465218.320000008</v>
      </c>
      <c r="M13" s="4"/>
    </row>
    <row r="14" spans="1:13">
      <c r="A14" t="s">
        <v>84</v>
      </c>
      <c r="B14" s="182">
        <f>'KY_Cost Plant Acct-Com-P8(Tot)'!B14</f>
        <v>1013117.8600000001</v>
      </c>
      <c r="C14" s="182"/>
      <c r="D14" s="182">
        <f>'KY_Cost Plant Acct-Com-P8(Tot)'!D14</f>
        <v>0</v>
      </c>
      <c r="E14" s="182"/>
      <c r="F14" s="182">
        <f>'KY_Cost Plant Acct-Com-P8(Tot)'!F14</f>
        <v>0</v>
      </c>
      <c r="G14" s="182"/>
      <c r="H14" s="182">
        <f>'KY_Cost Plant Acct-Com-P8(Tot)'!H14</f>
        <v>0</v>
      </c>
      <c r="I14" s="182"/>
      <c r="J14" s="182">
        <f t="shared" si="0"/>
        <v>0</v>
      </c>
      <c r="K14" s="182"/>
      <c r="L14" s="182">
        <f t="shared" si="1"/>
        <v>1013117.8600000001</v>
      </c>
      <c r="M14" s="4"/>
    </row>
    <row r="15" spans="1:13">
      <c r="A15" t="s">
        <v>85</v>
      </c>
      <c r="B15" s="182">
        <f>'KY_Cost Plant Acct-Com-P8(Tot)'!B15</f>
        <v>3930848.6400000006</v>
      </c>
      <c r="C15" s="182"/>
      <c r="D15" s="182">
        <f>'KY_Cost Plant Acct-Com-P8(Tot)'!D15</f>
        <v>0</v>
      </c>
      <c r="E15" s="182"/>
      <c r="F15" s="182">
        <f>'KY_Cost Plant Acct-Com-P8(Tot)'!F15</f>
        <v>-46260.709999999992</v>
      </c>
      <c r="G15" s="182"/>
      <c r="H15" s="182">
        <f>'KY_Cost Plant Acct-Com-P8(Tot)'!H15</f>
        <v>0</v>
      </c>
      <c r="I15" s="182"/>
      <c r="J15" s="182">
        <f t="shared" si="0"/>
        <v>-46260.709999999992</v>
      </c>
      <c r="K15" s="182"/>
      <c r="L15" s="182">
        <f t="shared" si="1"/>
        <v>3884587.9300000006</v>
      </c>
      <c r="M15" s="4"/>
    </row>
    <row r="16" spans="1:13">
      <c r="A16" t="s">
        <v>86</v>
      </c>
      <c r="B16" s="182">
        <f>'KY_Cost Plant Acct-Com-P8(Tot)'!B16</f>
        <v>390665.41</v>
      </c>
      <c r="C16" s="182"/>
      <c r="D16" s="182">
        <f>'KY_Cost Plant Acct-Com-P8(Tot)'!D16</f>
        <v>0</v>
      </c>
      <c r="E16" s="182"/>
      <c r="F16" s="182">
        <f>'KY_Cost Plant Acct-Com-P8(Tot)'!F16</f>
        <v>0</v>
      </c>
      <c r="G16" s="182"/>
      <c r="H16" s="182">
        <f>'KY_Cost Plant Acct-Com-P8(Tot)'!H16</f>
        <v>0</v>
      </c>
      <c r="I16" s="182"/>
      <c r="J16" s="182">
        <f t="shared" si="0"/>
        <v>0</v>
      </c>
      <c r="K16" s="182"/>
      <c r="L16" s="182">
        <f t="shared" si="1"/>
        <v>390665.41</v>
      </c>
      <c r="M16" s="4"/>
    </row>
    <row r="17" spans="1:13">
      <c r="A17" t="s">
        <v>87</v>
      </c>
      <c r="B17" s="182">
        <f>'KY_Cost Plant Acct-Com-P8(Tot)'!B17</f>
        <v>879507.93</v>
      </c>
      <c r="C17" s="182"/>
      <c r="D17" s="182">
        <f>'KY_Cost Plant Acct-Com-P8(Tot)'!D17</f>
        <v>0</v>
      </c>
      <c r="E17" s="182"/>
      <c r="F17" s="182">
        <f>'KY_Cost Plant Acct-Com-P8(Tot)'!F17</f>
        <v>0</v>
      </c>
      <c r="G17" s="182"/>
      <c r="H17" s="182">
        <f>'KY_Cost Plant Acct-Com-P8(Tot)'!H17</f>
        <v>0</v>
      </c>
      <c r="I17" s="182"/>
      <c r="J17" s="182">
        <f t="shared" si="0"/>
        <v>0</v>
      </c>
      <c r="K17" s="182"/>
      <c r="L17" s="182">
        <f t="shared" si="1"/>
        <v>879507.93</v>
      </c>
      <c r="M17" s="4"/>
    </row>
    <row r="18" spans="1:13">
      <c r="A18" t="s">
        <v>88</v>
      </c>
      <c r="B18" s="182">
        <f>'KY_Cost Plant Acct-Com-P8(Tot)'!B18</f>
        <v>6598081.8400000008</v>
      </c>
      <c r="C18" s="182"/>
      <c r="D18" s="182">
        <f>'KY_Cost Plant Acct-Com-P8(Tot)'!D18</f>
        <v>129257.69</v>
      </c>
      <c r="E18" s="182"/>
      <c r="F18" s="182">
        <f>'KY_Cost Plant Acct-Com-P8(Tot)'!F18</f>
        <v>0</v>
      </c>
      <c r="G18" s="182"/>
      <c r="H18" s="182">
        <f>'KY_Cost Plant Acct-Com-P8(Tot)'!H18</f>
        <v>0</v>
      </c>
      <c r="I18" s="182"/>
      <c r="J18" s="182">
        <f t="shared" si="0"/>
        <v>129257.69</v>
      </c>
      <c r="K18" s="182"/>
      <c r="L18" s="182">
        <f t="shared" si="1"/>
        <v>6727339.5300000012</v>
      </c>
      <c r="M18" s="4"/>
    </row>
    <row r="19" spans="1:13">
      <c r="A19" t="s">
        <v>89</v>
      </c>
      <c r="B19" s="182">
        <f>'KY_Cost Plant Acct-Com-P8(Tot)'!B19</f>
        <v>1220338.2799999998</v>
      </c>
      <c r="C19" s="182"/>
      <c r="D19" s="182">
        <f>'KY_Cost Plant Acct-Com-P8(Tot)'!D19</f>
        <v>2659.54</v>
      </c>
      <c r="E19" s="182"/>
      <c r="F19" s="182">
        <f>'KY_Cost Plant Acct-Com-P8(Tot)'!F19</f>
        <v>0</v>
      </c>
      <c r="G19" s="182"/>
      <c r="H19" s="182">
        <f>'KY_Cost Plant Acct-Com-P8(Tot)'!H19</f>
        <v>0</v>
      </c>
      <c r="I19" s="182"/>
      <c r="J19" s="182">
        <f t="shared" si="0"/>
        <v>2659.54</v>
      </c>
      <c r="K19" s="182"/>
      <c r="L19" s="182">
        <f t="shared" si="1"/>
        <v>1222997.8199999998</v>
      </c>
      <c r="M19" s="4"/>
    </row>
    <row r="20" spans="1:13">
      <c r="A20" t="s">
        <v>90</v>
      </c>
      <c r="B20" s="182">
        <f>'KY_Cost Plant Acct-Com-P8(Tot)'!B20</f>
        <v>3590077.379999999</v>
      </c>
      <c r="C20" s="182"/>
      <c r="D20" s="182">
        <f>'KY_Cost Plant Acct-Com-P8(Tot)'!D20</f>
        <v>2048060.2399999998</v>
      </c>
      <c r="E20" s="182"/>
      <c r="F20" s="182">
        <f>'KY_Cost Plant Acct-Com-P8(Tot)'!F20</f>
        <v>0</v>
      </c>
      <c r="G20" s="182"/>
      <c r="H20" s="182">
        <f>'KY_Cost Plant Acct-Com-P8(Tot)'!H20</f>
        <v>0</v>
      </c>
      <c r="I20" s="182"/>
      <c r="J20" s="182">
        <f t="shared" si="0"/>
        <v>2048060.2399999998</v>
      </c>
      <c r="K20" s="182"/>
      <c r="L20" s="182">
        <f t="shared" si="1"/>
        <v>5638137.6199999992</v>
      </c>
      <c r="M20" s="4"/>
    </row>
    <row r="21" spans="1:13">
      <c r="A21" t="s">
        <v>91</v>
      </c>
      <c r="B21" s="182">
        <f>'KY_Cost Plant Acct-Com-P8(Tot)'!B21</f>
        <v>2451041.5099999998</v>
      </c>
      <c r="C21" s="182"/>
      <c r="D21" s="182">
        <f>'KY_Cost Plant Acct-Com-P8(Tot)'!D21</f>
        <v>6773.84</v>
      </c>
      <c r="E21" s="182"/>
      <c r="F21" s="182">
        <f>'KY_Cost Plant Acct-Com-P8(Tot)'!F21</f>
        <v>0</v>
      </c>
      <c r="G21" s="182"/>
      <c r="H21" s="182">
        <f>'KY_Cost Plant Acct-Com-P8(Tot)'!H21</f>
        <v>0</v>
      </c>
      <c r="I21" s="182"/>
      <c r="J21" s="182">
        <f t="shared" si="0"/>
        <v>6773.84</v>
      </c>
      <c r="K21" s="182"/>
      <c r="L21" s="182">
        <f t="shared" si="1"/>
        <v>2457815.3499999996</v>
      </c>
      <c r="M21" s="4"/>
    </row>
    <row r="22" spans="1:13">
      <c r="A22" s="179" t="s">
        <v>1430</v>
      </c>
      <c r="B22" s="182">
        <f>'KY_Cost Plant Acct-Com-P8(Tot)'!B22</f>
        <v>-8182.2300000000105</v>
      </c>
      <c r="C22" s="182"/>
      <c r="D22" s="182">
        <f>'KY_Cost Plant Acct-Com-P8(Tot)'!D22</f>
        <v>0</v>
      </c>
      <c r="E22" s="182"/>
      <c r="F22" s="182">
        <f>'KY_Cost Plant Acct-Com-P8(Tot)'!F22</f>
        <v>0</v>
      </c>
      <c r="G22" s="182"/>
      <c r="H22" s="182">
        <f>'KY_Cost Plant Acct-Com-P8(Tot)'!H22</f>
        <v>0</v>
      </c>
      <c r="I22" s="182"/>
      <c r="J22" s="182">
        <f t="shared" ref="J22" si="2">H22+F22+D22</f>
        <v>0</v>
      </c>
      <c r="K22" s="182"/>
      <c r="L22" s="182">
        <f t="shared" ref="L22" si="3">J22+B22</f>
        <v>-8182.2300000000105</v>
      </c>
      <c r="M22" s="4"/>
    </row>
    <row r="23" spans="1:13">
      <c r="A23" t="s">
        <v>92</v>
      </c>
      <c r="B23" s="182">
        <f>'KY_Cost Plant Acct-Com-P8(Tot)'!B23</f>
        <v>1498409.3099999996</v>
      </c>
      <c r="C23" s="182"/>
      <c r="D23" s="182">
        <f>'KY_Cost Plant Acct-Com-P8(Tot)'!D23</f>
        <v>0</v>
      </c>
      <c r="E23" s="182"/>
      <c r="F23" s="182">
        <f>'KY_Cost Plant Acct-Com-P8(Tot)'!F23</f>
        <v>0</v>
      </c>
      <c r="G23" s="182"/>
      <c r="H23" s="182">
        <f>'KY_Cost Plant Acct-Com-P8(Tot)'!H23</f>
        <v>0</v>
      </c>
      <c r="I23" s="182"/>
      <c r="J23" s="182">
        <f t="shared" si="0"/>
        <v>0</v>
      </c>
      <c r="K23" s="182"/>
      <c r="L23" s="182">
        <f t="shared" si="1"/>
        <v>1498409.3099999996</v>
      </c>
      <c r="M23" s="4"/>
    </row>
    <row r="24" spans="1:13">
      <c r="A24" t="s">
        <v>93</v>
      </c>
      <c r="B24" s="182">
        <f>'KY_Cost Plant Acct-Com-P8(Tot)'!B24</f>
        <v>145237.13</v>
      </c>
      <c r="C24" s="182"/>
      <c r="D24" s="182">
        <f>'KY_Cost Plant Acct-Com-P8(Tot)'!D24</f>
        <v>0</v>
      </c>
      <c r="E24" s="182"/>
      <c r="F24" s="182">
        <f>'KY_Cost Plant Acct-Com-P8(Tot)'!F24</f>
        <v>0</v>
      </c>
      <c r="G24" s="182"/>
      <c r="H24" s="182">
        <f>'KY_Cost Plant Acct-Com-P8(Tot)'!H24</f>
        <v>0</v>
      </c>
      <c r="I24" s="182"/>
      <c r="J24" s="182">
        <f t="shared" si="0"/>
        <v>0</v>
      </c>
      <c r="K24" s="182"/>
      <c r="L24" s="182">
        <f t="shared" si="1"/>
        <v>145237.13</v>
      </c>
      <c r="M24" s="4"/>
    </row>
    <row r="25" spans="1:13">
      <c r="A25" t="s">
        <v>94</v>
      </c>
      <c r="B25" s="182">
        <f>'KY_Cost Plant Acct-Com-P8(Tot)'!B25</f>
        <v>55541.72</v>
      </c>
      <c r="C25" s="182"/>
      <c r="D25" s="182">
        <f>'KY_Cost Plant Acct-Com-P8(Tot)'!D25</f>
        <v>0</v>
      </c>
      <c r="E25" s="182"/>
      <c r="F25" s="182">
        <f>'KY_Cost Plant Acct-Com-P8(Tot)'!F25</f>
        <v>0</v>
      </c>
      <c r="G25" s="182"/>
      <c r="H25" s="182">
        <f>'KY_Cost Plant Acct-Com-P8(Tot)'!H25</f>
        <v>0</v>
      </c>
      <c r="I25" s="182"/>
      <c r="J25" s="182">
        <f t="shared" si="0"/>
        <v>0</v>
      </c>
      <c r="K25" s="182"/>
      <c r="L25" s="182">
        <f t="shared" si="1"/>
        <v>55541.72</v>
      </c>
      <c r="M25" s="4"/>
    </row>
    <row r="26" spans="1:13">
      <c r="A26" t="s">
        <v>95</v>
      </c>
      <c r="B26" s="182">
        <f>'KY_Cost Plant Acct-Com-P8(Tot)'!B26</f>
        <v>638439.95000000019</v>
      </c>
      <c r="C26" s="182"/>
      <c r="D26" s="182">
        <f>'KY_Cost Plant Acct-Com-P8(Tot)'!D26</f>
        <v>30451.68</v>
      </c>
      <c r="E26" s="182"/>
      <c r="F26" s="182">
        <f>'KY_Cost Plant Acct-Com-P8(Tot)'!F26</f>
        <v>0</v>
      </c>
      <c r="G26" s="182"/>
      <c r="H26" s="182">
        <f>'KY_Cost Plant Acct-Com-P8(Tot)'!H26</f>
        <v>0</v>
      </c>
      <c r="I26" s="182"/>
      <c r="J26" s="182">
        <f t="shared" si="0"/>
        <v>30451.68</v>
      </c>
      <c r="K26" s="182"/>
      <c r="L26" s="182">
        <f t="shared" si="1"/>
        <v>668891.63000000024</v>
      </c>
      <c r="M26" s="4"/>
    </row>
    <row r="27" spans="1:13">
      <c r="A27" t="s">
        <v>96</v>
      </c>
      <c r="B27" s="182">
        <f>'KY_Cost Plant Acct-Com-P8(Tot)'!B27</f>
        <v>2697877.29</v>
      </c>
      <c r="C27" s="182"/>
      <c r="D27" s="182">
        <f>'KY_Cost Plant Acct-Com-P8(Tot)'!D27</f>
        <v>0</v>
      </c>
      <c r="E27" s="182"/>
      <c r="F27" s="182">
        <f>'KY_Cost Plant Acct-Com-P8(Tot)'!F27</f>
        <v>0</v>
      </c>
      <c r="G27" s="182"/>
      <c r="H27" s="182">
        <f>'KY_Cost Plant Acct-Com-P8(Tot)'!H27</f>
        <v>4435.22</v>
      </c>
      <c r="I27" s="182"/>
      <c r="J27" s="182">
        <f t="shared" si="0"/>
        <v>4435.22</v>
      </c>
      <c r="K27" s="182"/>
      <c r="L27" s="182">
        <f t="shared" si="1"/>
        <v>2702312.5100000002</v>
      </c>
      <c r="M27" s="4"/>
    </row>
    <row r="28" spans="1:13">
      <c r="A28" t="s">
        <v>97</v>
      </c>
      <c r="B28" s="182">
        <f>'KY_Cost Plant Acct-Com-P8(Tot)'!B28</f>
        <v>-231.25</v>
      </c>
      <c r="C28" s="182"/>
      <c r="D28" s="182">
        <f>'KY_Cost Plant Acct-Com-P8(Tot)'!D28</f>
        <v>0</v>
      </c>
      <c r="E28" s="182"/>
      <c r="F28" s="182">
        <f>'KY_Cost Plant Acct-Com-P8(Tot)'!F28</f>
        <v>0</v>
      </c>
      <c r="G28" s="182"/>
      <c r="H28" s="182">
        <f>'KY_Cost Plant Acct-Com-P8(Tot)'!H28</f>
        <v>0</v>
      </c>
      <c r="I28" s="182"/>
      <c r="J28" s="182">
        <f t="shared" si="0"/>
        <v>0</v>
      </c>
      <c r="K28" s="182"/>
      <c r="L28" s="182">
        <f t="shared" si="1"/>
        <v>-231.25</v>
      </c>
      <c r="M28" s="4"/>
    </row>
    <row r="29" spans="1:13">
      <c r="A29" t="s">
        <v>98</v>
      </c>
      <c r="B29" s="182">
        <f>'KY_Cost Plant Acct-Com-P8(Tot)'!B29</f>
        <v>33440.929999999993</v>
      </c>
      <c r="C29" s="182"/>
      <c r="D29" s="182">
        <f>'KY_Cost Plant Acct-Com-P8(Tot)'!D29</f>
        <v>0</v>
      </c>
      <c r="E29" s="182"/>
      <c r="F29" s="182">
        <f>'KY_Cost Plant Acct-Com-P8(Tot)'!F29</f>
        <v>0</v>
      </c>
      <c r="G29" s="182"/>
      <c r="H29" s="182">
        <f>'KY_Cost Plant Acct-Com-P8(Tot)'!H29</f>
        <v>0</v>
      </c>
      <c r="I29" s="182"/>
      <c r="J29" s="182">
        <f t="shared" si="0"/>
        <v>0</v>
      </c>
      <c r="K29" s="182"/>
      <c r="L29" s="182">
        <f t="shared" si="1"/>
        <v>33440.929999999993</v>
      </c>
      <c r="M29" s="4"/>
    </row>
    <row r="30" spans="1:13">
      <c r="A30" t="s">
        <v>99</v>
      </c>
      <c r="B30" s="182">
        <f>'KY_Cost Plant Acct-Com-P8(Tot)'!B30</f>
        <v>4777.4500000000007</v>
      </c>
      <c r="C30" s="182"/>
      <c r="D30" s="182">
        <f>'KY_Cost Plant Acct-Com-P8(Tot)'!D30</f>
        <v>0</v>
      </c>
      <c r="E30" s="182"/>
      <c r="F30" s="182">
        <f>'KY_Cost Plant Acct-Com-P8(Tot)'!F30</f>
        <v>0</v>
      </c>
      <c r="G30" s="182"/>
      <c r="H30" s="182">
        <f>'KY_Cost Plant Acct-Com-P8(Tot)'!H30</f>
        <v>0</v>
      </c>
      <c r="I30" s="182"/>
      <c r="J30" s="182">
        <f t="shared" si="0"/>
        <v>0</v>
      </c>
      <c r="K30" s="182"/>
      <c r="L30" s="182">
        <f t="shared" si="1"/>
        <v>4777.4500000000007</v>
      </c>
      <c r="M30" s="4"/>
    </row>
    <row r="31" spans="1:13">
      <c r="A31" t="s">
        <v>4</v>
      </c>
      <c r="B31" s="182">
        <f>'KY_Cost Plant Acct-Com-P8(Tot)'!B31+'IN_Cost Plant Acct-Com-P10(Tot)'!B10</f>
        <v>22556432.610000003</v>
      </c>
      <c r="C31" s="182"/>
      <c r="D31" s="182">
        <f>'KY_Cost Plant Acct-Com-P8(Tot)'!D31+'IN_Cost Plant Acct-Com-P10(Tot)'!D10</f>
        <v>90429.11</v>
      </c>
      <c r="E31" s="182"/>
      <c r="F31" s="182">
        <f>'KY_Cost Plant Acct-Com-P8(Tot)'!F31+'IN_Cost Plant Acct-Com-P10(Tot)'!F10</f>
        <v>-991.89</v>
      </c>
      <c r="G31" s="182"/>
      <c r="H31" s="182">
        <f>'KY_Cost Plant Acct-Com-P8(Tot)'!H31+'IN_Cost Plant Acct-Com-P10(Tot)'!H10</f>
        <v>0</v>
      </c>
      <c r="I31" s="182"/>
      <c r="J31" s="182">
        <f t="shared" si="0"/>
        <v>89437.22</v>
      </c>
      <c r="K31" s="182"/>
      <c r="L31" s="182">
        <f t="shared" si="1"/>
        <v>22645869.830000002</v>
      </c>
      <c r="M31" s="4"/>
    </row>
    <row r="32" spans="1:13">
      <c r="A32" t="s">
        <v>100</v>
      </c>
      <c r="B32" s="182">
        <f>'KY_Cost Plant Acct-Com-P8(Tot)'!B32</f>
        <v>680518.75999999978</v>
      </c>
      <c r="C32" s="182"/>
      <c r="D32" s="182">
        <f>'KY_Cost Plant Acct-Com-P8(Tot)'!D32</f>
        <v>56863.95</v>
      </c>
      <c r="E32" s="182"/>
      <c r="F32" s="182">
        <f>'KY_Cost Plant Acct-Com-P8(Tot)'!F32</f>
        <v>0</v>
      </c>
      <c r="G32" s="182"/>
      <c r="H32" s="182">
        <f>'KY_Cost Plant Acct-Com-P8(Tot)'!H32</f>
        <v>0</v>
      </c>
      <c r="I32" s="182"/>
      <c r="J32" s="182">
        <f t="shared" si="0"/>
        <v>56863.95</v>
      </c>
      <c r="K32" s="182"/>
      <c r="L32" s="182">
        <f t="shared" si="1"/>
        <v>737382.70999999973</v>
      </c>
      <c r="M32" s="4"/>
    </row>
    <row r="33" spans="1:13">
      <c r="A33" t="s">
        <v>101</v>
      </c>
      <c r="B33" s="182">
        <f>'KY_Cost Plant Acct-Com-P8(Tot)'!B33</f>
        <v>21641.249999999884</v>
      </c>
      <c r="C33" s="182"/>
      <c r="D33" s="182">
        <f>'KY_Cost Plant Acct-Com-P8(Tot)'!D33</f>
        <v>0</v>
      </c>
      <c r="E33" s="182"/>
      <c r="F33" s="182">
        <f>'KY_Cost Plant Acct-Com-P8(Tot)'!F33</f>
        <v>0</v>
      </c>
      <c r="G33" s="182"/>
      <c r="H33" s="182">
        <f>'KY_Cost Plant Acct-Com-P8(Tot)'!H33</f>
        <v>-4435.22</v>
      </c>
      <c r="I33" s="182"/>
      <c r="J33" s="182">
        <f t="shared" si="0"/>
        <v>-4435.22</v>
      </c>
      <c r="K33" s="182"/>
      <c r="L33" s="182">
        <f t="shared" si="1"/>
        <v>17206.029999999882</v>
      </c>
      <c r="M33" s="4"/>
    </row>
    <row r="34" spans="1:13">
      <c r="A34" t="s">
        <v>102</v>
      </c>
      <c r="B34" s="182">
        <f>'KY_Cost Plant Acct-Com-P8(Tot)'!B34</f>
        <v>101389.77</v>
      </c>
      <c r="C34" s="182"/>
      <c r="D34" s="182">
        <f>'KY_Cost Plant Acct-Com-P8(Tot)'!D34</f>
        <v>0</v>
      </c>
      <c r="E34" s="182"/>
      <c r="F34" s="182">
        <f>'KY_Cost Plant Acct-Com-P8(Tot)'!F34</f>
        <v>0</v>
      </c>
      <c r="G34" s="182"/>
      <c r="H34" s="182">
        <f>'KY_Cost Plant Acct-Com-P8(Tot)'!H34</f>
        <v>0</v>
      </c>
      <c r="I34" s="182"/>
      <c r="J34" s="182">
        <f t="shared" si="0"/>
        <v>0</v>
      </c>
      <c r="K34" s="182"/>
      <c r="L34" s="182">
        <f t="shared" si="1"/>
        <v>101389.77</v>
      </c>
      <c r="M34" s="4"/>
    </row>
    <row r="35" spans="1:13">
      <c r="A35" t="s">
        <v>103</v>
      </c>
      <c r="B35" s="182">
        <f>'KY_Cost Plant Acct-Com-P8(Tot)'!B35</f>
        <v>83782.289999999994</v>
      </c>
      <c r="C35" s="182"/>
      <c r="D35" s="182">
        <f>'KY_Cost Plant Acct-Com-P8(Tot)'!D35</f>
        <v>0</v>
      </c>
      <c r="E35" s="182"/>
      <c r="F35" s="182">
        <f>'KY_Cost Plant Acct-Com-P8(Tot)'!F35</f>
        <v>0</v>
      </c>
      <c r="G35" s="182"/>
      <c r="H35" s="182">
        <f>'KY_Cost Plant Acct-Com-P8(Tot)'!H35</f>
        <v>0</v>
      </c>
      <c r="I35" s="182"/>
      <c r="J35" s="182">
        <f t="shared" si="0"/>
        <v>0</v>
      </c>
      <c r="K35" s="182"/>
      <c r="L35" s="182">
        <f t="shared" si="1"/>
        <v>83782.289999999994</v>
      </c>
      <c r="M35" s="4"/>
    </row>
    <row r="36" spans="1:13">
      <c r="A36" t="s">
        <v>267</v>
      </c>
      <c r="B36" s="182">
        <f>'KY_Cost Plant Acct-Com-P8(Tot)'!B36</f>
        <v>0</v>
      </c>
      <c r="C36" s="182"/>
      <c r="D36" s="182">
        <f>'KY_Cost Plant Acct-Com-P8(Tot)'!D36</f>
        <v>0</v>
      </c>
      <c r="E36" s="182"/>
      <c r="F36" s="182">
        <f>'KY_Cost Plant Acct-Com-P8(Tot)'!F36</f>
        <v>0</v>
      </c>
      <c r="G36" s="182"/>
      <c r="H36" s="182">
        <f>'KY_Cost Plant Acct-Com-P8(Tot)'!H36</f>
        <v>0</v>
      </c>
      <c r="I36" s="182"/>
      <c r="J36" s="182">
        <f t="shared" si="0"/>
        <v>0</v>
      </c>
      <c r="K36" s="182"/>
      <c r="L36" s="182">
        <f t="shared" si="1"/>
        <v>0</v>
      </c>
      <c r="M36" s="4"/>
    </row>
    <row r="37" spans="1:13">
      <c r="A37" t="s">
        <v>268</v>
      </c>
      <c r="B37" s="182">
        <f>'KY_Cost Plant Acct-Com-P8(Tot)'!B37</f>
        <v>11682352.470000001</v>
      </c>
      <c r="C37" s="182"/>
      <c r="D37" s="182">
        <f>'KY_Cost Plant Acct-Com-P8(Tot)'!D37</f>
        <v>466307.98</v>
      </c>
      <c r="E37" s="182"/>
      <c r="F37" s="182">
        <f>'KY_Cost Plant Acct-Com-P8(Tot)'!F37</f>
        <v>-400877.43000000005</v>
      </c>
      <c r="G37" s="182"/>
      <c r="H37" s="182">
        <f>'KY_Cost Plant Acct-Com-P8(Tot)'!H37</f>
        <v>0</v>
      </c>
      <c r="I37" s="182"/>
      <c r="J37" s="182">
        <f t="shared" si="0"/>
        <v>65430.54999999993</v>
      </c>
      <c r="K37" s="182"/>
      <c r="L37" s="182">
        <f t="shared" si="1"/>
        <v>11747783.020000001</v>
      </c>
      <c r="M37" s="4"/>
    </row>
    <row r="38" spans="1:13">
      <c r="A38" t="s">
        <v>1023</v>
      </c>
      <c r="B38" s="182">
        <f>'KY_Cost Plant Acct-Com-P8(Tot)'!B38</f>
        <v>37759343.61999999</v>
      </c>
      <c r="C38" s="182"/>
      <c r="D38" s="182">
        <f>'KY_Cost Plant Acct-Com-P8(Tot)'!D38</f>
        <v>0</v>
      </c>
      <c r="E38" s="182"/>
      <c r="F38" s="182">
        <f>'KY_Cost Plant Acct-Com-P8(Tot)'!F38</f>
        <v>0</v>
      </c>
      <c r="G38" s="182"/>
      <c r="H38" s="182">
        <f>'KY_Cost Plant Acct-Com-P8(Tot)'!H38</f>
        <v>0</v>
      </c>
      <c r="I38" s="182"/>
      <c r="J38" s="182">
        <f t="shared" si="0"/>
        <v>0</v>
      </c>
      <c r="K38" s="182"/>
      <c r="L38" s="182">
        <f t="shared" si="1"/>
        <v>37759343.61999999</v>
      </c>
      <c r="M38" s="4"/>
    </row>
    <row r="39" spans="1:13">
      <c r="A39" t="s">
        <v>269</v>
      </c>
      <c r="B39" s="48">
        <f>'KY_Cost Plant Acct-Com-P8(Tot)'!B39</f>
        <v>0</v>
      </c>
      <c r="C39" s="52"/>
      <c r="D39" s="48">
        <f>'KY_Cost Plant Acct-Com-P8(Tot)'!D39</f>
        <v>0</v>
      </c>
      <c r="E39" s="52"/>
      <c r="F39" s="48">
        <f>'KY_Cost Plant Acct-Com-P8(Tot)'!F39</f>
        <v>0</v>
      </c>
      <c r="G39" s="52"/>
      <c r="H39" s="48">
        <f>'KY_Cost Plant Acct-Com-P8(Tot)'!H39</f>
        <v>0</v>
      </c>
      <c r="I39" s="52"/>
      <c r="J39" s="48">
        <f t="shared" si="0"/>
        <v>0</v>
      </c>
      <c r="K39" s="52"/>
      <c r="L39" s="48">
        <f t="shared" si="1"/>
        <v>0</v>
      </c>
      <c r="M39" s="55"/>
    </row>
    <row r="40" spans="1:13">
      <c r="B40" s="52">
        <f>SUM(B11:B39)</f>
        <v>143502471.82000002</v>
      </c>
      <c r="C40" s="52"/>
      <c r="D40" s="52">
        <f>SUM(D11:D39)</f>
        <v>3626303.03</v>
      </c>
      <c r="E40" s="52"/>
      <c r="F40" s="52">
        <f>SUM(F11:F39)</f>
        <v>-496932.87000000005</v>
      </c>
      <c r="G40" s="52"/>
      <c r="H40" s="52">
        <f>SUM(H11:H39)</f>
        <v>0</v>
      </c>
      <c r="I40" s="52"/>
      <c r="J40" s="52">
        <f>SUM(J11:J39)</f>
        <v>3129370.16</v>
      </c>
      <c r="K40" s="52"/>
      <c r="L40" s="52">
        <f>SUM(L11:L39)</f>
        <v>146631841.97999999</v>
      </c>
      <c r="M40" s="55"/>
    </row>
    <row r="41" spans="1:13">
      <c r="B41" s="52"/>
      <c r="C41" s="52"/>
      <c r="D41" s="52"/>
      <c r="E41" s="52"/>
      <c r="F41" s="52"/>
      <c r="G41" s="52"/>
      <c r="H41" s="52"/>
      <c r="I41" s="52"/>
      <c r="J41" s="52"/>
      <c r="K41" s="52"/>
      <c r="L41" s="52"/>
      <c r="M41" s="55"/>
    </row>
    <row r="42" spans="1:13">
      <c r="B42" s="52"/>
      <c r="C42" s="52"/>
      <c r="D42" s="52"/>
      <c r="E42" s="52"/>
      <c r="F42" s="52"/>
      <c r="G42" s="52"/>
      <c r="H42" s="52"/>
      <c r="I42" s="52"/>
      <c r="J42" s="52"/>
      <c r="K42" s="52"/>
      <c r="L42" s="52"/>
      <c r="M42" s="55"/>
    </row>
    <row r="43" spans="1:13" s="10" customFormat="1">
      <c r="A43" s="12" t="s">
        <v>206</v>
      </c>
      <c r="B43" s="54"/>
      <c r="C43"/>
      <c r="D43" s="54"/>
      <c r="E43"/>
      <c r="F43" s="54"/>
      <c r="G43"/>
      <c r="H43" s="54"/>
      <c r="I43"/>
      <c r="J43" s="54"/>
      <c r="K43"/>
      <c r="L43" s="54"/>
    </row>
    <row r="44" spans="1:13" s="10" customFormat="1">
      <c r="A44" s="12" t="s">
        <v>420</v>
      </c>
      <c r="B44"/>
      <c r="C44"/>
      <c r="D44"/>
      <c r="E44"/>
      <c r="F44"/>
      <c r="G44"/>
      <c r="H44"/>
      <c r="I44"/>
      <c r="J44"/>
      <c r="K44"/>
      <c r="L44"/>
    </row>
    <row r="45" spans="1:13" s="10" customFormat="1">
      <c r="A45" s="12" t="s">
        <v>807</v>
      </c>
      <c r="B45"/>
      <c r="C45"/>
      <c r="D45"/>
      <c r="E45"/>
      <c r="F45"/>
      <c r="G45"/>
      <c r="H45"/>
      <c r="I45"/>
      <c r="J45"/>
      <c r="K45"/>
      <c r="L45"/>
    </row>
    <row r="46" spans="1:13">
      <c r="A46" t="s">
        <v>19</v>
      </c>
      <c r="B46" s="182">
        <v>0</v>
      </c>
      <c r="C46" s="182"/>
      <c r="D46" s="182">
        <v>0</v>
      </c>
      <c r="E46" s="182"/>
      <c r="F46" s="182">
        <v>0</v>
      </c>
      <c r="G46" s="182"/>
      <c r="H46" s="182">
        <v>0</v>
      </c>
      <c r="I46" s="182"/>
      <c r="J46" s="182">
        <f t="shared" ref="J46:J73" si="4">H46+F46+D46</f>
        <v>0</v>
      </c>
      <c r="K46" s="182"/>
      <c r="L46" s="182">
        <f t="shared" ref="L46:L73" si="5">J46+B46</f>
        <v>0</v>
      </c>
      <c r="M46" s="4"/>
    </row>
    <row r="47" spans="1:13">
      <c r="A47" t="s">
        <v>20</v>
      </c>
      <c r="B47" s="182">
        <v>0</v>
      </c>
      <c r="C47" s="182"/>
      <c r="D47" s="182">
        <v>0</v>
      </c>
      <c r="E47" s="182"/>
      <c r="F47" s="182">
        <v>0</v>
      </c>
      <c r="G47" s="182"/>
      <c r="H47" s="182">
        <v>0</v>
      </c>
      <c r="I47" s="182"/>
      <c r="J47" s="182">
        <f t="shared" si="4"/>
        <v>0</v>
      </c>
      <c r="K47" s="182"/>
      <c r="L47" s="182">
        <f t="shared" si="5"/>
        <v>0</v>
      </c>
      <c r="M47" s="4"/>
    </row>
    <row r="48" spans="1:13">
      <c r="A48" t="s">
        <v>266</v>
      </c>
      <c r="B48" s="182">
        <f>'KY_Cost Plant Acct-Com-P8(Tot)'!B48</f>
        <v>479918.56999999995</v>
      </c>
      <c r="C48" s="182"/>
      <c r="D48" s="182">
        <f>'KY_Cost Plant Acct-Com-P8(Tot)'!D48</f>
        <v>-470604.08</v>
      </c>
      <c r="E48" s="182"/>
      <c r="F48" s="182">
        <v>0</v>
      </c>
      <c r="G48" s="182"/>
      <c r="H48" s="182">
        <v>0</v>
      </c>
      <c r="I48" s="182"/>
      <c r="J48" s="182">
        <f t="shared" si="4"/>
        <v>-470604.08</v>
      </c>
      <c r="K48" s="182"/>
      <c r="L48" s="182">
        <f t="shared" si="5"/>
        <v>9314.4899999999325</v>
      </c>
      <c r="M48" s="4"/>
    </row>
    <row r="49" spans="1:13">
      <c r="A49" t="s">
        <v>84</v>
      </c>
      <c r="B49" s="182">
        <v>0</v>
      </c>
      <c r="C49" s="182"/>
      <c r="D49" s="182">
        <v>0</v>
      </c>
      <c r="E49" s="182"/>
      <c r="F49" s="182">
        <v>0</v>
      </c>
      <c r="G49" s="182"/>
      <c r="H49" s="182">
        <v>0</v>
      </c>
      <c r="I49" s="182"/>
      <c r="J49" s="182">
        <f t="shared" si="4"/>
        <v>0</v>
      </c>
      <c r="K49" s="182"/>
      <c r="L49" s="182">
        <f t="shared" si="5"/>
        <v>0</v>
      </c>
      <c r="M49" s="4"/>
    </row>
    <row r="50" spans="1:13">
      <c r="A50" t="s">
        <v>85</v>
      </c>
      <c r="B50" s="182">
        <v>0</v>
      </c>
      <c r="C50" s="182"/>
      <c r="D50" s="182">
        <v>0</v>
      </c>
      <c r="E50" s="182"/>
      <c r="F50" s="182">
        <v>0</v>
      </c>
      <c r="G50" s="182"/>
      <c r="H50" s="182">
        <v>0</v>
      </c>
      <c r="I50" s="182"/>
      <c r="J50" s="182">
        <f t="shared" si="4"/>
        <v>0</v>
      </c>
      <c r="K50" s="182"/>
      <c r="L50" s="182">
        <f t="shared" si="5"/>
        <v>0</v>
      </c>
      <c r="M50" s="4"/>
    </row>
    <row r="51" spans="1:13">
      <c r="A51" t="s">
        <v>86</v>
      </c>
      <c r="B51" s="182">
        <v>0</v>
      </c>
      <c r="C51" s="182"/>
      <c r="D51" s="182">
        <v>0</v>
      </c>
      <c r="E51" s="182"/>
      <c r="F51" s="182">
        <v>0</v>
      </c>
      <c r="G51" s="182"/>
      <c r="H51" s="182">
        <v>0</v>
      </c>
      <c r="I51" s="182"/>
      <c r="J51" s="182">
        <f t="shared" si="4"/>
        <v>0</v>
      </c>
      <c r="K51" s="182"/>
      <c r="L51" s="182">
        <f t="shared" si="5"/>
        <v>0</v>
      </c>
      <c r="M51" s="4"/>
    </row>
    <row r="52" spans="1:13">
      <c r="A52" t="s">
        <v>87</v>
      </c>
      <c r="B52" s="182">
        <f>'KY_Cost Plant Acct-Com-P8(Tot)'!B49</f>
        <v>0</v>
      </c>
      <c r="C52" s="182"/>
      <c r="D52" s="182">
        <f>'KY_Cost Plant Acct-Com-P8(Tot)'!D49</f>
        <v>0</v>
      </c>
      <c r="E52" s="182"/>
      <c r="F52" s="182">
        <f>'KY_Cost Plant Acct-Com-P8(Tot)'!F49</f>
        <v>0</v>
      </c>
      <c r="G52" s="182"/>
      <c r="H52" s="182">
        <f>'KY_Cost Plant Acct-Com-P8(Tot)'!H49</f>
        <v>0</v>
      </c>
      <c r="I52" s="182"/>
      <c r="J52" s="182">
        <f t="shared" si="4"/>
        <v>0</v>
      </c>
      <c r="K52" s="182"/>
      <c r="L52" s="182">
        <f t="shared" si="5"/>
        <v>0</v>
      </c>
      <c r="M52" s="4"/>
    </row>
    <row r="53" spans="1:13">
      <c r="A53" t="s">
        <v>88</v>
      </c>
      <c r="B53" s="182">
        <f>'KY_Cost Plant Acct-Com-P8(Tot)'!B50</f>
        <v>17984.009999999998</v>
      </c>
      <c r="C53" s="182"/>
      <c r="D53" s="182">
        <f>'KY_Cost Plant Acct-Com-P8(Tot)'!D50</f>
        <v>12245.21</v>
      </c>
      <c r="E53" s="182"/>
      <c r="F53" s="182">
        <v>0</v>
      </c>
      <c r="G53" s="182"/>
      <c r="H53" s="182">
        <v>0</v>
      </c>
      <c r="I53" s="182"/>
      <c r="J53" s="182">
        <f t="shared" si="4"/>
        <v>12245.21</v>
      </c>
      <c r="K53" s="182"/>
      <c r="L53" s="182">
        <f t="shared" si="5"/>
        <v>30229.219999999998</v>
      </c>
      <c r="M53" s="4"/>
    </row>
    <row r="54" spans="1:13">
      <c r="A54" t="s">
        <v>89</v>
      </c>
      <c r="B54" s="182">
        <f>'KY_Cost Plant Acct-Com-P8(Tot)'!B51</f>
        <v>2659.54</v>
      </c>
      <c r="C54" s="182"/>
      <c r="D54" s="182">
        <f>'KY_Cost Plant Acct-Com-P8(Tot)'!D51</f>
        <v>-2659.54</v>
      </c>
      <c r="E54" s="182"/>
      <c r="F54" s="182">
        <v>0</v>
      </c>
      <c r="G54" s="182"/>
      <c r="H54" s="182">
        <v>0</v>
      </c>
      <c r="I54" s="182"/>
      <c r="J54" s="182">
        <f t="shared" si="4"/>
        <v>-2659.54</v>
      </c>
      <c r="K54" s="182"/>
      <c r="L54" s="182">
        <f t="shared" si="5"/>
        <v>0</v>
      </c>
      <c r="M54" s="4"/>
    </row>
    <row r="55" spans="1:13">
      <c r="A55" t="s">
        <v>90</v>
      </c>
      <c r="B55" s="182">
        <f>'KY_Cost Plant Acct-Com-P8(Tot)'!B52</f>
        <v>1886564.2599999998</v>
      </c>
      <c r="C55" s="182"/>
      <c r="D55" s="182">
        <f>'KY_Cost Plant Acct-Com-P8(Tot)'!D52</f>
        <v>-1192044.7399999998</v>
      </c>
      <c r="E55" s="182"/>
      <c r="F55" s="182">
        <f>'KY_Cost Plant Acct-Com-P8(Tot)'!F52</f>
        <v>0</v>
      </c>
      <c r="G55" s="182"/>
      <c r="H55" s="182">
        <f>'KY_Cost Plant Acct-Com-P8(Tot)'!H52</f>
        <v>0</v>
      </c>
      <c r="I55" s="182"/>
      <c r="J55" s="182">
        <f t="shared" si="4"/>
        <v>-1192044.7399999998</v>
      </c>
      <c r="K55" s="182"/>
      <c r="L55" s="182">
        <f t="shared" si="5"/>
        <v>694519.52</v>
      </c>
      <c r="M55" s="4"/>
    </row>
    <row r="56" spans="1:13">
      <c r="A56" t="s">
        <v>91</v>
      </c>
      <c r="B56" s="182">
        <f>'KY_Cost Plant Acct-Com-P8(Tot)'!B53</f>
        <v>6773.84</v>
      </c>
      <c r="C56" s="182"/>
      <c r="D56" s="182">
        <f>'KY_Cost Plant Acct-Com-P8(Tot)'!D53</f>
        <v>241973.66</v>
      </c>
      <c r="E56" s="182"/>
      <c r="F56" s="182">
        <f>'KY_Cost Plant Acct-Com-P8(Tot)'!F53</f>
        <v>0</v>
      </c>
      <c r="G56" s="182"/>
      <c r="H56" s="182">
        <f>'KY_Cost Plant Acct-Com-P8(Tot)'!H53</f>
        <v>0</v>
      </c>
      <c r="I56" s="182"/>
      <c r="J56" s="182">
        <f t="shared" si="4"/>
        <v>241973.66</v>
      </c>
      <c r="K56" s="182"/>
      <c r="L56" s="182">
        <f t="shared" si="5"/>
        <v>248747.5</v>
      </c>
      <c r="M56" s="4"/>
    </row>
    <row r="57" spans="1:13">
      <c r="A57" t="s">
        <v>92</v>
      </c>
      <c r="B57" s="182">
        <f>'KY_Cost Plant Acct-Com-P8(Tot)'!B54</f>
        <v>0</v>
      </c>
      <c r="C57" s="182"/>
      <c r="D57" s="182">
        <f>'KY_Cost Plant Acct-Com-P8(Tot)'!D54</f>
        <v>0</v>
      </c>
      <c r="E57" s="182"/>
      <c r="F57" s="182">
        <v>0</v>
      </c>
      <c r="G57" s="182"/>
      <c r="H57" s="182">
        <v>0</v>
      </c>
      <c r="I57" s="182"/>
      <c r="J57" s="182">
        <f t="shared" si="4"/>
        <v>0</v>
      </c>
      <c r="K57" s="182"/>
      <c r="L57" s="182">
        <f t="shared" si="5"/>
        <v>0</v>
      </c>
      <c r="M57" s="4"/>
    </row>
    <row r="58" spans="1:13">
      <c r="A58" t="s">
        <v>93</v>
      </c>
      <c r="B58" s="182">
        <v>0</v>
      </c>
      <c r="C58" s="182"/>
      <c r="D58" s="182">
        <v>0</v>
      </c>
      <c r="E58" s="182"/>
      <c r="F58" s="182">
        <v>0</v>
      </c>
      <c r="G58" s="182"/>
      <c r="H58" s="182">
        <v>0</v>
      </c>
      <c r="I58" s="182"/>
      <c r="J58" s="182">
        <f t="shared" si="4"/>
        <v>0</v>
      </c>
      <c r="K58" s="182"/>
      <c r="L58" s="182">
        <f t="shared" si="5"/>
        <v>0</v>
      </c>
      <c r="M58" s="4"/>
    </row>
    <row r="59" spans="1:13">
      <c r="A59" t="s">
        <v>94</v>
      </c>
      <c r="B59" s="182">
        <v>0</v>
      </c>
      <c r="C59" s="182"/>
      <c r="D59" s="182">
        <f>'KY_Cost Plant Acct-Com-P8(Tot)'!D55</f>
        <v>0</v>
      </c>
      <c r="E59" s="182"/>
      <c r="F59" s="182">
        <v>0</v>
      </c>
      <c r="G59" s="182"/>
      <c r="H59" s="182">
        <v>0</v>
      </c>
      <c r="I59" s="182"/>
      <c r="J59" s="182">
        <f t="shared" si="4"/>
        <v>0</v>
      </c>
      <c r="K59" s="182"/>
      <c r="L59" s="182">
        <f t="shared" si="5"/>
        <v>0</v>
      </c>
      <c r="M59" s="4"/>
    </row>
    <row r="60" spans="1:13">
      <c r="A60" t="s">
        <v>95</v>
      </c>
      <c r="B60" s="182">
        <f>+'KY_Cost Plant Acct-Com-P8(Tot)'!B56</f>
        <v>30451.68</v>
      </c>
      <c r="C60" s="182"/>
      <c r="D60" s="182">
        <f>'KY_Cost Plant Acct-Com-P8(Tot)'!D56</f>
        <v>-30451.68</v>
      </c>
      <c r="E60" s="182"/>
      <c r="F60" s="182">
        <v>0</v>
      </c>
      <c r="G60" s="182"/>
      <c r="H60" s="182">
        <v>0</v>
      </c>
      <c r="I60" s="182"/>
      <c r="J60" s="182">
        <f t="shared" si="4"/>
        <v>-30451.68</v>
      </c>
      <c r="K60" s="182"/>
      <c r="L60" s="182">
        <f t="shared" si="5"/>
        <v>0</v>
      </c>
      <c r="M60" s="4"/>
    </row>
    <row r="61" spans="1:13">
      <c r="A61" t="s">
        <v>96</v>
      </c>
      <c r="B61" s="182">
        <f>'KY_Cost Plant Acct-Com-P8(Tot)'!B57</f>
        <v>0</v>
      </c>
      <c r="C61" s="182"/>
      <c r="D61" s="182">
        <f>'KY_Cost Plant Acct-Com-P8(Tot)'!D57</f>
        <v>0</v>
      </c>
      <c r="E61" s="182"/>
      <c r="F61" s="182">
        <f>'KY_Cost Plant Acct-Com-P8(Tot)'!F57</f>
        <v>0</v>
      </c>
      <c r="G61" s="182"/>
      <c r="H61" s="182">
        <f>'KY_Cost Plant Acct-Com-P8(Tot)'!H57</f>
        <v>0</v>
      </c>
      <c r="I61" s="182"/>
      <c r="J61" s="182">
        <f t="shared" si="4"/>
        <v>0</v>
      </c>
      <c r="K61" s="182"/>
      <c r="L61" s="182">
        <f t="shared" si="5"/>
        <v>0</v>
      </c>
      <c r="M61" s="4"/>
    </row>
    <row r="62" spans="1:13">
      <c r="A62" t="s">
        <v>97</v>
      </c>
      <c r="B62" s="182">
        <v>0</v>
      </c>
      <c r="C62" s="182"/>
      <c r="D62" s="182">
        <v>0</v>
      </c>
      <c r="E62" s="182"/>
      <c r="F62" s="182">
        <v>0</v>
      </c>
      <c r="G62" s="182"/>
      <c r="H62" s="182">
        <v>0</v>
      </c>
      <c r="I62" s="182"/>
      <c r="J62" s="182">
        <f t="shared" si="4"/>
        <v>0</v>
      </c>
      <c r="K62" s="182"/>
      <c r="L62" s="182">
        <f t="shared" si="5"/>
        <v>0</v>
      </c>
      <c r="M62" s="4"/>
    </row>
    <row r="63" spans="1:13">
      <c r="A63" t="s">
        <v>98</v>
      </c>
      <c r="B63" s="182">
        <v>0</v>
      </c>
      <c r="C63" s="182"/>
      <c r="D63" s="182">
        <v>0</v>
      </c>
      <c r="E63" s="182"/>
      <c r="F63" s="182">
        <v>0</v>
      </c>
      <c r="G63" s="182"/>
      <c r="H63" s="182">
        <v>0</v>
      </c>
      <c r="I63" s="182"/>
      <c r="J63" s="182">
        <f t="shared" si="4"/>
        <v>0</v>
      </c>
      <c r="K63" s="182"/>
      <c r="L63" s="182">
        <f t="shared" si="5"/>
        <v>0</v>
      </c>
      <c r="M63" s="4"/>
    </row>
    <row r="64" spans="1:13">
      <c r="A64" t="s">
        <v>99</v>
      </c>
      <c r="B64" s="182">
        <v>0</v>
      </c>
      <c r="C64" s="182"/>
      <c r="D64" s="182">
        <v>0</v>
      </c>
      <c r="E64" s="182"/>
      <c r="F64" s="182">
        <v>0</v>
      </c>
      <c r="G64" s="182"/>
      <c r="H64" s="182">
        <v>0</v>
      </c>
      <c r="I64" s="182"/>
      <c r="J64" s="182">
        <f t="shared" si="4"/>
        <v>0</v>
      </c>
      <c r="K64" s="182"/>
      <c r="L64" s="182">
        <f t="shared" si="5"/>
        <v>0</v>
      </c>
      <c r="M64" s="4"/>
    </row>
    <row r="65" spans="1:13">
      <c r="A65" t="s">
        <v>4</v>
      </c>
      <c r="B65" s="182">
        <f>'KY_Cost Plant Acct-Com-P8(Tot)'!B58+'IN_Cost Plant Acct-Com-P10(Tot)'!B19</f>
        <v>93720.159999999858</v>
      </c>
      <c r="C65" s="182"/>
      <c r="D65" s="182">
        <f>'KY_Cost Plant Acct-Com-P8(Tot)'!D58+'IN_Cost Plant Acct-Com-P10(Tot)'!D19</f>
        <v>75442.58</v>
      </c>
      <c r="E65" s="182"/>
      <c r="F65" s="182">
        <f>'KY_Cost Plant Acct-Com-P8(Tot)'!F58+'IN_Cost Plant Acct-Com-P10(Tot)'!F19</f>
        <v>0</v>
      </c>
      <c r="G65" s="182"/>
      <c r="H65" s="182">
        <f>'KY_Cost Plant Acct-Com-P8(Tot)'!H58+'IN_Cost Plant Acct-Com-P10(Tot)'!H19</f>
        <v>0</v>
      </c>
      <c r="I65" s="182"/>
      <c r="J65" s="182">
        <f t="shared" si="4"/>
        <v>75442.58</v>
      </c>
      <c r="K65" s="182"/>
      <c r="L65" s="182">
        <f t="shared" si="5"/>
        <v>169162.73999999987</v>
      </c>
      <c r="M65" s="4"/>
    </row>
    <row r="66" spans="1:13">
      <c r="A66" t="s">
        <v>100</v>
      </c>
      <c r="B66" s="182">
        <f>'KY_Cost Plant Acct-Com-P8(Tot)'!B59</f>
        <v>56863.95</v>
      </c>
      <c r="C66" s="182"/>
      <c r="D66" s="182">
        <f>'KY_Cost Plant Acct-Com-P8(Tot)'!D59</f>
        <v>15123.570000000007</v>
      </c>
      <c r="E66" s="182"/>
      <c r="F66" s="182">
        <f>'KY_Cost Plant Acct-Com-P8(Tot)'!F59</f>
        <v>0</v>
      </c>
      <c r="G66" s="182"/>
      <c r="H66" s="182">
        <f>'KY_Cost Plant Acct-Com-P8(Tot)'!H59</f>
        <v>0</v>
      </c>
      <c r="I66" s="182"/>
      <c r="J66" s="182">
        <f t="shared" si="4"/>
        <v>15123.570000000007</v>
      </c>
      <c r="K66" s="182"/>
      <c r="L66" s="182">
        <f t="shared" si="5"/>
        <v>71987.520000000004</v>
      </c>
      <c r="M66" s="4"/>
    </row>
    <row r="67" spans="1:13">
      <c r="A67" t="s">
        <v>101</v>
      </c>
      <c r="B67" s="182">
        <v>0</v>
      </c>
      <c r="C67" s="182"/>
      <c r="D67" s="182">
        <f>'KY_Cost Plant Acct-Com-P8(Tot)'!D60</f>
        <v>0</v>
      </c>
      <c r="E67" s="182"/>
      <c r="F67" s="182">
        <v>0</v>
      </c>
      <c r="G67" s="182"/>
      <c r="H67" s="182">
        <v>0</v>
      </c>
      <c r="I67" s="182"/>
      <c r="J67" s="182">
        <f t="shared" si="4"/>
        <v>0</v>
      </c>
      <c r="K67" s="182"/>
      <c r="L67" s="182">
        <f t="shared" si="5"/>
        <v>0</v>
      </c>
      <c r="M67" s="4"/>
    </row>
    <row r="68" spans="1:13">
      <c r="A68" t="s">
        <v>102</v>
      </c>
      <c r="B68" s="182">
        <v>0</v>
      </c>
      <c r="C68" s="182"/>
      <c r="D68" s="182">
        <v>0</v>
      </c>
      <c r="E68" s="182"/>
      <c r="F68" s="182">
        <v>0</v>
      </c>
      <c r="G68" s="182"/>
      <c r="H68" s="182">
        <v>0</v>
      </c>
      <c r="I68" s="182"/>
      <c r="J68" s="182">
        <f t="shared" si="4"/>
        <v>0</v>
      </c>
      <c r="K68" s="182"/>
      <c r="L68" s="182">
        <f t="shared" si="5"/>
        <v>0</v>
      </c>
      <c r="M68" s="4"/>
    </row>
    <row r="69" spans="1:13">
      <c r="A69" t="s">
        <v>103</v>
      </c>
      <c r="B69" s="182">
        <v>0</v>
      </c>
      <c r="C69" s="182"/>
      <c r="D69" s="182">
        <v>0</v>
      </c>
      <c r="E69" s="182"/>
      <c r="F69" s="182">
        <v>0</v>
      </c>
      <c r="G69" s="182"/>
      <c r="H69" s="182">
        <v>0</v>
      </c>
      <c r="I69" s="182"/>
      <c r="J69" s="182">
        <f t="shared" si="4"/>
        <v>0</v>
      </c>
      <c r="K69" s="182"/>
      <c r="L69" s="182">
        <f t="shared" si="5"/>
        <v>0</v>
      </c>
      <c r="M69" s="4"/>
    </row>
    <row r="70" spans="1:13">
      <c r="A70" t="s">
        <v>267</v>
      </c>
      <c r="B70" s="182">
        <v>0</v>
      </c>
      <c r="C70" s="182"/>
      <c r="D70" s="182">
        <v>0</v>
      </c>
      <c r="E70" s="182"/>
      <c r="F70" s="182">
        <v>0</v>
      </c>
      <c r="G70" s="182"/>
      <c r="H70" s="182">
        <v>0</v>
      </c>
      <c r="I70" s="182"/>
      <c r="J70" s="182">
        <f t="shared" si="4"/>
        <v>0</v>
      </c>
      <c r="K70" s="182"/>
      <c r="L70" s="182">
        <f t="shared" si="5"/>
        <v>0</v>
      </c>
      <c r="M70" s="4"/>
    </row>
    <row r="71" spans="1:13">
      <c r="A71" t="s">
        <v>268</v>
      </c>
      <c r="B71" s="182">
        <f>'KY_Cost Plant Acct-Com-P8(Tot)'!B61</f>
        <v>1949634.7599999965</v>
      </c>
      <c r="C71" s="182"/>
      <c r="D71" s="182">
        <f>'KY_Cost Plant Acct-Com-P8(Tot)'!D61</f>
        <v>3901604.8900000006</v>
      </c>
      <c r="E71" s="182"/>
      <c r="F71" s="182">
        <f>'KY_Cost Plant Acct-Com-P8(Tot)'!F62</f>
        <v>0</v>
      </c>
      <c r="G71" s="182"/>
      <c r="H71" s="182">
        <f>+'KY_Cost Plant Acct-Com-P8(Tot)'!H61</f>
        <v>0</v>
      </c>
      <c r="I71" s="182"/>
      <c r="J71" s="182">
        <f t="shared" si="4"/>
        <v>3901604.8900000006</v>
      </c>
      <c r="K71" s="182"/>
      <c r="L71" s="182">
        <f t="shared" si="5"/>
        <v>5851239.6499999966</v>
      </c>
      <c r="M71" s="4"/>
    </row>
    <row r="72" spans="1:13">
      <c r="A72" t="s">
        <v>1023</v>
      </c>
      <c r="B72" s="182">
        <f>'KY_Cost Plant Acct-Com-P8(Tot)'!B62</f>
        <v>291249.49999999988</v>
      </c>
      <c r="C72" s="182"/>
      <c r="D72" s="182">
        <f>'KY_Cost Plant Acct-Com-P8(Tot)'!D62</f>
        <v>165079.18</v>
      </c>
      <c r="E72" s="182"/>
      <c r="F72" s="182">
        <v>0</v>
      </c>
      <c r="G72" s="182"/>
      <c r="H72" s="182">
        <f>+'KY_Cost Plant Acct-Com-P8(Tot)'!H62</f>
        <v>0</v>
      </c>
      <c r="I72" s="182"/>
      <c r="J72" s="182">
        <f t="shared" si="4"/>
        <v>165079.18</v>
      </c>
      <c r="K72" s="182"/>
      <c r="L72" s="182">
        <f t="shared" si="5"/>
        <v>456328.67999999988</v>
      </c>
      <c r="M72" s="4"/>
    </row>
    <row r="73" spans="1:13">
      <c r="A73" t="s">
        <v>269</v>
      </c>
      <c r="B73" s="48">
        <v>0</v>
      </c>
      <c r="C73" s="52"/>
      <c r="D73" s="48">
        <v>0</v>
      </c>
      <c r="E73" s="52"/>
      <c r="F73" s="48">
        <v>0</v>
      </c>
      <c r="G73" s="52"/>
      <c r="H73" s="48">
        <v>0</v>
      </c>
      <c r="I73" s="52"/>
      <c r="J73" s="48">
        <f t="shared" si="4"/>
        <v>0</v>
      </c>
      <c r="K73" s="52"/>
      <c r="L73" s="48">
        <f t="shared" si="5"/>
        <v>0</v>
      </c>
      <c r="M73" s="55"/>
    </row>
    <row r="74" spans="1:13">
      <c r="B74" s="52">
        <f>SUM(B46:B73)</f>
        <v>4815820.2699999958</v>
      </c>
      <c r="C74" s="52"/>
      <c r="D74" s="52">
        <f>SUM(D46:D73)</f>
        <v>2715709.0500000012</v>
      </c>
      <c r="E74" s="52"/>
      <c r="F74" s="52">
        <f>SUM(F46:F73)</f>
        <v>0</v>
      </c>
      <c r="G74" s="52"/>
      <c r="H74" s="52">
        <f>SUM(H46:H73)</f>
        <v>0</v>
      </c>
      <c r="I74" s="52"/>
      <c r="J74" s="52">
        <f>SUM(J46:J73)</f>
        <v>2715709.0500000012</v>
      </c>
      <c r="K74" s="52"/>
      <c r="L74" s="52">
        <f>SUM(L46:L73)</f>
        <v>7531529.3199999966</v>
      </c>
      <c r="M74" s="55"/>
    </row>
    <row r="75" spans="1:13">
      <c r="B75" s="52"/>
      <c r="C75" s="52"/>
      <c r="D75" s="52"/>
      <c r="E75" s="52"/>
      <c r="F75" s="52"/>
      <c r="G75" s="52"/>
      <c r="H75" s="52"/>
      <c r="I75" s="52"/>
      <c r="J75" s="52"/>
      <c r="K75" s="52"/>
      <c r="L75" s="52"/>
      <c r="M75" s="55"/>
    </row>
    <row r="76" spans="1:13" ht="13.5" thickBot="1">
      <c r="A76" s="3" t="s">
        <v>203</v>
      </c>
      <c r="B76" s="46">
        <f>B74+B40</f>
        <v>148318292.09000003</v>
      </c>
      <c r="C76" s="55"/>
      <c r="D76" s="46">
        <f>D74+D40</f>
        <v>6342012.080000001</v>
      </c>
      <c r="E76" s="55"/>
      <c r="F76" s="46">
        <f>F74+F40</f>
        <v>-496932.87000000005</v>
      </c>
      <c r="G76" s="55"/>
      <c r="H76" s="46">
        <f>H74+H40</f>
        <v>0</v>
      </c>
      <c r="I76" s="55"/>
      <c r="J76" s="46">
        <f>J74+J40</f>
        <v>5845079.2100000009</v>
      </c>
      <c r="K76" s="55"/>
      <c r="L76" s="46">
        <f>L74+L40</f>
        <v>154163371.29999998</v>
      </c>
      <c r="M76" s="55"/>
    </row>
    <row r="77" spans="1:13" ht="13.5" thickTop="1">
      <c r="B77" s="52"/>
      <c r="C77" s="52"/>
      <c r="D77" s="52"/>
      <c r="E77" s="52"/>
      <c r="F77" s="52"/>
      <c r="G77" s="52"/>
      <c r="H77" s="52"/>
      <c r="I77" s="52"/>
      <c r="J77" s="52"/>
      <c r="K77" s="52"/>
      <c r="L77" s="52"/>
      <c r="M77" s="55"/>
    </row>
    <row r="78" spans="1:13">
      <c r="B78" s="52"/>
      <c r="C78" s="52"/>
      <c r="D78" s="52"/>
      <c r="E78" s="52"/>
      <c r="F78" s="52"/>
      <c r="G78" s="52"/>
      <c r="H78" s="52"/>
      <c r="I78" s="52"/>
      <c r="J78" s="52"/>
      <c r="K78" s="52"/>
      <c r="L78" s="52">
        <f>+L76-'KY_Cost Plant Acct-Com-P8(Tot)'!L69-'IN_Cost Plant Acct-Com-P10(Tot)'!L25</f>
        <v>-2.0256265997886658E-8</v>
      </c>
      <c r="M78" s="55"/>
    </row>
    <row r="79" spans="1:13">
      <c r="B79" s="182"/>
      <c r="C79" s="182"/>
      <c r="D79" s="182"/>
      <c r="E79" s="182"/>
      <c r="F79" s="182"/>
      <c r="G79" s="182"/>
      <c r="H79" s="182"/>
      <c r="I79" s="182"/>
      <c r="J79" s="182"/>
      <c r="K79" s="182"/>
      <c r="L79" s="182"/>
      <c r="M79" s="4"/>
    </row>
    <row r="80" spans="1:13">
      <c r="B80" s="4"/>
      <c r="C80" s="4"/>
      <c r="D80" s="4"/>
      <c r="E80" s="4"/>
      <c r="F80" s="4"/>
      <c r="G80" s="4"/>
      <c r="H80" s="4"/>
      <c r="I80" s="4"/>
      <c r="J80" s="4"/>
      <c r="K80" s="4"/>
      <c r="L80" s="4"/>
      <c r="M80" s="4"/>
    </row>
    <row r="81" spans="2:13">
      <c r="B81" s="4"/>
      <c r="C81" s="4"/>
      <c r="D81" s="4"/>
      <c r="E81" s="4"/>
      <c r="F81" s="4"/>
      <c r="G81" s="4"/>
      <c r="H81" s="4"/>
      <c r="I81" s="4"/>
      <c r="J81" s="4"/>
      <c r="K81" s="4"/>
      <c r="L81" s="4"/>
      <c r="M81" s="4"/>
    </row>
    <row r="82" spans="2:13">
      <c r="B82" s="4"/>
      <c r="C82" s="4"/>
      <c r="D82" s="4"/>
      <c r="E82" s="4"/>
      <c r="F82" s="4"/>
      <c r="G82" s="4"/>
      <c r="H82" s="4"/>
      <c r="I82" s="4"/>
      <c r="J82" s="4"/>
      <c r="K82" s="4"/>
      <c r="L82" s="4"/>
      <c r="M82" s="4"/>
    </row>
    <row r="83" spans="2:13">
      <c r="B83" s="4"/>
      <c r="C83" s="4"/>
      <c r="D83" s="4"/>
      <c r="E83" s="4"/>
      <c r="F83" s="4"/>
      <c r="G83" s="4"/>
      <c r="H83" s="4"/>
      <c r="I83" s="4"/>
      <c r="J83" s="4"/>
      <c r="K83" s="4"/>
      <c r="L83" s="4"/>
      <c r="M83" s="4"/>
    </row>
    <row r="84" spans="2:13">
      <c r="B84" s="4"/>
      <c r="C84" s="4"/>
      <c r="D84" s="4"/>
      <c r="E84" s="4"/>
      <c r="F84" s="4"/>
      <c r="G84" s="4"/>
      <c r="H84" s="4"/>
      <c r="I84" s="4"/>
      <c r="J84" s="4"/>
      <c r="K84" s="4"/>
      <c r="L84" s="4"/>
      <c r="M84" s="4"/>
    </row>
    <row r="85" spans="2:13">
      <c r="B85" s="4"/>
      <c r="C85" s="4"/>
      <c r="D85" s="4"/>
      <c r="E85" s="4"/>
      <c r="F85" s="4"/>
      <c r="G85" s="4"/>
      <c r="H85" s="4"/>
      <c r="I85" s="4"/>
      <c r="J85" s="4"/>
      <c r="K85" s="4"/>
      <c r="L85" s="4"/>
      <c r="M85" s="4"/>
    </row>
    <row r="86" spans="2:13">
      <c r="B86" s="4"/>
      <c r="C86" s="4"/>
      <c r="D86" s="4"/>
      <c r="E86" s="4"/>
      <c r="F86" s="4"/>
      <c r="G86" s="4"/>
      <c r="H86" s="4"/>
      <c r="I86" s="4"/>
      <c r="J86" s="4"/>
      <c r="K86" s="4"/>
      <c r="L86" s="4"/>
      <c r="M86" s="4"/>
    </row>
    <row r="87" spans="2:13">
      <c r="B87" s="4"/>
      <c r="C87" s="4"/>
      <c r="D87" s="4"/>
      <c r="E87" s="4"/>
      <c r="F87" s="4"/>
      <c r="G87" s="4"/>
      <c r="H87" s="4"/>
      <c r="I87" s="4"/>
      <c r="J87" s="4"/>
      <c r="K87" s="4"/>
      <c r="L87" s="4"/>
      <c r="M87" s="4"/>
    </row>
    <row r="88" spans="2:13">
      <c r="B88" s="4"/>
      <c r="C88" s="4"/>
      <c r="D88" s="4"/>
      <c r="E88" s="4"/>
      <c r="F88" s="4"/>
      <c r="G88" s="4"/>
      <c r="H88" s="4"/>
      <c r="I88" s="4"/>
      <c r="J88" s="4"/>
      <c r="K88" s="4"/>
      <c r="L88" s="4"/>
      <c r="M88" s="4"/>
    </row>
    <row r="89" spans="2:13">
      <c r="B89" s="4"/>
      <c r="C89" s="4"/>
      <c r="D89" s="4"/>
      <c r="E89" s="4"/>
      <c r="F89" s="4"/>
      <c r="G89" s="4"/>
      <c r="H89" s="4"/>
      <c r="I89" s="4"/>
      <c r="J89" s="4"/>
      <c r="K89" s="4"/>
      <c r="L89" s="4"/>
      <c r="M89" s="4"/>
    </row>
    <row r="90" spans="2:13">
      <c r="B90" s="4"/>
      <c r="C90" s="4"/>
      <c r="D90" s="4"/>
      <c r="E90" s="4"/>
      <c r="F90" s="4"/>
      <c r="G90" s="4"/>
      <c r="H90" s="4"/>
      <c r="I90" s="4"/>
      <c r="J90" s="4"/>
      <c r="K90" s="4"/>
      <c r="L90" s="4"/>
      <c r="M90" s="4"/>
    </row>
    <row r="91" spans="2:13">
      <c r="B91" s="4"/>
      <c r="C91" s="4"/>
      <c r="D91" s="4"/>
      <c r="E91" s="4"/>
      <c r="F91" s="4"/>
      <c r="G91" s="4"/>
      <c r="H91" s="4"/>
      <c r="I91" s="4"/>
      <c r="J91" s="4"/>
      <c r="K91" s="4"/>
      <c r="L91" s="4"/>
      <c r="M91" s="4"/>
    </row>
    <row r="92" spans="2:13">
      <c r="B92" s="4"/>
      <c r="C92" s="4"/>
      <c r="D92" s="4"/>
      <c r="E92" s="4"/>
      <c r="F92" s="4"/>
      <c r="G92" s="4"/>
      <c r="H92" s="4"/>
      <c r="I92" s="4"/>
      <c r="J92" s="4"/>
      <c r="K92" s="4"/>
      <c r="L92" s="4"/>
      <c r="M92" s="4"/>
    </row>
    <row r="93" spans="2:13">
      <c r="B93" s="4"/>
      <c r="C93" s="4"/>
      <c r="D93" s="4"/>
      <c r="E93" s="4"/>
      <c r="F93" s="4"/>
      <c r="G93" s="4"/>
      <c r="H93" s="4"/>
      <c r="I93" s="4"/>
      <c r="J93" s="4"/>
      <c r="K93" s="4"/>
      <c r="L93" s="4"/>
      <c r="M93" s="4"/>
    </row>
    <row r="94" spans="2:13">
      <c r="B94" s="4"/>
      <c r="C94" s="4"/>
      <c r="D94" s="4"/>
      <c r="E94" s="4"/>
      <c r="F94" s="4"/>
      <c r="G94" s="4"/>
      <c r="H94" s="4"/>
      <c r="I94" s="4"/>
      <c r="J94" s="4"/>
      <c r="K94" s="4"/>
      <c r="L94" s="4"/>
      <c r="M94" s="4"/>
    </row>
    <row r="95" spans="2:13">
      <c r="B95" s="4"/>
      <c r="C95" s="4"/>
      <c r="D95" s="4"/>
      <c r="E95" s="4"/>
      <c r="F95" s="4"/>
      <c r="G95" s="4"/>
      <c r="H95" s="4"/>
      <c r="I95" s="4"/>
      <c r="J95" s="4"/>
      <c r="K95" s="4"/>
      <c r="L95" s="4"/>
      <c r="M95" s="4"/>
    </row>
    <row r="96" spans="2:13">
      <c r="B96" s="4"/>
      <c r="C96" s="4"/>
      <c r="D96" s="4"/>
      <c r="E96" s="4"/>
      <c r="F96" s="4"/>
      <c r="G96" s="4"/>
      <c r="H96" s="4"/>
      <c r="I96" s="4"/>
      <c r="J96" s="4"/>
      <c r="K96" s="4"/>
      <c r="L96" s="4"/>
      <c r="M96" s="4"/>
    </row>
    <row r="97" spans="2:13">
      <c r="B97" s="4"/>
      <c r="C97" s="4"/>
      <c r="D97" s="4"/>
      <c r="E97" s="4"/>
      <c r="F97" s="4"/>
      <c r="G97" s="4"/>
      <c r="H97" s="4"/>
      <c r="I97" s="4"/>
      <c r="J97" s="4"/>
      <c r="K97" s="4"/>
      <c r="L97" s="4"/>
      <c r="M97" s="4"/>
    </row>
    <row r="98" spans="2:13">
      <c r="B98" s="4"/>
      <c r="C98" s="4"/>
      <c r="D98" s="4"/>
      <c r="E98" s="4"/>
      <c r="F98" s="4"/>
      <c r="G98" s="4"/>
      <c r="H98" s="4"/>
      <c r="I98" s="4"/>
      <c r="J98" s="4"/>
      <c r="K98" s="4"/>
      <c r="L98" s="4"/>
      <c r="M98" s="4"/>
    </row>
    <row r="99" spans="2:13">
      <c r="B99" s="4"/>
      <c r="C99" s="4"/>
      <c r="D99" s="4"/>
      <c r="E99" s="4"/>
      <c r="F99" s="4"/>
      <c r="G99" s="4"/>
      <c r="H99" s="4"/>
      <c r="I99" s="4"/>
      <c r="J99" s="4"/>
      <c r="K99" s="4"/>
      <c r="L99" s="4"/>
      <c r="M99" s="4"/>
    </row>
    <row r="100" spans="2:13">
      <c r="B100" s="4"/>
      <c r="C100" s="4"/>
      <c r="D100" s="4"/>
      <c r="E100" s="4"/>
      <c r="F100" s="4"/>
      <c r="G100" s="4"/>
      <c r="H100" s="4"/>
      <c r="I100" s="4"/>
      <c r="J100" s="4"/>
      <c r="K100" s="4"/>
      <c r="L100" s="4"/>
      <c r="M100" s="4"/>
    </row>
    <row r="101" spans="2:13">
      <c r="B101" s="4"/>
      <c r="C101" s="4"/>
      <c r="D101" s="4"/>
      <c r="E101" s="4"/>
      <c r="F101" s="4"/>
      <c r="G101" s="4"/>
      <c r="H101" s="4"/>
      <c r="I101" s="4"/>
      <c r="J101" s="4"/>
      <c r="K101" s="4"/>
      <c r="L101" s="4"/>
      <c r="M101" s="4"/>
    </row>
    <row r="102" spans="2:13">
      <c r="B102" s="4"/>
      <c r="C102" s="4"/>
      <c r="D102" s="4"/>
      <c r="E102" s="4"/>
      <c r="F102" s="4"/>
      <c r="G102" s="4"/>
      <c r="H102" s="4"/>
      <c r="I102" s="4"/>
      <c r="J102" s="4"/>
      <c r="K102" s="4"/>
      <c r="L102" s="4"/>
      <c r="M102" s="4"/>
    </row>
    <row r="103" spans="2:13">
      <c r="B103" s="4"/>
      <c r="C103" s="4"/>
      <c r="D103" s="4"/>
      <c r="E103" s="4"/>
      <c r="F103" s="4"/>
      <c r="G103" s="4"/>
      <c r="H103" s="4"/>
      <c r="I103" s="4"/>
      <c r="J103" s="4"/>
      <c r="K103" s="4"/>
      <c r="L103" s="4"/>
      <c r="M103" s="4"/>
    </row>
    <row r="104" spans="2:13">
      <c r="B104" s="4"/>
      <c r="C104" s="4"/>
      <c r="D104" s="4"/>
      <c r="E104" s="4"/>
      <c r="F104" s="4"/>
      <c r="G104" s="4"/>
      <c r="H104" s="4"/>
      <c r="I104" s="4"/>
      <c r="J104" s="4"/>
      <c r="K104" s="4"/>
      <c r="L104" s="4"/>
      <c r="M104" s="4"/>
    </row>
    <row r="105" spans="2:13">
      <c r="B105" s="4"/>
      <c r="C105" s="4"/>
      <c r="D105" s="4"/>
      <c r="E105" s="4"/>
      <c r="F105" s="4"/>
      <c r="G105" s="4"/>
      <c r="H105" s="4"/>
      <c r="I105" s="4"/>
      <c r="J105" s="4"/>
      <c r="K105" s="4"/>
      <c r="L105" s="4"/>
      <c r="M105" s="4"/>
    </row>
    <row r="106" spans="2:13">
      <c r="B106" s="4"/>
      <c r="C106" s="4"/>
      <c r="D106" s="4"/>
      <c r="E106" s="4"/>
      <c r="F106" s="4"/>
      <c r="G106" s="4"/>
      <c r="H106" s="4"/>
      <c r="I106" s="4"/>
      <c r="J106" s="4"/>
      <c r="K106" s="4"/>
      <c r="L106" s="4"/>
      <c r="M106" s="4"/>
    </row>
    <row r="107" spans="2:13">
      <c r="B107" s="4"/>
      <c r="C107" s="4"/>
      <c r="D107" s="4"/>
      <c r="E107" s="4"/>
      <c r="F107" s="4"/>
      <c r="G107" s="4"/>
      <c r="H107" s="4"/>
      <c r="I107" s="4"/>
      <c r="J107" s="4"/>
      <c r="K107" s="4"/>
      <c r="L107" s="4"/>
      <c r="M107" s="4"/>
    </row>
    <row r="108" spans="2:13">
      <c r="B108" s="4"/>
      <c r="C108" s="4"/>
      <c r="D108" s="4"/>
      <c r="E108" s="4"/>
      <c r="F108" s="4"/>
      <c r="G108" s="4"/>
      <c r="H108" s="4"/>
      <c r="I108" s="4"/>
      <c r="J108" s="4"/>
      <c r="K108" s="4"/>
      <c r="L108" s="4"/>
      <c r="M108" s="4"/>
    </row>
    <row r="109" spans="2:13">
      <c r="B109" s="4"/>
      <c r="C109" s="4"/>
      <c r="D109" s="4"/>
      <c r="E109" s="4"/>
      <c r="F109" s="4"/>
      <c r="G109" s="4"/>
      <c r="H109" s="4"/>
      <c r="I109" s="4"/>
      <c r="J109" s="4"/>
      <c r="K109" s="4"/>
      <c r="L109" s="4"/>
      <c r="M109" s="4"/>
    </row>
    <row r="110" spans="2:13">
      <c r="B110" s="4"/>
      <c r="C110" s="4"/>
      <c r="D110" s="4"/>
      <c r="E110" s="4"/>
      <c r="F110" s="4"/>
      <c r="G110" s="4"/>
      <c r="H110" s="4"/>
      <c r="I110" s="4"/>
      <c r="J110" s="4"/>
      <c r="K110" s="4"/>
      <c r="L110" s="4"/>
      <c r="M110" s="4"/>
    </row>
    <row r="111" spans="2:13">
      <c r="B111" s="4"/>
      <c r="C111" s="4"/>
      <c r="D111" s="4"/>
      <c r="E111" s="4"/>
      <c r="F111" s="4"/>
      <c r="G111" s="4"/>
      <c r="H111" s="4"/>
      <c r="I111" s="4"/>
      <c r="J111" s="4"/>
      <c r="K111" s="4"/>
      <c r="L111" s="4"/>
      <c r="M111" s="4"/>
    </row>
    <row r="112" spans="2:13">
      <c r="B112" s="4"/>
      <c r="C112" s="4"/>
      <c r="D112" s="4"/>
      <c r="E112" s="4"/>
      <c r="F112" s="4"/>
      <c r="G112" s="4"/>
      <c r="H112" s="4"/>
      <c r="I112" s="4"/>
      <c r="J112" s="4"/>
      <c r="K112" s="4"/>
      <c r="L112" s="4"/>
      <c r="M112" s="4"/>
    </row>
    <row r="113" spans="2:13">
      <c r="B113" s="4"/>
      <c r="C113" s="4"/>
      <c r="D113" s="4"/>
      <c r="E113" s="4"/>
      <c r="F113" s="4"/>
      <c r="G113" s="4"/>
      <c r="H113" s="4"/>
      <c r="I113" s="4"/>
      <c r="J113" s="4"/>
      <c r="K113" s="4"/>
      <c r="L113" s="4"/>
      <c r="M113" s="4"/>
    </row>
    <row r="114" spans="2:13">
      <c r="B114" s="4"/>
      <c r="C114" s="4"/>
      <c r="D114" s="4"/>
      <c r="E114" s="4"/>
      <c r="F114" s="4"/>
      <c r="G114" s="4"/>
      <c r="H114" s="4"/>
      <c r="I114" s="4"/>
      <c r="J114" s="4"/>
      <c r="K114" s="4"/>
      <c r="L114" s="4"/>
      <c r="M114" s="4"/>
    </row>
    <row r="115" spans="2:13">
      <c r="B115" s="4"/>
      <c r="C115" s="4"/>
      <c r="D115" s="4"/>
      <c r="E115" s="4"/>
      <c r="F115" s="4"/>
      <c r="G115" s="4"/>
      <c r="H115" s="4"/>
      <c r="I115" s="4"/>
      <c r="J115" s="4"/>
      <c r="K115" s="4"/>
      <c r="L115" s="4"/>
      <c r="M115" s="4"/>
    </row>
    <row r="116" spans="2:13">
      <c r="B116" s="4"/>
      <c r="C116" s="4"/>
      <c r="D116" s="4"/>
      <c r="E116" s="4"/>
      <c r="F116" s="4"/>
      <c r="G116" s="4"/>
      <c r="H116" s="4"/>
      <c r="I116" s="4"/>
      <c r="J116" s="4"/>
      <c r="K116" s="4"/>
      <c r="L116" s="4"/>
      <c r="M116" s="4"/>
    </row>
    <row r="117" spans="2:13">
      <c r="B117" s="4"/>
      <c r="C117" s="4"/>
      <c r="D117" s="4"/>
      <c r="E117" s="4"/>
      <c r="F117" s="4"/>
      <c r="G117" s="4"/>
      <c r="H117" s="4"/>
      <c r="I117" s="4"/>
      <c r="J117" s="4"/>
      <c r="K117" s="4"/>
      <c r="L117" s="4"/>
      <c r="M117" s="4"/>
    </row>
    <row r="118" spans="2:13">
      <c r="B118" s="4"/>
      <c r="C118" s="4"/>
      <c r="D118" s="4"/>
      <c r="E118" s="4"/>
      <c r="F118" s="4"/>
      <c r="G118" s="4"/>
      <c r="H118" s="4"/>
      <c r="I118" s="4"/>
      <c r="J118" s="4"/>
      <c r="K118" s="4"/>
      <c r="L118" s="4"/>
      <c r="M118" s="4"/>
    </row>
    <row r="119" spans="2:13">
      <c r="B119" s="4"/>
      <c r="C119" s="4"/>
      <c r="D119" s="4"/>
      <c r="E119" s="4"/>
      <c r="F119" s="4"/>
      <c r="G119" s="4"/>
      <c r="H119" s="4"/>
      <c r="I119" s="4"/>
      <c r="J119" s="4"/>
      <c r="K119" s="4"/>
      <c r="L119" s="4"/>
      <c r="M119" s="4"/>
    </row>
    <row r="120" spans="2:13">
      <c r="B120" s="4"/>
      <c r="C120" s="4"/>
      <c r="D120" s="4"/>
      <c r="E120" s="4"/>
      <c r="F120" s="4"/>
      <c r="G120" s="4"/>
      <c r="H120" s="4"/>
      <c r="I120" s="4"/>
      <c r="J120" s="4"/>
      <c r="K120" s="4"/>
      <c r="L120" s="4"/>
      <c r="M120" s="4"/>
    </row>
    <row r="121" spans="2:13">
      <c r="B121" s="4"/>
      <c r="C121" s="4"/>
      <c r="D121" s="4"/>
      <c r="E121" s="4"/>
      <c r="F121" s="4"/>
      <c r="G121" s="4"/>
      <c r="H121" s="4"/>
      <c r="I121" s="4"/>
      <c r="J121" s="4"/>
      <c r="K121" s="4"/>
      <c r="L121" s="4"/>
      <c r="M121" s="4"/>
    </row>
    <row r="122" spans="2:13">
      <c r="B122" s="4"/>
      <c r="C122" s="4"/>
      <c r="D122" s="4"/>
      <c r="E122" s="4"/>
      <c r="F122" s="4"/>
      <c r="G122" s="4"/>
      <c r="H122" s="4"/>
      <c r="I122" s="4"/>
      <c r="J122" s="4"/>
      <c r="K122" s="4"/>
      <c r="L122" s="4"/>
      <c r="M122" s="4"/>
    </row>
    <row r="123" spans="2:13">
      <c r="B123" s="4"/>
      <c r="C123" s="4"/>
      <c r="D123" s="4"/>
      <c r="E123" s="4"/>
      <c r="F123" s="4"/>
      <c r="G123" s="4"/>
      <c r="H123" s="4"/>
      <c r="I123" s="4"/>
      <c r="J123" s="4"/>
      <c r="K123" s="4"/>
      <c r="L123" s="4"/>
      <c r="M123" s="4"/>
    </row>
    <row r="124" spans="2:13">
      <c r="B124" s="4"/>
      <c r="C124" s="4"/>
      <c r="D124" s="4"/>
      <c r="E124" s="4"/>
      <c r="F124" s="4"/>
      <c r="G124" s="4"/>
      <c r="H124" s="4"/>
      <c r="I124" s="4"/>
      <c r="J124" s="4"/>
      <c r="K124" s="4"/>
      <c r="L124" s="4"/>
      <c r="M124" s="4"/>
    </row>
    <row r="125" spans="2:13">
      <c r="B125" s="4"/>
      <c r="C125" s="4"/>
      <c r="D125" s="4"/>
      <c r="E125" s="4"/>
      <c r="F125" s="4"/>
      <c r="G125" s="4"/>
      <c r="H125" s="4"/>
      <c r="I125" s="4"/>
      <c r="J125" s="4"/>
      <c r="K125" s="4"/>
      <c r="L125" s="4"/>
      <c r="M125" s="4"/>
    </row>
    <row r="126" spans="2:13">
      <c r="B126" s="4"/>
      <c r="C126" s="4"/>
      <c r="D126" s="4"/>
      <c r="E126" s="4"/>
      <c r="F126" s="4"/>
      <c r="G126" s="4"/>
      <c r="H126" s="4"/>
      <c r="I126" s="4"/>
      <c r="J126" s="4"/>
      <c r="K126" s="4"/>
      <c r="L126" s="4"/>
      <c r="M126" s="4"/>
    </row>
    <row r="127" spans="2:13">
      <c r="B127" s="4"/>
      <c r="C127" s="4"/>
      <c r="D127" s="4"/>
      <c r="E127" s="4"/>
      <c r="F127" s="4"/>
      <c r="G127" s="4"/>
      <c r="H127" s="4"/>
      <c r="I127" s="4"/>
      <c r="J127" s="4"/>
      <c r="K127" s="4"/>
      <c r="L127" s="4"/>
      <c r="M127" s="4"/>
    </row>
    <row r="128" spans="2:13">
      <c r="B128" s="4"/>
      <c r="C128" s="4"/>
      <c r="D128" s="4"/>
      <c r="E128" s="4"/>
      <c r="F128" s="4"/>
      <c r="G128" s="4"/>
      <c r="H128" s="4"/>
      <c r="I128" s="4"/>
      <c r="J128" s="4"/>
      <c r="K128" s="4"/>
      <c r="L128" s="4"/>
      <c r="M128" s="4"/>
    </row>
    <row r="129" spans="2:13">
      <c r="B129" s="4"/>
      <c r="C129" s="4"/>
      <c r="D129" s="4"/>
      <c r="E129" s="4"/>
      <c r="F129" s="4"/>
      <c r="G129" s="4"/>
      <c r="H129" s="4"/>
      <c r="I129" s="4"/>
      <c r="J129" s="4"/>
      <c r="K129" s="4"/>
      <c r="L129" s="4"/>
      <c r="M129" s="4"/>
    </row>
    <row r="130" spans="2:13">
      <c r="B130" s="4"/>
      <c r="C130" s="4"/>
      <c r="D130" s="4"/>
      <c r="E130" s="4"/>
      <c r="F130" s="4"/>
      <c r="G130" s="4"/>
      <c r="H130" s="4"/>
      <c r="I130" s="4"/>
      <c r="J130" s="4"/>
      <c r="K130" s="4"/>
      <c r="L130" s="4"/>
      <c r="M130" s="4"/>
    </row>
    <row r="131" spans="2:13">
      <c r="B131" s="4"/>
      <c r="C131" s="4"/>
      <c r="D131" s="4"/>
      <c r="E131" s="4"/>
      <c r="F131" s="4"/>
      <c r="G131" s="4"/>
      <c r="H131" s="4"/>
      <c r="I131" s="4"/>
      <c r="J131" s="4"/>
      <c r="K131" s="4"/>
      <c r="L131" s="4"/>
      <c r="M131" s="4"/>
    </row>
    <row r="132" spans="2:13">
      <c r="B132" s="4"/>
      <c r="C132" s="4"/>
      <c r="D132" s="4"/>
      <c r="E132" s="4"/>
      <c r="F132" s="4"/>
      <c r="G132" s="4"/>
      <c r="H132" s="4"/>
      <c r="I132" s="4"/>
      <c r="J132" s="4"/>
      <c r="K132" s="4"/>
      <c r="L132" s="4"/>
      <c r="M132" s="4"/>
    </row>
    <row r="133" spans="2:13">
      <c r="B133" s="4"/>
      <c r="C133" s="4"/>
      <c r="D133" s="4"/>
      <c r="E133" s="4"/>
      <c r="F133" s="4"/>
      <c r="G133" s="4"/>
      <c r="H133" s="4"/>
      <c r="I133" s="4"/>
      <c r="J133" s="4"/>
      <c r="K133" s="4"/>
      <c r="L133" s="4"/>
      <c r="M133" s="4"/>
    </row>
    <row r="134" spans="2:13">
      <c r="B134" s="4"/>
      <c r="C134" s="4"/>
      <c r="D134" s="4"/>
      <c r="E134" s="4"/>
      <c r="F134" s="4"/>
      <c r="G134" s="4"/>
      <c r="H134" s="4"/>
      <c r="I134" s="4"/>
      <c r="J134" s="4"/>
      <c r="K134" s="4"/>
      <c r="L134" s="4"/>
      <c r="M134" s="4"/>
    </row>
    <row r="135" spans="2:13">
      <c r="B135" s="4"/>
      <c r="C135" s="4"/>
      <c r="D135" s="4"/>
      <c r="E135" s="4"/>
      <c r="F135" s="4"/>
      <c r="G135" s="4"/>
      <c r="H135" s="4"/>
      <c r="I135" s="4"/>
      <c r="J135" s="4"/>
      <c r="K135" s="4"/>
      <c r="L135" s="4"/>
      <c r="M135" s="4"/>
    </row>
    <row r="136" spans="2:13">
      <c r="B136" s="4"/>
      <c r="C136" s="4"/>
      <c r="D136" s="4"/>
      <c r="E136" s="4"/>
      <c r="F136" s="4"/>
      <c r="G136" s="4"/>
      <c r="H136" s="4"/>
      <c r="I136" s="4"/>
      <c r="J136" s="4"/>
      <c r="K136" s="4"/>
      <c r="L136" s="4"/>
      <c r="M136" s="4"/>
    </row>
    <row r="137" spans="2:13">
      <c r="B137" s="4"/>
      <c r="C137" s="4"/>
      <c r="D137" s="4"/>
      <c r="E137" s="4"/>
      <c r="F137" s="4"/>
      <c r="G137" s="4"/>
      <c r="H137" s="4"/>
      <c r="I137" s="4"/>
      <c r="J137" s="4"/>
      <c r="K137" s="4"/>
      <c r="L137" s="4"/>
      <c r="M137" s="4"/>
    </row>
    <row r="138" spans="2:13">
      <c r="B138" s="4"/>
      <c r="C138" s="4"/>
      <c r="D138" s="4"/>
      <c r="E138" s="4"/>
      <c r="F138" s="4"/>
      <c r="G138" s="4"/>
      <c r="H138" s="4"/>
      <c r="I138" s="4"/>
      <c r="J138" s="4"/>
      <c r="K138" s="4"/>
      <c r="L138" s="4"/>
      <c r="M138" s="4"/>
    </row>
    <row r="139" spans="2:13">
      <c r="B139" s="4"/>
      <c r="C139" s="4"/>
      <c r="D139" s="4"/>
      <c r="E139" s="4"/>
      <c r="F139" s="4"/>
      <c r="G139" s="4"/>
      <c r="H139" s="4"/>
      <c r="I139" s="4"/>
      <c r="J139" s="4"/>
      <c r="K139" s="4"/>
      <c r="L139" s="4"/>
      <c r="M139" s="4"/>
    </row>
    <row r="140" spans="2:13">
      <c r="B140" s="4"/>
      <c r="C140" s="4"/>
      <c r="D140" s="4"/>
      <c r="E140" s="4"/>
      <c r="F140" s="4"/>
      <c r="G140" s="4"/>
      <c r="H140" s="4"/>
      <c r="I140" s="4"/>
      <c r="J140" s="4"/>
      <c r="K140" s="4"/>
      <c r="L140" s="4"/>
      <c r="M140" s="4"/>
    </row>
    <row r="141" spans="2:13">
      <c r="B141" s="4"/>
      <c r="C141" s="4"/>
      <c r="D141" s="4"/>
      <c r="E141" s="4"/>
      <c r="F141" s="4"/>
      <c r="G141" s="4"/>
      <c r="H141" s="4"/>
      <c r="I141" s="4"/>
      <c r="J141" s="4"/>
      <c r="K141" s="4"/>
      <c r="L141" s="4"/>
      <c r="M141" s="4"/>
    </row>
    <row r="142" spans="2:13">
      <c r="B142" s="4"/>
      <c r="C142" s="4"/>
      <c r="D142" s="4"/>
      <c r="E142" s="4"/>
      <c r="F142" s="4"/>
      <c r="G142" s="4"/>
      <c r="H142" s="4"/>
      <c r="I142" s="4"/>
      <c r="J142" s="4"/>
      <c r="K142" s="4"/>
      <c r="L142" s="4"/>
      <c r="M142" s="4"/>
    </row>
    <row r="143" spans="2:13">
      <c r="B143" s="4"/>
      <c r="C143" s="4"/>
      <c r="D143" s="4"/>
      <c r="E143" s="4"/>
      <c r="F143" s="4"/>
      <c r="G143" s="4"/>
      <c r="H143" s="4"/>
      <c r="I143" s="4"/>
      <c r="J143" s="4"/>
      <c r="K143" s="4"/>
      <c r="L143" s="4"/>
      <c r="M143" s="4"/>
    </row>
    <row r="144" spans="2:13">
      <c r="B144" s="4"/>
      <c r="C144" s="4"/>
      <c r="D144" s="4"/>
      <c r="E144" s="4"/>
      <c r="F144" s="4"/>
      <c r="G144" s="4"/>
      <c r="H144" s="4"/>
      <c r="I144" s="4"/>
      <c r="J144" s="4"/>
      <c r="K144" s="4"/>
      <c r="L144" s="4"/>
      <c r="M144" s="4"/>
    </row>
    <row r="145" spans="2:13">
      <c r="B145" s="4"/>
      <c r="C145" s="4"/>
      <c r="D145" s="4"/>
      <c r="E145" s="4"/>
      <c r="F145" s="4"/>
      <c r="G145" s="4"/>
      <c r="H145" s="4"/>
      <c r="I145" s="4"/>
      <c r="J145" s="4"/>
      <c r="K145" s="4"/>
      <c r="L145" s="4"/>
      <c r="M145" s="4"/>
    </row>
    <row r="146" spans="2:13">
      <c r="B146" s="4"/>
      <c r="C146" s="4"/>
      <c r="D146" s="4"/>
      <c r="E146" s="4"/>
      <c r="F146" s="4"/>
      <c r="G146" s="4"/>
      <c r="H146" s="4"/>
      <c r="I146" s="4"/>
      <c r="J146" s="4"/>
      <c r="K146" s="4"/>
      <c r="L146" s="4"/>
      <c r="M146" s="4"/>
    </row>
    <row r="147" spans="2:13">
      <c r="B147" s="4"/>
      <c r="C147" s="4"/>
      <c r="D147" s="4"/>
      <c r="E147" s="4"/>
      <c r="F147" s="4"/>
      <c r="G147" s="4"/>
      <c r="H147" s="4"/>
      <c r="I147" s="4"/>
      <c r="J147" s="4"/>
      <c r="K147" s="4"/>
      <c r="L147" s="4"/>
      <c r="M147" s="4"/>
    </row>
    <row r="148" spans="2:13">
      <c r="B148" s="4"/>
      <c r="C148" s="4"/>
      <c r="D148" s="4"/>
      <c r="E148" s="4"/>
      <c r="F148" s="4"/>
      <c r="G148" s="4"/>
      <c r="H148" s="4"/>
      <c r="I148" s="4"/>
      <c r="J148" s="4"/>
      <c r="K148" s="4"/>
      <c r="L148" s="4"/>
      <c r="M148" s="4"/>
    </row>
    <row r="149" spans="2:13">
      <c r="B149" s="4"/>
      <c r="C149" s="4"/>
      <c r="D149" s="4"/>
      <c r="E149" s="4"/>
      <c r="F149" s="4"/>
      <c r="G149" s="4"/>
      <c r="H149" s="4"/>
      <c r="I149" s="4"/>
      <c r="J149" s="4"/>
      <c r="K149" s="4"/>
      <c r="L149" s="4"/>
      <c r="M149" s="4"/>
    </row>
    <row r="150" spans="2:13">
      <c r="B150" s="4"/>
      <c r="C150" s="4"/>
      <c r="D150" s="4"/>
      <c r="E150" s="4"/>
      <c r="F150" s="4"/>
      <c r="G150" s="4"/>
      <c r="H150" s="4"/>
      <c r="I150" s="4"/>
      <c r="J150" s="4"/>
      <c r="K150" s="4"/>
      <c r="L150" s="4"/>
      <c r="M150" s="4"/>
    </row>
    <row r="151" spans="2:13">
      <c r="B151" s="4"/>
      <c r="C151" s="4"/>
      <c r="D151" s="4"/>
      <c r="E151" s="4"/>
      <c r="F151" s="4"/>
      <c r="G151" s="4"/>
      <c r="H151" s="4"/>
      <c r="I151" s="4"/>
      <c r="J151" s="4"/>
      <c r="K151" s="4"/>
      <c r="L151" s="4"/>
      <c r="M151" s="4"/>
    </row>
    <row r="152" spans="2:13">
      <c r="B152" s="4"/>
      <c r="C152" s="4"/>
      <c r="D152" s="4"/>
      <c r="E152" s="4"/>
      <c r="F152" s="4"/>
      <c r="G152" s="4"/>
      <c r="H152" s="4"/>
      <c r="I152" s="4"/>
      <c r="J152" s="4"/>
      <c r="K152" s="4"/>
      <c r="L152" s="4"/>
      <c r="M152" s="4"/>
    </row>
    <row r="153" spans="2:13">
      <c r="B153" s="4"/>
      <c r="C153" s="4"/>
      <c r="D153" s="4"/>
      <c r="E153" s="4"/>
      <c r="F153" s="4"/>
      <c r="G153" s="4"/>
      <c r="H153" s="4"/>
      <c r="I153" s="4"/>
      <c r="J153" s="4"/>
      <c r="K153" s="4"/>
      <c r="L153" s="4"/>
      <c r="M153" s="4"/>
    </row>
    <row r="154" spans="2:13">
      <c r="B154" s="4"/>
      <c r="C154" s="4"/>
      <c r="D154" s="4"/>
      <c r="E154" s="4"/>
      <c r="F154" s="4"/>
      <c r="G154" s="4"/>
      <c r="H154" s="4"/>
      <c r="I154" s="4"/>
      <c r="J154" s="4"/>
      <c r="K154" s="4"/>
      <c r="L154" s="4"/>
      <c r="M154" s="4"/>
    </row>
    <row r="155" spans="2:13">
      <c r="B155" s="4"/>
      <c r="C155" s="4"/>
      <c r="D155" s="4"/>
      <c r="E155" s="4"/>
      <c r="F155" s="4"/>
      <c r="G155" s="4"/>
      <c r="H155" s="4"/>
      <c r="I155" s="4"/>
      <c r="J155" s="4"/>
      <c r="K155" s="4"/>
      <c r="L155" s="4"/>
      <c r="M155" s="4"/>
    </row>
    <row r="156" spans="2:13">
      <c r="B156" s="4"/>
      <c r="C156" s="4"/>
      <c r="D156" s="4"/>
      <c r="E156" s="4"/>
      <c r="F156" s="4"/>
      <c r="G156" s="4"/>
      <c r="H156" s="4"/>
      <c r="I156" s="4"/>
      <c r="J156" s="4"/>
      <c r="K156" s="4"/>
      <c r="L156" s="4"/>
      <c r="M156" s="4"/>
    </row>
    <row r="157" spans="2:13">
      <c r="B157" s="4"/>
      <c r="C157" s="4"/>
      <c r="D157" s="4"/>
      <c r="E157" s="4"/>
      <c r="F157" s="4"/>
      <c r="G157" s="4"/>
      <c r="H157" s="4"/>
      <c r="I157" s="4"/>
      <c r="J157" s="4"/>
      <c r="K157" s="4"/>
      <c r="L157" s="4"/>
      <c r="M157" s="4"/>
    </row>
    <row r="158" spans="2:13">
      <c r="B158" s="4"/>
      <c r="C158" s="4"/>
      <c r="D158" s="4"/>
      <c r="E158" s="4"/>
      <c r="F158" s="4"/>
      <c r="G158" s="4"/>
      <c r="H158" s="4"/>
      <c r="I158" s="4"/>
      <c r="J158" s="4"/>
      <c r="K158" s="4"/>
      <c r="L158" s="4"/>
      <c r="M158" s="4"/>
    </row>
    <row r="159" spans="2:13">
      <c r="B159" s="4"/>
      <c r="C159" s="4"/>
      <c r="D159" s="4"/>
      <c r="E159" s="4"/>
      <c r="F159" s="4"/>
      <c r="G159" s="4"/>
      <c r="H159" s="4"/>
      <c r="I159" s="4"/>
      <c r="J159" s="4"/>
      <c r="K159" s="4"/>
      <c r="L159" s="4"/>
      <c r="M159" s="4"/>
    </row>
    <row r="160" spans="2:13">
      <c r="B160" s="4"/>
      <c r="C160" s="4"/>
      <c r="D160" s="4"/>
      <c r="E160" s="4"/>
      <c r="F160" s="4"/>
      <c r="G160" s="4"/>
      <c r="H160" s="4"/>
      <c r="I160" s="4"/>
      <c r="J160" s="4"/>
      <c r="K160" s="4"/>
      <c r="L160" s="4"/>
      <c r="M160" s="4"/>
    </row>
    <row r="161" spans="2:13">
      <c r="B161" s="4"/>
      <c r="C161" s="4"/>
      <c r="D161" s="4"/>
      <c r="E161" s="4"/>
      <c r="F161" s="4"/>
      <c r="G161" s="4"/>
      <c r="H161" s="4"/>
      <c r="I161" s="4"/>
      <c r="J161" s="4"/>
      <c r="K161" s="4"/>
      <c r="L161" s="4"/>
      <c r="M161" s="4"/>
    </row>
    <row r="162" spans="2:13">
      <c r="B162" s="4"/>
      <c r="C162" s="4"/>
      <c r="D162" s="4"/>
      <c r="E162" s="4"/>
      <c r="F162" s="4"/>
      <c r="G162" s="4"/>
      <c r="H162" s="4"/>
      <c r="I162" s="4"/>
      <c r="J162" s="4"/>
      <c r="K162" s="4"/>
      <c r="L162" s="4"/>
      <c r="M162" s="4"/>
    </row>
    <row r="163" spans="2:13">
      <c r="B163" s="4"/>
      <c r="C163" s="4"/>
      <c r="D163" s="4"/>
      <c r="E163" s="4"/>
      <c r="F163" s="4"/>
      <c r="G163" s="4"/>
      <c r="H163" s="4"/>
      <c r="I163" s="4"/>
      <c r="J163" s="4"/>
      <c r="K163" s="4"/>
      <c r="L163" s="4"/>
      <c r="M163" s="4"/>
    </row>
    <row r="164" spans="2:13">
      <c r="B164" s="4"/>
      <c r="C164" s="4"/>
      <c r="D164" s="4"/>
      <c r="E164" s="4"/>
      <c r="F164" s="4"/>
      <c r="G164" s="4"/>
      <c r="H164" s="4"/>
      <c r="I164" s="4"/>
      <c r="J164" s="4"/>
      <c r="K164" s="4"/>
      <c r="L164" s="4"/>
      <c r="M164" s="4"/>
    </row>
    <row r="165" spans="2:13">
      <c r="B165" s="4"/>
      <c r="C165" s="4"/>
      <c r="D165" s="4"/>
      <c r="E165" s="4"/>
      <c r="F165" s="4"/>
      <c r="G165" s="4"/>
      <c r="H165" s="4"/>
      <c r="I165" s="4"/>
      <c r="J165" s="4"/>
      <c r="K165" s="4"/>
      <c r="L165" s="4"/>
      <c r="M165" s="4"/>
    </row>
    <row r="166" spans="2:13">
      <c r="B166" s="4"/>
      <c r="C166" s="4"/>
      <c r="D166" s="4"/>
      <c r="E166" s="4"/>
      <c r="F166" s="4"/>
      <c r="G166" s="4"/>
      <c r="H166" s="4"/>
      <c r="I166" s="4"/>
      <c r="J166" s="4"/>
      <c r="K166" s="4"/>
      <c r="L166" s="4"/>
      <c r="M166" s="4"/>
    </row>
    <row r="167" spans="2:13">
      <c r="B167" s="4"/>
      <c r="C167" s="4"/>
      <c r="D167" s="4"/>
      <c r="E167" s="4"/>
      <c r="F167" s="4"/>
      <c r="G167" s="4"/>
      <c r="H167" s="4"/>
      <c r="I167" s="4"/>
      <c r="J167" s="4"/>
      <c r="K167" s="4"/>
      <c r="L167" s="4"/>
      <c r="M167" s="4"/>
    </row>
    <row r="168" spans="2:13">
      <c r="B168" s="4"/>
      <c r="C168" s="4"/>
      <c r="D168" s="4"/>
      <c r="E168" s="4"/>
      <c r="F168" s="4"/>
      <c r="G168" s="4"/>
      <c r="H168" s="4"/>
      <c r="I168" s="4"/>
      <c r="J168" s="4"/>
      <c r="K168" s="4"/>
      <c r="L168" s="4"/>
      <c r="M168" s="4"/>
    </row>
    <row r="169" spans="2:13">
      <c r="B169" s="4"/>
      <c r="C169" s="4"/>
      <c r="D169" s="4"/>
      <c r="E169" s="4"/>
      <c r="F169" s="4"/>
      <c r="G169" s="4"/>
      <c r="H169" s="4"/>
      <c r="I169" s="4"/>
      <c r="J169" s="4"/>
      <c r="K169" s="4"/>
      <c r="L169" s="4"/>
      <c r="M169" s="4"/>
    </row>
    <row r="170" spans="2:13">
      <c r="B170" s="4"/>
      <c r="C170" s="4"/>
      <c r="D170" s="4"/>
      <c r="E170" s="4"/>
      <c r="F170" s="4"/>
      <c r="G170" s="4"/>
      <c r="H170" s="4"/>
      <c r="I170" s="4"/>
      <c r="J170" s="4"/>
      <c r="K170" s="4"/>
      <c r="L170" s="4"/>
      <c r="M170" s="4"/>
    </row>
    <row r="171" spans="2:13">
      <c r="B171" s="4"/>
      <c r="C171" s="4"/>
      <c r="D171" s="4"/>
      <c r="E171" s="4"/>
      <c r="F171" s="4"/>
      <c r="G171" s="4"/>
      <c r="H171" s="4"/>
      <c r="I171" s="4"/>
      <c r="J171" s="4"/>
      <c r="K171" s="4"/>
      <c r="L171" s="4"/>
      <c r="M171" s="4"/>
    </row>
    <row r="172" spans="2:13">
      <c r="B172" s="4"/>
      <c r="C172" s="4"/>
      <c r="D172" s="4"/>
      <c r="E172" s="4"/>
      <c r="F172" s="4"/>
      <c r="G172" s="4"/>
      <c r="H172" s="4"/>
      <c r="I172" s="4"/>
      <c r="J172" s="4"/>
      <c r="K172" s="4"/>
      <c r="L172" s="4"/>
      <c r="M172" s="4"/>
    </row>
    <row r="173" spans="2:13">
      <c r="B173" s="4"/>
      <c r="C173" s="4"/>
      <c r="D173" s="4"/>
      <c r="E173" s="4"/>
      <c r="F173" s="4"/>
      <c r="G173" s="4"/>
      <c r="H173" s="4"/>
      <c r="I173" s="4"/>
      <c r="J173" s="4"/>
      <c r="K173" s="4"/>
      <c r="L173" s="4"/>
      <c r="M173" s="4"/>
    </row>
    <row r="174" spans="2:13">
      <c r="B174" s="4"/>
      <c r="C174" s="4"/>
      <c r="D174" s="4"/>
      <c r="E174" s="4"/>
      <c r="F174" s="4"/>
      <c r="G174" s="4"/>
      <c r="H174" s="4"/>
      <c r="I174" s="4"/>
      <c r="J174" s="4"/>
      <c r="K174" s="4"/>
      <c r="L174" s="4"/>
      <c r="M174" s="4"/>
    </row>
    <row r="175" spans="2:13">
      <c r="B175" s="4"/>
      <c r="C175" s="4"/>
      <c r="D175" s="4"/>
      <c r="E175" s="4"/>
      <c r="F175" s="4"/>
      <c r="G175" s="4"/>
      <c r="H175" s="4"/>
      <c r="I175" s="4"/>
      <c r="J175" s="4"/>
      <c r="K175" s="4"/>
      <c r="L175" s="4"/>
      <c r="M175" s="4"/>
    </row>
    <row r="176" spans="2:13">
      <c r="B176" s="4"/>
      <c r="C176" s="4"/>
      <c r="D176" s="4"/>
      <c r="E176" s="4"/>
      <c r="F176" s="4"/>
      <c r="G176" s="4"/>
      <c r="H176" s="4"/>
      <c r="I176" s="4"/>
      <c r="J176" s="4"/>
      <c r="K176" s="4"/>
      <c r="L176" s="4"/>
      <c r="M176" s="4"/>
    </row>
    <row r="177" spans="2:13">
      <c r="B177" s="4"/>
      <c r="C177" s="4"/>
      <c r="D177" s="4"/>
      <c r="E177" s="4"/>
      <c r="F177" s="4"/>
      <c r="G177" s="4"/>
      <c r="H177" s="4"/>
      <c r="I177" s="4"/>
      <c r="J177" s="4"/>
      <c r="K177" s="4"/>
      <c r="L177" s="4"/>
      <c r="M177" s="4"/>
    </row>
    <row r="178" spans="2:13">
      <c r="B178" s="4"/>
      <c r="C178" s="4"/>
      <c r="D178" s="4"/>
      <c r="E178" s="4"/>
      <c r="F178" s="4"/>
      <c r="G178" s="4"/>
      <c r="H178" s="4"/>
      <c r="I178" s="4"/>
      <c r="J178" s="4"/>
      <c r="K178" s="4"/>
      <c r="L178" s="4"/>
      <c r="M178" s="4"/>
    </row>
    <row r="179" spans="2:13">
      <c r="B179" s="4"/>
      <c r="C179" s="4"/>
      <c r="D179" s="4"/>
      <c r="E179" s="4"/>
      <c r="F179" s="4"/>
      <c r="G179" s="4"/>
      <c r="H179" s="4"/>
      <c r="I179" s="4"/>
      <c r="J179" s="4"/>
      <c r="K179" s="4"/>
      <c r="L179" s="4"/>
      <c r="M179" s="4"/>
    </row>
    <row r="180" spans="2:13">
      <c r="B180" s="4"/>
      <c r="C180" s="4"/>
      <c r="D180" s="4"/>
      <c r="E180" s="4"/>
      <c r="F180" s="4"/>
      <c r="G180" s="4"/>
      <c r="H180" s="4"/>
      <c r="I180" s="4"/>
      <c r="J180" s="4"/>
      <c r="K180" s="4"/>
      <c r="L180" s="4"/>
      <c r="M180" s="4"/>
    </row>
    <row r="181" spans="2:13">
      <c r="B181" s="4"/>
      <c r="C181" s="4"/>
      <c r="D181" s="4"/>
      <c r="E181" s="4"/>
      <c r="F181" s="4"/>
      <c r="G181" s="4"/>
      <c r="H181" s="4"/>
      <c r="I181" s="4"/>
      <c r="J181" s="4"/>
      <c r="K181" s="4"/>
      <c r="L181" s="4"/>
      <c r="M181" s="4"/>
    </row>
    <row r="182" spans="2:13">
      <c r="B182" s="4"/>
      <c r="C182" s="4"/>
      <c r="D182" s="4"/>
      <c r="E182" s="4"/>
      <c r="F182" s="4"/>
      <c r="G182" s="4"/>
      <c r="H182" s="4"/>
      <c r="I182" s="4"/>
      <c r="J182" s="4"/>
      <c r="K182" s="4"/>
      <c r="L182" s="4"/>
      <c r="M182" s="4"/>
    </row>
    <row r="183" spans="2:13">
      <c r="B183" s="4"/>
      <c r="C183" s="4"/>
      <c r="D183" s="4"/>
      <c r="E183" s="4"/>
      <c r="F183" s="4"/>
      <c r="G183" s="4"/>
      <c r="H183" s="4"/>
      <c r="I183" s="4"/>
      <c r="J183" s="4"/>
      <c r="K183" s="4"/>
      <c r="L183" s="4"/>
      <c r="M183" s="4"/>
    </row>
    <row r="184" spans="2:13">
      <c r="B184" s="4"/>
      <c r="C184" s="4"/>
      <c r="D184" s="4"/>
      <c r="E184" s="4"/>
      <c r="F184" s="4"/>
      <c r="G184" s="4"/>
      <c r="H184" s="4"/>
      <c r="I184" s="4"/>
      <c r="J184" s="4"/>
      <c r="K184" s="4"/>
      <c r="L184" s="4"/>
      <c r="M184" s="4"/>
    </row>
    <row r="185" spans="2:13">
      <c r="B185" s="4"/>
      <c r="C185" s="4"/>
      <c r="D185" s="4"/>
      <c r="E185" s="4"/>
      <c r="F185" s="4"/>
      <c r="G185" s="4"/>
      <c r="H185" s="4"/>
      <c r="I185" s="4"/>
      <c r="J185" s="4"/>
      <c r="K185" s="4"/>
      <c r="L185" s="4"/>
      <c r="M185" s="4"/>
    </row>
    <row r="186" spans="2:13">
      <c r="B186" s="4"/>
      <c r="C186" s="4"/>
      <c r="D186" s="4"/>
      <c r="E186" s="4"/>
      <c r="F186" s="4"/>
      <c r="G186" s="4"/>
      <c r="H186" s="4"/>
      <c r="I186" s="4"/>
      <c r="J186" s="4"/>
      <c r="K186" s="4"/>
      <c r="L186" s="4"/>
      <c r="M186" s="4"/>
    </row>
    <row r="187" spans="2:13">
      <c r="B187" s="4"/>
      <c r="C187" s="4"/>
      <c r="D187" s="4"/>
      <c r="E187" s="4"/>
      <c r="F187" s="4"/>
      <c r="G187" s="4"/>
      <c r="H187" s="4"/>
      <c r="I187" s="4"/>
      <c r="J187" s="4"/>
      <c r="K187" s="4"/>
      <c r="L187" s="4"/>
      <c r="M187" s="4"/>
    </row>
    <row r="188" spans="2:13">
      <c r="B188" s="4"/>
      <c r="C188" s="4"/>
      <c r="D188" s="4"/>
      <c r="E188" s="4"/>
      <c r="F188" s="4"/>
      <c r="G188" s="4"/>
      <c r="H188" s="4"/>
      <c r="I188" s="4"/>
      <c r="J188" s="4"/>
      <c r="K188" s="4"/>
      <c r="L188" s="4"/>
      <c r="M188" s="4"/>
    </row>
    <row r="189" spans="2:13">
      <c r="B189" s="4"/>
      <c r="C189" s="4"/>
      <c r="D189" s="4"/>
      <c r="E189" s="4"/>
      <c r="F189" s="4"/>
      <c r="G189" s="4"/>
      <c r="H189" s="4"/>
      <c r="I189" s="4"/>
      <c r="J189" s="4"/>
      <c r="K189" s="4"/>
      <c r="L189" s="4"/>
      <c r="M189" s="4"/>
    </row>
    <row r="190" spans="2:13">
      <c r="B190" s="4"/>
      <c r="C190" s="4"/>
      <c r="D190" s="4"/>
      <c r="E190" s="4"/>
      <c r="F190" s="4"/>
      <c r="G190" s="4"/>
      <c r="H190" s="4"/>
      <c r="I190" s="4"/>
      <c r="J190" s="4"/>
      <c r="K190" s="4"/>
      <c r="L190" s="4"/>
      <c r="M190" s="4"/>
    </row>
    <row r="191" spans="2:13">
      <c r="B191" s="4"/>
      <c r="C191" s="4"/>
      <c r="D191" s="4"/>
      <c r="E191" s="4"/>
      <c r="F191" s="4"/>
      <c r="G191" s="4"/>
      <c r="H191" s="4"/>
      <c r="I191" s="4"/>
      <c r="J191" s="4"/>
      <c r="K191" s="4"/>
      <c r="L191" s="4"/>
      <c r="M191" s="4"/>
    </row>
    <row r="192" spans="2:13">
      <c r="B192" s="4"/>
      <c r="C192" s="4"/>
      <c r="D192" s="4"/>
      <c r="E192" s="4"/>
      <c r="F192" s="4"/>
      <c r="G192" s="4"/>
      <c r="H192" s="4"/>
      <c r="I192" s="4"/>
      <c r="J192" s="4"/>
      <c r="K192" s="4"/>
      <c r="L192" s="4"/>
      <c r="M192" s="4"/>
    </row>
    <row r="193" spans="2:13">
      <c r="B193" s="4"/>
      <c r="C193" s="4"/>
      <c r="D193" s="4"/>
      <c r="E193" s="4"/>
      <c r="F193" s="4"/>
      <c r="G193" s="4"/>
      <c r="H193" s="4"/>
      <c r="I193" s="4"/>
      <c r="J193" s="4"/>
      <c r="K193" s="4"/>
      <c r="L193" s="4"/>
      <c r="M193" s="4"/>
    </row>
  </sheetData>
  <mergeCells count="3">
    <mergeCell ref="A1:M1"/>
    <mergeCell ref="A2:M2"/>
    <mergeCell ref="A3:M3"/>
  </mergeCells>
  <pageMargins left="0.75" right="0.75" top="1" bottom="1" header="0.5" footer="0.5"/>
  <pageSetup scale="78" fitToHeight="2" orientation="landscape" r:id="rId1"/>
  <headerFooter alignWithMargins="0">
    <oddFooter>&amp;L&amp;Z
&amp;F&amp;C&amp;A&amp;R6.&amp;P</oddFooter>
  </headerFooter>
  <rowBreaks count="1" manualBreakCount="1">
    <brk id="42" max="12" man="1"/>
  </rowBreaks>
</worksheet>
</file>

<file path=xl/worksheets/sheet59.xml><?xml version="1.0" encoding="utf-8"?>
<worksheet xmlns="http://schemas.openxmlformats.org/spreadsheetml/2006/main" xmlns:r="http://schemas.openxmlformats.org/officeDocument/2006/relationships">
  <sheetPr codeName="Sheet96">
    <pageSetUpPr fitToPage="1"/>
  </sheetPr>
  <dimension ref="A1:P160"/>
  <sheetViews>
    <sheetView zoomScale="90" zoomScaleNormal="90" workbookViewId="0">
      <pane xSplit="1" ySplit="10" topLeftCell="B11" activePane="bottomRight" state="frozen"/>
      <selection sqref="A1:P1"/>
      <selection pane="topRight" sqref="A1:P1"/>
      <selection pane="bottomLeft" sqref="A1:P1"/>
      <selection pane="bottomRight" sqref="A1:P1"/>
    </sheetView>
  </sheetViews>
  <sheetFormatPr defaultRowHeight="12.75"/>
  <cols>
    <col min="1" max="1" width="40.5703125" bestFit="1" customWidth="1"/>
    <col min="2" max="2" width="17.7109375" customWidth="1"/>
    <col min="3" max="3" width="1.7109375" customWidth="1"/>
    <col min="4" max="4" width="17.7109375" customWidth="1"/>
    <col min="5" max="5" width="1.7109375" customWidth="1"/>
    <col min="6" max="6" width="17.7109375" customWidth="1"/>
    <col min="7" max="7" width="1.7109375" customWidth="1"/>
    <col min="8" max="8" width="17.7109375" customWidth="1"/>
    <col min="9" max="9" width="1.7109375" customWidth="1"/>
    <col min="10" max="10" width="17.7109375" customWidth="1"/>
    <col min="11" max="11" width="1.7109375" customWidth="1"/>
    <col min="12" max="12" width="17.7109375" customWidth="1"/>
    <col min="13" max="13" width="2.140625" customWidth="1"/>
    <col min="14" max="14" width="16.7109375" customWidth="1"/>
    <col min="15" max="15" width="2.28515625" customWidth="1"/>
    <col min="16" max="16" width="23.140625" bestFit="1" customWidth="1"/>
  </cols>
  <sheetData>
    <row r="1" spans="1:16" s="38" customFormat="1" ht="15.75">
      <c r="A1" s="366" t="s">
        <v>134</v>
      </c>
      <c r="B1" s="366"/>
      <c r="C1" s="366"/>
      <c r="D1" s="366"/>
      <c r="E1" s="366"/>
      <c r="F1" s="366"/>
      <c r="G1" s="366"/>
      <c r="H1" s="366"/>
      <c r="I1" s="366"/>
      <c r="J1" s="366"/>
      <c r="K1" s="366"/>
      <c r="L1" s="366"/>
      <c r="M1" s="366"/>
      <c r="N1" s="366"/>
      <c r="O1" s="366"/>
      <c r="P1" s="366"/>
    </row>
    <row r="2" spans="1:16" s="38" customFormat="1" ht="15.75">
      <c r="A2" s="366" t="s">
        <v>1185</v>
      </c>
      <c r="B2" s="366"/>
      <c r="C2" s="366"/>
      <c r="D2" s="366"/>
      <c r="E2" s="366"/>
      <c r="F2" s="366"/>
      <c r="G2" s="366"/>
      <c r="H2" s="366"/>
      <c r="I2" s="366"/>
      <c r="J2" s="366"/>
      <c r="K2" s="366"/>
      <c r="L2" s="366"/>
      <c r="M2" s="366"/>
      <c r="N2" s="366"/>
      <c r="O2" s="366"/>
      <c r="P2" s="366"/>
    </row>
    <row r="3" spans="1:16">
      <c r="A3" s="357" t="str">
        <f>'Summary - Cost - PG 1 (Tot)'!A3:N3</f>
        <v>MARCH 2012</v>
      </c>
      <c r="B3" s="357"/>
      <c r="C3" s="357"/>
      <c r="D3" s="357"/>
      <c r="E3" s="357"/>
      <c r="F3" s="357"/>
      <c r="G3" s="357"/>
      <c r="H3" s="357"/>
      <c r="I3" s="357"/>
      <c r="J3" s="357"/>
      <c r="K3" s="357"/>
      <c r="L3" s="357"/>
      <c r="M3" s="357"/>
      <c r="N3" s="357"/>
      <c r="O3" s="357"/>
      <c r="P3" s="357"/>
    </row>
    <row r="4" spans="1:16">
      <c r="A4" s="190"/>
      <c r="B4" s="190"/>
      <c r="C4" s="190"/>
      <c r="D4" s="190"/>
      <c r="E4" s="190"/>
      <c r="F4" s="190"/>
      <c r="G4" s="190"/>
      <c r="H4" s="190"/>
      <c r="I4" s="190"/>
      <c r="J4" s="190"/>
      <c r="K4" s="190"/>
      <c r="L4" s="190"/>
    </row>
    <row r="6" spans="1:16">
      <c r="B6" s="41" t="s">
        <v>25</v>
      </c>
      <c r="D6" s="182"/>
      <c r="F6" s="182"/>
      <c r="H6" s="41" t="s">
        <v>612</v>
      </c>
      <c r="J6" s="182"/>
      <c r="L6" s="41" t="s">
        <v>26</v>
      </c>
      <c r="P6" s="29" t="s">
        <v>422</v>
      </c>
    </row>
    <row r="7" spans="1:16" s="10" customFormat="1">
      <c r="B7" s="42" t="s">
        <v>27</v>
      </c>
      <c r="C7"/>
      <c r="D7" s="42" t="s">
        <v>107</v>
      </c>
      <c r="E7"/>
      <c r="F7" s="42" t="s">
        <v>108</v>
      </c>
      <c r="G7"/>
      <c r="H7" s="42" t="s">
        <v>613</v>
      </c>
      <c r="I7"/>
      <c r="J7" s="42" t="s">
        <v>109</v>
      </c>
      <c r="K7"/>
      <c r="L7" s="42" t="s">
        <v>27</v>
      </c>
      <c r="N7" s="42" t="s">
        <v>46</v>
      </c>
      <c r="P7" s="42" t="s">
        <v>419</v>
      </c>
    </row>
    <row r="8" spans="1:16" s="10" customFormat="1">
      <c r="A8" s="12" t="s">
        <v>296</v>
      </c>
      <c r="B8" s="54"/>
      <c r="C8"/>
      <c r="D8" s="54"/>
      <c r="E8"/>
      <c r="F8" s="54"/>
      <c r="G8"/>
      <c r="H8" s="54"/>
      <c r="I8"/>
      <c r="J8" s="54"/>
      <c r="K8"/>
      <c r="L8" s="54"/>
    </row>
    <row r="9" spans="1:16" s="10" customFormat="1">
      <c r="A9" s="12" t="s">
        <v>420</v>
      </c>
      <c r="B9"/>
      <c r="C9"/>
      <c r="D9"/>
      <c r="E9"/>
      <c r="F9"/>
      <c r="G9"/>
      <c r="H9"/>
      <c r="I9"/>
      <c r="J9"/>
      <c r="K9"/>
      <c r="L9"/>
    </row>
    <row r="10" spans="1:16" s="10" customFormat="1">
      <c r="A10" s="12" t="s">
        <v>807</v>
      </c>
      <c r="B10"/>
      <c r="C10"/>
      <c r="D10"/>
      <c r="E10"/>
      <c r="F10"/>
      <c r="G10"/>
      <c r="H10"/>
      <c r="I10"/>
      <c r="J10"/>
      <c r="K10"/>
      <c r="L10"/>
    </row>
    <row r="11" spans="1:16">
      <c r="A11" t="s">
        <v>19</v>
      </c>
      <c r="B11" s="182">
        <f>'KY_Cost Plant Acct-Com-P8(Tot)'!B11</f>
        <v>1685316.06</v>
      </c>
      <c r="C11" s="182"/>
      <c r="D11" s="182">
        <f>'KY_Cost Plant Acct-Com-P8(Tot)'!D11</f>
        <v>0</v>
      </c>
      <c r="E11" s="182"/>
      <c r="F11" s="182">
        <f>'KY_Cost Plant Acct-Com-P8(Tot)'!F11</f>
        <v>0</v>
      </c>
      <c r="G11" s="182"/>
      <c r="H11" s="182">
        <f>'KY_Cost Plant Acct-Com-P8(Tot)'!H11</f>
        <v>0</v>
      </c>
      <c r="I11" s="182"/>
      <c r="J11" s="182">
        <f t="shared" ref="J11:J39" si="0">H11+F11+D11</f>
        <v>0</v>
      </c>
      <c r="K11" s="182"/>
      <c r="L11" s="182">
        <f t="shared" ref="L11:L39" si="1">J11+B11</f>
        <v>1685316.06</v>
      </c>
      <c r="M11" s="4"/>
      <c r="N11" s="89">
        <f>'KY_Res by Plant Acct-P29 (Tot)'!R405</f>
        <v>0</v>
      </c>
      <c r="P11" s="89">
        <f>L11+N11</f>
        <v>1685316.06</v>
      </c>
    </row>
    <row r="12" spans="1:16">
      <c r="A12" t="s">
        <v>20</v>
      </c>
      <c r="B12" s="182">
        <f>'KY_Cost Plant Acct-Com-P8(Tot)'!B12</f>
        <v>74183.680000000008</v>
      </c>
      <c r="C12" s="182"/>
      <c r="D12" s="182">
        <f>'KY_Cost Plant Acct-Com-P8(Tot)'!D12</f>
        <v>0</v>
      </c>
      <c r="E12" s="182"/>
      <c r="F12" s="182">
        <f>'KY_Cost Plant Acct-Com-P8(Tot)'!F12</f>
        <v>0</v>
      </c>
      <c r="G12" s="182"/>
      <c r="H12" s="182">
        <f>'KY_Cost Plant Acct-Com-P8(Tot)'!H12</f>
        <v>0</v>
      </c>
      <c r="I12" s="182"/>
      <c r="J12" s="182">
        <f t="shared" si="0"/>
        <v>0</v>
      </c>
      <c r="K12" s="182"/>
      <c r="L12" s="182">
        <f t="shared" si="1"/>
        <v>74183.680000000008</v>
      </c>
      <c r="M12" s="4"/>
      <c r="N12" s="89">
        <f>'KY_Res by Plant Acct-P29 (Tot)'!R406</f>
        <v>-8445.9399999999951</v>
      </c>
      <c r="P12" s="89">
        <f t="shared" ref="P12:P39" si="2">L12+N12</f>
        <v>65737.74000000002</v>
      </c>
    </row>
    <row r="13" spans="1:16">
      <c r="A13" t="s">
        <v>266</v>
      </c>
      <c r="B13" s="182">
        <f>'KY_Cost Plant Acct-Com-P8(Tot)'!B13+'KY_Cost Plant Acct-Com-P8(Tot)'!B48</f>
        <v>44198440.730000012</v>
      </c>
      <c r="C13" s="182"/>
      <c r="D13" s="182">
        <f>'KY_Cost Plant Acct-Com-P8(Tot)'!D13+'KY_Cost Plant Acct-Com-P8(Tot)'!D48</f>
        <v>324894.92</v>
      </c>
      <c r="E13" s="182"/>
      <c r="F13" s="182">
        <f>'KY_Cost Plant Acct-Com-P8(Tot)'!F13</f>
        <v>-48802.84</v>
      </c>
      <c r="G13" s="182"/>
      <c r="H13" s="182">
        <f>'KY_Cost Plant Acct-Com-P8(Tot)'!H13</f>
        <v>0</v>
      </c>
      <c r="I13" s="182"/>
      <c r="J13" s="182">
        <f t="shared" si="0"/>
        <v>276092.07999999996</v>
      </c>
      <c r="K13" s="182"/>
      <c r="L13" s="182">
        <f t="shared" si="1"/>
        <v>44474532.81000001</v>
      </c>
      <c r="M13" s="4"/>
      <c r="N13" s="89">
        <f>'KY_Res by Plant Acct-P29 (Tot)'!R410+'KY_Res by Plant Acct-P29 (Tot)'!R407+'KY_Res by Plant Acct-P29 (Tot)'!R411+'KY_Res by Plant Acct-P29 (Tot)'!R409+'KY_Res by Plant Acct-P29 (Tot)'!R408</f>
        <v>-2473836.8300000029</v>
      </c>
      <c r="P13" s="89">
        <f t="shared" si="2"/>
        <v>42000695.980000004</v>
      </c>
    </row>
    <row r="14" spans="1:16">
      <c r="A14" t="s">
        <v>84</v>
      </c>
      <c r="B14" s="182">
        <f>'KY_Cost Plant Acct-Com-P8(Tot)'!B14</f>
        <v>1013117.8600000001</v>
      </c>
      <c r="C14" s="182"/>
      <c r="D14" s="182">
        <f>'KY_Cost Plant Acct-Com-P8(Tot)'!D14</f>
        <v>0</v>
      </c>
      <c r="E14" s="182"/>
      <c r="F14" s="182">
        <f>'KY_Cost Plant Acct-Com-P8(Tot)'!F14</f>
        <v>0</v>
      </c>
      <c r="G14" s="182"/>
      <c r="H14" s="182">
        <f>'KY_Cost Plant Acct-Com-P8(Tot)'!H14</f>
        <v>0</v>
      </c>
      <c r="I14" s="182"/>
      <c r="J14" s="182">
        <f t="shared" si="0"/>
        <v>0</v>
      </c>
      <c r="K14" s="182"/>
      <c r="L14" s="182">
        <f t="shared" si="1"/>
        <v>1013117.8600000001</v>
      </c>
      <c r="M14" s="4"/>
      <c r="N14" s="89">
        <f>'KY_Res by Plant Acct-P29 (Tot)'!R412</f>
        <v>-177788.02999999985</v>
      </c>
      <c r="P14" s="89">
        <f t="shared" si="2"/>
        <v>835329.83000000031</v>
      </c>
    </row>
    <row r="15" spans="1:16">
      <c r="A15" t="s">
        <v>85</v>
      </c>
      <c r="B15" s="182">
        <f>'KY_Cost Plant Acct-Com-P8(Tot)'!B15</f>
        <v>3930848.6400000006</v>
      </c>
      <c r="C15" s="182"/>
      <c r="D15" s="182">
        <f>'KY_Cost Plant Acct-Com-P8(Tot)'!D15</f>
        <v>0</v>
      </c>
      <c r="E15" s="182"/>
      <c r="F15" s="182">
        <f>'KY_Cost Plant Acct-Com-P8(Tot)'!F15</f>
        <v>-46260.709999999992</v>
      </c>
      <c r="G15" s="182"/>
      <c r="H15" s="182">
        <f>'KY_Cost Plant Acct-Com-P8(Tot)'!H15</f>
        <v>0</v>
      </c>
      <c r="I15" s="182"/>
      <c r="J15" s="182">
        <f t="shared" si="0"/>
        <v>-46260.709999999992</v>
      </c>
      <c r="K15" s="182"/>
      <c r="L15" s="182">
        <f t="shared" si="1"/>
        <v>3884587.9300000006</v>
      </c>
      <c r="M15" s="4"/>
      <c r="N15" s="89">
        <f>'KY_Res by Plant Acct-P29 (Tot)'!R413</f>
        <v>-525069.4499999996</v>
      </c>
      <c r="P15" s="89">
        <f t="shared" si="2"/>
        <v>3359518.4800000009</v>
      </c>
    </row>
    <row r="16" spans="1:16">
      <c r="A16" t="s">
        <v>86</v>
      </c>
      <c r="B16" s="182">
        <f>'KY_Cost Plant Acct-Com-P8(Tot)'!B16</f>
        <v>390665.41</v>
      </c>
      <c r="C16" s="182"/>
      <c r="D16" s="182">
        <f>'KY_Cost Plant Acct-Com-P8(Tot)'!D16</f>
        <v>0</v>
      </c>
      <c r="E16" s="182"/>
      <c r="F16" s="182">
        <f>'KY_Cost Plant Acct-Com-P8(Tot)'!F16</f>
        <v>0</v>
      </c>
      <c r="G16" s="182"/>
      <c r="H16" s="182">
        <f>'KY_Cost Plant Acct-Com-P8(Tot)'!H16</f>
        <v>0</v>
      </c>
      <c r="I16" s="182"/>
      <c r="J16" s="182">
        <f t="shared" si="0"/>
        <v>0</v>
      </c>
      <c r="K16" s="182"/>
      <c r="L16" s="182">
        <f t="shared" si="1"/>
        <v>390665.41</v>
      </c>
      <c r="M16" s="4"/>
      <c r="N16" s="89">
        <f>'KY_Res by Plant Acct-P29 (Tot)'!R414</f>
        <v>-26668.19</v>
      </c>
      <c r="P16" s="89">
        <f t="shared" si="2"/>
        <v>363997.22</v>
      </c>
    </row>
    <row r="17" spans="1:16">
      <c r="A17" t="s">
        <v>87</v>
      </c>
      <c r="B17" s="182">
        <f>'KY_Cost Plant Acct-Com-P8(Tot)'!B17+'KY_Cost Plant Acct-Com-P8(Tot)'!B49</f>
        <v>879507.93</v>
      </c>
      <c r="C17" s="182"/>
      <c r="D17" s="182">
        <f>'KY_Cost Plant Acct-Com-P8(Tot)'!D17+'KY_Cost Plant Acct-Com-P8(Tot)'!D49</f>
        <v>0</v>
      </c>
      <c r="E17" s="182"/>
      <c r="F17" s="182">
        <f>'KY_Cost Plant Acct-Com-P8(Tot)'!F17+'KY_Cost Plant Acct-Com-P8(Tot)'!F49</f>
        <v>0</v>
      </c>
      <c r="G17" s="182"/>
      <c r="H17" s="182">
        <f>'KY_Cost Plant Acct-Com-P8(Tot)'!H17+'KY_Cost Plant Acct-Com-P8(Tot)'!H49</f>
        <v>0</v>
      </c>
      <c r="I17" s="182"/>
      <c r="J17" s="182">
        <f t="shared" si="0"/>
        <v>0</v>
      </c>
      <c r="K17" s="182"/>
      <c r="L17" s="182">
        <f t="shared" si="1"/>
        <v>879507.93</v>
      </c>
      <c r="M17" s="4"/>
      <c r="N17" s="89">
        <f>'KY_Res by Plant Acct-P29 (Tot)'!R415</f>
        <v>-52487.600000000006</v>
      </c>
      <c r="P17" s="89">
        <f t="shared" si="2"/>
        <v>827020.33000000007</v>
      </c>
    </row>
    <row r="18" spans="1:16">
      <c r="A18" t="s">
        <v>88</v>
      </c>
      <c r="B18" s="182">
        <f>'KY_Cost Plant Acct-Com-P8(Tot)'!B18+'KY_Cost Plant Acct-Com-P8(Tot)'!B50</f>
        <v>6616065.8500000006</v>
      </c>
      <c r="C18" s="182"/>
      <c r="D18" s="182">
        <f>'KY_Cost Plant Acct-Com-P8(Tot)'!D18+'KY_Cost Plant Acct-Com-P8(Tot)'!D50</f>
        <v>141502.9</v>
      </c>
      <c r="E18" s="182"/>
      <c r="F18" s="182">
        <f>'KY_Cost Plant Acct-Com-P8(Tot)'!F18</f>
        <v>0</v>
      </c>
      <c r="G18" s="182"/>
      <c r="H18" s="182">
        <f>'KY_Cost Plant Acct-Com-P8(Tot)'!H18</f>
        <v>0</v>
      </c>
      <c r="I18" s="182"/>
      <c r="J18" s="182">
        <f t="shared" si="0"/>
        <v>141502.9</v>
      </c>
      <c r="K18" s="182"/>
      <c r="L18" s="182">
        <f t="shared" si="1"/>
        <v>6757568.7500000009</v>
      </c>
      <c r="M18" s="4"/>
      <c r="N18" s="89">
        <f>'KY_Res by Plant Acct-P29 (Tot)'!R416</f>
        <v>-985168.74999999942</v>
      </c>
      <c r="P18" s="89">
        <f t="shared" si="2"/>
        <v>5772400.0000000019</v>
      </c>
    </row>
    <row r="19" spans="1:16">
      <c r="A19" t="s">
        <v>89</v>
      </c>
      <c r="B19" s="182">
        <f>'KY_Cost Plant Acct-Com-P8(Tot)'!B19+'KY_Cost Plant Acct-Com-P8(Tot)'!B51</f>
        <v>1222997.8199999998</v>
      </c>
      <c r="C19" s="182"/>
      <c r="D19" s="182">
        <f>'KY_Cost Plant Acct-Com-P8(Tot)'!D19+'KY_Cost Plant Acct-Com-P8(Tot)'!D51</f>
        <v>0</v>
      </c>
      <c r="E19" s="182"/>
      <c r="F19" s="182">
        <f>'KY_Cost Plant Acct-Com-P8(Tot)'!F19</f>
        <v>0</v>
      </c>
      <c r="G19" s="182"/>
      <c r="H19" s="182">
        <f>'KY_Cost Plant Acct-Com-P8(Tot)'!H19</f>
        <v>0</v>
      </c>
      <c r="I19" s="182"/>
      <c r="J19" s="182">
        <f t="shared" si="0"/>
        <v>0</v>
      </c>
      <c r="K19" s="182"/>
      <c r="L19" s="182">
        <f t="shared" si="1"/>
        <v>1222997.8199999998</v>
      </c>
      <c r="M19" s="4"/>
      <c r="N19" s="89">
        <f>'KY_Res by Plant Acct-P29 (Tot)'!R417</f>
        <v>22859.509999999944</v>
      </c>
      <c r="P19" s="89">
        <f t="shared" si="2"/>
        <v>1245857.3299999998</v>
      </c>
    </row>
    <row r="20" spans="1:16">
      <c r="A20" t="s">
        <v>90</v>
      </c>
      <c r="B20" s="182">
        <f>'KY_Cost Plant Acct-Com-P8(Tot)'!B20+'KY_Cost Plant Acct-Com-P8(Tot)'!B52</f>
        <v>5476641.6399999987</v>
      </c>
      <c r="C20" s="182"/>
      <c r="D20" s="182">
        <f>'KY_Cost Plant Acct-Com-P8(Tot)'!D20+'KY_Cost Plant Acct-Com-P8(Tot)'!D52</f>
        <v>856015.5</v>
      </c>
      <c r="E20" s="182"/>
      <c r="F20" s="182">
        <f>'KY_Cost Plant Acct-Com-P8(Tot)'!F20</f>
        <v>0</v>
      </c>
      <c r="G20" s="182"/>
      <c r="H20" s="182">
        <f>'KY_Cost Plant Acct-Com-P8(Tot)'!H20+'KY_Cost Plant Acct-Com-P8(Tot)'!H52</f>
        <v>0</v>
      </c>
      <c r="I20" s="182"/>
      <c r="J20" s="182">
        <f t="shared" si="0"/>
        <v>856015.5</v>
      </c>
      <c r="K20" s="182"/>
      <c r="L20" s="182">
        <f t="shared" si="1"/>
        <v>6332657.1399999987</v>
      </c>
      <c r="M20" s="4"/>
      <c r="N20" s="89">
        <f>'KY_Res by Plant Acct-P29 (Tot)'!R418</f>
        <v>-4704571.6300000008</v>
      </c>
      <c r="P20" s="89">
        <f t="shared" si="2"/>
        <v>1628085.5099999979</v>
      </c>
    </row>
    <row r="21" spans="1:16">
      <c r="A21" t="s">
        <v>91</v>
      </c>
      <c r="B21" s="182">
        <f>'KY_Cost Plant Acct-Com-P8(Tot)'!B21+'KY_Cost Plant Acct-Com-P8(Tot)'!B53</f>
        <v>2457815.3499999996</v>
      </c>
      <c r="C21" s="182"/>
      <c r="D21" s="182">
        <f>'KY_Cost Plant Acct-Com-P8(Tot)'!D21+'KY_Cost Plant Acct-Com-P8(Tot)'!D53</f>
        <v>248747.5</v>
      </c>
      <c r="E21" s="182"/>
      <c r="F21" s="182">
        <f>'KY_Cost Plant Acct-Com-P8(Tot)'!F21</f>
        <v>0</v>
      </c>
      <c r="G21" s="182"/>
      <c r="H21" s="182">
        <f>'KY_Cost Plant Acct-Com-P8(Tot)'!H21</f>
        <v>0</v>
      </c>
      <c r="I21" s="182"/>
      <c r="J21" s="182">
        <f t="shared" si="0"/>
        <v>248747.5</v>
      </c>
      <c r="K21" s="182"/>
      <c r="L21" s="182">
        <f t="shared" si="1"/>
        <v>2706562.8499999996</v>
      </c>
      <c r="M21" s="4"/>
      <c r="N21" s="89">
        <f>'KY_Res by Plant Acct-P29 (Tot)'!R419</f>
        <v>-1083365.9200000002</v>
      </c>
      <c r="P21" s="89">
        <f t="shared" si="2"/>
        <v>1623196.9299999995</v>
      </c>
    </row>
    <row r="22" spans="1:16">
      <c r="A22" s="179" t="s">
        <v>1430</v>
      </c>
      <c r="B22" s="182">
        <f>'KY_Cost Plant Acct-Com-P8(Tot)'!B22+'KY_Cost Plant Acct-Com-P8(Tot)'!B54</f>
        <v>-8182.2300000000105</v>
      </c>
      <c r="C22" s="182"/>
      <c r="D22" s="182">
        <f>'KY_Cost Plant Acct-Com-P8(Tot)'!D22+'KY_Cost Plant Acct-Com-P8(Tot)'!D54</f>
        <v>0</v>
      </c>
      <c r="E22" s="182"/>
      <c r="F22" s="182">
        <f>'KY_Cost Plant Acct-Com-P8(Tot)'!F22</f>
        <v>0</v>
      </c>
      <c r="G22" s="182"/>
      <c r="H22" s="182">
        <f>'KY_Cost Plant Acct-Com-P8(Tot)'!H22</f>
        <v>0</v>
      </c>
      <c r="I22" s="182"/>
      <c r="J22" s="182">
        <f t="shared" ref="J22" si="3">H22+F22+D22</f>
        <v>0</v>
      </c>
      <c r="K22" s="182"/>
      <c r="L22" s="182">
        <f t="shared" ref="L22" si="4">J22+B22</f>
        <v>-8182.2300000000105</v>
      </c>
      <c r="M22" s="4"/>
      <c r="N22" s="89">
        <f>'KY_Res by Plant Acct-P29 (Tot)'!R420</f>
        <v>-3743.7000000000025</v>
      </c>
      <c r="P22" s="89">
        <f t="shared" ref="P22" si="5">L22+N22</f>
        <v>-11925.930000000013</v>
      </c>
    </row>
    <row r="23" spans="1:16">
      <c r="A23" t="s">
        <v>92</v>
      </c>
      <c r="B23" s="182">
        <f>'KY_Cost Plant Acct-Com-P8(Tot)'!B23+'KY_Cost Plant Acct-Com-P8(Tot)'!B54</f>
        <v>1498409.3099999996</v>
      </c>
      <c r="C23" s="182"/>
      <c r="D23" s="182">
        <f>'KY_Cost Plant Acct-Com-P8(Tot)'!D23+'KY_Cost Plant Acct-Com-P8(Tot)'!D54</f>
        <v>0</v>
      </c>
      <c r="E23" s="182"/>
      <c r="F23" s="182">
        <f>'KY_Cost Plant Acct-Com-P8(Tot)'!F23</f>
        <v>0</v>
      </c>
      <c r="G23" s="182"/>
      <c r="H23" s="182">
        <f>'KY_Cost Plant Acct-Com-P8(Tot)'!H23</f>
        <v>0</v>
      </c>
      <c r="I23" s="182"/>
      <c r="J23" s="182">
        <f t="shared" si="0"/>
        <v>0</v>
      </c>
      <c r="K23" s="182"/>
      <c r="L23" s="182">
        <f t="shared" si="1"/>
        <v>1498409.3099999996</v>
      </c>
      <c r="M23" s="4"/>
      <c r="N23" s="89">
        <f>'KY_Res by Plant Acct-P29 (Tot)'!R421</f>
        <v>50577.849999999708</v>
      </c>
      <c r="P23" s="89">
        <f t="shared" si="2"/>
        <v>1548987.1599999992</v>
      </c>
    </row>
    <row r="24" spans="1:16">
      <c r="A24" t="s">
        <v>93</v>
      </c>
      <c r="B24" s="182">
        <f>'KY_Cost Plant Acct-Com-P8(Tot)'!B24</f>
        <v>145237.13</v>
      </c>
      <c r="C24" s="182"/>
      <c r="D24" s="182">
        <f>'KY_Cost Plant Acct-Com-P8(Tot)'!D24</f>
        <v>0</v>
      </c>
      <c r="E24" s="182"/>
      <c r="F24" s="182">
        <f>'KY_Cost Plant Acct-Com-P8(Tot)'!F24</f>
        <v>0</v>
      </c>
      <c r="G24" s="182"/>
      <c r="H24" s="182">
        <f>'KY_Cost Plant Acct-Com-P8(Tot)'!H24</f>
        <v>0</v>
      </c>
      <c r="I24" s="182"/>
      <c r="J24" s="182">
        <f t="shared" si="0"/>
        <v>0</v>
      </c>
      <c r="K24" s="182"/>
      <c r="L24" s="182">
        <f t="shared" si="1"/>
        <v>145237.13</v>
      </c>
      <c r="M24" s="4"/>
      <c r="N24" s="89">
        <f>'KY_Res by Plant Acct-P29 (Tot)'!R422</f>
        <v>-29769.890000000003</v>
      </c>
      <c r="P24" s="89">
        <f t="shared" si="2"/>
        <v>115467.24</v>
      </c>
    </row>
    <row r="25" spans="1:16">
      <c r="A25" t="s">
        <v>94</v>
      </c>
      <c r="B25" s="182">
        <f>'KY_Cost Plant Acct-Com-P8(Tot)'!B25</f>
        <v>55541.72</v>
      </c>
      <c r="C25" s="182"/>
      <c r="D25" s="182">
        <f>'KY_Cost Plant Acct-Com-P8(Tot)'!D25+'KY_Cost Plant Acct-Com-P8(Tot)'!D55</f>
        <v>0</v>
      </c>
      <c r="E25" s="182"/>
      <c r="F25" s="182">
        <f>'KY_Cost Plant Acct-Com-P8(Tot)'!F25</f>
        <v>0</v>
      </c>
      <c r="G25" s="182"/>
      <c r="H25" s="182">
        <f>'KY_Cost Plant Acct-Com-P8(Tot)'!H25</f>
        <v>0</v>
      </c>
      <c r="I25" s="182"/>
      <c r="J25" s="182">
        <f t="shared" si="0"/>
        <v>0</v>
      </c>
      <c r="K25" s="182"/>
      <c r="L25" s="182">
        <f t="shared" si="1"/>
        <v>55541.72</v>
      </c>
      <c r="M25" s="4"/>
      <c r="N25" s="89">
        <f>'KY_Res by Plant Acct-P29 (Tot)'!R423</f>
        <v>-873.23000000000047</v>
      </c>
      <c r="P25" s="89">
        <f t="shared" si="2"/>
        <v>54668.49</v>
      </c>
    </row>
    <row r="26" spans="1:16">
      <c r="A26" t="s">
        <v>95</v>
      </c>
      <c r="B26" s="182">
        <f>'KY_Cost Plant Acct-Com-P8(Tot)'!B26+'KY_Cost Plant Acct-Com-P8(Tot)'!B56</f>
        <v>668891.63000000024</v>
      </c>
      <c r="C26" s="182"/>
      <c r="D26" s="182">
        <f>'KY_Cost Plant Acct-Com-P8(Tot)'!D26+'KY_Cost Plant Acct-Com-P8(Tot)'!D56</f>
        <v>0</v>
      </c>
      <c r="E26" s="182"/>
      <c r="F26" s="182">
        <f>'KY_Cost Plant Acct-Com-P8(Tot)'!F26</f>
        <v>0</v>
      </c>
      <c r="G26" s="182"/>
      <c r="H26" s="182">
        <f>'KY_Cost Plant Acct-Com-P8(Tot)'!H26</f>
        <v>0</v>
      </c>
      <c r="I26" s="182"/>
      <c r="J26" s="182">
        <f t="shared" si="0"/>
        <v>0</v>
      </c>
      <c r="K26" s="182"/>
      <c r="L26" s="182">
        <f t="shared" si="1"/>
        <v>668891.63000000024</v>
      </c>
      <c r="M26" s="4"/>
      <c r="N26" s="89">
        <f>'KY_Res by Plant Acct-P29 (Tot)'!R424</f>
        <v>-69410.370000000024</v>
      </c>
      <c r="P26" s="89">
        <f t="shared" si="2"/>
        <v>599481.26000000024</v>
      </c>
    </row>
    <row r="27" spans="1:16">
      <c r="A27" t="s">
        <v>96</v>
      </c>
      <c r="B27" s="182">
        <f>'KY_Cost Plant Acct-Com-P8(Tot)'!B27+'KY_Cost Plant Acct-Com-P8(Tot)'!B57</f>
        <v>2697877.29</v>
      </c>
      <c r="C27" s="182"/>
      <c r="D27" s="182">
        <f>'KY_Cost Plant Acct-Com-P8(Tot)'!D27+'KY_Cost Plant Acct-Com-P8(Tot)'!D57</f>
        <v>0</v>
      </c>
      <c r="E27" s="182"/>
      <c r="F27" s="182">
        <f>'KY_Cost Plant Acct-Com-P8(Tot)'!F27</f>
        <v>0</v>
      </c>
      <c r="G27" s="182"/>
      <c r="H27" s="182">
        <f>'KY_Cost Plant Acct-Com-P8(Tot)'!H27</f>
        <v>4435.22</v>
      </c>
      <c r="I27" s="182"/>
      <c r="J27" s="182">
        <f t="shared" si="0"/>
        <v>4435.22</v>
      </c>
      <c r="K27" s="182"/>
      <c r="L27" s="182">
        <f t="shared" si="1"/>
        <v>2702312.5100000002</v>
      </c>
      <c r="M27" s="4"/>
      <c r="N27" s="89">
        <f>'KY_Res by Plant Acct-P29 (Tot)'!R425</f>
        <v>-233839.57999999978</v>
      </c>
      <c r="P27" s="89">
        <f t="shared" si="2"/>
        <v>2468472.9300000006</v>
      </c>
    </row>
    <row r="28" spans="1:16">
      <c r="A28" t="s">
        <v>97</v>
      </c>
      <c r="B28" s="182">
        <f>'KY_Cost Plant Acct-Com-P8(Tot)'!B28</f>
        <v>-231.25</v>
      </c>
      <c r="C28" s="182"/>
      <c r="D28" s="182">
        <f>'KY_Cost Plant Acct-Com-P8(Tot)'!D28</f>
        <v>0</v>
      </c>
      <c r="E28" s="182"/>
      <c r="F28" s="182">
        <f>'KY_Cost Plant Acct-Com-P8(Tot)'!F28</f>
        <v>0</v>
      </c>
      <c r="G28" s="182"/>
      <c r="H28" s="182">
        <f>'KY_Cost Plant Acct-Com-P8(Tot)'!H28</f>
        <v>0</v>
      </c>
      <c r="I28" s="182"/>
      <c r="J28" s="182">
        <f t="shared" si="0"/>
        <v>0</v>
      </c>
      <c r="K28" s="182"/>
      <c r="L28" s="182">
        <f t="shared" si="1"/>
        <v>-231.25</v>
      </c>
      <c r="M28" s="4"/>
      <c r="N28" s="89">
        <f>'KY_Res by Plant Acct-P29 (Tot)'!R426</f>
        <v>231.25000000000182</v>
      </c>
      <c r="P28" s="89">
        <f t="shared" si="2"/>
        <v>1.8189894035458565E-12</v>
      </c>
    </row>
    <row r="29" spans="1:16">
      <c r="A29" t="s">
        <v>98</v>
      </c>
      <c r="B29" s="182">
        <f>'KY_Cost Plant Acct-Com-P8(Tot)'!B29</f>
        <v>33440.929999999993</v>
      </c>
      <c r="C29" s="182"/>
      <c r="D29" s="182">
        <f>'KY_Cost Plant Acct-Com-P8(Tot)'!D29</f>
        <v>0</v>
      </c>
      <c r="E29" s="182"/>
      <c r="F29" s="182">
        <f>'KY_Cost Plant Acct-Com-P8(Tot)'!F29</f>
        <v>0</v>
      </c>
      <c r="G29" s="182"/>
      <c r="H29" s="182">
        <f>'KY_Cost Plant Acct-Com-P8(Tot)'!H29</f>
        <v>0</v>
      </c>
      <c r="I29" s="182"/>
      <c r="J29" s="182">
        <f t="shared" si="0"/>
        <v>0</v>
      </c>
      <c r="K29" s="182"/>
      <c r="L29" s="182">
        <f t="shared" si="1"/>
        <v>33440.929999999993</v>
      </c>
      <c r="M29" s="4"/>
      <c r="N29" s="89">
        <f>'KY_Res by Plant Acct-P29 (Tot)'!R427</f>
        <v>-6451.5</v>
      </c>
      <c r="P29" s="89">
        <f t="shared" si="2"/>
        <v>26989.429999999993</v>
      </c>
    </row>
    <row r="30" spans="1:16">
      <c r="A30" t="s">
        <v>99</v>
      </c>
      <c r="B30" s="182">
        <f>'KY_Cost Plant Acct-Com-P8(Tot)'!B30</f>
        <v>4777.4500000000007</v>
      </c>
      <c r="C30" s="182"/>
      <c r="D30" s="182">
        <f>'KY_Cost Plant Acct-Com-P8(Tot)'!D30</f>
        <v>0</v>
      </c>
      <c r="E30" s="182"/>
      <c r="F30" s="182">
        <f>'KY_Cost Plant Acct-Com-P8(Tot)'!F30</f>
        <v>0</v>
      </c>
      <c r="G30" s="182"/>
      <c r="H30" s="182">
        <f>'KY_Cost Plant Acct-Com-P8(Tot)'!H30</f>
        <v>0</v>
      </c>
      <c r="I30" s="182"/>
      <c r="J30" s="182">
        <f t="shared" si="0"/>
        <v>0</v>
      </c>
      <c r="K30" s="182"/>
      <c r="L30" s="182">
        <f t="shared" si="1"/>
        <v>4777.4500000000007</v>
      </c>
      <c r="M30" s="4"/>
      <c r="N30" s="89">
        <f>'KY_Res by Plant Acct-P29 (Tot)'!R428</f>
        <v>-58.940000000002186</v>
      </c>
      <c r="P30" s="89">
        <f t="shared" si="2"/>
        <v>4718.5099999999984</v>
      </c>
    </row>
    <row r="31" spans="1:16">
      <c r="A31" t="s">
        <v>4</v>
      </c>
      <c r="B31" s="182">
        <f>'KY_Cost Plant Acct-Com-P8(Tot)'!B31+'KY_Cost Plant Acct-Com-P8(Tot)'!B58</f>
        <v>22365349.030000005</v>
      </c>
      <c r="C31" s="182"/>
      <c r="D31" s="182">
        <f>'KY_Cost Plant Acct-Com-P8(Tot)'!D31+'KY_Cost Plant Acct-Com-P8(Tot)'!D58</f>
        <v>165871.69</v>
      </c>
      <c r="E31" s="182"/>
      <c r="F31" s="182">
        <f>'KY_Cost Plant Acct-Com-P8(Tot)'!F31</f>
        <v>-991.89</v>
      </c>
      <c r="G31" s="182"/>
      <c r="H31" s="182">
        <f>'KY_Cost Plant Acct-Com-P8(Tot)'!H31+'KY_Cost Plant Acct-Com-P8(Tot)'!H58</f>
        <v>0</v>
      </c>
      <c r="I31" s="182"/>
      <c r="J31" s="182">
        <f t="shared" si="0"/>
        <v>164879.79999999999</v>
      </c>
      <c r="K31" s="182"/>
      <c r="L31" s="182">
        <f t="shared" si="1"/>
        <v>22530228.830000006</v>
      </c>
      <c r="M31" s="4"/>
      <c r="N31" s="89">
        <f>'KY_Res by Plant Acct-P29 (Tot)'!R429</f>
        <v>-6606896.7800000012</v>
      </c>
      <c r="P31" s="89">
        <f t="shared" si="2"/>
        <v>15923332.050000004</v>
      </c>
    </row>
    <row r="32" spans="1:16">
      <c r="A32" t="s">
        <v>100</v>
      </c>
      <c r="B32" s="182">
        <f>'KY_Cost Plant Acct-Com-P8(Tot)'!B32+'KY_Cost Plant Acct-Com-P8(Tot)'!B59</f>
        <v>737382.70999999973</v>
      </c>
      <c r="C32" s="182"/>
      <c r="D32" s="182">
        <f>'KY_Cost Plant Acct-Com-P8(Tot)'!D32+'KY_Cost Plant Acct-Com-P8(Tot)'!D59</f>
        <v>71987.520000000004</v>
      </c>
      <c r="E32" s="182"/>
      <c r="F32" s="182">
        <f>'KY_Cost Plant Acct-Com-P8(Tot)'!F32</f>
        <v>0</v>
      </c>
      <c r="G32" s="182"/>
      <c r="H32" s="182">
        <f>'KY_Cost Plant Acct-Com-P8(Tot)'!H32</f>
        <v>0</v>
      </c>
      <c r="I32" s="182"/>
      <c r="J32" s="182">
        <f t="shared" si="0"/>
        <v>71987.520000000004</v>
      </c>
      <c r="K32" s="182"/>
      <c r="L32" s="182">
        <f t="shared" si="1"/>
        <v>809370.22999999975</v>
      </c>
      <c r="M32" s="4"/>
      <c r="N32" s="89">
        <f>'KY_Res by Plant Acct-P29 (Tot)'!R430</f>
        <v>-80425.169999999707</v>
      </c>
      <c r="P32" s="89">
        <f t="shared" si="2"/>
        <v>728945.06</v>
      </c>
    </row>
    <row r="33" spans="1:16">
      <c r="A33" t="s">
        <v>101</v>
      </c>
      <c r="B33" s="182">
        <f>'KY_Cost Plant Acct-Com-P8(Tot)'!B33</f>
        <v>21641.249999999884</v>
      </c>
      <c r="C33" s="182"/>
      <c r="D33" s="182">
        <f>'KY_Cost Plant Acct-Com-P8(Tot)'!D33+'KY_Cost Plant Acct-Com-P8(Tot)'!D60</f>
        <v>0</v>
      </c>
      <c r="E33" s="182"/>
      <c r="F33" s="182">
        <f>'KY_Cost Plant Acct-Com-P8(Tot)'!F33</f>
        <v>0</v>
      </c>
      <c r="G33" s="182"/>
      <c r="H33" s="182">
        <f>'KY_Cost Plant Acct-Com-P8(Tot)'!H33</f>
        <v>-4435.22</v>
      </c>
      <c r="I33" s="182"/>
      <c r="J33" s="182">
        <f t="shared" si="0"/>
        <v>-4435.22</v>
      </c>
      <c r="K33" s="182"/>
      <c r="L33" s="182">
        <f t="shared" si="1"/>
        <v>17206.029999999882</v>
      </c>
      <c r="M33" s="4"/>
      <c r="N33" s="89">
        <f>'KY_Res by Plant Acct-P29 (Tot)'!R431</f>
        <v>-122328.81999999985</v>
      </c>
      <c r="P33" s="89">
        <f t="shared" si="2"/>
        <v>-105122.78999999996</v>
      </c>
    </row>
    <row r="34" spans="1:16">
      <c r="A34" t="s">
        <v>102</v>
      </c>
      <c r="B34" s="182">
        <f>'KY_Cost Plant Acct-Com-P8(Tot)'!B34</f>
        <v>101389.77</v>
      </c>
      <c r="C34" s="182"/>
      <c r="D34" s="182">
        <f>'KY_Cost Plant Acct-Com-P8(Tot)'!D34</f>
        <v>0</v>
      </c>
      <c r="E34" s="182"/>
      <c r="F34" s="182">
        <f>'KY_Cost Plant Acct-Com-P8(Tot)'!F34</f>
        <v>0</v>
      </c>
      <c r="G34" s="182"/>
      <c r="H34" s="182">
        <f>'KY_Cost Plant Acct-Com-P8(Tot)'!H34</f>
        <v>0</v>
      </c>
      <c r="I34" s="182"/>
      <c r="J34" s="182">
        <f t="shared" si="0"/>
        <v>0</v>
      </c>
      <c r="K34" s="182"/>
      <c r="L34" s="182">
        <f t="shared" si="1"/>
        <v>101389.77</v>
      </c>
      <c r="M34" s="4"/>
      <c r="N34" s="89">
        <f>'KY_Res by Plant Acct-P29 (Tot)'!R432</f>
        <v>-2918.6899999999973</v>
      </c>
      <c r="P34" s="89">
        <f t="shared" si="2"/>
        <v>98471.08</v>
      </c>
    </row>
    <row r="35" spans="1:16">
      <c r="A35" t="s">
        <v>103</v>
      </c>
      <c r="B35" s="182">
        <f>'KY_Cost Plant Acct-Com-P8(Tot)'!B35</f>
        <v>83782.289999999994</v>
      </c>
      <c r="C35" s="182"/>
      <c r="D35" s="182">
        <f>'KY_Cost Plant Acct-Com-P8(Tot)'!D35</f>
        <v>0</v>
      </c>
      <c r="E35" s="182"/>
      <c r="F35" s="182">
        <f>'KY_Cost Plant Acct-Com-P8(Tot)'!F35</f>
        <v>0</v>
      </c>
      <c r="G35" s="182"/>
      <c r="H35" s="182">
        <f>'KY_Cost Plant Acct-Com-P8(Tot)'!H35</f>
        <v>0</v>
      </c>
      <c r="I35" s="182"/>
      <c r="J35" s="182">
        <f t="shared" si="0"/>
        <v>0</v>
      </c>
      <c r="K35" s="182"/>
      <c r="L35" s="182">
        <f t="shared" si="1"/>
        <v>83782.289999999994</v>
      </c>
      <c r="M35" s="4"/>
      <c r="N35" s="89">
        <f>'KY_Res by Plant Acct-P29 (Tot)'!R447</f>
        <v>0</v>
      </c>
      <c r="P35" s="89">
        <f t="shared" si="2"/>
        <v>83782.289999999994</v>
      </c>
    </row>
    <row r="36" spans="1:16">
      <c r="A36" t="s">
        <v>267</v>
      </c>
      <c r="B36" s="182">
        <f>'KY_Cost Plant Acct-Com-P8(Tot)'!B36</f>
        <v>0</v>
      </c>
      <c r="C36" s="182"/>
      <c r="D36" s="182">
        <f>'KY_Cost Plant Acct-Com-P8(Tot)'!D36</f>
        <v>0</v>
      </c>
      <c r="E36" s="182"/>
      <c r="F36" s="182">
        <f>'KY_Cost Plant Acct-Com-P8(Tot)'!F36</f>
        <v>0</v>
      </c>
      <c r="G36" s="182"/>
      <c r="H36" s="182">
        <f>'KY_Cost Plant Acct-Com-P8(Tot)'!H36</f>
        <v>0</v>
      </c>
      <c r="I36" s="182"/>
      <c r="J36" s="182">
        <f t="shared" si="0"/>
        <v>0</v>
      </c>
      <c r="K36" s="182"/>
      <c r="L36" s="182">
        <f t="shared" si="1"/>
        <v>0</v>
      </c>
      <c r="M36" s="4"/>
      <c r="N36" s="89">
        <f>'KY_Res by Plant Acct-P29 (Tot)'!R448</f>
        <v>0</v>
      </c>
      <c r="P36" s="89">
        <f t="shared" si="2"/>
        <v>0</v>
      </c>
    </row>
    <row r="37" spans="1:16">
      <c r="A37" t="s">
        <v>268</v>
      </c>
      <c r="B37" s="182">
        <f>'KY_Cost Plant Acct-Com-P8(Tot)'!B37+'KY_Cost Plant Acct-Com-P8(Tot)'!B61</f>
        <v>13631987.229999997</v>
      </c>
      <c r="C37" s="182"/>
      <c r="D37" s="182">
        <f>'KY_Cost Plant Acct-Com-P8(Tot)'!D37+'KY_Cost Plant Acct-Com-P8(Tot)'!D61</f>
        <v>4367912.870000001</v>
      </c>
      <c r="E37" s="182"/>
      <c r="F37" s="182">
        <f>'KY_Cost Plant Acct-Com-P8(Tot)'!F37</f>
        <v>-400877.43000000005</v>
      </c>
      <c r="G37" s="182"/>
      <c r="H37" s="182">
        <f>'KY_Cost Plant Acct-Com-P8(Tot)'!H37+'KY_Cost Plant Acct-Com-P8(Tot)'!H61</f>
        <v>0</v>
      </c>
      <c r="I37" s="182"/>
      <c r="J37" s="182">
        <f t="shared" si="0"/>
        <v>3967035.4400000009</v>
      </c>
      <c r="K37" s="182"/>
      <c r="L37" s="182">
        <f t="shared" si="1"/>
        <v>17599022.669999998</v>
      </c>
      <c r="M37" s="4"/>
      <c r="N37" s="89">
        <f>'KY_Res by Plant Acct-P29 (Tot)'!R449</f>
        <v>-4407576.0100000026</v>
      </c>
      <c r="P37" s="89">
        <f t="shared" si="2"/>
        <v>13191446.659999996</v>
      </c>
    </row>
    <row r="38" spans="1:16">
      <c r="A38" t="s">
        <v>1023</v>
      </c>
      <c r="B38" s="182">
        <f>'KY_Cost Plant Acct-Com-P8(Tot)'!B38+'KY_Cost Plant Acct-Com-P8(Tot)'!B62</f>
        <v>38050593.11999999</v>
      </c>
      <c r="C38" s="182"/>
      <c r="D38" s="182">
        <f>'KY_Cost Plant Acct-Com-P8(Tot)'!D38+'KY_Cost Plant Acct-Com-P8(Tot)'!D62</f>
        <v>165079.18</v>
      </c>
      <c r="E38" s="182"/>
      <c r="F38" s="182">
        <f>'KY_Cost Plant Acct-Com-P8(Tot)'!F38</f>
        <v>0</v>
      </c>
      <c r="G38" s="182"/>
      <c r="H38" s="182">
        <f>'KY_Cost Plant Acct-Com-P8(Tot)'!H38+'KY_Cost Plant Acct-Com-P8(Tot)'!H62</f>
        <v>0</v>
      </c>
      <c r="I38" s="182"/>
      <c r="J38" s="182">
        <f t="shared" si="0"/>
        <v>165079.18</v>
      </c>
      <c r="K38" s="182"/>
      <c r="L38" s="182">
        <f t="shared" si="1"/>
        <v>38215672.29999999</v>
      </c>
      <c r="M38" s="4"/>
      <c r="N38" s="89">
        <f>'KY_Res by Plant Acct-P29 (Tot)'!R450</f>
        <v>-6172032.6600000001</v>
      </c>
      <c r="P38" s="89">
        <f t="shared" si="2"/>
        <v>32043639.639999989</v>
      </c>
    </row>
    <row r="39" spans="1:16">
      <c r="A39" t="s">
        <v>269</v>
      </c>
      <c r="B39" s="48">
        <f>'KY_Cost Plant Acct-Com-P8(Tot)'!B39</f>
        <v>0</v>
      </c>
      <c r="C39" s="52"/>
      <c r="D39" s="48">
        <f>'KY_Cost Plant Acct-Com-P8(Tot)'!D39</f>
        <v>0</v>
      </c>
      <c r="E39" s="52"/>
      <c r="F39" s="48">
        <f>'KY_Cost Plant Acct-Com-P8(Tot)'!F39</f>
        <v>0</v>
      </c>
      <c r="G39" s="52"/>
      <c r="H39" s="48">
        <f>'KY_Cost Plant Acct-Com-P8(Tot)'!H39</f>
        <v>0</v>
      </c>
      <c r="I39" s="52"/>
      <c r="J39" s="48">
        <f t="shared" si="0"/>
        <v>0</v>
      </c>
      <c r="K39" s="52"/>
      <c r="L39" s="48">
        <f t="shared" si="1"/>
        <v>0</v>
      </c>
      <c r="M39" s="55"/>
      <c r="N39" s="90">
        <f>'KY_Res by Plant Acct-P29 (Tot)'!R451</f>
        <v>0</v>
      </c>
      <c r="P39" s="90">
        <f t="shared" si="2"/>
        <v>0</v>
      </c>
    </row>
    <row r="40" spans="1:16">
      <c r="B40" s="52">
        <f>SUM(B11:B39)</f>
        <v>148033488.35000002</v>
      </c>
      <c r="C40" s="52"/>
      <c r="D40" s="52">
        <f>SUM(D11:D39)</f>
        <v>6342012.0800000001</v>
      </c>
      <c r="E40" s="52"/>
      <c r="F40" s="52">
        <f>SUM(F11:F39)</f>
        <v>-496932.87000000005</v>
      </c>
      <c r="G40" s="52"/>
      <c r="H40" s="52">
        <f>SUM(H11:H39)</f>
        <v>0</v>
      </c>
      <c r="I40" s="52"/>
      <c r="J40" s="52">
        <f>SUM(J11:J39)</f>
        <v>5845079.2100000009</v>
      </c>
      <c r="K40" s="52"/>
      <c r="L40" s="52">
        <f>SUM(L11:L39)</f>
        <v>153878567.56</v>
      </c>
      <c r="M40" s="55"/>
      <c r="N40" s="52">
        <f>SUM(N11:N39)</f>
        <v>-27700059.070000008</v>
      </c>
      <c r="P40" s="52">
        <f>SUM(P11:P39)</f>
        <v>126178508.48999998</v>
      </c>
    </row>
    <row r="41" spans="1:16">
      <c r="B41" s="52"/>
      <c r="C41" s="52"/>
      <c r="D41" s="52"/>
      <c r="E41" s="52"/>
      <c r="F41" s="52"/>
      <c r="G41" s="52"/>
      <c r="H41" s="52"/>
      <c r="I41" s="52"/>
      <c r="J41" s="52"/>
      <c r="K41" s="52"/>
      <c r="L41" s="52"/>
      <c r="M41" s="55"/>
    </row>
    <row r="42" spans="1:16">
      <c r="B42" s="52"/>
      <c r="C42" s="52"/>
      <c r="D42" s="52"/>
      <c r="E42" s="52"/>
      <c r="F42" s="52"/>
      <c r="G42" s="52"/>
      <c r="H42" s="52"/>
      <c r="I42" s="52"/>
      <c r="J42" s="52"/>
      <c r="K42" s="52"/>
      <c r="L42" s="52"/>
      <c r="M42" s="55"/>
    </row>
    <row r="43" spans="1:16" ht="13.5" thickBot="1">
      <c r="A43" s="3" t="s">
        <v>685</v>
      </c>
      <c r="B43" s="46">
        <f>B40</f>
        <v>148033488.35000002</v>
      </c>
      <c r="C43" s="55"/>
      <c r="D43" s="46">
        <f>D40</f>
        <v>6342012.0800000001</v>
      </c>
      <c r="E43" s="55"/>
      <c r="F43" s="46">
        <f>F40</f>
        <v>-496932.87000000005</v>
      </c>
      <c r="G43" s="55"/>
      <c r="H43" s="46">
        <f>H40</f>
        <v>0</v>
      </c>
      <c r="I43" s="55"/>
      <c r="J43" s="46">
        <f>J40</f>
        <v>5845079.2100000009</v>
      </c>
      <c r="K43" s="55"/>
      <c r="L43" s="46">
        <f>L40</f>
        <v>153878567.56</v>
      </c>
      <c r="M43" s="55"/>
      <c r="N43" s="46">
        <f>N40</f>
        <v>-27700059.070000008</v>
      </c>
      <c r="P43" s="46">
        <f>P40</f>
        <v>126178508.48999998</v>
      </c>
    </row>
    <row r="44" spans="1:16" ht="13.5" thickTop="1">
      <c r="B44" s="52"/>
      <c r="C44" s="52"/>
      <c r="D44" s="52"/>
      <c r="E44" s="52"/>
      <c r="F44" s="52"/>
      <c r="G44" s="52"/>
      <c r="H44" s="52"/>
      <c r="I44" s="52"/>
      <c r="J44" s="52"/>
      <c r="K44" s="52"/>
      <c r="L44" s="52"/>
      <c r="M44" s="55"/>
      <c r="P44" s="89"/>
    </row>
    <row r="45" spans="1:16">
      <c r="B45" s="52"/>
      <c r="C45" s="52"/>
      <c r="D45" s="52"/>
      <c r="E45" s="52"/>
      <c r="F45" s="52"/>
      <c r="G45" s="52"/>
      <c r="H45" s="52"/>
      <c r="I45" s="52"/>
      <c r="J45" s="52"/>
      <c r="K45" s="52"/>
      <c r="L45" s="52">
        <f>+L43-'KY_Cost Plant Acct-Com-P8(Tot)'!L69</f>
        <v>0</v>
      </c>
      <c r="M45" s="55"/>
    </row>
    <row r="46" spans="1:16">
      <c r="B46" s="182"/>
      <c r="C46" s="182"/>
      <c r="D46" s="182"/>
      <c r="E46" s="182"/>
      <c r="F46" s="182"/>
      <c r="G46" s="182"/>
      <c r="H46" s="182"/>
      <c r="I46" s="182"/>
      <c r="J46" s="182"/>
      <c r="K46" s="182"/>
      <c r="L46" s="182"/>
      <c r="M46" s="4"/>
    </row>
    <row r="47" spans="1:16">
      <c r="B47" s="4"/>
      <c r="C47" s="4"/>
      <c r="D47" s="4"/>
      <c r="E47" s="4"/>
      <c r="F47" s="4"/>
      <c r="G47" s="4"/>
      <c r="H47" s="4"/>
      <c r="I47" s="4"/>
      <c r="J47" s="4"/>
      <c r="K47" s="4"/>
      <c r="L47" s="4"/>
      <c r="M47" s="4"/>
    </row>
    <row r="48" spans="1:16">
      <c r="B48" s="4"/>
      <c r="C48" s="4"/>
      <c r="D48" s="4"/>
      <c r="E48" s="4"/>
      <c r="F48" s="4"/>
      <c r="G48" s="4"/>
      <c r="H48" s="4"/>
      <c r="I48" s="4"/>
      <c r="J48" s="4"/>
      <c r="K48" s="4"/>
      <c r="L48" s="4"/>
      <c r="M48" s="4"/>
    </row>
    <row r="49" spans="2:13">
      <c r="B49" s="4"/>
      <c r="C49" s="4"/>
      <c r="D49" s="4"/>
      <c r="E49" s="4"/>
      <c r="F49" s="4"/>
      <c r="G49" s="4"/>
      <c r="H49" s="4"/>
      <c r="I49" s="4"/>
      <c r="J49" s="4"/>
      <c r="K49" s="4"/>
      <c r="L49" s="4"/>
      <c r="M49" s="4"/>
    </row>
    <row r="50" spans="2:13">
      <c r="B50" s="4"/>
      <c r="C50" s="4"/>
      <c r="D50" s="4"/>
      <c r="E50" s="4"/>
      <c r="F50" s="4"/>
      <c r="G50" s="4"/>
      <c r="H50" s="4"/>
      <c r="I50" s="4"/>
      <c r="J50" s="4"/>
      <c r="K50" s="4"/>
      <c r="L50" s="4"/>
      <c r="M50" s="4"/>
    </row>
    <row r="51" spans="2:13">
      <c r="B51" s="4"/>
      <c r="C51" s="4"/>
      <c r="D51" s="4"/>
      <c r="E51" s="4"/>
      <c r="F51" s="4"/>
      <c r="G51" s="4"/>
      <c r="H51" s="4"/>
      <c r="I51" s="4"/>
      <c r="J51" s="4"/>
      <c r="K51" s="4"/>
      <c r="L51" s="4"/>
      <c r="M51" s="4"/>
    </row>
    <row r="52" spans="2:13">
      <c r="B52" s="4"/>
      <c r="C52" s="4"/>
      <c r="D52" s="4"/>
      <c r="E52" s="4"/>
      <c r="F52" s="4"/>
      <c r="G52" s="4"/>
      <c r="H52" s="4"/>
      <c r="I52" s="4"/>
      <c r="J52" s="4"/>
      <c r="K52" s="4"/>
      <c r="L52" s="4"/>
      <c r="M52" s="4"/>
    </row>
    <row r="53" spans="2:13">
      <c r="B53" s="4"/>
      <c r="C53" s="4"/>
      <c r="D53" s="4"/>
      <c r="E53" s="4"/>
      <c r="F53" s="4"/>
      <c r="G53" s="4"/>
      <c r="H53" s="4"/>
      <c r="I53" s="4"/>
      <c r="J53" s="4"/>
      <c r="K53" s="4"/>
      <c r="L53" s="4"/>
      <c r="M53" s="4"/>
    </row>
    <row r="54" spans="2:13">
      <c r="B54" s="4"/>
      <c r="C54" s="4"/>
      <c r="D54" s="4"/>
      <c r="E54" s="4"/>
      <c r="F54" s="4"/>
      <c r="G54" s="4"/>
      <c r="H54" s="4"/>
      <c r="I54" s="4"/>
      <c r="J54" s="4"/>
      <c r="K54" s="4"/>
      <c r="L54" s="4"/>
      <c r="M54" s="4"/>
    </row>
    <row r="55" spans="2:13">
      <c r="B55" s="4"/>
      <c r="C55" s="4"/>
      <c r="D55" s="4"/>
      <c r="E55" s="4"/>
      <c r="F55" s="4"/>
      <c r="G55" s="4"/>
      <c r="H55" s="4"/>
      <c r="I55" s="4"/>
      <c r="J55" s="4"/>
      <c r="K55" s="4"/>
      <c r="L55" s="4"/>
      <c r="M55" s="4"/>
    </row>
    <row r="56" spans="2:13">
      <c r="B56" s="4"/>
      <c r="C56" s="4"/>
      <c r="D56" s="4"/>
      <c r="E56" s="4"/>
      <c r="F56" s="4"/>
      <c r="G56" s="4"/>
      <c r="H56" s="4"/>
      <c r="I56" s="4"/>
      <c r="J56" s="4"/>
      <c r="K56" s="4"/>
      <c r="L56" s="4"/>
      <c r="M56" s="4"/>
    </row>
    <row r="57" spans="2:13">
      <c r="B57" s="4"/>
      <c r="C57" s="4"/>
      <c r="D57" s="4"/>
      <c r="E57" s="4"/>
      <c r="F57" s="4"/>
      <c r="G57" s="4"/>
      <c r="H57" s="4"/>
      <c r="I57" s="4"/>
      <c r="J57" s="4"/>
      <c r="K57" s="4"/>
      <c r="L57" s="4"/>
      <c r="M57" s="4"/>
    </row>
    <row r="58" spans="2:13">
      <c r="B58" s="4"/>
      <c r="C58" s="4"/>
      <c r="D58" s="4"/>
      <c r="E58" s="4"/>
      <c r="F58" s="4"/>
      <c r="G58" s="4"/>
      <c r="H58" s="4"/>
      <c r="I58" s="4"/>
      <c r="J58" s="4"/>
      <c r="K58" s="4"/>
      <c r="L58" s="4"/>
      <c r="M58" s="4"/>
    </row>
    <row r="59" spans="2:13">
      <c r="B59" s="4"/>
      <c r="C59" s="4"/>
      <c r="D59" s="4"/>
      <c r="E59" s="4"/>
      <c r="F59" s="4"/>
      <c r="G59" s="4"/>
      <c r="H59" s="4"/>
      <c r="I59" s="4"/>
      <c r="J59" s="4"/>
      <c r="K59" s="4"/>
      <c r="L59" s="4"/>
      <c r="M59" s="4"/>
    </row>
    <row r="60" spans="2:13">
      <c r="B60" s="4"/>
      <c r="C60" s="4"/>
      <c r="D60" s="4"/>
      <c r="E60" s="4"/>
      <c r="F60" s="4"/>
      <c r="G60" s="4"/>
      <c r="H60" s="4"/>
      <c r="I60" s="4"/>
      <c r="J60" s="4"/>
      <c r="K60" s="4"/>
      <c r="L60" s="4"/>
      <c r="M60" s="4"/>
    </row>
    <row r="61" spans="2:13">
      <c r="B61" s="4"/>
      <c r="C61" s="4"/>
      <c r="D61" s="4"/>
      <c r="E61" s="4"/>
      <c r="F61" s="4"/>
      <c r="G61" s="4"/>
      <c r="H61" s="4"/>
      <c r="I61" s="4"/>
      <c r="J61" s="4"/>
      <c r="K61" s="4"/>
      <c r="L61" s="4"/>
      <c r="M61" s="4"/>
    </row>
    <row r="62" spans="2:13">
      <c r="B62" s="4"/>
      <c r="C62" s="4"/>
      <c r="D62" s="4"/>
      <c r="E62" s="4"/>
      <c r="F62" s="4"/>
      <c r="G62" s="4"/>
      <c r="H62" s="4"/>
      <c r="I62" s="4"/>
      <c r="J62" s="4"/>
      <c r="K62" s="4"/>
      <c r="L62" s="4"/>
      <c r="M62" s="4"/>
    </row>
    <row r="63" spans="2:13">
      <c r="B63" s="4"/>
      <c r="C63" s="4"/>
      <c r="D63" s="4"/>
      <c r="E63" s="4"/>
      <c r="F63" s="4"/>
      <c r="G63" s="4"/>
      <c r="H63" s="4"/>
      <c r="I63" s="4"/>
      <c r="J63" s="4"/>
      <c r="K63" s="4"/>
      <c r="L63" s="4"/>
      <c r="M63" s="4"/>
    </row>
    <row r="64" spans="2:13">
      <c r="B64" s="4"/>
      <c r="C64" s="4"/>
      <c r="D64" s="4"/>
      <c r="E64" s="4"/>
      <c r="F64" s="4"/>
      <c r="G64" s="4"/>
      <c r="H64" s="4"/>
      <c r="I64" s="4"/>
      <c r="J64" s="4"/>
      <c r="K64" s="4"/>
      <c r="L64" s="4"/>
      <c r="M64" s="4"/>
    </row>
    <row r="65" spans="2:13">
      <c r="B65" s="4"/>
      <c r="C65" s="4"/>
      <c r="D65" s="4"/>
      <c r="E65" s="4"/>
      <c r="F65" s="4"/>
      <c r="G65" s="4"/>
      <c r="H65" s="4"/>
      <c r="I65" s="4"/>
      <c r="J65" s="4"/>
      <c r="K65" s="4"/>
      <c r="L65" s="4"/>
      <c r="M65" s="4"/>
    </row>
    <row r="66" spans="2:13">
      <c r="B66" s="4"/>
      <c r="C66" s="4"/>
      <c r="D66" s="4"/>
      <c r="E66" s="4"/>
      <c r="F66" s="4"/>
      <c r="G66" s="4"/>
      <c r="H66" s="4"/>
      <c r="I66" s="4"/>
      <c r="J66" s="4"/>
      <c r="K66" s="4"/>
      <c r="L66" s="4"/>
      <c r="M66" s="4"/>
    </row>
    <row r="67" spans="2:13">
      <c r="B67" s="4"/>
      <c r="C67" s="4"/>
      <c r="D67" s="4"/>
      <c r="E67" s="4"/>
      <c r="F67" s="4"/>
      <c r="G67" s="4"/>
      <c r="H67" s="4"/>
      <c r="I67" s="4"/>
      <c r="J67" s="4"/>
      <c r="K67" s="4"/>
      <c r="L67" s="4"/>
      <c r="M67" s="4"/>
    </row>
    <row r="68" spans="2:13">
      <c r="B68" s="4"/>
      <c r="C68" s="4"/>
      <c r="D68" s="4"/>
      <c r="E68" s="4"/>
      <c r="F68" s="4"/>
      <c r="G68" s="4"/>
      <c r="H68" s="4"/>
      <c r="I68" s="4"/>
      <c r="J68" s="4"/>
      <c r="K68" s="4"/>
      <c r="L68" s="4"/>
      <c r="M68" s="4"/>
    </row>
    <row r="69" spans="2:13">
      <c r="B69" s="4"/>
      <c r="C69" s="4"/>
      <c r="D69" s="4"/>
      <c r="E69" s="4"/>
      <c r="F69" s="4"/>
      <c r="G69" s="4"/>
      <c r="H69" s="4"/>
      <c r="I69" s="4"/>
      <c r="J69" s="4"/>
      <c r="K69" s="4"/>
      <c r="L69" s="4"/>
      <c r="M69" s="4"/>
    </row>
    <row r="70" spans="2:13">
      <c r="B70" s="4"/>
      <c r="C70" s="4"/>
      <c r="D70" s="4"/>
      <c r="E70" s="4"/>
      <c r="F70" s="4"/>
      <c r="G70" s="4"/>
      <c r="H70" s="4"/>
      <c r="I70" s="4"/>
      <c r="J70" s="4"/>
      <c r="K70" s="4"/>
      <c r="L70" s="4"/>
      <c r="M70" s="4"/>
    </row>
    <row r="71" spans="2:13">
      <c r="B71" s="4"/>
      <c r="C71" s="4"/>
      <c r="D71" s="4"/>
      <c r="E71" s="4"/>
      <c r="F71" s="4"/>
      <c r="G71" s="4"/>
      <c r="H71" s="4"/>
      <c r="I71" s="4"/>
      <c r="J71" s="4"/>
      <c r="K71" s="4"/>
      <c r="L71" s="4"/>
      <c r="M71" s="4"/>
    </row>
    <row r="72" spans="2:13">
      <c r="B72" s="4"/>
      <c r="C72" s="4"/>
      <c r="D72" s="4"/>
      <c r="E72" s="4"/>
      <c r="F72" s="4"/>
      <c r="G72" s="4"/>
      <c r="H72" s="4"/>
      <c r="I72" s="4"/>
      <c r="J72" s="4"/>
      <c r="K72" s="4"/>
      <c r="L72" s="4"/>
      <c r="M72" s="4"/>
    </row>
    <row r="73" spans="2:13">
      <c r="B73" s="4"/>
      <c r="C73" s="4"/>
      <c r="D73" s="4"/>
      <c r="E73" s="4"/>
      <c r="F73" s="4"/>
      <c r="G73" s="4"/>
      <c r="H73" s="4"/>
      <c r="I73" s="4"/>
      <c r="J73" s="4"/>
      <c r="K73" s="4"/>
      <c r="L73" s="4"/>
      <c r="M73" s="4"/>
    </row>
    <row r="74" spans="2:13">
      <c r="B74" s="4"/>
      <c r="C74" s="4"/>
      <c r="D74" s="4"/>
      <c r="E74" s="4"/>
      <c r="F74" s="4"/>
      <c r="G74" s="4"/>
      <c r="H74" s="4"/>
      <c r="I74" s="4"/>
      <c r="J74" s="4"/>
      <c r="K74" s="4"/>
      <c r="L74" s="4"/>
      <c r="M74" s="4"/>
    </row>
    <row r="75" spans="2:13">
      <c r="B75" s="4"/>
      <c r="C75" s="4"/>
      <c r="D75" s="4"/>
      <c r="E75" s="4"/>
      <c r="F75" s="4"/>
      <c r="G75" s="4"/>
      <c r="H75" s="4"/>
      <c r="I75" s="4"/>
      <c r="J75" s="4"/>
      <c r="K75" s="4"/>
      <c r="L75" s="4"/>
      <c r="M75" s="4"/>
    </row>
    <row r="76" spans="2:13">
      <c r="B76" s="4"/>
      <c r="C76" s="4"/>
      <c r="D76" s="4"/>
      <c r="E76" s="4"/>
      <c r="F76" s="4"/>
      <c r="G76" s="4"/>
      <c r="H76" s="4"/>
      <c r="I76" s="4"/>
      <c r="J76" s="4"/>
      <c r="K76" s="4"/>
      <c r="L76" s="4"/>
      <c r="M76" s="4"/>
    </row>
    <row r="77" spans="2:13">
      <c r="B77" s="4"/>
      <c r="C77" s="4"/>
      <c r="D77" s="4"/>
      <c r="E77" s="4"/>
      <c r="F77" s="4"/>
      <c r="G77" s="4"/>
      <c r="H77" s="4"/>
      <c r="I77" s="4"/>
      <c r="J77" s="4"/>
      <c r="K77" s="4"/>
      <c r="L77" s="4"/>
      <c r="M77" s="4"/>
    </row>
    <row r="78" spans="2:13">
      <c r="B78" s="4"/>
      <c r="C78" s="4"/>
      <c r="D78" s="4"/>
      <c r="E78" s="4"/>
      <c r="F78" s="4"/>
      <c r="G78" s="4"/>
      <c r="H78" s="4"/>
      <c r="I78" s="4"/>
      <c r="J78" s="4"/>
      <c r="K78" s="4"/>
      <c r="L78" s="4"/>
      <c r="M78" s="4"/>
    </row>
    <row r="79" spans="2:13">
      <c r="B79" s="4"/>
      <c r="C79" s="4"/>
      <c r="D79" s="4"/>
      <c r="E79" s="4"/>
      <c r="F79" s="4"/>
      <c r="G79" s="4"/>
      <c r="H79" s="4"/>
      <c r="I79" s="4"/>
      <c r="J79" s="4"/>
      <c r="K79" s="4"/>
      <c r="L79" s="4"/>
      <c r="M79" s="4"/>
    </row>
    <row r="80" spans="2:13">
      <c r="B80" s="4"/>
      <c r="C80" s="4"/>
      <c r="D80" s="4"/>
      <c r="E80" s="4"/>
      <c r="F80" s="4"/>
      <c r="G80" s="4"/>
      <c r="H80" s="4"/>
      <c r="I80" s="4"/>
      <c r="J80" s="4"/>
      <c r="K80" s="4"/>
      <c r="L80" s="4"/>
      <c r="M80" s="4"/>
    </row>
    <row r="81" spans="2:13">
      <c r="B81" s="4"/>
      <c r="C81" s="4"/>
      <c r="D81" s="4"/>
      <c r="E81" s="4"/>
      <c r="F81" s="4"/>
      <c r="G81" s="4"/>
      <c r="H81" s="4"/>
      <c r="I81" s="4"/>
      <c r="J81" s="4"/>
      <c r="K81" s="4"/>
      <c r="L81" s="4"/>
      <c r="M81" s="4"/>
    </row>
    <row r="82" spans="2:13">
      <c r="B82" s="4"/>
      <c r="C82" s="4"/>
      <c r="D82" s="4"/>
      <c r="E82" s="4"/>
      <c r="F82" s="4"/>
      <c r="G82" s="4"/>
      <c r="H82" s="4"/>
      <c r="I82" s="4"/>
      <c r="J82" s="4"/>
      <c r="K82" s="4"/>
      <c r="L82" s="4"/>
      <c r="M82" s="4"/>
    </row>
    <row r="83" spans="2:13">
      <c r="B83" s="4"/>
      <c r="C83" s="4"/>
      <c r="D83" s="4"/>
      <c r="E83" s="4"/>
      <c r="F83" s="4"/>
      <c r="G83" s="4"/>
      <c r="H83" s="4"/>
      <c r="I83" s="4"/>
      <c r="J83" s="4"/>
      <c r="K83" s="4"/>
      <c r="L83" s="4"/>
      <c r="M83" s="4"/>
    </row>
    <row r="84" spans="2:13">
      <c r="B84" s="4"/>
      <c r="C84" s="4"/>
      <c r="D84" s="4"/>
      <c r="E84" s="4"/>
      <c r="F84" s="4"/>
      <c r="G84" s="4"/>
      <c r="H84" s="4"/>
      <c r="I84" s="4"/>
      <c r="J84" s="4"/>
      <c r="K84" s="4"/>
      <c r="L84" s="4"/>
      <c r="M84" s="4"/>
    </row>
    <row r="85" spans="2:13">
      <c r="B85" s="4"/>
      <c r="C85" s="4"/>
      <c r="D85" s="4"/>
      <c r="E85" s="4"/>
      <c r="F85" s="4"/>
      <c r="G85" s="4"/>
      <c r="H85" s="4"/>
      <c r="I85" s="4"/>
      <c r="J85" s="4"/>
      <c r="K85" s="4"/>
      <c r="L85" s="4"/>
      <c r="M85" s="4"/>
    </row>
    <row r="86" spans="2:13">
      <c r="B86" s="4"/>
      <c r="C86" s="4"/>
      <c r="D86" s="4"/>
      <c r="E86" s="4"/>
      <c r="F86" s="4"/>
      <c r="G86" s="4"/>
      <c r="H86" s="4"/>
      <c r="I86" s="4"/>
      <c r="J86" s="4"/>
      <c r="K86" s="4"/>
      <c r="L86" s="4"/>
      <c r="M86" s="4"/>
    </row>
    <row r="87" spans="2:13">
      <c r="B87" s="4"/>
      <c r="C87" s="4"/>
      <c r="D87" s="4"/>
      <c r="E87" s="4"/>
      <c r="F87" s="4"/>
      <c r="G87" s="4"/>
      <c r="H87" s="4"/>
      <c r="I87" s="4"/>
      <c r="J87" s="4"/>
      <c r="K87" s="4"/>
      <c r="L87" s="4"/>
      <c r="M87" s="4"/>
    </row>
    <row r="88" spans="2:13">
      <c r="B88" s="4"/>
      <c r="C88" s="4"/>
      <c r="D88" s="4"/>
      <c r="E88" s="4"/>
      <c r="F88" s="4"/>
      <c r="G88" s="4"/>
      <c r="H88" s="4"/>
      <c r="I88" s="4"/>
      <c r="J88" s="4"/>
      <c r="K88" s="4"/>
      <c r="L88" s="4"/>
      <c r="M88" s="4"/>
    </row>
    <row r="89" spans="2:13">
      <c r="B89" s="4"/>
      <c r="C89" s="4"/>
      <c r="D89" s="4"/>
      <c r="E89" s="4"/>
      <c r="F89" s="4"/>
      <c r="G89" s="4"/>
      <c r="H89" s="4"/>
      <c r="I89" s="4"/>
      <c r="J89" s="4"/>
      <c r="K89" s="4"/>
      <c r="L89" s="4"/>
      <c r="M89" s="4"/>
    </row>
    <row r="90" spans="2:13">
      <c r="B90" s="4"/>
      <c r="C90" s="4"/>
      <c r="D90" s="4"/>
      <c r="E90" s="4"/>
      <c r="F90" s="4"/>
      <c r="G90" s="4"/>
      <c r="H90" s="4"/>
      <c r="I90" s="4"/>
      <c r="J90" s="4"/>
      <c r="K90" s="4"/>
      <c r="L90" s="4"/>
      <c r="M90" s="4"/>
    </row>
    <row r="91" spans="2:13">
      <c r="B91" s="4"/>
      <c r="C91" s="4"/>
      <c r="D91" s="4"/>
      <c r="E91" s="4"/>
      <c r="F91" s="4"/>
      <c r="G91" s="4"/>
      <c r="H91" s="4"/>
      <c r="I91" s="4"/>
      <c r="J91" s="4"/>
      <c r="K91" s="4"/>
      <c r="L91" s="4"/>
      <c r="M91" s="4"/>
    </row>
    <row r="92" spans="2:13">
      <c r="B92" s="4"/>
      <c r="C92" s="4"/>
      <c r="D92" s="4"/>
      <c r="E92" s="4"/>
      <c r="F92" s="4"/>
      <c r="G92" s="4"/>
      <c r="H92" s="4"/>
      <c r="I92" s="4"/>
      <c r="J92" s="4"/>
      <c r="K92" s="4"/>
      <c r="L92" s="4"/>
      <c r="M92" s="4"/>
    </row>
    <row r="93" spans="2:13">
      <c r="B93" s="4"/>
      <c r="C93" s="4"/>
      <c r="D93" s="4"/>
      <c r="E93" s="4"/>
      <c r="F93" s="4"/>
      <c r="G93" s="4"/>
      <c r="H93" s="4"/>
      <c r="I93" s="4"/>
      <c r="J93" s="4"/>
      <c r="K93" s="4"/>
      <c r="L93" s="4"/>
      <c r="M93" s="4"/>
    </row>
    <row r="94" spans="2:13">
      <c r="B94" s="4"/>
      <c r="C94" s="4"/>
      <c r="D94" s="4"/>
      <c r="E94" s="4"/>
      <c r="F94" s="4"/>
      <c r="G94" s="4"/>
      <c r="H94" s="4"/>
      <c r="I94" s="4"/>
      <c r="J94" s="4"/>
      <c r="K94" s="4"/>
      <c r="L94" s="4"/>
      <c r="M94" s="4"/>
    </row>
    <row r="95" spans="2:13">
      <c r="B95" s="4"/>
      <c r="C95" s="4"/>
      <c r="D95" s="4"/>
      <c r="E95" s="4"/>
      <c r="F95" s="4"/>
      <c r="G95" s="4"/>
      <c r="H95" s="4"/>
      <c r="I95" s="4"/>
      <c r="J95" s="4"/>
      <c r="K95" s="4"/>
      <c r="L95" s="4"/>
      <c r="M95" s="4"/>
    </row>
    <row r="96" spans="2:13">
      <c r="B96" s="4"/>
      <c r="C96" s="4"/>
      <c r="D96" s="4"/>
      <c r="E96" s="4"/>
      <c r="F96" s="4"/>
      <c r="G96" s="4"/>
      <c r="H96" s="4"/>
      <c r="I96" s="4"/>
      <c r="J96" s="4"/>
      <c r="K96" s="4"/>
      <c r="L96" s="4"/>
      <c r="M96" s="4"/>
    </row>
    <row r="97" spans="2:13">
      <c r="B97" s="4"/>
      <c r="C97" s="4"/>
      <c r="D97" s="4"/>
      <c r="E97" s="4"/>
      <c r="F97" s="4"/>
      <c r="G97" s="4"/>
      <c r="H97" s="4"/>
      <c r="I97" s="4"/>
      <c r="J97" s="4"/>
      <c r="K97" s="4"/>
      <c r="L97" s="4"/>
      <c r="M97" s="4"/>
    </row>
    <row r="98" spans="2:13">
      <c r="B98" s="4"/>
      <c r="C98" s="4"/>
      <c r="D98" s="4"/>
      <c r="E98" s="4"/>
      <c r="F98" s="4"/>
      <c r="G98" s="4"/>
      <c r="H98" s="4"/>
      <c r="I98" s="4"/>
      <c r="J98" s="4"/>
      <c r="K98" s="4"/>
      <c r="L98" s="4"/>
      <c r="M98" s="4"/>
    </row>
    <row r="99" spans="2:13">
      <c r="B99" s="4"/>
      <c r="C99" s="4"/>
      <c r="D99" s="4"/>
      <c r="E99" s="4"/>
      <c r="F99" s="4"/>
      <c r="G99" s="4"/>
      <c r="H99" s="4"/>
      <c r="I99" s="4"/>
      <c r="J99" s="4"/>
      <c r="K99" s="4"/>
      <c r="L99" s="4"/>
      <c r="M99" s="4"/>
    </row>
    <row r="100" spans="2:13">
      <c r="B100" s="4"/>
      <c r="C100" s="4"/>
      <c r="D100" s="4"/>
      <c r="E100" s="4"/>
      <c r="F100" s="4"/>
      <c r="G100" s="4"/>
      <c r="H100" s="4"/>
      <c r="I100" s="4"/>
      <c r="J100" s="4"/>
      <c r="K100" s="4"/>
      <c r="L100" s="4"/>
      <c r="M100" s="4"/>
    </row>
    <row r="101" spans="2:13">
      <c r="B101" s="4"/>
      <c r="C101" s="4"/>
      <c r="D101" s="4"/>
      <c r="E101" s="4"/>
      <c r="F101" s="4"/>
      <c r="G101" s="4"/>
      <c r="H101" s="4"/>
      <c r="I101" s="4"/>
      <c r="J101" s="4"/>
      <c r="K101" s="4"/>
      <c r="L101" s="4"/>
      <c r="M101" s="4"/>
    </row>
    <row r="102" spans="2:13">
      <c r="B102" s="4"/>
      <c r="C102" s="4"/>
      <c r="D102" s="4"/>
      <c r="E102" s="4"/>
      <c r="F102" s="4"/>
      <c r="G102" s="4"/>
      <c r="H102" s="4"/>
      <c r="I102" s="4"/>
      <c r="J102" s="4"/>
      <c r="K102" s="4"/>
      <c r="L102" s="4"/>
      <c r="M102" s="4"/>
    </row>
    <row r="103" spans="2:13">
      <c r="B103" s="4"/>
      <c r="C103" s="4"/>
      <c r="D103" s="4"/>
      <c r="E103" s="4"/>
      <c r="F103" s="4"/>
      <c r="G103" s="4"/>
      <c r="H103" s="4"/>
      <c r="I103" s="4"/>
      <c r="J103" s="4"/>
      <c r="K103" s="4"/>
      <c r="L103" s="4"/>
      <c r="M103" s="4"/>
    </row>
    <row r="104" spans="2:13">
      <c r="B104" s="4"/>
      <c r="C104" s="4"/>
      <c r="D104" s="4"/>
      <c r="E104" s="4"/>
      <c r="F104" s="4"/>
      <c r="G104" s="4"/>
      <c r="H104" s="4"/>
      <c r="I104" s="4"/>
      <c r="J104" s="4"/>
      <c r="K104" s="4"/>
      <c r="L104" s="4"/>
      <c r="M104" s="4"/>
    </row>
    <row r="105" spans="2:13">
      <c r="B105" s="4"/>
      <c r="C105" s="4"/>
      <c r="D105" s="4"/>
      <c r="E105" s="4"/>
      <c r="F105" s="4"/>
      <c r="G105" s="4"/>
      <c r="H105" s="4"/>
      <c r="I105" s="4"/>
      <c r="J105" s="4"/>
      <c r="K105" s="4"/>
      <c r="L105" s="4"/>
      <c r="M105" s="4"/>
    </row>
    <row r="106" spans="2:13">
      <c r="B106" s="4"/>
      <c r="C106" s="4"/>
      <c r="D106" s="4"/>
      <c r="E106" s="4"/>
      <c r="F106" s="4"/>
      <c r="G106" s="4"/>
      <c r="H106" s="4"/>
      <c r="I106" s="4"/>
      <c r="J106" s="4"/>
      <c r="K106" s="4"/>
      <c r="L106" s="4"/>
      <c r="M106" s="4"/>
    </row>
    <row r="107" spans="2:13">
      <c r="B107" s="4"/>
      <c r="C107" s="4"/>
      <c r="D107" s="4"/>
      <c r="E107" s="4"/>
      <c r="F107" s="4"/>
      <c r="G107" s="4"/>
      <c r="H107" s="4"/>
      <c r="I107" s="4"/>
      <c r="J107" s="4"/>
      <c r="K107" s="4"/>
      <c r="L107" s="4"/>
      <c r="M107" s="4"/>
    </row>
    <row r="108" spans="2:13">
      <c r="B108" s="4"/>
      <c r="C108" s="4"/>
      <c r="D108" s="4"/>
      <c r="E108" s="4"/>
      <c r="F108" s="4"/>
      <c r="G108" s="4"/>
      <c r="H108" s="4"/>
      <c r="I108" s="4"/>
      <c r="J108" s="4"/>
      <c r="K108" s="4"/>
      <c r="L108" s="4"/>
      <c r="M108" s="4"/>
    </row>
    <row r="109" spans="2:13">
      <c r="B109" s="4"/>
      <c r="C109" s="4"/>
      <c r="D109" s="4"/>
      <c r="E109" s="4"/>
      <c r="F109" s="4"/>
      <c r="G109" s="4"/>
      <c r="H109" s="4"/>
      <c r="I109" s="4"/>
      <c r="J109" s="4"/>
      <c r="K109" s="4"/>
      <c r="L109" s="4"/>
      <c r="M109" s="4"/>
    </row>
    <row r="110" spans="2:13">
      <c r="B110" s="4"/>
      <c r="C110" s="4"/>
      <c r="D110" s="4"/>
      <c r="E110" s="4"/>
      <c r="F110" s="4"/>
      <c r="G110" s="4"/>
      <c r="H110" s="4"/>
      <c r="I110" s="4"/>
      <c r="J110" s="4"/>
      <c r="K110" s="4"/>
      <c r="L110" s="4"/>
      <c r="M110" s="4"/>
    </row>
    <row r="111" spans="2:13">
      <c r="B111" s="4"/>
      <c r="C111" s="4"/>
      <c r="D111" s="4"/>
      <c r="E111" s="4"/>
      <c r="F111" s="4"/>
      <c r="G111" s="4"/>
      <c r="H111" s="4"/>
      <c r="I111" s="4"/>
      <c r="J111" s="4"/>
      <c r="K111" s="4"/>
      <c r="L111" s="4"/>
      <c r="M111" s="4"/>
    </row>
    <row r="112" spans="2:13">
      <c r="B112" s="4"/>
      <c r="C112" s="4"/>
      <c r="D112" s="4"/>
      <c r="E112" s="4"/>
      <c r="F112" s="4"/>
      <c r="G112" s="4"/>
      <c r="H112" s="4"/>
      <c r="I112" s="4"/>
      <c r="J112" s="4"/>
      <c r="K112" s="4"/>
      <c r="L112" s="4"/>
      <c r="M112" s="4"/>
    </row>
    <row r="113" spans="2:13">
      <c r="B113" s="4"/>
      <c r="C113" s="4"/>
      <c r="D113" s="4"/>
      <c r="E113" s="4"/>
      <c r="F113" s="4"/>
      <c r="G113" s="4"/>
      <c r="H113" s="4"/>
      <c r="I113" s="4"/>
      <c r="J113" s="4"/>
      <c r="K113" s="4"/>
      <c r="L113" s="4"/>
      <c r="M113" s="4"/>
    </row>
    <row r="114" spans="2:13">
      <c r="B114" s="4"/>
      <c r="C114" s="4"/>
      <c r="D114" s="4"/>
      <c r="E114" s="4"/>
      <c r="F114" s="4"/>
      <c r="G114" s="4"/>
      <c r="H114" s="4"/>
      <c r="I114" s="4"/>
      <c r="J114" s="4"/>
      <c r="K114" s="4"/>
      <c r="L114" s="4"/>
      <c r="M114" s="4"/>
    </row>
    <row r="115" spans="2:13">
      <c r="B115" s="4"/>
      <c r="C115" s="4"/>
      <c r="D115" s="4"/>
      <c r="E115" s="4"/>
      <c r="F115" s="4"/>
      <c r="G115" s="4"/>
      <c r="H115" s="4"/>
      <c r="I115" s="4"/>
      <c r="J115" s="4"/>
      <c r="K115" s="4"/>
      <c r="L115" s="4"/>
      <c r="M115" s="4"/>
    </row>
    <row r="116" spans="2:13">
      <c r="B116" s="4"/>
      <c r="C116" s="4"/>
      <c r="D116" s="4"/>
      <c r="E116" s="4"/>
      <c r="F116" s="4"/>
      <c r="G116" s="4"/>
      <c r="H116" s="4"/>
      <c r="I116" s="4"/>
      <c r="J116" s="4"/>
      <c r="K116" s="4"/>
      <c r="L116" s="4"/>
      <c r="M116" s="4"/>
    </row>
    <row r="117" spans="2:13">
      <c r="B117" s="4"/>
      <c r="C117" s="4"/>
      <c r="D117" s="4"/>
      <c r="E117" s="4"/>
      <c r="F117" s="4"/>
      <c r="G117" s="4"/>
      <c r="H117" s="4"/>
      <c r="I117" s="4"/>
      <c r="J117" s="4"/>
      <c r="K117" s="4"/>
      <c r="L117" s="4"/>
      <c r="M117" s="4"/>
    </row>
    <row r="118" spans="2:13">
      <c r="B118" s="4"/>
      <c r="C118" s="4"/>
      <c r="D118" s="4"/>
      <c r="E118" s="4"/>
      <c r="F118" s="4"/>
      <c r="G118" s="4"/>
      <c r="H118" s="4"/>
      <c r="I118" s="4"/>
      <c r="J118" s="4"/>
      <c r="K118" s="4"/>
      <c r="L118" s="4"/>
      <c r="M118" s="4"/>
    </row>
    <row r="119" spans="2:13">
      <c r="B119" s="4"/>
      <c r="C119" s="4"/>
      <c r="D119" s="4"/>
      <c r="E119" s="4"/>
      <c r="F119" s="4"/>
      <c r="G119" s="4"/>
      <c r="H119" s="4"/>
      <c r="I119" s="4"/>
      <c r="J119" s="4"/>
      <c r="K119" s="4"/>
      <c r="L119" s="4"/>
      <c r="M119" s="4"/>
    </row>
    <row r="120" spans="2:13">
      <c r="B120" s="4"/>
      <c r="C120" s="4"/>
      <c r="D120" s="4"/>
      <c r="E120" s="4"/>
      <c r="F120" s="4"/>
      <c r="G120" s="4"/>
      <c r="H120" s="4"/>
      <c r="I120" s="4"/>
      <c r="J120" s="4"/>
      <c r="K120" s="4"/>
      <c r="L120" s="4"/>
      <c r="M120" s="4"/>
    </row>
    <row r="121" spans="2:13">
      <c r="B121" s="4"/>
      <c r="C121" s="4"/>
      <c r="D121" s="4"/>
      <c r="E121" s="4"/>
      <c r="F121" s="4"/>
      <c r="G121" s="4"/>
      <c r="H121" s="4"/>
      <c r="I121" s="4"/>
      <c r="J121" s="4"/>
      <c r="K121" s="4"/>
      <c r="L121" s="4"/>
      <c r="M121" s="4"/>
    </row>
    <row r="122" spans="2:13">
      <c r="B122" s="4"/>
      <c r="C122" s="4"/>
      <c r="D122" s="4"/>
      <c r="E122" s="4"/>
      <c r="F122" s="4"/>
      <c r="G122" s="4"/>
      <c r="H122" s="4"/>
      <c r="I122" s="4"/>
      <c r="J122" s="4"/>
      <c r="K122" s="4"/>
      <c r="L122" s="4"/>
      <c r="M122" s="4"/>
    </row>
    <row r="123" spans="2:13">
      <c r="B123" s="4"/>
      <c r="C123" s="4"/>
      <c r="D123" s="4"/>
      <c r="E123" s="4"/>
      <c r="F123" s="4"/>
      <c r="G123" s="4"/>
      <c r="H123" s="4"/>
      <c r="I123" s="4"/>
      <c r="J123" s="4"/>
      <c r="K123" s="4"/>
      <c r="L123" s="4"/>
      <c r="M123" s="4"/>
    </row>
    <row r="124" spans="2:13">
      <c r="B124" s="4"/>
      <c r="C124" s="4"/>
      <c r="D124" s="4"/>
      <c r="E124" s="4"/>
      <c r="F124" s="4"/>
      <c r="G124" s="4"/>
      <c r="H124" s="4"/>
      <c r="I124" s="4"/>
      <c r="J124" s="4"/>
      <c r="K124" s="4"/>
      <c r="L124" s="4"/>
      <c r="M124" s="4"/>
    </row>
    <row r="125" spans="2:13">
      <c r="B125" s="4"/>
      <c r="C125" s="4"/>
      <c r="D125" s="4"/>
      <c r="E125" s="4"/>
      <c r="F125" s="4"/>
      <c r="G125" s="4"/>
      <c r="H125" s="4"/>
      <c r="I125" s="4"/>
      <c r="J125" s="4"/>
      <c r="K125" s="4"/>
      <c r="L125" s="4"/>
      <c r="M125" s="4"/>
    </row>
    <row r="126" spans="2:13">
      <c r="B126" s="4"/>
      <c r="C126" s="4"/>
      <c r="D126" s="4"/>
      <c r="E126" s="4"/>
      <c r="F126" s="4"/>
      <c r="G126" s="4"/>
      <c r="H126" s="4"/>
      <c r="I126" s="4"/>
      <c r="J126" s="4"/>
      <c r="K126" s="4"/>
      <c r="L126" s="4"/>
      <c r="M126" s="4"/>
    </row>
    <row r="127" spans="2:13">
      <c r="B127" s="4"/>
      <c r="C127" s="4"/>
      <c r="D127" s="4"/>
      <c r="E127" s="4"/>
      <c r="F127" s="4"/>
      <c r="G127" s="4"/>
      <c r="H127" s="4"/>
      <c r="I127" s="4"/>
      <c r="J127" s="4"/>
      <c r="K127" s="4"/>
      <c r="L127" s="4"/>
      <c r="M127" s="4"/>
    </row>
    <row r="128" spans="2:13">
      <c r="B128" s="4"/>
      <c r="C128" s="4"/>
      <c r="D128" s="4"/>
      <c r="E128" s="4"/>
      <c r="F128" s="4"/>
      <c r="G128" s="4"/>
      <c r="H128" s="4"/>
      <c r="I128" s="4"/>
      <c r="J128" s="4"/>
      <c r="K128" s="4"/>
      <c r="L128" s="4"/>
      <c r="M128" s="4"/>
    </row>
    <row r="129" spans="2:13">
      <c r="B129" s="4"/>
      <c r="C129" s="4"/>
      <c r="D129" s="4"/>
      <c r="E129" s="4"/>
      <c r="F129" s="4"/>
      <c r="G129" s="4"/>
      <c r="H129" s="4"/>
      <c r="I129" s="4"/>
      <c r="J129" s="4"/>
      <c r="K129" s="4"/>
      <c r="L129" s="4"/>
      <c r="M129" s="4"/>
    </row>
    <row r="130" spans="2:13">
      <c r="B130" s="4"/>
      <c r="C130" s="4"/>
      <c r="D130" s="4"/>
      <c r="E130" s="4"/>
      <c r="F130" s="4"/>
      <c r="G130" s="4"/>
      <c r="H130" s="4"/>
      <c r="I130" s="4"/>
      <c r="J130" s="4"/>
      <c r="K130" s="4"/>
      <c r="L130" s="4"/>
      <c r="M130" s="4"/>
    </row>
    <row r="131" spans="2:13">
      <c r="B131" s="4"/>
      <c r="C131" s="4"/>
      <c r="D131" s="4"/>
      <c r="E131" s="4"/>
      <c r="F131" s="4"/>
      <c r="G131" s="4"/>
      <c r="H131" s="4"/>
      <c r="I131" s="4"/>
      <c r="J131" s="4"/>
      <c r="K131" s="4"/>
      <c r="L131" s="4"/>
      <c r="M131" s="4"/>
    </row>
    <row r="132" spans="2:13">
      <c r="B132" s="4"/>
      <c r="C132" s="4"/>
      <c r="D132" s="4"/>
      <c r="E132" s="4"/>
      <c r="F132" s="4"/>
      <c r="G132" s="4"/>
      <c r="H132" s="4"/>
      <c r="I132" s="4"/>
      <c r="J132" s="4"/>
      <c r="K132" s="4"/>
      <c r="L132" s="4"/>
      <c r="M132" s="4"/>
    </row>
    <row r="133" spans="2:13">
      <c r="B133" s="4"/>
      <c r="C133" s="4"/>
      <c r="D133" s="4"/>
      <c r="E133" s="4"/>
      <c r="F133" s="4"/>
      <c r="G133" s="4"/>
      <c r="H133" s="4"/>
      <c r="I133" s="4"/>
      <c r="J133" s="4"/>
      <c r="K133" s="4"/>
      <c r="L133" s="4"/>
      <c r="M133" s="4"/>
    </row>
    <row r="134" spans="2:13">
      <c r="B134" s="4"/>
      <c r="C134" s="4"/>
      <c r="D134" s="4"/>
      <c r="E134" s="4"/>
      <c r="F134" s="4"/>
      <c r="G134" s="4"/>
      <c r="H134" s="4"/>
      <c r="I134" s="4"/>
      <c r="J134" s="4"/>
      <c r="K134" s="4"/>
      <c r="L134" s="4"/>
      <c r="M134" s="4"/>
    </row>
    <row r="135" spans="2:13">
      <c r="B135" s="4"/>
      <c r="C135" s="4"/>
      <c r="D135" s="4"/>
      <c r="E135" s="4"/>
      <c r="F135" s="4"/>
      <c r="G135" s="4"/>
      <c r="H135" s="4"/>
      <c r="I135" s="4"/>
      <c r="J135" s="4"/>
      <c r="K135" s="4"/>
      <c r="L135" s="4"/>
      <c r="M135" s="4"/>
    </row>
    <row r="136" spans="2:13">
      <c r="B136" s="4"/>
      <c r="C136" s="4"/>
      <c r="D136" s="4"/>
      <c r="E136" s="4"/>
      <c r="F136" s="4"/>
      <c r="G136" s="4"/>
      <c r="H136" s="4"/>
      <c r="I136" s="4"/>
      <c r="J136" s="4"/>
      <c r="K136" s="4"/>
      <c r="L136" s="4"/>
      <c r="M136" s="4"/>
    </row>
    <row r="137" spans="2:13">
      <c r="B137" s="4"/>
      <c r="C137" s="4"/>
      <c r="D137" s="4"/>
      <c r="E137" s="4"/>
      <c r="F137" s="4"/>
      <c r="G137" s="4"/>
      <c r="H137" s="4"/>
      <c r="I137" s="4"/>
      <c r="J137" s="4"/>
      <c r="K137" s="4"/>
      <c r="L137" s="4"/>
      <c r="M137" s="4"/>
    </row>
    <row r="138" spans="2:13">
      <c r="B138" s="4"/>
      <c r="C138" s="4"/>
      <c r="D138" s="4"/>
      <c r="E138" s="4"/>
      <c r="F138" s="4"/>
      <c r="G138" s="4"/>
      <c r="H138" s="4"/>
      <c r="I138" s="4"/>
      <c r="J138" s="4"/>
      <c r="K138" s="4"/>
      <c r="L138" s="4"/>
      <c r="M138" s="4"/>
    </row>
    <row r="139" spans="2:13">
      <c r="B139" s="4"/>
      <c r="C139" s="4"/>
      <c r="D139" s="4"/>
      <c r="E139" s="4"/>
      <c r="F139" s="4"/>
      <c r="G139" s="4"/>
      <c r="H139" s="4"/>
      <c r="I139" s="4"/>
      <c r="J139" s="4"/>
      <c r="K139" s="4"/>
      <c r="L139" s="4"/>
      <c r="M139" s="4"/>
    </row>
    <row r="140" spans="2:13">
      <c r="B140" s="4"/>
      <c r="C140" s="4"/>
      <c r="D140" s="4"/>
      <c r="E140" s="4"/>
      <c r="F140" s="4"/>
      <c r="G140" s="4"/>
      <c r="H140" s="4"/>
      <c r="I140" s="4"/>
      <c r="J140" s="4"/>
      <c r="K140" s="4"/>
      <c r="L140" s="4"/>
      <c r="M140" s="4"/>
    </row>
    <row r="141" spans="2:13">
      <c r="B141" s="4"/>
      <c r="C141" s="4"/>
      <c r="D141" s="4"/>
      <c r="E141" s="4"/>
      <c r="F141" s="4"/>
      <c r="G141" s="4"/>
      <c r="H141" s="4"/>
      <c r="I141" s="4"/>
      <c r="J141" s="4"/>
      <c r="K141" s="4"/>
      <c r="L141" s="4"/>
      <c r="M141" s="4"/>
    </row>
    <row r="142" spans="2:13">
      <c r="B142" s="4"/>
      <c r="C142" s="4"/>
      <c r="D142" s="4"/>
      <c r="E142" s="4"/>
      <c r="F142" s="4"/>
      <c r="G142" s="4"/>
      <c r="H142" s="4"/>
      <c r="I142" s="4"/>
      <c r="J142" s="4"/>
      <c r="K142" s="4"/>
      <c r="L142" s="4"/>
      <c r="M142" s="4"/>
    </row>
    <row r="143" spans="2:13">
      <c r="B143" s="4"/>
      <c r="C143" s="4"/>
      <c r="D143" s="4"/>
      <c r="E143" s="4"/>
      <c r="F143" s="4"/>
      <c r="G143" s="4"/>
      <c r="H143" s="4"/>
      <c r="I143" s="4"/>
      <c r="J143" s="4"/>
      <c r="K143" s="4"/>
      <c r="L143" s="4"/>
      <c r="M143" s="4"/>
    </row>
    <row r="144" spans="2:13">
      <c r="B144" s="4"/>
      <c r="C144" s="4"/>
      <c r="D144" s="4"/>
      <c r="E144" s="4"/>
      <c r="F144" s="4"/>
      <c r="G144" s="4"/>
      <c r="H144" s="4"/>
      <c r="I144" s="4"/>
      <c r="J144" s="4"/>
      <c r="K144" s="4"/>
      <c r="L144" s="4"/>
      <c r="M144" s="4"/>
    </row>
    <row r="145" spans="2:13">
      <c r="B145" s="4"/>
      <c r="C145" s="4"/>
      <c r="D145" s="4"/>
      <c r="E145" s="4"/>
      <c r="F145" s="4"/>
      <c r="G145" s="4"/>
      <c r="H145" s="4"/>
      <c r="I145" s="4"/>
      <c r="J145" s="4"/>
      <c r="K145" s="4"/>
      <c r="L145" s="4"/>
      <c r="M145" s="4"/>
    </row>
    <row r="146" spans="2:13">
      <c r="B146" s="4"/>
      <c r="C146" s="4"/>
      <c r="D146" s="4"/>
      <c r="E146" s="4"/>
      <c r="F146" s="4"/>
      <c r="G146" s="4"/>
      <c r="H146" s="4"/>
      <c r="I146" s="4"/>
      <c r="J146" s="4"/>
      <c r="K146" s="4"/>
      <c r="L146" s="4"/>
      <c r="M146" s="4"/>
    </row>
    <row r="147" spans="2:13">
      <c r="B147" s="4"/>
      <c r="C147" s="4"/>
      <c r="D147" s="4"/>
      <c r="E147" s="4"/>
      <c r="F147" s="4"/>
      <c r="G147" s="4"/>
      <c r="H147" s="4"/>
      <c r="I147" s="4"/>
      <c r="J147" s="4"/>
      <c r="K147" s="4"/>
      <c r="L147" s="4"/>
      <c r="M147" s="4"/>
    </row>
    <row r="148" spans="2:13">
      <c r="B148" s="4"/>
      <c r="C148" s="4"/>
      <c r="D148" s="4"/>
      <c r="E148" s="4"/>
      <c r="F148" s="4"/>
      <c r="G148" s="4"/>
      <c r="H148" s="4"/>
      <c r="I148" s="4"/>
      <c r="J148" s="4"/>
      <c r="K148" s="4"/>
      <c r="L148" s="4"/>
      <c r="M148" s="4"/>
    </row>
    <row r="149" spans="2:13">
      <c r="B149" s="4"/>
      <c r="C149" s="4"/>
      <c r="D149" s="4"/>
      <c r="E149" s="4"/>
      <c r="F149" s="4"/>
      <c r="G149" s="4"/>
      <c r="H149" s="4"/>
      <c r="I149" s="4"/>
      <c r="J149" s="4"/>
      <c r="K149" s="4"/>
      <c r="L149" s="4"/>
      <c r="M149" s="4"/>
    </row>
    <row r="150" spans="2:13">
      <c r="B150" s="4"/>
      <c r="C150" s="4"/>
      <c r="D150" s="4"/>
      <c r="E150" s="4"/>
      <c r="F150" s="4"/>
      <c r="G150" s="4"/>
      <c r="H150" s="4"/>
      <c r="I150" s="4"/>
      <c r="J150" s="4"/>
      <c r="K150" s="4"/>
      <c r="L150" s="4"/>
      <c r="M150" s="4"/>
    </row>
    <row r="151" spans="2:13">
      <c r="B151" s="4"/>
      <c r="C151" s="4"/>
      <c r="D151" s="4"/>
      <c r="E151" s="4"/>
      <c r="F151" s="4"/>
      <c r="G151" s="4"/>
      <c r="H151" s="4"/>
      <c r="I151" s="4"/>
      <c r="J151" s="4"/>
      <c r="K151" s="4"/>
      <c r="L151" s="4"/>
      <c r="M151" s="4"/>
    </row>
    <row r="152" spans="2:13">
      <c r="B152" s="4"/>
      <c r="C152" s="4"/>
      <c r="D152" s="4"/>
      <c r="E152" s="4"/>
      <c r="F152" s="4"/>
      <c r="G152" s="4"/>
      <c r="H152" s="4"/>
      <c r="I152" s="4"/>
      <c r="J152" s="4"/>
      <c r="K152" s="4"/>
      <c r="L152" s="4"/>
      <c r="M152" s="4"/>
    </row>
    <row r="153" spans="2:13">
      <c r="B153" s="4"/>
      <c r="C153" s="4"/>
      <c r="D153" s="4"/>
      <c r="E153" s="4"/>
      <c r="F153" s="4"/>
      <c r="G153" s="4"/>
      <c r="H153" s="4"/>
      <c r="I153" s="4"/>
      <c r="J153" s="4"/>
      <c r="K153" s="4"/>
      <c r="L153" s="4"/>
      <c r="M153" s="4"/>
    </row>
    <row r="154" spans="2:13">
      <c r="B154" s="4"/>
      <c r="C154" s="4"/>
      <c r="D154" s="4"/>
      <c r="E154" s="4"/>
      <c r="F154" s="4"/>
      <c r="G154" s="4"/>
      <c r="H154" s="4"/>
      <c r="I154" s="4"/>
      <c r="J154" s="4"/>
      <c r="K154" s="4"/>
      <c r="L154" s="4"/>
      <c r="M154" s="4"/>
    </row>
    <row r="155" spans="2:13">
      <c r="B155" s="4"/>
      <c r="C155" s="4"/>
      <c r="D155" s="4"/>
      <c r="E155" s="4"/>
      <c r="F155" s="4"/>
      <c r="G155" s="4"/>
      <c r="H155" s="4"/>
      <c r="I155" s="4"/>
      <c r="J155" s="4"/>
      <c r="K155" s="4"/>
      <c r="L155" s="4"/>
      <c r="M155" s="4"/>
    </row>
    <row r="156" spans="2:13">
      <c r="B156" s="4"/>
      <c r="C156" s="4"/>
      <c r="D156" s="4"/>
      <c r="E156" s="4"/>
      <c r="F156" s="4"/>
      <c r="G156" s="4"/>
      <c r="H156" s="4"/>
      <c r="I156" s="4"/>
      <c r="J156" s="4"/>
      <c r="K156" s="4"/>
      <c r="L156" s="4"/>
      <c r="M156" s="4"/>
    </row>
    <row r="157" spans="2:13">
      <c r="B157" s="4"/>
      <c r="C157" s="4"/>
      <c r="D157" s="4"/>
      <c r="E157" s="4"/>
      <c r="F157" s="4"/>
      <c r="G157" s="4"/>
      <c r="H157" s="4"/>
      <c r="I157" s="4"/>
      <c r="J157" s="4"/>
      <c r="K157" s="4"/>
      <c r="L157" s="4"/>
      <c r="M157" s="4"/>
    </row>
    <row r="158" spans="2:13">
      <c r="B158" s="4"/>
      <c r="C158" s="4"/>
      <c r="D158" s="4"/>
      <c r="E158" s="4"/>
      <c r="F158" s="4"/>
      <c r="G158" s="4"/>
      <c r="H158" s="4"/>
      <c r="I158" s="4"/>
      <c r="J158" s="4"/>
      <c r="K158" s="4"/>
      <c r="L158" s="4"/>
      <c r="M158" s="4"/>
    </row>
    <row r="159" spans="2:13">
      <c r="B159" s="4"/>
      <c r="C159" s="4"/>
      <c r="D159" s="4"/>
      <c r="E159" s="4"/>
      <c r="F159" s="4"/>
      <c r="G159" s="4"/>
      <c r="H159" s="4"/>
      <c r="I159" s="4"/>
      <c r="J159" s="4"/>
      <c r="K159" s="4"/>
      <c r="L159" s="4"/>
      <c r="M159" s="4"/>
    </row>
    <row r="160" spans="2:13">
      <c r="B160" s="4"/>
      <c r="C160" s="4"/>
      <c r="D160" s="4"/>
      <c r="E160" s="4"/>
      <c r="F160" s="4"/>
      <c r="G160" s="4"/>
      <c r="H160" s="4"/>
      <c r="I160" s="4"/>
      <c r="J160" s="4"/>
      <c r="K160" s="4"/>
      <c r="L160" s="4"/>
      <c r="M160" s="4"/>
    </row>
  </sheetData>
  <mergeCells count="3">
    <mergeCell ref="A1:P1"/>
    <mergeCell ref="A2:P2"/>
    <mergeCell ref="A3:P3"/>
  </mergeCells>
  <pageMargins left="0.75" right="0.75" top="1" bottom="1" header="0.5" footer="0.5"/>
  <pageSetup scale="61" orientation="landscape" r:id="rId1"/>
  <headerFooter alignWithMargins="0">
    <oddFooter>&amp;L&amp;Z
&amp;F&amp;C&amp;A&amp;R7.&amp;P</oddFooter>
  </headerFooter>
  <rowBreaks count="1" manualBreakCount="1">
    <brk id="44" max="15" man="1"/>
  </rowBreaks>
</worksheet>
</file>

<file path=xl/worksheets/sheet6.xml><?xml version="1.0" encoding="utf-8"?>
<worksheet xmlns="http://schemas.openxmlformats.org/spreadsheetml/2006/main" xmlns:r="http://schemas.openxmlformats.org/officeDocument/2006/relationships">
  <sheetPr codeName="Sheet6"/>
  <dimension ref="A1:AJ2"/>
  <sheetViews>
    <sheetView workbookViewId="0">
      <selection activeCell="A2" sqref="A2:AZ2"/>
    </sheetView>
  </sheetViews>
  <sheetFormatPr defaultColWidth="25.7109375" defaultRowHeight="13.5"/>
  <cols>
    <col min="1" max="16384" width="25.7109375" style="14"/>
  </cols>
  <sheetData>
    <row r="1" spans="1:36">
      <c r="A1" s="14">
        <v>1</v>
      </c>
      <c r="B1" s="14">
        <v>52</v>
      </c>
      <c r="C1" s="14" t="s">
        <v>781</v>
      </c>
    </row>
    <row r="2" spans="1:36">
      <c r="A2" s="14">
        <v>0</v>
      </c>
      <c r="B2" s="14">
        <v>0</v>
      </c>
      <c r="C2" s="14">
        <v>10</v>
      </c>
      <c r="D2" s="14">
        <v>101</v>
      </c>
      <c r="E2" s="14">
        <v>3301</v>
      </c>
      <c r="F2" s="14">
        <v>10</v>
      </c>
      <c r="G2" s="18">
        <v>38568.409583333334</v>
      </c>
      <c r="H2" s="14">
        <v>1071</v>
      </c>
      <c r="I2" s="14">
        <v>1071</v>
      </c>
      <c r="J2" s="18">
        <v>38568.399768518517</v>
      </c>
      <c r="K2" s="14">
        <v>1071</v>
      </c>
      <c r="L2" s="14" t="s">
        <v>750</v>
      </c>
      <c r="M2" s="17" t="s">
        <v>247</v>
      </c>
      <c r="O2" s="14" t="s">
        <v>774</v>
      </c>
      <c r="P2" s="14">
        <v>65</v>
      </c>
      <c r="Q2" s="14" t="s">
        <v>775</v>
      </c>
      <c r="T2" s="17" t="s">
        <v>744</v>
      </c>
      <c r="U2" s="14" t="s">
        <v>195</v>
      </c>
      <c r="W2" s="14" t="s">
        <v>197</v>
      </c>
      <c r="X2" s="14" t="s">
        <v>197</v>
      </c>
      <c r="Y2" s="14" t="s">
        <v>750</v>
      </c>
      <c r="AA2" s="17" t="s">
        <v>780</v>
      </c>
      <c r="AB2" s="14" t="s">
        <v>750</v>
      </c>
      <c r="AE2" s="17" t="s">
        <v>744</v>
      </c>
      <c r="AF2" s="17" t="s">
        <v>744</v>
      </c>
      <c r="AG2" s="14">
        <v>12</v>
      </c>
      <c r="AH2" s="14">
        <v>2</v>
      </c>
      <c r="AI2" s="17" t="s">
        <v>744</v>
      </c>
      <c r="AJ2" s="14" t="s">
        <v>246</v>
      </c>
    </row>
  </sheetData>
  <customSheetViews>
    <customSheetView guid="{6B74E52F-9552-408A-8775-25AFF24E6639}" state="hidden" showRuler="0">
      <selection activeCell="A2" sqref="A2:AZ2"/>
      <pageMargins left="0.75" right="0.75" top="1" bottom="1" header="0.5" footer="0.5"/>
      <headerFooter alignWithMargins="0"/>
    </customSheetView>
  </customSheetViews>
  <phoneticPr fontId="4" type="noConversion"/>
  <pageMargins left="0.75" right="0.75" top="1" bottom="1" header="0.5" footer="0.5"/>
  <headerFooter alignWithMargins="0"/>
</worksheet>
</file>

<file path=xl/worksheets/sheet60.xml><?xml version="1.0" encoding="utf-8"?>
<worksheet xmlns="http://schemas.openxmlformats.org/spreadsheetml/2006/main" xmlns:r="http://schemas.openxmlformats.org/officeDocument/2006/relationships">
  <sheetPr codeName="Sheet97">
    <tabColor indexed="32"/>
  </sheetPr>
  <dimension ref="A1:M187"/>
  <sheetViews>
    <sheetView zoomScaleNormal="100" workbookViewId="0">
      <selection sqref="A1:P1"/>
    </sheetView>
  </sheetViews>
  <sheetFormatPr defaultRowHeight="12.75"/>
  <cols>
    <col min="1" max="1" width="40.5703125" bestFit="1" customWidth="1"/>
    <col min="2" max="2" width="17.7109375" customWidth="1"/>
    <col min="3" max="3" width="1.7109375" customWidth="1"/>
    <col min="4" max="4" width="17.7109375" customWidth="1"/>
    <col min="5" max="5" width="1.7109375" customWidth="1"/>
    <col min="6" max="6" width="17.7109375" customWidth="1"/>
    <col min="7" max="7" width="1.7109375" customWidth="1"/>
    <col min="8" max="8" width="17.7109375" customWidth="1"/>
    <col min="9" max="9" width="1.7109375" customWidth="1"/>
    <col min="10" max="10" width="17.7109375" customWidth="1"/>
    <col min="11" max="11" width="1.7109375" customWidth="1"/>
    <col min="12" max="12" width="17.7109375" customWidth="1"/>
    <col min="13" max="13" width="2.140625" customWidth="1"/>
  </cols>
  <sheetData>
    <row r="1" spans="1:13" s="38" customFormat="1" ht="15.75">
      <c r="A1" s="366" t="s">
        <v>134</v>
      </c>
      <c r="B1" s="366"/>
      <c r="C1" s="366"/>
      <c r="D1" s="366"/>
      <c r="E1" s="366"/>
      <c r="F1" s="366"/>
      <c r="G1" s="366"/>
      <c r="H1" s="366"/>
      <c r="I1" s="366"/>
      <c r="J1" s="366"/>
      <c r="K1" s="366"/>
      <c r="L1" s="366"/>
    </row>
    <row r="2" spans="1:13" s="38" customFormat="1" ht="15.75">
      <c r="A2" s="366" t="s">
        <v>1186</v>
      </c>
      <c r="B2" s="366"/>
      <c r="C2" s="366"/>
      <c r="D2" s="366"/>
      <c r="E2" s="366"/>
      <c r="F2" s="366"/>
      <c r="G2" s="366"/>
      <c r="H2" s="366"/>
      <c r="I2" s="366"/>
      <c r="J2" s="366"/>
      <c r="K2" s="366"/>
      <c r="L2" s="366"/>
    </row>
    <row r="3" spans="1:13">
      <c r="A3" s="357" t="str">
        <f>'Summary - Cost - PG 1 (Tot)'!A3:N3</f>
        <v>MARCH 2012</v>
      </c>
      <c r="B3" s="357"/>
      <c r="C3" s="357"/>
      <c r="D3" s="357"/>
      <c r="E3" s="357"/>
      <c r="F3" s="357"/>
      <c r="G3" s="357"/>
      <c r="H3" s="357"/>
      <c r="I3" s="357"/>
      <c r="J3" s="357"/>
      <c r="K3" s="357"/>
      <c r="L3" s="357"/>
    </row>
    <row r="4" spans="1:13">
      <c r="A4" s="190"/>
      <c r="B4" s="190"/>
      <c r="C4" s="190"/>
      <c r="D4" s="190"/>
      <c r="E4" s="190"/>
      <c r="F4" s="190"/>
      <c r="G4" s="190"/>
      <c r="H4" s="190"/>
      <c r="I4" s="190"/>
      <c r="J4" s="190"/>
      <c r="K4" s="190"/>
      <c r="L4" s="190"/>
    </row>
    <row r="6" spans="1:13">
      <c r="B6" s="41" t="s">
        <v>25</v>
      </c>
      <c r="D6" s="33"/>
      <c r="F6" s="33"/>
      <c r="H6" s="41" t="s">
        <v>612</v>
      </c>
      <c r="J6" s="33"/>
      <c r="L6" s="41" t="s">
        <v>26</v>
      </c>
    </row>
    <row r="7" spans="1:13" s="10" customFormat="1">
      <c r="B7" s="42" t="s">
        <v>27</v>
      </c>
      <c r="C7"/>
      <c r="D7" s="42" t="s">
        <v>107</v>
      </c>
      <c r="E7"/>
      <c r="F7" s="42" t="s">
        <v>108</v>
      </c>
      <c r="G7"/>
      <c r="H7" s="42" t="s">
        <v>613</v>
      </c>
      <c r="I7"/>
      <c r="J7" s="42" t="s">
        <v>109</v>
      </c>
      <c r="K7"/>
      <c r="L7" s="42" t="s">
        <v>27</v>
      </c>
    </row>
    <row r="8" spans="1:13" s="10" customFormat="1">
      <c r="B8" s="54"/>
      <c r="C8"/>
      <c r="D8" s="54"/>
      <c r="E8"/>
      <c r="F8" s="54"/>
      <c r="G8"/>
      <c r="H8" s="54"/>
      <c r="I8"/>
      <c r="J8" s="54"/>
      <c r="K8"/>
      <c r="L8" s="54"/>
    </row>
    <row r="9" spans="1:13" s="10" customFormat="1">
      <c r="A9" s="12" t="s">
        <v>572</v>
      </c>
      <c r="B9"/>
      <c r="C9"/>
      <c r="D9"/>
      <c r="E9"/>
      <c r="F9"/>
      <c r="G9"/>
      <c r="H9"/>
      <c r="I9"/>
      <c r="J9"/>
      <c r="K9"/>
      <c r="L9"/>
    </row>
    <row r="10" spans="1:13" s="10" customFormat="1">
      <c r="A10" s="12" t="s">
        <v>807</v>
      </c>
      <c r="B10"/>
      <c r="C10"/>
      <c r="D10"/>
      <c r="E10"/>
      <c r="F10"/>
      <c r="G10"/>
      <c r="H10"/>
      <c r="I10"/>
      <c r="J10"/>
      <c r="K10"/>
      <c r="L10"/>
    </row>
    <row r="11" spans="1:13">
      <c r="A11" t="s">
        <v>19</v>
      </c>
      <c r="B11" s="33">
        <f>+'KY_Cost Plant Acct-Comm-P8(Fin)'!B11+'KY_Cost-Plant Acct-Comm-P8(PA)'!B11</f>
        <v>1685316.06</v>
      </c>
      <c r="C11" s="33"/>
      <c r="D11" s="33">
        <f>+'KY_Cost Plant Acct-Comm-P8(Fin)'!D11+'KY_Cost-Plant Acct-Comm-P8(PA)'!D11</f>
        <v>0</v>
      </c>
      <c r="E11" s="33"/>
      <c r="F11" s="33">
        <f>+'KY_Cost Plant Acct-Comm-P8(Fin)'!F11+'KY_Cost-Plant Acct-Comm-P8(PA)'!F11</f>
        <v>0</v>
      </c>
      <c r="G11" s="33"/>
      <c r="H11" s="33">
        <f>+'KY_Cost Plant Acct-Comm-P8(Fin)'!H11+'KY_Cost-Plant Acct-Comm-P8(PA)'!H11</f>
        <v>0</v>
      </c>
      <c r="I11" s="33"/>
      <c r="J11" s="33">
        <f>H11+F11+D11</f>
        <v>0</v>
      </c>
      <c r="K11" s="33"/>
      <c r="L11" s="33">
        <f>J11+B11</f>
        <v>1685316.06</v>
      </c>
      <c r="M11" s="1"/>
    </row>
    <row r="12" spans="1:13">
      <c r="A12" t="s">
        <v>20</v>
      </c>
      <c r="B12" s="33">
        <f>+'KY_Cost Plant Acct-Comm-P8(Fin)'!B12+'KY_Cost-Plant Acct-Comm-P8(PA)'!B12</f>
        <v>74183.680000000008</v>
      </c>
      <c r="C12" s="33"/>
      <c r="D12" s="33">
        <f>+'KY_Cost Plant Acct-Comm-P8(Fin)'!D12+'KY_Cost-Plant Acct-Comm-P8(PA)'!D12</f>
        <v>0</v>
      </c>
      <c r="E12" s="33"/>
      <c r="F12" s="33">
        <f>+'KY_Cost Plant Acct-Comm-P8(Fin)'!F12+'KY_Cost-Plant Acct-Comm-P8(PA)'!F12</f>
        <v>0</v>
      </c>
      <c r="G12" s="33"/>
      <c r="H12" s="33">
        <f>+'KY_Cost Plant Acct-Comm-P8(Fin)'!H12+'KY_Cost-Plant Acct-Comm-P8(PA)'!H12</f>
        <v>0</v>
      </c>
      <c r="I12" s="33"/>
      <c r="J12" s="33">
        <f t="shared" ref="J12:J39" si="0">H12+F12+D12</f>
        <v>0</v>
      </c>
      <c r="K12" s="33"/>
      <c r="L12" s="33">
        <f t="shared" ref="L12:L39" si="1">J12+B12</f>
        <v>74183.680000000008</v>
      </c>
      <c r="M12" s="1"/>
    </row>
    <row r="13" spans="1:13">
      <c r="A13" t="s">
        <v>266</v>
      </c>
      <c r="B13" s="33">
        <f>+'KY_Cost Plant Acct-Comm-P8(Fin)'!B13+'KY_Cost-Plant Acct-Comm-P8(PA)'!B13</f>
        <v>43718522.160000011</v>
      </c>
      <c r="C13" s="33"/>
      <c r="D13" s="33">
        <f>+'KY_Cost Plant Acct-Comm-P8(Fin)'!D13+'KY_Cost-Plant Acct-Comm-P8(PA)'!D13</f>
        <v>795499</v>
      </c>
      <c r="E13" s="33"/>
      <c r="F13" s="33">
        <f>+'KY_Cost Plant Acct-Comm-P8(Fin)'!F13+'KY_Cost-Plant Acct-Comm-P8(PA)'!F13</f>
        <v>-48802.84</v>
      </c>
      <c r="G13" s="33"/>
      <c r="H13" s="33">
        <f>+'KY_Cost Plant Acct-Comm-P8(Fin)'!H13+'KY_Cost-Plant Acct-Comm-P8(PA)'!H13</f>
        <v>0</v>
      </c>
      <c r="I13" s="33"/>
      <c r="J13" s="33">
        <f t="shared" si="0"/>
        <v>746696.16</v>
      </c>
      <c r="K13" s="33"/>
      <c r="L13" s="33">
        <f t="shared" si="1"/>
        <v>44465218.320000008</v>
      </c>
      <c r="M13" s="1"/>
    </row>
    <row r="14" spans="1:13">
      <c r="A14" t="s">
        <v>84</v>
      </c>
      <c r="B14" s="33">
        <f>+'KY_Cost Plant Acct-Comm-P8(Fin)'!B14+'KY_Cost-Plant Acct-Comm-P8(PA)'!B14</f>
        <v>1013117.8600000001</v>
      </c>
      <c r="C14" s="33"/>
      <c r="D14" s="33">
        <f>+'KY_Cost Plant Acct-Comm-P8(Fin)'!D14+'KY_Cost-Plant Acct-Comm-P8(PA)'!D14</f>
        <v>0</v>
      </c>
      <c r="E14" s="33"/>
      <c r="F14" s="33">
        <f>+'KY_Cost Plant Acct-Comm-P8(Fin)'!F14+'KY_Cost-Plant Acct-Comm-P8(PA)'!F14</f>
        <v>0</v>
      </c>
      <c r="G14" s="33"/>
      <c r="H14" s="33">
        <f>+'KY_Cost Plant Acct-Comm-P8(Fin)'!H14+'KY_Cost-Plant Acct-Comm-P8(PA)'!H14</f>
        <v>0</v>
      </c>
      <c r="I14" s="33"/>
      <c r="J14" s="33">
        <f t="shared" si="0"/>
        <v>0</v>
      </c>
      <c r="K14" s="33"/>
      <c r="L14" s="33">
        <f t="shared" si="1"/>
        <v>1013117.8600000001</v>
      </c>
      <c r="M14" s="1"/>
    </row>
    <row r="15" spans="1:13">
      <c r="A15" t="s">
        <v>85</v>
      </c>
      <c r="B15" s="33">
        <f>+'KY_Cost Plant Acct-Comm-P8(Fin)'!B15+'KY_Cost-Plant Acct-Comm-P8(PA)'!B15</f>
        <v>3930848.6400000006</v>
      </c>
      <c r="C15" s="33"/>
      <c r="D15" s="33">
        <f>+'KY_Cost Plant Acct-Comm-P8(Fin)'!D15+'KY_Cost-Plant Acct-Comm-P8(PA)'!D15</f>
        <v>0</v>
      </c>
      <c r="E15" s="33"/>
      <c r="F15" s="33">
        <f>+'KY_Cost Plant Acct-Comm-P8(Fin)'!F15+'KY_Cost-Plant Acct-Comm-P8(PA)'!F15</f>
        <v>-46260.709999999992</v>
      </c>
      <c r="G15" s="33"/>
      <c r="H15" s="33">
        <f>+'KY_Cost Plant Acct-Comm-P8(Fin)'!H15+'KY_Cost-Plant Acct-Comm-P8(PA)'!H15</f>
        <v>0</v>
      </c>
      <c r="I15" s="33"/>
      <c r="J15" s="33">
        <f t="shared" si="0"/>
        <v>-46260.709999999992</v>
      </c>
      <c r="K15" s="33"/>
      <c r="L15" s="33">
        <f t="shared" si="1"/>
        <v>3884587.9300000006</v>
      </c>
      <c r="M15" s="1"/>
    </row>
    <row r="16" spans="1:13">
      <c r="A16" t="s">
        <v>86</v>
      </c>
      <c r="B16" s="33">
        <f>+'KY_Cost Plant Acct-Comm-P8(Fin)'!B16+'KY_Cost-Plant Acct-Comm-P8(PA)'!B16</f>
        <v>390665.41</v>
      </c>
      <c r="C16" s="33"/>
      <c r="D16" s="33">
        <f>+'KY_Cost Plant Acct-Comm-P8(Fin)'!D16+'KY_Cost-Plant Acct-Comm-P8(PA)'!D16</f>
        <v>0</v>
      </c>
      <c r="E16" s="33"/>
      <c r="F16" s="33">
        <f>+'KY_Cost Plant Acct-Comm-P8(Fin)'!F16+'KY_Cost-Plant Acct-Comm-P8(PA)'!F16</f>
        <v>0</v>
      </c>
      <c r="G16" s="33"/>
      <c r="H16" s="33">
        <f>+'KY_Cost Plant Acct-Comm-P8(Fin)'!H16+'KY_Cost-Plant Acct-Comm-P8(PA)'!H16</f>
        <v>0</v>
      </c>
      <c r="I16" s="33"/>
      <c r="J16" s="33">
        <f t="shared" si="0"/>
        <v>0</v>
      </c>
      <c r="K16" s="33"/>
      <c r="L16" s="33">
        <f t="shared" si="1"/>
        <v>390665.41</v>
      </c>
      <c r="M16" s="1"/>
    </row>
    <row r="17" spans="1:13">
      <c r="A17" t="s">
        <v>87</v>
      </c>
      <c r="B17" s="33">
        <f>+'KY_Cost Plant Acct-Comm-P8(Fin)'!B17+'KY_Cost-Plant Acct-Comm-P8(PA)'!B17</f>
        <v>879507.93</v>
      </c>
      <c r="C17" s="33"/>
      <c r="D17" s="33">
        <f>+'KY_Cost Plant Acct-Comm-P8(Fin)'!D17+'KY_Cost-Plant Acct-Comm-P8(PA)'!D17</f>
        <v>0</v>
      </c>
      <c r="E17" s="33"/>
      <c r="F17" s="33">
        <f>+'KY_Cost Plant Acct-Comm-P8(Fin)'!F17+'KY_Cost-Plant Acct-Comm-P8(PA)'!F17</f>
        <v>0</v>
      </c>
      <c r="G17" s="33"/>
      <c r="H17" s="33">
        <f>+'KY_Cost Plant Acct-Comm-P8(Fin)'!H17+'KY_Cost-Plant Acct-Comm-P8(PA)'!H17</f>
        <v>0</v>
      </c>
      <c r="I17" s="33"/>
      <c r="J17" s="33">
        <f t="shared" si="0"/>
        <v>0</v>
      </c>
      <c r="K17" s="33"/>
      <c r="L17" s="33">
        <f t="shared" si="1"/>
        <v>879507.93</v>
      </c>
      <c r="M17" s="1"/>
    </row>
    <row r="18" spans="1:13">
      <c r="A18" t="s">
        <v>88</v>
      </c>
      <c r="B18" s="33">
        <f>+'KY_Cost Plant Acct-Comm-P8(Fin)'!B18+'KY_Cost-Plant Acct-Comm-P8(PA)'!B18</f>
        <v>6598081.8400000008</v>
      </c>
      <c r="C18" s="33"/>
      <c r="D18" s="33">
        <f>+'KY_Cost Plant Acct-Comm-P8(Fin)'!D18+'KY_Cost-Plant Acct-Comm-P8(PA)'!D18</f>
        <v>129257.69</v>
      </c>
      <c r="E18" s="33"/>
      <c r="F18" s="33">
        <f>+'KY_Cost Plant Acct-Comm-P8(Fin)'!F18+'KY_Cost-Plant Acct-Comm-P8(PA)'!F18</f>
        <v>0</v>
      </c>
      <c r="G18" s="33"/>
      <c r="H18" s="33">
        <f>+'KY_Cost Plant Acct-Comm-P8(Fin)'!H18+'KY_Cost-Plant Acct-Comm-P8(PA)'!H18</f>
        <v>0</v>
      </c>
      <c r="I18" s="33"/>
      <c r="J18" s="33">
        <f t="shared" si="0"/>
        <v>129257.69</v>
      </c>
      <c r="K18" s="33"/>
      <c r="L18" s="33">
        <f t="shared" si="1"/>
        <v>6727339.5300000012</v>
      </c>
      <c r="M18" s="1"/>
    </row>
    <row r="19" spans="1:13">
      <c r="A19" t="s">
        <v>89</v>
      </c>
      <c r="B19" s="33">
        <f>+'KY_Cost Plant Acct-Comm-P8(Fin)'!B19+'KY_Cost-Plant Acct-Comm-P8(PA)'!B19</f>
        <v>1220338.2799999998</v>
      </c>
      <c r="C19" s="33"/>
      <c r="D19" s="168">
        <f>+'KY_Cost Plant Acct-Comm-P8(Fin)'!D19+'KY_Cost-Plant Acct-Comm-P8(PA)'!D19</f>
        <v>2659.54</v>
      </c>
      <c r="E19" s="33"/>
      <c r="F19" s="33">
        <f>+'KY_Cost Plant Acct-Comm-P8(Fin)'!F19+'KY_Cost-Plant Acct-Comm-P8(PA)'!F19</f>
        <v>0</v>
      </c>
      <c r="G19" s="33"/>
      <c r="H19" s="33">
        <f>+'KY_Cost Plant Acct-Comm-P8(Fin)'!H19+'KY_Cost-Plant Acct-Comm-P8(PA)'!H19</f>
        <v>0</v>
      </c>
      <c r="I19" s="33"/>
      <c r="J19" s="33">
        <f t="shared" si="0"/>
        <v>2659.54</v>
      </c>
      <c r="K19" s="33"/>
      <c r="L19" s="33">
        <f t="shared" si="1"/>
        <v>1222997.8199999998</v>
      </c>
      <c r="M19" s="1"/>
    </row>
    <row r="20" spans="1:13">
      <c r="A20" t="s">
        <v>90</v>
      </c>
      <c r="B20" s="33">
        <f>+'KY_Cost Plant Acct-Comm-P8(Fin)'!B20+'KY_Cost-Plant Acct-Comm-P8(PA)'!B20</f>
        <v>3590077.379999999</v>
      </c>
      <c r="C20" s="33"/>
      <c r="D20" s="33">
        <f>+'KY_Cost Plant Acct-Comm-P8(Fin)'!D20+'KY_Cost-Plant Acct-Comm-P8(PA)'!D20</f>
        <v>2048060.2399999998</v>
      </c>
      <c r="E20" s="33"/>
      <c r="F20" s="33">
        <f>+'KY_Cost Plant Acct-Comm-P8(Fin)'!F20+'KY_Cost-Plant Acct-Comm-P8(PA)'!F20</f>
        <v>0</v>
      </c>
      <c r="G20" s="33"/>
      <c r="H20" s="33">
        <f>+'KY_Cost Plant Acct-Comm-P8(Fin)'!H20+'KY_Cost-Plant Acct-Comm-P8(PA)'!H20</f>
        <v>0</v>
      </c>
      <c r="I20" s="33"/>
      <c r="J20" s="33">
        <f t="shared" si="0"/>
        <v>2048060.2399999998</v>
      </c>
      <c r="K20" s="33"/>
      <c r="L20" s="33">
        <f t="shared" si="1"/>
        <v>5638137.6199999992</v>
      </c>
      <c r="M20" s="1"/>
    </row>
    <row r="21" spans="1:13">
      <c r="A21" t="s">
        <v>91</v>
      </c>
      <c r="B21" s="33">
        <f>+'KY_Cost Plant Acct-Comm-P8(Fin)'!B21+'KY_Cost-Plant Acct-Comm-P8(PA)'!B21</f>
        <v>2451041.5099999998</v>
      </c>
      <c r="C21" s="33"/>
      <c r="D21" s="33">
        <f>+'KY_Cost Plant Acct-Comm-P8(Fin)'!D21+'KY_Cost-Plant Acct-Comm-P8(PA)'!D21</f>
        <v>6773.84</v>
      </c>
      <c r="E21" s="33"/>
      <c r="F21" s="33">
        <f>+'KY_Cost Plant Acct-Comm-P8(Fin)'!F21+'KY_Cost-Plant Acct-Comm-P8(PA)'!F21</f>
        <v>0</v>
      </c>
      <c r="G21" s="33"/>
      <c r="H21" s="33">
        <f>+'KY_Cost Plant Acct-Comm-P8(Fin)'!H21+'KY_Cost-Plant Acct-Comm-P8(PA)'!H21</f>
        <v>0</v>
      </c>
      <c r="I21" s="33"/>
      <c r="J21" s="33">
        <f t="shared" si="0"/>
        <v>6773.84</v>
      </c>
      <c r="K21" s="33"/>
      <c r="L21" s="33">
        <f t="shared" si="1"/>
        <v>2457815.3499999996</v>
      </c>
      <c r="M21" s="1"/>
    </row>
    <row r="22" spans="1:13">
      <c r="A22" s="179" t="s">
        <v>1430</v>
      </c>
      <c r="B22" s="300">
        <f>+'KY_Cost Plant Acct-Comm-P8(Fin)'!B22+'KY_Cost-Plant Acct-Comm-P8(PA)'!B22</f>
        <v>-8182.2300000000105</v>
      </c>
      <c r="C22" s="300"/>
      <c r="D22" s="300">
        <f>+'KY_Cost Plant Acct-Comm-P8(Fin)'!D22+'KY_Cost-Plant Acct-Comm-P8(PA)'!D22</f>
        <v>0</v>
      </c>
      <c r="E22" s="300"/>
      <c r="F22" s="300">
        <f>+'KY_Cost Plant Acct-Comm-P8(Fin)'!F22+'KY_Cost-Plant Acct-Comm-P8(PA)'!F22</f>
        <v>0</v>
      </c>
      <c r="G22" s="300"/>
      <c r="H22" s="300">
        <f>+'KY_Cost Plant Acct-Comm-P8(Fin)'!H22+'KY_Cost-Plant Acct-Comm-P8(PA)'!H22</f>
        <v>0</v>
      </c>
      <c r="I22" s="300"/>
      <c r="J22" s="300">
        <f t="shared" ref="J22" si="2">H22+F22+D22</f>
        <v>0</v>
      </c>
      <c r="K22" s="300"/>
      <c r="L22" s="300">
        <f t="shared" ref="L22" si="3">J22+B22</f>
        <v>-8182.2300000000105</v>
      </c>
      <c r="M22" s="1"/>
    </row>
    <row r="23" spans="1:13">
      <c r="A23" t="s">
        <v>92</v>
      </c>
      <c r="B23" s="33">
        <f>+'KY_Cost Plant Acct-Comm-P8(Fin)'!B23+'KY_Cost-Plant Acct-Comm-P8(PA)'!B23</f>
        <v>1498409.3099999996</v>
      </c>
      <c r="C23" s="33"/>
      <c r="D23" s="180">
        <f>+'KY_Cost Plant Acct-Comm-P8(Fin)'!D23+'KY_Cost-Plant Acct-Comm-P8(PA)'!D23</f>
        <v>0</v>
      </c>
      <c r="E23" s="33"/>
      <c r="F23" s="33">
        <f>+'KY_Cost Plant Acct-Comm-P8(Fin)'!F23+'KY_Cost-Plant Acct-Comm-P8(PA)'!F23</f>
        <v>0</v>
      </c>
      <c r="G23" s="33"/>
      <c r="H23" s="33">
        <f>+'KY_Cost Plant Acct-Comm-P8(Fin)'!H23+'KY_Cost-Plant Acct-Comm-P8(PA)'!H23</f>
        <v>0</v>
      </c>
      <c r="I23" s="33"/>
      <c r="J23" s="33">
        <f t="shared" si="0"/>
        <v>0</v>
      </c>
      <c r="K23" s="33"/>
      <c r="L23" s="33">
        <f t="shared" si="1"/>
        <v>1498409.3099999996</v>
      </c>
      <c r="M23" s="1"/>
    </row>
    <row r="24" spans="1:13">
      <c r="A24" t="s">
        <v>93</v>
      </c>
      <c r="B24" s="33">
        <f>+'KY_Cost Plant Acct-Comm-P8(Fin)'!B24+'KY_Cost-Plant Acct-Comm-P8(PA)'!B24</f>
        <v>145237.13</v>
      </c>
      <c r="C24" s="33"/>
      <c r="D24" s="33">
        <f>+'KY_Cost Plant Acct-Comm-P8(Fin)'!D24+'KY_Cost-Plant Acct-Comm-P8(PA)'!D24</f>
        <v>0</v>
      </c>
      <c r="E24" s="33"/>
      <c r="F24" s="33">
        <f>+'KY_Cost Plant Acct-Comm-P8(Fin)'!F24+'KY_Cost-Plant Acct-Comm-P8(PA)'!F24</f>
        <v>0</v>
      </c>
      <c r="G24" s="33"/>
      <c r="H24" s="33">
        <f>+'KY_Cost Plant Acct-Comm-P8(Fin)'!H24+'KY_Cost-Plant Acct-Comm-P8(PA)'!H24</f>
        <v>0</v>
      </c>
      <c r="I24" s="33"/>
      <c r="J24" s="33">
        <f t="shared" si="0"/>
        <v>0</v>
      </c>
      <c r="K24" s="33"/>
      <c r="L24" s="33">
        <f t="shared" si="1"/>
        <v>145237.13</v>
      </c>
      <c r="M24" s="1"/>
    </row>
    <row r="25" spans="1:13">
      <c r="A25" t="s">
        <v>94</v>
      </c>
      <c r="B25" s="33">
        <f>+'KY_Cost Plant Acct-Comm-P8(Fin)'!B25+'KY_Cost-Plant Acct-Comm-P8(PA)'!B25</f>
        <v>55541.72</v>
      </c>
      <c r="C25" s="33"/>
      <c r="D25" s="33">
        <f>+'KY_Cost Plant Acct-Comm-P8(Fin)'!D25+'KY_Cost-Plant Acct-Comm-P8(PA)'!D25</f>
        <v>0</v>
      </c>
      <c r="E25" s="33"/>
      <c r="F25" s="33">
        <f>+'KY_Cost Plant Acct-Comm-P8(Fin)'!F25+'KY_Cost-Plant Acct-Comm-P8(PA)'!F25</f>
        <v>0</v>
      </c>
      <c r="G25" s="33"/>
      <c r="H25" s="33">
        <f>+'KY_Cost Plant Acct-Comm-P8(Fin)'!H25+'KY_Cost-Plant Acct-Comm-P8(PA)'!H25</f>
        <v>0</v>
      </c>
      <c r="I25" s="33"/>
      <c r="J25" s="33">
        <f t="shared" si="0"/>
        <v>0</v>
      </c>
      <c r="K25" s="33"/>
      <c r="L25" s="33">
        <f t="shared" si="1"/>
        <v>55541.72</v>
      </c>
      <c r="M25" s="1"/>
    </row>
    <row r="26" spans="1:13">
      <c r="A26" t="s">
        <v>95</v>
      </c>
      <c r="B26" s="33">
        <f>+'KY_Cost Plant Acct-Comm-P8(Fin)'!B26+'KY_Cost-Plant Acct-Comm-P8(PA)'!B26</f>
        <v>638439.95000000019</v>
      </c>
      <c r="C26" s="33"/>
      <c r="D26" s="33">
        <f>+'KY_Cost Plant Acct-Comm-P8(Fin)'!D26+'KY_Cost-Plant Acct-Comm-P8(PA)'!D26</f>
        <v>30451.68</v>
      </c>
      <c r="E26" s="33"/>
      <c r="F26" s="33">
        <f>+'KY_Cost Plant Acct-Comm-P8(Fin)'!F26+'KY_Cost-Plant Acct-Comm-P8(PA)'!F26</f>
        <v>0</v>
      </c>
      <c r="G26" s="33"/>
      <c r="H26" s="33">
        <f>+'KY_Cost Plant Acct-Comm-P8(Fin)'!H26+'KY_Cost-Plant Acct-Comm-P8(PA)'!H26</f>
        <v>0</v>
      </c>
      <c r="I26" s="33"/>
      <c r="J26" s="33">
        <f t="shared" si="0"/>
        <v>30451.68</v>
      </c>
      <c r="K26" s="33"/>
      <c r="L26" s="33">
        <f t="shared" si="1"/>
        <v>668891.63000000024</v>
      </c>
      <c r="M26" s="1"/>
    </row>
    <row r="27" spans="1:13">
      <c r="A27" t="s">
        <v>96</v>
      </c>
      <c r="B27" s="33">
        <f>+'KY_Cost Plant Acct-Comm-P8(Fin)'!B27+'KY_Cost-Plant Acct-Comm-P8(PA)'!B27</f>
        <v>2697877.29</v>
      </c>
      <c r="C27" s="33"/>
      <c r="D27" s="33">
        <f>+'KY_Cost Plant Acct-Comm-P8(Fin)'!D27+'KY_Cost-Plant Acct-Comm-P8(PA)'!D27</f>
        <v>0</v>
      </c>
      <c r="E27" s="33"/>
      <c r="F27" s="33">
        <f>+'KY_Cost Plant Acct-Comm-P8(Fin)'!F27+'KY_Cost-Plant Acct-Comm-P8(PA)'!F27</f>
        <v>0</v>
      </c>
      <c r="G27" s="33"/>
      <c r="H27" s="33">
        <f>+'KY_Cost Plant Acct-Comm-P8(Fin)'!H27+'KY_Cost-Plant Acct-Comm-P8(PA)'!H27</f>
        <v>4435.22</v>
      </c>
      <c r="I27" s="33"/>
      <c r="J27" s="33">
        <f t="shared" si="0"/>
        <v>4435.22</v>
      </c>
      <c r="K27" s="33"/>
      <c r="L27" s="33">
        <f t="shared" si="1"/>
        <v>2702312.5100000002</v>
      </c>
      <c r="M27" s="1"/>
    </row>
    <row r="28" spans="1:13">
      <c r="A28" t="s">
        <v>97</v>
      </c>
      <c r="B28" s="33">
        <f>+'KY_Cost Plant Acct-Comm-P8(Fin)'!B28+'KY_Cost-Plant Acct-Comm-P8(PA)'!B28</f>
        <v>-231.25</v>
      </c>
      <c r="C28" s="33"/>
      <c r="D28" s="33">
        <f>+'KY_Cost Plant Acct-Comm-P8(Fin)'!D28+'KY_Cost-Plant Acct-Comm-P8(PA)'!D28</f>
        <v>0</v>
      </c>
      <c r="E28" s="33"/>
      <c r="F28" s="33">
        <f>+'KY_Cost Plant Acct-Comm-P8(Fin)'!F28+'KY_Cost-Plant Acct-Comm-P8(PA)'!F28</f>
        <v>0</v>
      </c>
      <c r="G28" s="33"/>
      <c r="H28" s="33">
        <f>+'KY_Cost Plant Acct-Comm-P8(Fin)'!H28+'KY_Cost-Plant Acct-Comm-P8(PA)'!H28</f>
        <v>0</v>
      </c>
      <c r="I28" s="33"/>
      <c r="J28" s="33">
        <f t="shared" si="0"/>
        <v>0</v>
      </c>
      <c r="K28" s="33"/>
      <c r="L28" s="33">
        <f t="shared" si="1"/>
        <v>-231.25</v>
      </c>
      <c r="M28" s="1"/>
    </row>
    <row r="29" spans="1:13">
      <c r="A29" t="s">
        <v>98</v>
      </c>
      <c r="B29" s="33">
        <f>+'KY_Cost Plant Acct-Comm-P8(Fin)'!B29+'KY_Cost-Plant Acct-Comm-P8(PA)'!B29</f>
        <v>33440.929999999993</v>
      </c>
      <c r="C29" s="33"/>
      <c r="D29" s="33">
        <f>+'KY_Cost Plant Acct-Comm-P8(Fin)'!D29+'KY_Cost-Plant Acct-Comm-P8(PA)'!D29</f>
        <v>0</v>
      </c>
      <c r="E29" s="33"/>
      <c r="F29" s="33">
        <f>+'KY_Cost Plant Acct-Comm-P8(Fin)'!F29+'KY_Cost-Plant Acct-Comm-P8(PA)'!F29</f>
        <v>0</v>
      </c>
      <c r="G29" s="33"/>
      <c r="H29" s="33">
        <f>+'KY_Cost Plant Acct-Comm-P8(Fin)'!H29+'KY_Cost-Plant Acct-Comm-P8(PA)'!H29</f>
        <v>0</v>
      </c>
      <c r="I29" s="33"/>
      <c r="J29" s="33">
        <f t="shared" si="0"/>
        <v>0</v>
      </c>
      <c r="K29" s="33"/>
      <c r="L29" s="33">
        <f t="shared" si="1"/>
        <v>33440.929999999993</v>
      </c>
      <c r="M29" s="1"/>
    </row>
    <row r="30" spans="1:13">
      <c r="A30" t="s">
        <v>99</v>
      </c>
      <c r="B30" s="33">
        <f>+'KY_Cost Plant Acct-Comm-P8(Fin)'!B30+'KY_Cost-Plant Acct-Comm-P8(PA)'!B30</f>
        <v>4777.4500000000007</v>
      </c>
      <c r="C30" s="33"/>
      <c r="D30" s="33">
        <f>+'KY_Cost Plant Acct-Comm-P8(Fin)'!D30+'KY_Cost-Plant Acct-Comm-P8(PA)'!D30</f>
        <v>0</v>
      </c>
      <c r="E30" s="33"/>
      <c r="F30" s="33">
        <f>+'KY_Cost Plant Acct-Comm-P8(Fin)'!F30+'KY_Cost-Plant Acct-Comm-P8(PA)'!F30</f>
        <v>0</v>
      </c>
      <c r="G30" s="33"/>
      <c r="H30" s="33">
        <f>+'KY_Cost Plant Acct-Comm-P8(Fin)'!H30+'KY_Cost-Plant Acct-Comm-P8(PA)'!H30</f>
        <v>0</v>
      </c>
      <c r="I30" s="33"/>
      <c r="J30" s="33">
        <f t="shared" si="0"/>
        <v>0</v>
      </c>
      <c r="K30" s="33"/>
      <c r="L30" s="33">
        <f t="shared" si="1"/>
        <v>4777.4500000000007</v>
      </c>
      <c r="M30" s="1"/>
    </row>
    <row r="31" spans="1:13">
      <c r="A31" t="s">
        <v>4</v>
      </c>
      <c r="B31" s="33">
        <f>+'KY_Cost Plant Acct-Comm-P8(Fin)'!B31+'KY_Cost-Plant Acct-Comm-P8(PA)'!B31</f>
        <v>22271628.870000005</v>
      </c>
      <c r="C31" s="33"/>
      <c r="D31" s="33">
        <f>+'KY_Cost Plant Acct-Comm-P8(Fin)'!D31+'KY_Cost-Plant Acct-Comm-P8(PA)'!D31</f>
        <v>90429.11</v>
      </c>
      <c r="E31" s="33"/>
      <c r="F31" s="33">
        <f>+'KY_Cost Plant Acct-Comm-P8(Fin)'!F31+'KY_Cost-Plant Acct-Comm-P8(PA)'!F31</f>
        <v>-991.89</v>
      </c>
      <c r="G31" s="33"/>
      <c r="H31" s="33">
        <f>+'KY_Cost Plant Acct-Comm-P8(Fin)'!H31+'KY_Cost-Plant Acct-Comm-P8(PA)'!H31</f>
        <v>0</v>
      </c>
      <c r="I31" s="33"/>
      <c r="J31" s="33">
        <f t="shared" si="0"/>
        <v>89437.22</v>
      </c>
      <c r="K31" s="33"/>
      <c r="L31" s="33">
        <f t="shared" si="1"/>
        <v>22361066.090000004</v>
      </c>
      <c r="M31" s="1"/>
    </row>
    <row r="32" spans="1:13">
      <c r="A32" t="s">
        <v>100</v>
      </c>
      <c r="B32" s="33">
        <f>+'KY_Cost Plant Acct-Comm-P8(Fin)'!B32+'KY_Cost-Plant Acct-Comm-P8(PA)'!B32</f>
        <v>680518.75999999978</v>
      </c>
      <c r="C32" s="33"/>
      <c r="D32" s="33">
        <f>+'KY_Cost Plant Acct-Comm-P8(Fin)'!D32+'KY_Cost-Plant Acct-Comm-P8(PA)'!D32</f>
        <v>56863.95</v>
      </c>
      <c r="E32" s="33"/>
      <c r="F32" s="33">
        <f>+'KY_Cost Plant Acct-Comm-P8(Fin)'!F32+'KY_Cost-Plant Acct-Comm-P8(PA)'!F32</f>
        <v>0</v>
      </c>
      <c r="G32" s="33"/>
      <c r="H32" s="33">
        <f>+'KY_Cost Plant Acct-Comm-P8(Fin)'!H32+'KY_Cost-Plant Acct-Comm-P8(PA)'!H32</f>
        <v>0</v>
      </c>
      <c r="I32" s="33"/>
      <c r="J32" s="33">
        <f t="shared" si="0"/>
        <v>56863.95</v>
      </c>
      <c r="K32" s="33"/>
      <c r="L32" s="33">
        <f t="shared" si="1"/>
        <v>737382.70999999973</v>
      </c>
      <c r="M32" s="1"/>
    </row>
    <row r="33" spans="1:13">
      <c r="A33" t="s">
        <v>101</v>
      </c>
      <c r="B33" s="33">
        <f>+'KY_Cost Plant Acct-Comm-P8(Fin)'!B33+'KY_Cost-Plant Acct-Comm-P8(PA)'!B33</f>
        <v>21641.249999999884</v>
      </c>
      <c r="C33" s="33"/>
      <c r="D33" s="33">
        <f>+'KY_Cost Plant Acct-Comm-P8(Fin)'!D33+'KY_Cost-Plant Acct-Comm-P8(PA)'!D33</f>
        <v>0</v>
      </c>
      <c r="E33" s="33"/>
      <c r="F33" s="33">
        <f>+'KY_Cost Plant Acct-Comm-P8(Fin)'!F33+'KY_Cost-Plant Acct-Comm-P8(PA)'!F33</f>
        <v>0</v>
      </c>
      <c r="G33" s="33"/>
      <c r="H33" s="33">
        <f>+'KY_Cost Plant Acct-Comm-P8(Fin)'!H33+'KY_Cost-Plant Acct-Comm-P8(PA)'!H33</f>
        <v>-4435.22</v>
      </c>
      <c r="I33" s="33"/>
      <c r="J33" s="33">
        <f t="shared" si="0"/>
        <v>-4435.22</v>
      </c>
      <c r="K33" s="33"/>
      <c r="L33" s="33">
        <f t="shared" si="1"/>
        <v>17206.029999999882</v>
      </c>
      <c r="M33" s="1"/>
    </row>
    <row r="34" spans="1:13">
      <c r="A34" t="s">
        <v>102</v>
      </c>
      <c r="B34" s="33">
        <f>+'KY_Cost Plant Acct-Comm-P8(Fin)'!B34+'KY_Cost-Plant Acct-Comm-P8(PA)'!B34</f>
        <v>101389.77</v>
      </c>
      <c r="C34" s="33"/>
      <c r="D34" s="33">
        <f>+'KY_Cost Plant Acct-Comm-P8(Fin)'!D34+'KY_Cost-Plant Acct-Comm-P8(PA)'!D34</f>
        <v>0</v>
      </c>
      <c r="E34" s="33"/>
      <c r="F34" s="33">
        <f>+'KY_Cost Plant Acct-Comm-P8(Fin)'!F34+'KY_Cost-Plant Acct-Comm-P8(PA)'!F34</f>
        <v>0</v>
      </c>
      <c r="G34" s="33"/>
      <c r="H34" s="33">
        <f>+'KY_Cost Plant Acct-Comm-P8(Fin)'!H34+'KY_Cost-Plant Acct-Comm-P8(PA)'!H34</f>
        <v>0</v>
      </c>
      <c r="I34" s="33"/>
      <c r="J34" s="33">
        <f t="shared" si="0"/>
        <v>0</v>
      </c>
      <c r="K34" s="33"/>
      <c r="L34" s="33">
        <f t="shared" si="1"/>
        <v>101389.77</v>
      </c>
      <c r="M34" s="1"/>
    </row>
    <row r="35" spans="1:13">
      <c r="A35" t="s">
        <v>103</v>
      </c>
      <c r="B35" s="33">
        <f>+'KY_Cost Plant Acct-Comm-P8(Fin)'!B35+'KY_Cost-Plant Acct-Comm-P8(PA)'!B35</f>
        <v>83782.289999999994</v>
      </c>
      <c r="C35" s="33"/>
      <c r="D35" s="33">
        <f>+'KY_Cost Plant Acct-Comm-P8(Fin)'!D35+'KY_Cost-Plant Acct-Comm-P8(PA)'!D35</f>
        <v>0</v>
      </c>
      <c r="E35" s="33"/>
      <c r="F35" s="33">
        <f>+'KY_Cost Plant Acct-Comm-P8(Fin)'!F35+'KY_Cost-Plant Acct-Comm-P8(PA)'!F35</f>
        <v>0</v>
      </c>
      <c r="G35" s="33"/>
      <c r="H35" s="33">
        <f>+'KY_Cost Plant Acct-Comm-P8(Fin)'!H35+'KY_Cost-Plant Acct-Comm-P8(PA)'!H35</f>
        <v>0</v>
      </c>
      <c r="I35" s="33"/>
      <c r="J35" s="33">
        <f t="shared" si="0"/>
        <v>0</v>
      </c>
      <c r="K35" s="33"/>
      <c r="L35" s="33">
        <f t="shared" si="1"/>
        <v>83782.289999999994</v>
      </c>
      <c r="M35" s="1"/>
    </row>
    <row r="36" spans="1:13">
      <c r="A36" t="s">
        <v>267</v>
      </c>
      <c r="B36" s="33">
        <f>+'KY_Cost Plant Acct-Comm-P8(Fin)'!B36+'KY_Cost-Plant Acct-Comm-P8(PA)'!B36</f>
        <v>0</v>
      </c>
      <c r="C36" s="33"/>
      <c r="D36" s="33">
        <f>+'KY_Cost Plant Acct-Comm-P8(Fin)'!D36+'KY_Cost-Plant Acct-Comm-P8(PA)'!D36</f>
        <v>0</v>
      </c>
      <c r="E36" s="33"/>
      <c r="F36" s="33">
        <f>+'KY_Cost Plant Acct-Comm-P8(Fin)'!F36+'KY_Cost-Plant Acct-Comm-P8(PA)'!F36</f>
        <v>0</v>
      </c>
      <c r="G36" s="33"/>
      <c r="H36" s="33">
        <f>+'KY_Cost Plant Acct-Comm-P8(Fin)'!H36+'KY_Cost-Plant Acct-Comm-P8(PA)'!H36</f>
        <v>0</v>
      </c>
      <c r="I36" s="33"/>
      <c r="J36" s="33">
        <f t="shared" si="0"/>
        <v>0</v>
      </c>
      <c r="K36" s="33"/>
      <c r="L36" s="33">
        <f t="shared" si="1"/>
        <v>0</v>
      </c>
      <c r="M36" s="1"/>
    </row>
    <row r="37" spans="1:13">
      <c r="A37" t="s">
        <v>268</v>
      </c>
      <c r="B37" s="33">
        <f>+'KY_Cost Plant Acct-Comm-P8(Fin)'!B37+'KY_Cost-Plant Acct-Comm-P8(PA)'!B37</f>
        <v>11682352.470000001</v>
      </c>
      <c r="C37" s="33"/>
      <c r="D37" s="33">
        <f>+'KY_Cost Plant Acct-Comm-P8(Fin)'!D37+'KY_Cost-Plant Acct-Comm-P8(PA)'!D37</f>
        <v>466307.98</v>
      </c>
      <c r="E37" s="33"/>
      <c r="F37" s="33">
        <f>+'KY_Cost Plant Acct-Comm-P8(Fin)'!F37+'KY_Cost-Plant Acct-Comm-P8(PA)'!F37</f>
        <v>-400877.43000000005</v>
      </c>
      <c r="G37" s="33"/>
      <c r="H37" s="33">
        <f>+'KY_Cost Plant Acct-Comm-P8(Fin)'!H37+'KY_Cost-Plant Acct-Comm-P8(PA)'!H37</f>
        <v>0</v>
      </c>
      <c r="I37" s="33"/>
      <c r="J37" s="33">
        <f t="shared" si="0"/>
        <v>65430.54999999993</v>
      </c>
      <c r="K37" s="33"/>
      <c r="L37" s="33">
        <f t="shared" si="1"/>
        <v>11747783.020000001</v>
      </c>
      <c r="M37" s="1"/>
    </row>
    <row r="38" spans="1:13">
      <c r="A38" t="s">
        <v>1023</v>
      </c>
      <c r="B38" s="33">
        <f>+'KY_Cost Plant Acct-Comm-P8(Fin)'!B38+'KY_Cost-Plant Acct-Comm-P8(PA)'!B38</f>
        <v>37759343.61999999</v>
      </c>
      <c r="C38" s="33"/>
      <c r="D38" s="33">
        <f>+'KY_Cost Plant Acct-Comm-P8(Fin)'!D38+'KY_Cost-Plant Acct-Comm-P8(PA)'!D38</f>
        <v>0</v>
      </c>
      <c r="E38" s="33"/>
      <c r="F38" s="33">
        <f>+'KY_Cost Plant Acct-Comm-P8(Fin)'!F38+'KY_Cost-Plant Acct-Comm-P8(PA)'!F38</f>
        <v>0</v>
      </c>
      <c r="G38" s="33"/>
      <c r="H38" s="33">
        <f>+'KY_Cost Plant Acct-Comm-P8(Fin)'!H38+'KY_Cost-Plant Acct-Comm-P8(PA)'!H38</f>
        <v>0</v>
      </c>
      <c r="I38" s="33"/>
      <c r="J38" s="33">
        <f t="shared" si="0"/>
        <v>0</v>
      </c>
      <c r="K38" s="33"/>
      <c r="L38" s="33">
        <f t="shared" si="1"/>
        <v>37759343.61999999</v>
      </c>
      <c r="M38" s="1"/>
    </row>
    <row r="39" spans="1:13">
      <c r="A39" t="s">
        <v>269</v>
      </c>
      <c r="B39" s="35">
        <f>+'KY_Cost Plant Acct-Comm-P8(Fin)'!B39+'KY_Cost-Plant Acct-Comm-P8(PA)'!B39</f>
        <v>0</v>
      </c>
      <c r="C39" s="37"/>
      <c r="D39" s="35">
        <f>+'KY_Cost Plant Acct-Comm-P8(Fin)'!D39+'KY_Cost-Plant Acct-Comm-P8(PA)'!D39</f>
        <v>0</v>
      </c>
      <c r="E39" s="37"/>
      <c r="F39" s="35">
        <f>+'KY_Cost Plant Acct-Comm-P8(Fin)'!F39+'KY_Cost-Plant Acct-Comm-P8(PA)'!F39</f>
        <v>0</v>
      </c>
      <c r="G39" s="37"/>
      <c r="H39" s="35">
        <f>+'KY_Cost Plant Acct-Comm-P8(Fin)'!H39+'KY_Cost-Plant Acct-Comm-P8(PA)'!H39</f>
        <v>0</v>
      </c>
      <c r="I39" s="37"/>
      <c r="J39" s="35">
        <f t="shared" si="0"/>
        <v>0</v>
      </c>
      <c r="K39" s="37"/>
      <c r="L39" s="35">
        <f t="shared" si="1"/>
        <v>0</v>
      </c>
      <c r="M39" s="6"/>
    </row>
    <row r="40" spans="1:13">
      <c r="B40" s="37">
        <f>SUM(B11:B39)</f>
        <v>143217668.08000004</v>
      </c>
      <c r="C40" s="37"/>
      <c r="D40" s="37">
        <f>SUM(D11:D39)</f>
        <v>3626303.03</v>
      </c>
      <c r="E40" s="37"/>
      <c r="F40" s="37">
        <f>SUM(F11:F39)</f>
        <v>-496932.87000000005</v>
      </c>
      <c r="G40" s="37"/>
      <c r="H40" s="37">
        <f>SUM(H11:H39)</f>
        <v>0</v>
      </c>
      <c r="I40" s="37"/>
      <c r="J40" s="37">
        <f>SUM(J11:J39)</f>
        <v>3129370.16</v>
      </c>
      <c r="K40" s="37"/>
      <c r="L40" s="37">
        <f>SUM(L11:L39)</f>
        <v>146347038.24000001</v>
      </c>
      <c r="M40" s="6"/>
    </row>
    <row r="41" spans="1:13">
      <c r="B41" s="37"/>
      <c r="C41" s="37"/>
      <c r="D41" s="37"/>
      <c r="E41" s="37"/>
      <c r="F41" s="37"/>
      <c r="G41" s="37"/>
      <c r="H41" s="37"/>
      <c r="I41" s="37"/>
      <c r="J41" s="37"/>
      <c r="K41" s="37"/>
      <c r="L41" s="37"/>
      <c r="M41" s="6"/>
    </row>
    <row r="42" spans="1:13">
      <c r="B42" s="37"/>
      <c r="C42" s="37"/>
      <c r="D42" s="37"/>
      <c r="E42" s="37"/>
      <c r="F42" s="37"/>
      <c r="G42" s="37"/>
      <c r="H42" s="37"/>
      <c r="I42" s="37"/>
      <c r="J42" s="37"/>
      <c r="K42" s="37"/>
      <c r="L42" s="37"/>
      <c r="M42" s="6"/>
    </row>
    <row r="43" spans="1:13">
      <c r="A43" s="3" t="s">
        <v>601</v>
      </c>
      <c r="B43" s="34">
        <f>B40</f>
        <v>143217668.08000004</v>
      </c>
      <c r="C43" s="6"/>
      <c r="D43" s="34">
        <f>D40</f>
        <v>3626303.03</v>
      </c>
      <c r="E43" s="6"/>
      <c r="F43" s="34">
        <f>F40</f>
        <v>-496932.87000000005</v>
      </c>
      <c r="G43" s="6"/>
      <c r="H43" s="34">
        <f>H40</f>
        <v>0</v>
      </c>
      <c r="I43" s="6"/>
      <c r="J43" s="34">
        <f>J40</f>
        <v>3129370.16</v>
      </c>
      <c r="K43" s="6"/>
      <c r="L43" s="34">
        <f>L40</f>
        <v>146347038.24000001</v>
      </c>
      <c r="M43" s="6"/>
    </row>
    <row r="44" spans="1:13">
      <c r="B44" s="37"/>
      <c r="C44" s="37"/>
      <c r="D44" s="37"/>
      <c r="E44" s="37"/>
      <c r="F44" s="37"/>
      <c r="G44" s="37"/>
      <c r="H44" s="37"/>
      <c r="I44" s="37"/>
      <c r="J44" s="37"/>
      <c r="K44" s="37"/>
      <c r="L44" s="37"/>
      <c r="M44" s="6"/>
    </row>
    <row r="45" spans="1:13">
      <c r="B45" s="37"/>
      <c r="C45" s="37"/>
      <c r="D45" s="37"/>
      <c r="E45" s="37"/>
      <c r="F45" s="37"/>
      <c r="G45" s="37"/>
      <c r="H45" s="37"/>
      <c r="I45" s="37"/>
      <c r="J45" s="37"/>
      <c r="K45" s="37"/>
      <c r="L45" s="37"/>
      <c r="M45" s="6"/>
    </row>
    <row r="46" spans="1:13">
      <c r="A46" s="3" t="s">
        <v>573</v>
      </c>
      <c r="B46" s="37"/>
      <c r="C46" s="37"/>
      <c r="D46" s="37"/>
      <c r="E46" s="37"/>
      <c r="F46" s="37"/>
      <c r="G46" s="37"/>
      <c r="H46" s="37"/>
      <c r="I46" s="37"/>
      <c r="J46" s="37"/>
      <c r="K46" s="37"/>
      <c r="L46" s="37"/>
      <c r="M46" s="6"/>
    </row>
    <row r="47" spans="1:13">
      <c r="A47" s="3" t="s">
        <v>807</v>
      </c>
      <c r="B47" s="37"/>
      <c r="C47" s="37"/>
      <c r="D47" s="37"/>
      <c r="E47" s="37"/>
      <c r="F47" s="37"/>
      <c r="G47" s="37"/>
      <c r="H47" s="37"/>
      <c r="I47" s="37"/>
      <c r="J47" s="37"/>
      <c r="K47" s="37"/>
      <c r="L47" s="37"/>
      <c r="M47" s="6"/>
    </row>
    <row r="48" spans="1:13">
      <c r="A48" t="s">
        <v>266</v>
      </c>
      <c r="B48" s="37">
        <f>+'KY_Cost Plant Acct-Comm-P8(Fin)'!B48+'KY_Cost-Plant Acct-Comm-P8(PA)'!B48</f>
        <v>479918.56999999995</v>
      </c>
      <c r="C48" s="37"/>
      <c r="D48" s="37">
        <f>+'KY_Cost Plant Acct-Comm-P8(Fin)'!D48+'KY_Cost-Plant Acct-Comm-P8(PA)'!D48</f>
        <v>-470604.08</v>
      </c>
      <c r="E48" s="37"/>
      <c r="F48" s="37">
        <f>+'KY_Cost Plant Acct-Comm-P8(Fin)'!F48+'KY_Cost-Plant Acct-Comm-P8(PA)'!F48</f>
        <v>0</v>
      </c>
      <c r="G48" s="37"/>
      <c r="H48" s="37">
        <f>+'KY_Cost Plant Acct-Comm-P8(Fin)'!H48+'KY_Cost-Plant Acct-Comm-P8(PA)'!H48</f>
        <v>0</v>
      </c>
      <c r="I48" s="37"/>
      <c r="J48" s="37">
        <f t="shared" ref="J48:J62" si="4">H48+F48+D48</f>
        <v>-470604.08</v>
      </c>
      <c r="K48" s="37"/>
      <c r="L48" s="37">
        <f t="shared" ref="L48:L62" si="5">J48+B48</f>
        <v>9314.4899999999325</v>
      </c>
      <c r="M48" s="6"/>
    </row>
    <row r="49" spans="1:13">
      <c r="A49" t="s">
        <v>87</v>
      </c>
      <c r="B49" s="37">
        <f>+'KY_Cost Plant Acct-Comm-P8(Fin)'!B49+'KY_Cost-Plant Acct-Comm-P8(PA)'!B48</f>
        <v>0</v>
      </c>
      <c r="C49" s="37"/>
      <c r="D49" s="37">
        <f>+'KY_Cost Plant Acct-Comm-P8(Fin)'!D49+'KY_Cost-Plant Acct-Comm-P8(PA)'!D48</f>
        <v>0</v>
      </c>
      <c r="E49" s="37"/>
      <c r="F49" s="37">
        <f>+'KY_Cost Plant Acct-Comm-P8(Fin)'!F49+'KY_Cost-Plant Acct-Comm-P8(PA)'!F48</f>
        <v>0</v>
      </c>
      <c r="G49" s="37"/>
      <c r="H49" s="37">
        <f>+'KY_Cost Plant Acct-Comm-P8(Fin)'!H49+'KY_Cost-Plant Acct-Comm-P8(PA)'!H48</f>
        <v>0</v>
      </c>
      <c r="I49" s="37"/>
      <c r="J49" s="37">
        <f t="shared" si="4"/>
        <v>0</v>
      </c>
      <c r="K49" s="37"/>
      <c r="L49" s="37">
        <f t="shared" si="5"/>
        <v>0</v>
      </c>
      <c r="M49" s="6"/>
    </row>
    <row r="50" spans="1:13">
      <c r="A50" t="s">
        <v>88</v>
      </c>
      <c r="B50" s="37">
        <f>+'KY_Cost Plant Acct-Comm-P8(Fin)'!B50+'KY_Cost-Plant Acct-Comm-P8(PA)'!B49</f>
        <v>17984.009999999998</v>
      </c>
      <c r="C50" s="37"/>
      <c r="D50" s="37">
        <f>+'KY_Cost Plant Acct-Comm-P8(Fin)'!D50+'KY_Cost-Plant Acct-Comm-P8(PA)'!D49</f>
        <v>12245.21</v>
      </c>
      <c r="E50" s="37"/>
      <c r="F50" s="37">
        <f>+'KY_Cost Plant Acct-Comm-P8(Fin)'!F50+'KY_Cost-Plant Acct-Comm-P8(PA)'!F49</f>
        <v>0</v>
      </c>
      <c r="G50" s="37"/>
      <c r="H50" s="37">
        <f>+'KY_Cost Plant Acct-Comm-P8(Fin)'!H50+'KY_Cost-Plant Acct-Comm-P8(PA)'!H49</f>
        <v>0</v>
      </c>
      <c r="I50" s="37"/>
      <c r="J50" s="37">
        <f t="shared" si="4"/>
        <v>12245.21</v>
      </c>
      <c r="K50" s="37"/>
      <c r="L50" s="37">
        <f t="shared" si="5"/>
        <v>30229.219999999998</v>
      </c>
      <c r="M50" s="6"/>
    </row>
    <row r="51" spans="1:13">
      <c r="A51" t="s">
        <v>89</v>
      </c>
      <c r="B51" s="37">
        <f>+'KY_Cost Plant Acct-Comm-P8(Fin)'!B51+'KY_Cost-Plant Acct-Comm-P8(PA)'!B50</f>
        <v>2659.54</v>
      </c>
      <c r="C51" s="37"/>
      <c r="D51" s="37">
        <f>+'KY_Cost Plant Acct-Comm-P8(Fin)'!D51+'KY_Cost-Plant Acct-Comm-P8(PA)'!D50</f>
        <v>-2659.54</v>
      </c>
      <c r="E51" s="37"/>
      <c r="F51" s="37">
        <f>+'KY_Cost Plant Acct-Comm-P8(Fin)'!F51+'KY_Cost-Plant Acct-Comm-P8(PA)'!F50</f>
        <v>0</v>
      </c>
      <c r="G51" s="37"/>
      <c r="H51" s="37">
        <f>+'KY_Cost Plant Acct-Comm-P8(Fin)'!H51+'KY_Cost-Plant Acct-Comm-P8(PA)'!H50</f>
        <v>0</v>
      </c>
      <c r="I51" s="37"/>
      <c r="J51" s="37">
        <f t="shared" si="4"/>
        <v>-2659.54</v>
      </c>
      <c r="K51" s="37"/>
      <c r="L51" s="37">
        <f t="shared" si="5"/>
        <v>0</v>
      </c>
      <c r="M51" s="6"/>
    </row>
    <row r="52" spans="1:13">
      <c r="A52" t="s">
        <v>90</v>
      </c>
      <c r="B52" s="37">
        <f>+'KY_Cost Plant Acct-Comm-P8(Fin)'!B52+'KY_Cost-Plant Acct-Comm-P8(PA)'!B51</f>
        <v>1886564.2599999998</v>
      </c>
      <c r="C52" s="37"/>
      <c r="D52" s="37">
        <f>+'KY_Cost Plant Acct-Comm-P8(Fin)'!D52+'KY_Cost-Plant Acct-Comm-P8(PA)'!D51</f>
        <v>-1192044.7399999998</v>
      </c>
      <c r="E52" s="37"/>
      <c r="F52" s="37">
        <f>+'KY_Cost Plant Acct-Comm-P8(Fin)'!F52+'KY_Cost-Plant Acct-Comm-P8(PA)'!F51</f>
        <v>0</v>
      </c>
      <c r="G52" s="37"/>
      <c r="H52" s="37">
        <f>+'KY_Cost Plant Acct-Comm-P8(Fin)'!H52+'KY_Cost-Plant Acct-Comm-P8(PA)'!H51</f>
        <v>0</v>
      </c>
      <c r="I52" s="37"/>
      <c r="J52" s="37">
        <f t="shared" si="4"/>
        <v>-1192044.7399999998</v>
      </c>
      <c r="K52" s="37"/>
      <c r="L52" s="37">
        <f t="shared" si="5"/>
        <v>694519.52</v>
      </c>
      <c r="M52" s="6"/>
    </row>
    <row r="53" spans="1:13">
      <c r="A53" t="s">
        <v>91</v>
      </c>
      <c r="B53" s="37">
        <f>+'KY_Cost Plant Acct-Comm-P8(Fin)'!B53+'KY_Cost-Plant Acct-Comm-P8(PA)'!B52</f>
        <v>6773.84</v>
      </c>
      <c r="C53" s="37"/>
      <c r="D53" s="37">
        <f>+'KY_Cost Plant Acct-Comm-P8(Fin)'!D53+'KY_Cost-Plant Acct-Comm-P8(PA)'!D52</f>
        <v>241973.66</v>
      </c>
      <c r="E53" s="37"/>
      <c r="F53" s="37">
        <f>+'KY_Cost Plant Acct-Comm-P8(Fin)'!F53+'KY_Cost-Plant Acct-Comm-P8(PA)'!F52</f>
        <v>0</v>
      </c>
      <c r="G53" s="37"/>
      <c r="H53" s="37">
        <f>+'KY_Cost Plant Acct-Comm-P8(Fin)'!H53+'KY_Cost-Plant Acct-Comm-P8(PA)'!H52</f>
        <v>0</v>
      </c>
      <c r="I53" s="37"/>
      <c r="J53" s="37">
        <f t="shared" si="4"/>
        <v>241973.66</v>
      </c>
      <c r="K53" s="37"/>
      <c r="L53" s="37">
        <f t="shared" si="5"/>
        <v>248747.5</v>
      </c>
      <c r="M53" s="6"/>
    </row>
    <row r="54" spans="1:13">
      <c r="A54" t="s">
        <v>92</v>
      </c>
      <c r="B54" s="37">
        <f>+'KY_Cost Plant Acct-Comm-P8(Fin)'!B54+'KY_Cost-Plant Acct-Comm-P8(PA)'!B53</f>
        <v>0</v>
      </c>
      <c r="C54" s="37"/>
      <c r="D54" s="37">
        <f>+'KY_Cost Plant Acct-Comm-P8(Fin)'!D54+'KY_Cost-Plant Acct-Comm-P8(PA)'!D53</f>
        <v>0</v>
      </c>
      <c r="E54" s="37"/>
      <c r="F54" s="37">
        <f>+'KY_Cost Plant Acct-Comm-P8(Fin)'!F54+'KY_Cost-Plant Acct-Comm-P8(PA)'!F53</f>
        <v>0</v>
      </c>
      <c r="G54" s="37"/>
      <c r="H54" s="37">
        <f>+'KY_Cost Plant Acct-Comm-P8(Fin)'!H54+'KY_Cost-Plant Acct-Comm-P8(PA)'!H53</f>
        <v>0</v>
      </c>
      <c r="I54" s="37"/>
      <c r="J54" s="37">
        <f t="shared" si="4"/>
        <v>0</v>
      </c>
      <c r="K54" s="37"/>
      <c r="L54" s="37">
        <f t="shared" si="5"/>
        <v>0</v>
      </c>
      <c r="M54" s="6"/>
    </row>
    <row r="55" spans="1:13">
      <c r="A55" t="s">
        <v>94</v>
      </c>
      <c r="B55" s="37">
        <f>+'KY_Cost Plant Acct-Comm-P8(Fin)'!B55+'KY_Cost-Plant Acct-Comm-P8(PA)'!B54</f>
        <v>0</v>
      </c>
      <c r="C55" s="37"/>
      <c r="D55" s="37">
        <f>+'KY_Cost Plant Acct-Comm-P8(Fin)'!D55+'KY_Cost-Plant Acct-Comm-P8(PA)'!D54</f>
        <v>0</v>
      </c>
      <c r="E55" s="37"/>
      <c r="F55" s="37">
        <f>+'KY_Cost Plant Acct-Comm-P8(Fin)'!F55+'KY_Cost-Plant Acct-Comm-P8(PA)'!F54</f>
        <v>0</v>
      </c>
      <c r="G55" s="37"/>
      <c r="H55" s="37">
        <f>+'KY_Cost Plant Acct-Comm-P8(Fin)'!H55+'KY_Cost-Plant Acct-Comm-P8(PA)'!H54</f>
        <v>0</v>
      </c>
      <c r="I55" s="37"/>
      <c r="J55" s="37">
        <f t="shared" si="4"/>
        <v>0</v>
      </c>
      <c r="K55" s="37"/>
      <c r="L55" s="37">
        <f t="shared" si="5"/>
        <v>0</v>
      </c>
      <c r="M55" s="6"/>
    </row>
    <row r="56" spans="1:13">
      <c r="A56" t="s">
        <v>95</v>
      </c>
      <c r="B56" s="37">
        <f>+'KY_Cost Plant Acct-Comm-P8(Fin)'!B56+'KY_Cost-Plant Acct-Comm-P8(PA)'!B55</f>
        <v>30451.68</v>
      </c>
      <c r="C56" s="37"/>
      <c r="D56" s="37">
        <f>+'KY_Cost Plant Acct-Comm-P8(Fin)'!D56+'KY_Cost-Plant Acct-Comm-P8(PA)'!D55</f>
        <v>-30451.68</v>
      </c>
      <c r="E56" s="37"/>
      <c r="F56" s="37">
        <f>+'KY_Cost Plant Acct-Comm-P8(Fin)'!F56+'KY_Cost-Plant Acct-Comm-P8(PA)'!F55</f>
        <v>0</v>
      </c>
      <c r="G56" s="37"/>
      <c r="H56" s="37">
        <f>+'KY_Cost Plant Acct-Comm-P8(Fin)'!H56+'KY_Cost-Plant Acct-Comm-P8(PA)'!H55</f>
        <v>0</v>
      </c>
      <c r="I56" s="37"/>
      <c r="J56" s="37">
        <f t="shared" si="4"/>
        <v>-30451.68</v>
      </c>
      <c r="K56" s="37"/>
      <c r="L56" s="37">
        <f t="shared" si="5"/>
        <v>0</v>
      </c>
      <c r="M56" s="6"/>
    </row>
    <row r="57" spans="1:13">
      <c r="A57" t="s">
        <v>96</v>
      </c>
      <c r="B57" s="37">
        <f>+'KY_Cost Plant Acct-Comm-P8(Fin)'!B57+'KY_Cost-Plant Acct-Comm-P8(PA)'!B56</f>
        <v>0</v>
      </c>
      <c r="C57" s="37"/>
      <c r="D57" s="37">
        <f>+'KY_Cost Plant Acct-Comm-P8(Fin)'!D57+'KY_Cost-Plant Acct-Comm-P8(PA)'!D56</f>
        <v>0</v>
      </c>
      <c r="E57" s="37"/>
      <c r="F57" s="37">
        <f>+'KY_Cost Plant Acct-Comm-P8(Fin)'!F57+'KY_Cost-Plant Acct-Comm-P8(PA)'!F56</f>
        <v>0</v>
      </c>
      <c r="G57" s="37"/>
      <c r="H57" s="37">
        <f>+'KY_Cost Plant Acct-Comm-P8(Fin)'!H57+'KY_Cost-Plant Acct-Comm-P8(PA)'!H56</f>
        <v>0</v>
      </c>
      <c r="I57" s="37"/>
      <c r="J57" s="37">
        <f t="shared" si="4"/>
        <v>0</v>
      </c>
      <c r="K57" s="37"/>
      <c r="L57" s="37">
        <f t="shared" si="5"/>
        <v>0</v>
      </c>
      <c r="M57" s="6"/>
    </row>
    <row r="58" spans="1:13">
      <c r="A58" t="s">
        <v>4</v>
      </c>
      <c r="B58" s="37">
        <f>+'KY_Cost Plant Acct-Comm-P8(Fin)'!B58+'KY_Cost-Plant Acct-Comm-P8(PA)'!B57</f>
        <v>93720.159999999858</v>
      </c>
      <c r="C58" s="37"/>
      <c r="D58" s="37">
        <f>+'KY_Cost Plant Acct-Comm-P8(Fin)'!D58+'KY_Cost-Plant Acct-Comm-P8(PA)'!D57</f>
        <v>75442.58</v>
      </c>
      <c r="E58" s="37"/>
      <c r="F58" s="37">
        <f>+'KY_Cost Plant Acct-Comm-P8(Fin)'!F58+'KY_Cost-Plant Acct-Comm-P8(PA)'!F57</f>
        <v>0</v>
      </c>
      <c r="G58" s="37"/>
      <c r="H58" s="37">
        <f>+'KY_Cost Plant Acct-Comm-P8(Fin)'!H58+'KY_Cost-Plant Acct-Comm-P8(PA)'!H57</f>
        <v>0</v>
      </c>
      <c r="I58" s="37"/>
      <c r="J58" s="37">
        <f t="shared" si="4"/>
        <v>75442.58</v>
      </c>
      <c r="K58" s="37"/>
      <c r="L58" s="37">
        <f t="shared" si="5"/>
        <v>169162.73999999987</v>
      </c>
      <c r="M58" s="6"/>
    </row>
    <row r="59" spans="1:13">
      <c r="A59" t="s">
        <v>100</v>
      </c>
      <c r="B59" s="37">
        <f>+'KY_Cost Plant Acct-Comm-P8(Fin)'!B59+'KY_Cost-Plant Acct-Comm-P8(PA)'!B58</f>
        <v>56863.95</v>
      </c>
      <c r="C59" s="37"/>
      <c r="D59" s="37">
        <f>+'KY_Cost Plant Acct-Comm-P8(Fin)'!D59+'KY_Cost-Plant Acct-Comm-P8(PA)'!D58</f>
        <v>15123.570000000007</v>
      </c>
      <c r="E59" s="37"/>
      <c r="F59" s="37">
        <f>+'KY_Cost Plant Acct-Comm-P8(Fin)'!F59+'KY_Cost-Plant Acct-Comm-P8(PA)'!F58</f>
        <v>0</v>
      </c>
      <c r="G59" s="37"/>
      <c r="H59" s="37">
        <f>+'KY_Cost Plant Acct-Comm-P8(Fin)'!H59+'KY_Cost-Plant Acct-Comm-P8(PA)'!H58</f>
        <v>0</v>
      </c>
      <c r="I59" s="37"/>
      <c r="J59" s="37">
        <f t="shared" si="4"/>
        <v>15123.570000000007</v>
      </c>
      <c r="K59" s="37"/>
      <c r="L59" s="37">
        <f t="shared" si="5"/>
        <v>71987.520000000004</v>
      </c>
      <c r="M59" s="6"/>
    </row>
    <row r="60" spans="1:13">
      <c r="A60" t="s">
        <v>498</v>
      </c>
      <c r="B60" s="37">
        <f>+'KY_Cost Plant Acct-Comm-P8(Fin)'!B60+'KY_Cost-Plant Acct-Comm-P8(PA)'!B59</f>
        <v>0</v>
      </c>
      <c r="C60" s="37"/>
      <c r="D60" s="37">
        <f>+'KY_Cost Plant Acct-Comm-P8(Fin)'!D60+'KY_Cost-Plant Acct-Comm-P8(PA)'!D59</f>
        <v>0</v>
      </c>
      <c r="E60" s="37"/>
      <c r="F60" s="37">
        <f>+'KY_Cost Plant Acct-Comm-P8(Fin)'!F60+'KY_Cost-Plant Acct-Comm-P8(PA)'!F59</f>
        <v>0</v>
      </c>
      <c r="G60" s="37"/>
      <c r="H60" s="37">
        <f>+'KY_Cost Plant Acct-Comm-P8(Fin)'!H60+'KY_Cost-Plant Acct-Comm-P8(PA)'!H59</f>
        <v>0</v>
      </c>
      <c r="I60" s="37"/>
      <c r="J60" s="37">
        <f t="shared" si="4"/>
        <v>0</v>
      </c>
      <c r="K60" s="37"/>
      <c r="L60" s="37">
        <f t="shared" si="5"/>
        <v>0</v>
      </c>
      <c r="M60" s="6"/>
    </row>
    <row r="61" spans="1:13">
      <c r="A61" t="s">
        <v>268</v>
      </c>
      <c r="B61" s="37">
        <f>+'KY_Cost Plant Acct-Comm-P8(Fin)'!B61+'KY_Cost-Plant Acct-Comm-P8(PA)'!B60</f>
        <v>1949634.7599999965</v>
      </c>
      <c r="C61" s="37"/>
      <c r="D61" s="37">
        <f>+'KY_Cost Plant Acct-Comm-P8(Fin)'!D61+'KY_Cost-Plant Acct-Comm-P8(PA)'!D60</f>
        <v>3901604.8900000006</v>
      </c>
      <c r="E61" s="37"/>
      <c r="F61" s="37">
        <f>+'KY_Cost Plant Acct-Comm-P8(Fin)'!F61+'KY_Cost-Plant Acct-Comm-P8(PA)'!F60</f>
        <v>0</v>
      </c>
      <c r="G61" s="37"/>
      <c r="H61" s="37">
        <f>+'KY_Cost Plant Acct-Comm-P8(Fin)'!H61+'KY_Cost-Plant Acct-Comm-P8(PA)'!H60</f>
        <v>0</v>
      </c>
      <c r="I61" s="37"/>
      <c r="J61" s="37">
        <f t="shared" si="4"/>
        <v>3901604.8900000006</v>
      </c>
      <c r="K61" s="37"/>
      <c r="L61" s="37">
        <f t="shared" si="5"/>
        <v>5851239.6499999966</v>
      </c>
      <c r="M61" s="6"/>
    </row>
    <row r="62" spans="1:13">
      <c r="A62" t="s">
        <v>1023</v>
      </c>
      <c r="B62" s="35">
        <f>+'KY_Cost Plant Acct-Comm-P8(Fin)'!B62+'KY_Cost-Plant Acct-Comm-P8(PA)'!B61</f>
        <v>291249.49999999988</v>
      </c>
      <c r="C62" s="37"/>
      <c r="D62" s="35">
        <f>+'KY_Cost Plant Acct-Comm-P8(Fin)'!D62+'KY_Cost-Plant Acct-Comm-P8(PA)'!D61</f>
        <v>165079.18</v>
      </c>
      <c r="E62" s="37"/>
      <c r="F62" s="35">
        <f>+'KY_Cost Plant Acct-Comm-P8(Fin)'!F62+'KY_Cost-Plant Acct-Comm-P8(PA)'!F61</f>
        <v>0</v>
      </c>
      <c r="G62" s="37"/>
      <c r="H62" s="35">
        <f>+'KY_Cost Plant Acct-Comm-P8(Fin)'!H62+'KY_Cost-Plant Acct-Comm-P8(PA)'!H61</f>
        <v>0</v>
      </c>
      <c r="I62" s="37"/>
      <c r="J62" s="35">
        <f t="shared" si="4"/>
        <v>165079.18</v>
      </c>
      <c r="K62" s="37"/>
      <c r="L62" s="35">
        <f t="shared" si="5"/>
        <v>456328.67999999988</v>
      </c>
      <c r="M62" s="6"/>
    </row>
    <row r="63" spans="1:13">
      <c r="B63" s="37">
        <f>SUM(B48:B62)</f>
        <v>4815820.2699999958</v>
      </c>
      <c r="C63" s="37"/>
      <c r="D63" s="37">
        <f>SUM(D48:D62)</f>
        <v>2715709.0500000012</v>
      </c>
      <c r="E63" s="37"/>
      <c r="F63" s="37">
        <f>SUM(F48:F62)</f>
        <v>0</v>
      </c>
      <c r="G63" s="37"/>
      <c r="H63" s="37">
        <f>SUM(H48:H62)</f>
        <v>0</v>
      </c>
      <c r="I63" s="37"/>
      <c r="J63" s="37">
        <f>SUM(J48:J62)</f>
        <v>2715709.0500000012</v>
      </c>
      <c r="K63" s="37"/>
      <c r="L63" s="37">
        <f>SUM(L48:L62)</f>
        <v>7531529.3199999966</v>
      </c>
      <c r="M63" s="6"/>
    </row>
    <row r="64" spans="1:13">
      <c r="B64" s="37"/>
      <c r="C64" s="37"/>
      <c r="D64" s="37"/>
      <c r="E64" s="37"/>
      <c r="F64" s="37"/>
      <c r="G64" s="37"/>
      <c r="H64" s="37"/>
      <c r="I64" s="37"/>
      <c r="J64" s="37"/>
      <c r="K64" s="37"/>
      <c r="L64" s="37"/>
      <c r="M64" s="6"/>
    </row>
    <row r="65" spans="1:13">
      <c r="B65" s="37"/>
      <c r="C65" s="37"/>
      <c r="D65" s="37"/>
      <c r="E65" s="37"/>
      <c r="F65" s="37"/>
      <c r="G65" s="37"/>
      <c r="H65" s="37"/>
      <c r="I65" s="37"/>
      <c r="J65" s="37"/>
      <c r="K65" s="37"/>
      <c r="L65" s="37"/>
      <c r="M65" s="6"/>
    </row>
    <row r="66" spans="1:13">
      <c r="A66" s="3" t="s">
        <v>602</v>
      </c>
      <c r="B66" s="34">
        <f>B63</f>
        <v>4815820.2699999958</v>
      </c>
      <c r="C66" s="6"/>
      <c r="D66" s="34">
        <f>D63</f>
        <v>2715709.0500000012</v>
      </c>
      <c r="E66" s="6"/>
      <c r="F66" s="34">
        <f>F63</f>
        <v>0</v>
      </c>
      <c r="G66" s="6"/>
      <c r="H66" s="34">
        <f>H63</f>
        <v>0</v>
      </c>
      <c r="I66" s="6"/>
      <c r="J66" s="34">
        <f>J63</f>
        <v>2715709.0500000012</v>
      </c>
      <c r="K66" s="6"/>
      <c r="L66" s="34">
        <f>L63</f>
        <v>7531529.3199999966</v>
      </c>
      <c r="M66" s="6"/>
    </row>
    <row r="67" spans="1:13">
      <c r="B67" s="37"/>
      <c r="C67" s="37"/>
      <c r="D67" s="37"/>
      <c r="E67" s="37"/>
      <c r="F67" s="37"/>
      <c r="G67" s="37"/>
      <c r="H67" s="37"/>
      <c r="I67" s="37"/>
      <c r="J67" s="37"/>
      <c r="K67" s="37"/>
      <c r="L67" s="37"/>
      <c r="M67" s="6"/>
    </row>
    <row r="68" spans="1:13">
      <c r="B68" s="33"/>
      <c r="C68" s="33"/>
      <c r="D68" s="33"/>
      <c r="E68" s="33"/>
      <c r="F68" s="33"/>
      <c r="G68" s="33"/>
      <c r="H68" s="33"/>
      <c r="I68" s="33"/>
      <c r="J68" s="33"/>
      <c r="K68" s="33"/>
      <c r="L68" s="33"/>
      <c r="M68" s="1"/>
    </row>
    <row r="69" spans="1:13" ht="13.5" thickBot="1">
      <c r="A69" s="3" t="s">
        <v>685</v>
      </c>
      <c r="B69" s="44">
        <f>B43+B66</f>
        <v>148033488.35000002</v>
      </c>
      <c r="C69" s="33"/>
      <c r="D69" s="44">
        <f>D43+D66</f>
        <v>6342012.080000001</v>
      </c>
      <c r="E69" s="33"/>
      <c r="F69" s="44">
        <f>F43+F66</f>
        <v>-496932.87000000005</v>
      </c>
      <c r="G69" s="33"/>
      <c r="H69" s="44">
        <f>H43+H66</f>
        <v>0</v>
      </c>
      <c r="I69" s="33"/>
      <c r="J69" s="44">
        <f>J43+J66</f>
        <v>5845079.2100000009</v>
      </c>
      <c r="K69" s="33"/>
      <c r="L69" s="44">
        <f>L43+L66</f>
        <v>153878567.56</v>
      </c>
      <c r="M69" s="1"/>
    </row>
    <row r="70" spans="1:13" ht="13.5" thickTop="1">
      <c r="B70" s="33"/>
      <c r="C70" s="33"/>
      <c r="D70" s="33"/>
      <c r="E70" s="33"/>
      <c r="F70" s="33"/>
      <c r="G70" s="33"/>
      <c r="H70" s="33"/>
      <c r="I70" s="33"/>
      <c r="J70" s="33"/>
      <c r="K70" s="33"/>
      <c r="L70" s="33"/>
      <c r="M70" s="1"/>
    </row>
    <row r="71" spans="1:13">
      <c r="B71" s="1"/>
      <c r="C71" s="1"/>
      <c r="D71" s="1"/>
      <c r="E71" s="1"/>
      <c r="F71" s="1"/>
      <c r="G71" s="1"/>
      <c r="H71" s="1"/>
      <c r="I71" s="1"/>
      <c r="J71" s="1"/>
      <c r="K71" s="1"/>
      <c r="L71" s="1"/>
      <c r="M71" s="1"/>
    </row>
    <row r="72" spans="1:13">
      <c r="B72" s="1"/>
      <c r="C72" s="1"/>
      <c r="D72" s="1"/>
      <c r="E72" s="1"/>
      <c r="F72" s="1"/>
      <c r="G72" s="1"/>
      <c r="H72" s="1"/>
      <c r="I72" s="1"/>
      <c r="J72" s="1"/>
      <c r="K72" s="1"/>
      <c r="L72" s="1"/>
      <c r="M72" s="1"/>
    </row>
    <row r="73" spans="1:13">
      <c r="B73" s="1"/>
      <c r="C73" s="1"/>
      <c r="D73" s="1"/>
      <c r="E73" s="1"/>
      <c r="F73" s="1"/>
      <c r="G73" s="1"/>
      <c r="H73" s="1"/>
      <c r="I73" s="1"/>
      <c r="J73" s="1"/>
      <c r="K73" s="1"/>
      <c r="L73" s="1"/>
      <c r="M73" s="1"/>
    </row>
    <row r="74" spans="1:13">
      <c r="B74" s="1"/>
      <c r="C74" s="1"/>
      <c r="D74" s="1"/>
      <c r="E74" s="1"/>
      <c r="F74" s="1"/>
      <c r="G74" s="1"/>
      <c r="H74" s="1"/>
      <c r="I74" s="1"/>
      <c r="J74" s="1"/>
      <c r="K74" s="1"/>
      <c r="L74" s="1"/>
      <c r="M74" s="1"/>
    </row>
    <row r="75" spans="1:13">
      <c r="B75" s="1"/>
      <c r="C75" s="1"/>
      <c r="D75" s="1"/>
      <c r="E75" s="1"/>
      <c r="F75" s="1"/>
      <c r="G75" s="1"/>
      <c r="H75" s="1"/>
      <c r="I75" s="1"/>
      <c r="J75" s="1"/>
      <c r="K75" s="1"/>
      <c r="L75" s="1"/>
      <c r="M75" s="1"/>
    </row>
    <row r="76" spans="1:13">
      <c r="B76" s="1"/>
      <c r="C76" s="1"/>
      <c r="D76" s="1"/>
      <c r="E76" s="1"/>
      <c r="F76" s="1"/>
      <c r="G76" s="1"/>
      <c r="H76" s="1"/>
      <c r="I76" s="1"/>
      <c r="J76" s="1"/>
      <c r="K76" s="1"/>
      <c r="L76" s="1"/>
      <c r="M76" s="1"/>
    </row>
    <row r="77" spans="1:13">
      <c r="B77" s="1"/>
      <c r="C77" s="1"/>
      <c r="D77" s="1"/>
      <c r="E77" s="1"/>
      <c r="F77" s="1"/>
      <c r="G77" s="1"/>
      <c r="H77" s="1"/>
      <c r="I77" s="1"/>
      <c r="J77" s="1"/>
      <c r="K77" s="1"/>
      <c r="L77" s="1"/>
      <c r="M77" s="1"/>
    </row>
    <row r="78" spans="1:13">
      <c r="B78" s="1"/>
      <c r="C78" s="1"/>
      <c r="D78" s="1"/>
      <c r="E78" s="1"/>
      <c r="F78" s="1"/>
      <c r="G78" s="1"/>
      <c r="H78" s="1"/>
      <c r="I78" s="1"/>
      <c r="J78" s="1"/>
      <c r="K78" s="1"/>
      <c r="L78" s="1"/>
      <c r="M78" s="1"/>
    </row>
    <row r="79" spans="1:13">
      <c r="B79" s="1"/>
      <c r="C79" s="1"/>
      <c r="D79" s="1"/>
      <c r="E79" s="1"/>
      <c r="F79" s="1"/>
      <c r="G79" s="1"/>
      <c r="H79" s="1"/>
      <c r="I79" s="1"/>
      <c r="J79" s="1"/>
      <c r="K79" s="1"/>
      <c r="L79" s="1"/>
      <c r="M79" s="1"/>
    </row>
    <row r="80" spans="1:13">
      <c r="B80" s="1"/>
      <c r="C80" s="1"/>
      <c r="D80" s="1"/>
      <c r="E80" s="1"/>
      <c r="F80" s="1"/>
      <c r="G80" s="1"/>
      <c r="H80" s="1"/>
      <c r="I80" s="1"/>
      <c r="J80" s="1"/>
      <c r="K80" s="1"/>
      <c r="L80" s="1"/>
      <c r="M80" s="1"/>
    </row>
    <row r="81" spans="2:13">
      <c r="B81" s="1"/>
      <c r="C81" s="1"/>
      <c r="D81" s="1"/>
      <c r="E81" s="1"/>
      <c r="F81" s="1"/>
      <c r="G81" s="1"/>
      <c r="H81" s="1"/>
      <c r="I81" s="1"/>
      <c r="J81" s="1"/>
      <c r="K81" s="1"/>
      <c r="L81" s="1"/>
      <c r="M81" s="1"/>
    </row>
    <row r="82" spans="2:13">
      <c r="B82" s="1"/>
      <c r="C82" s="1"/>
      <c r="D82" s="1"/>
      <c r="E82" s="1"/>
      <c r="F82" s="1"/>
      <c r="G82" s="1"/>
      <c r="H82" s="1"/>
      <c r="I82" s="1"/>
      <c r="J82" s="1"/>
      <c r="K82" s="1"/>
      <c r="L82" s="1"/>
      <c r="M82" s="1"/>
    </row>
    <row r="83" spans="2:13">
      <c r="B83" s="1"/>
      <c r="C83" s="1"/>
      <c r="D83" s="1"/>
      <c r="E83" s="1"/>
      <c r="F83" s="1"/>
      <c r="G83" s="1"/>
      <c r="H83" s="1"/>
      <c r="I83" s="1"/>
      <c r="J83" s="1"/>
      <c r="K83" s="1"/>
      <c r="L83" s="1"/>
      <c r="M83" s="1"/>
    </row>
    <row r="84" spans="2:13">
      <c r="B84" s="1"/>
      <c r="C84" s="1"/>
      <c r="D84" s="1"/>
      <c r="E84" s="1"/>
      <c r="F84" s="1"/>
      <c r="G84" s="1"/>
      <c r="H84" s="1"/>
      <c r="I84" s="1"/>
      <c r="J84" s="1"/>
      <c r="K84" s="1"/>
      <c r="L84" s="1"/>
      <c r="M84" s="1"/>
    </row>
    <row r="85" spans="2:13">
      <c r="B85" s="1"/>
      <c r="C85" s="1"/>
      <c r="D85" s="1"/>
      <c r="E85" s="1"/>
      <c r="F85" s="1"/>
      <c r="G85" s="1"/>
      <c r="H85" s="1"/>
      <c r="I85" s="1"/>
      <c r="J85" s="1"/>
      <c r="K85" s="1"/>
      <c r="L85" s="1"/>
      <c r="M85" s="1"/>
    </row>
    <row r="86" spans="2:13">
      <c r="B86" s="1"/>
      <c r="C86" s="1"/>
      <c r="D86" s="1"/>
      <c r="E86" s="1"/>
      <c r="F86" s="1"/>
      <c r="G86" s="1"/>
      <c r="H86" s="1"/>
      <c r="I86" s="1"/>
      <c r="J86" s="1"/>
      <c r="K86" s="1"/>
      <c r="L86" s="1"/>
      <c r="M86" s="1"/>
    </row>
    <row r="87" spans="2:13">
      <c r="B87" s="1"/>
      <c r="C87" s="1"/>
      <c r="D87" s="1"/>
      <c r="E87" s="1"/>
      <c r="F87" s="1"/>
      <c r="G87" s="1"/>
      <c r="H87" s="1"/>
      <c r="I87" s="1"/>
      <c r="J87" s="1"/>
      <c r="K87" s="1"/>
      <c r="L87" s="1"/>
      <c r="M87" s="1"/>
    </row>
    <row r="88" spans="2:13">
      <c r="B88" s="1"/>
      <c r="C88" s="1"/>
      <c r="D88" s="1"/>
      <c r="E88" s="1"/>
      <c r="F88" s="1"/>
      <c r="G88" s="1"/>
      <c r="H88" s="1"/>
      <c r="I88" s="1"/>
      <c r="J88" s="1"/>
      <c r="K88" s="1"/>
      <c r="L88" s="1"/>
      <c r="M88" s="1"/>
    </row>
    <row r="89" spans="2:13">
      <c r="B89" s="1"/>
      <c r="C89" s="1"/>
      <c r="D89" s="1"/>
      <c r="E89" s="1"/>
      <c r="F89" s="1"/>
      <c r="G89" s="1"/>
      <c r="H89" s="1"/>
      <c r="I89" s="1"/>
      <c r="J89" s="1"/>
      <c r="K89" s="1"/>
      <c r="L89" s="1"/>
      <c r="M89" s="1"/>
    </row>
    <row r="90" spans="2:13">
      <c r="B90" s="1"/>
      <c r="C90" s="1"/>
      <c r="D90" s="1"/>
      <c r="E90" s="1"/>
      <c r="F90" s="1"/>
      <c r="G90" s="1"/>
      <c r="H90" s="1"/>
      <c r="I90" s="1"/>
      <c r="J90" s="1"/>
      <c r="K90" s="1"/>
      <c r="L90" s="1"/>
      <c r="M90" s="1"/>
    </row>
    <row r="91" spans="2:13">
      <c r="B91" s="1"/>
      <c r="C91" s="1"/>
      <c r="D91" s="1"/>
      <c r="E91" s="1"/>
      <c r="F91" s="1"/>
      <c r="G91" s="1"/>
      <c r="H91" s="1"/>
      <c r="I91" s="1"/>
      <c r="J91" s="1"/>
      <c r="K91" s="1"/>
      <c r="L91" s="1"/>
      <c r="M91" s="1"/>
    </row>
    <row r="92" spans="2:13">
      <c r="B92" s="1"/>
      <c r="C92" s="1"/>
      <c r="D92" s="1"/>
      <c r="E92" s="1"/>
      <c r="F92" s="1"/>
      <c r="G92" s="1"/>
      <c r="H92" s="1"/>
      <c r="I92" s="1"/>
      <c r="J92" s="1"/>
      <c r="K92" s="1"/>
      <c r="L92" s="1"/>
      <c r="M92" s="1"/>
    </row>
    <row r="93" spans="2:13">
      <c r="B93" s="1"/>
      <c r="C93" s="1"/>
      <c r="D93" s="1"/>
      <c r="E93" s="1"/>
      <c r="F93" s="1"/>
      <c r="G93" s="1"/>
      <c r="H93" s="1"/>
      <c r="I93" s="1"/>
      <c r="J93" s="1"/>
      <c r="K93" s="1"/>
      <c r="L93" s="1"/>
      <c r="M93" s="1"/>
    </row>
    <row r="94" spans="2:13">
      <c r="B94" s="1"/>
      <c r="C94" s="1"/>
      <c r="D94" s="1"/>
      <c r="E94" s="1"/>
      <c r="F94" s="1"/>
      <c r="G94" s="1"/>
      <c r="H94" s="1"/>
      <c r="I94" s="1"/>
      <c r="J94" s="1"/>
      <c r="K94" s="1"/>
      <c r="L94" s="1"/>
      <c r="M94" s="1"/>
    </row>
    <row r="95" spans="2:13">
      <c r="B95" s="1"/>
      <c r="C95" s="1"/>
      <c r="D95" s="1"/>
      <c r="E95" s="1"/>
      <c r="F95" s="1"/>
      <c r="G95" s="1"/>
      <c r="H95" s="1"/>
      <c r="I95" s="1"/>
      <c r="J95" s="1"/>
      <c r="K95" s="1"/>
      <c r="L95" s="1"/>
      <c r="M95" s="1"/>
    </row>
    <row r="96" spans="2:13">
      <c r="B96" s="1"/>
      <c r="C96" s="1"/>
      <c r="D96" s="1"/>
      <c r="E96" s="1"/>
      <c r="F96" s="1"/>
      <c r="G96" s="1"/>
      <c r="H96" s="1"/>
      <c r="I96" s="1"/>
      <c r="J96" s="1"/>
      <c r="K96" s="1"/>
      <c r="L96" s="1"/>
      <c r="M96" s="1"/>
    </row>
    <row r="97" spans="2:13">
      <c r="B97" s="1"/>
      <c r="C97" s="1"/>
      <c r="D97" s="1"/>
      <c r="E97" s="1"/>
      <c r="F97" s="1"/>
      <c r="G97" s="1"/>
      <c r="H97" s="1"/>
      <c r="I97" s="1"/>
      <c r="J97" s="1"/>
      <c r="K97" s="1"/>
      <c r="L97" s="1"/>
      <c r="M97" s="1"/>
    </row>
    <row r="98" spans="2:13">
      <c r="B98" s="1"/>
      <c r="C98" s="1"/>
      <c r="D98" s="1"/>
      <c r="E98" s="1"/>
      <c r="F98" s="1"/>
      <c r="G98" s="1"/>
      <c r="H98" s="1"/>
      <c r="I98" s="1"/>
      <c r="J98" s="1"/>
      <c r="K98" s="1"/>
      <c r="L98" s="1"/>
      <c r="M98" s="1"/>
    </row>
    <row r="99" spans="2:13">
      <c r="B99" s="1"/>
      <c r="C99" s="1"/>
      <c r="D99" s="1"/>
      <c r="E99" s="1"/>
      <c r="F99" s="1"/>
      <c r="G99" s="1"/>
      <c r="H99" s="1"/>
      <c r="I99" s="1"/>
      <c r="J99" s="1"/>
      <c r="K99" s="1"/>
      <c r="L99" s="1"/>
      <c r="M99" s="1"/>
    </row>
    <row r="100" spans="2:13">
      <c r="B100" s="1"/>
      <c r="C100" s="1"/>
      <c r="D100" s="1"/>
      <c r="E100" s="1"/>
      <c r="F100" s="1"/>
      <c r="G100" s="1"/>
      <c r="H100" s="1"/>
      <c r="I100" s="1"/>
      <c r="J100" s="1"/>
      <c r="K100" s="1"/>
      <c r="L100" s="1"/>
      <c r="M100" s="1"/>
    </row>
    <row r="101" spans="2:13">
      <c r="B101" s="1"/>
      <c r="C101" s="1"/>
      <c r="D101" s="1"/>
      <c r="E101" s="1"/>
      <c r="F101" s="1"/>
      <c r="G101" s="1"/>
      <c r="H101" s="1"/>
      <c r="I101" s="1"/>
      <c r="J101" s="1"/>
      <c r="K101" s="1"/>
      <c r="L101" s="1"/>
      <c r="M101" s="1"/>
    </row>
    <row r="102" spans="2:13">
      <c r="B102" s="1"/>
      <c r="C102" s="1"/>
      <c r="D102" s="1"/>
      <c r="E102" s="1"/>
      <c r="F102" s="1"/>
      <c r="G102" s="1"/>
      <c r="H102" s="1"/>
      <c r="I102" s="1"/>
      <c r="J102" s="1"/>
      <c r="K102" s="1"/>
      <c r="L102" s="1"/>
      <c r="M102" s="1"/>
    </row>
    <row r="103" spans="2:13">
      <c r="B103" s="1"/>
      <c r="C103" s="1"/>
      <c r="D103" s="1"/>
      <c r="E103" s="1"/>
      <c r="F103" s="1"/>
      <c r="G103" s="1"/>
      <c r="H103" s="1"/>
      <c r="I103" s="1"/>
      <c r="J103" s="1"/>
      <c r="K103" s="1"/>
      <c r="L103" s="1"/>
      <c r="M103" s="1"/>
    </row>
    <row r="104" spans="2:13">
      <c r="B104" s="1"/>
      <c r="C104" s="1"/>
      <c r="D104" s="1"/>
      <c r="E104" s="1"/>
      <c r="F104" s="1"/>
      <c r="G104" s="1"/>
      <c r="H104" s="1"/>
      <c r="I104" s="1"/>
      <c r="J104" s="1"/>
      <c r="K104" s="1"/>
      <c r="L104" s="1"/>
      <c r="M104" s="1"/>
    </row>
    <row r="105" spans="2:13">
      <c r="B105" s="1"/>
      <c r="C105" s="1"/>
      <c r="D105" s="1"/>
      <c r="E105" s="1"/>
      <c r="F105" s="1"/>
      <c r="G105" s="1"/>
      <c r="H105" s="1"/>
      <c r="I105" s="1"/>
      <c r="J105" s="1"/>
      <c r="K105" s="1"/>
      <c r="L105" s="1"/>
      <c r="M105" s="1"/>
    </row>
    <row r="106" spans="2:13">
      <c r="B106" s="1"/>
      <c r="C106" s="1"/>
      <c r="D106" s="1"/>
      <c r="E106" s="1"/>
      <c r="F106" s="1"/>
      <c r="G106" s="1"/>
      <c r="H106" s="1"/>
      <c r="I106" s="1"/>
      <c r="J106" s="1"/>
      <c r="K106" s="1"/>
      <c r="L106" s="1"/>
      <c r="M106" s="1"/>
    </row>
    <row r="107" spans="2:13">
      <c r="B107" s="1"/>
      <c r="C107" s="1"/>
      <c r="D107" s="1"/>
      <c r="E107" s="1"/>
      <c r="F107" s="1"/>
      <c r="G107" s="1"/>
      <c r="H107" s="1"/>
      <c r="I107" s="1"/>
      <c r="J107" s="1"/>
      <c r="K107" s="1"/>
      <c r="L107" s="1"/>
      <c r="M107" s="1"/>
    </row>
    <row r="108" spans="2:13">
      <c r="B108" s="1"/>
      <c r="C108" s="1"/>
      <c r="D108" s="1"/>
      <c r="E108" s="1"/>
      <c r="F108" s="1"/>
      <c r="G108" s="1"/>
      <c r="H108" s="1"/>
      <c r="I108" s="1"/>
      <c r="J108" s="1"/>
      <c r="K108" s="1"/>
      <c r="L108" s="1"/>
      <c r="M108" s="1"/>
    </row>
    <row r="109" spans="2:13">
      <c r="B109" s="1"/>
      <c r="C109" s="1"/>
      <c r="D109" s="1"/>
      <c r="E109" s="1"/>
      <c r="F109" s="1"/>
      <c r="G109" s="1"/>
      <c r="H109" s="1"/>
      <c r="I109" s="1"/>
      <c r="J109" s="1"/>
      <c r="K109" s="1"/>
      <c r="L109" s="1"/>
      <c r="M109" s="1"/>
    </row>
    <row r="110" spans="2:13">
      <c r="B110" s="1"/>
      <c r="C110" s="1"/>
      <c r="D110" s="1"/>
      <c r="E110" s="1"/>
      <c r="F110" s="1"/>
      <c r="G110" s="1"/>
      <c r="H110" s="1"/>
      <c r="I110" s="1"/>
      <c r="J110" s="1"/>
      <c r="K110" s="1"/>
      <c r="L110" s="1"/>
      <c r="M110" s="1"/>
    </row>
    <row r="111" spans="2:13">
      <c r="B111" s="1"/>
      <c r="C111" s="1"/>
      <c r="D111" s="1"/>
      <c r="E111" s="1"/>
      <c r="F111" s="1"/>
      <c r="G111" s="1"/>
      <c r="H111" s="1"/>
      <c r="I111" s="1"/>
      <c r="J111" s="1"/>
      <c r="K111" s="1"/>
      <c r="L111" s="1"/>
      <c r="M111" s="1"/>
    </row>
    <row r="112" spans="2:13">
      <c r="B112" s="1"/>
      <c r="C112" s="1"/>
      <c r="D112" s="1"/>
      <c r="E112" s="1"/>
      <c r="F112" s="1"/>
      <c r="G112" s="1"/>
      <c r="H112" s="1"/>
      <c r="I112" s="1"/>
      <c r="J112" s="1"/>
      <c r="K112" s="1"/>
      <c r="L112" s="1"/>
      <c r="M112" s="1"/>
    </row>
    <row r="113" spans="2:13">
      <c r="B113" s="1"/>
      <c r="C113" s="1"/>
      <c r="D113" s="1"/>
      <c r="E113" s="1"/>
      <c r="F113" s="1"/>
      <c r="G113" s="1"/>
      <c r="H113" s="1"/>
      <c r="I113" s="1"/>
      <c r="J113" s="1"/>
      <c r="K113" s="1"/>
      <c r="L113" s="1"/>
      <c r="M113" s="1"/>
    </row>
    <row r="114" spans="2:13">
      <c r="B114" s="1"/>
      <c r="C114" s="1"/>
      <c r="D114" s="1"/>
      <c r="E114" s="1"/>
      <c r="F114" s="1"/>
      <c r="G114" s="1"/>
      <c r="H114" s="1"/>
      <c r="I114" s="1"/>
      <c r="J114" s="1"/>
      <c r="K114" s="1"/>
      <c r="L114" s="1"/>
      <c r="M114" s="1"/>
    </row>
    <row r="115" spans="2:13">
      <c r="B115" s="1"/>
      <c r="C115" s="1"/>
      <c r="D115" s="1"/>
      <c r="E115" s="1"/>
      <c r="F115" s="1"/>
      <c r="G115" s="1"/>
      <c r="H115" s="1"/>
      <c r="I115" s="1"/>
      <c r="J115" s="1"/>
      <c r="K115" s="1"/>
      <c r="L115" s="1"/>
      <c r="M115" s="1"/>
    </row>
    <row r="116" spans="2:13">
      <c r="B116" s="1"/>
      <c r="C116" s="1"/>
      <c r="D116" s="1"/>
      <c r="E116" s="1"/>
      <c r="F116" s="1"/>
      <c r="G116" s="1"/>
      <c r="H116" s="1"/>
      <c r="I116" s="1"/>
      <c r="J116" s="1"/>
      <c r="K116" s="1"/>
      <c r="L116" s="1"/>
      <c r="M116" s="1"/>
    </row>
    <row r="117" spans="2:13">
      <c r="B117" s="1"/>
      <c r="C117" s="1"/>
      <c r="D117" s="1"/>
      <c r="E117" s="1"/>
      <c r="F117" s="1"/>
      <c r="G117" s="1"/>
      <c r="H117" s="1"/>
      <c r="I117" s="1"/>
      <c r="J117" s="1"/>
      <c r="K117" s="1"/>
      <c r="L117" s="1"/>
      <c r="M117" s="1"/>
    </row>
    <row r="118" spans="2:13">
      <c r="B118" s="1"/>
      <c r="C118" s="1"/>
      <c r="D118" s="1"/>
      <c r="E118" s="1"/>
      <c r="F118" s="1"/>
      <c r="G118" s="1"/>
      <c r="H118" s="1"/>
      <c r="I118" s="1"/>
      <c r="J118" s="1"/>
      <c r="K118" s="1"/>
      <c r="L118" s="1"/>
      <c r="M118" s="1"/>
    </row>
    <row r="119" spans="2:13">
      <c r="B119" s="1"/>
      <c r="C119" s="1"/>
      <c r="D119" s="1"/>
      <c r="E119" s="1"/>
      <c r="F119" s="1"/>
      <c r="G119" s="1"/>
      <c r="H119" s="1"/>
      <c r="I119" s="1"/>
      <c r="J119" s="1"/>
      <c r="K119" s="1"/>
      <c r="L119" s="1"/>
      <c r="M119" s="1"/>
    </row>
    <row r="120" spans="2:13">
      <c r="B120" s="1"/>
      <c r="C120" s="1"/>
      <c r="D120" s="1"/>
      <c r="E120" s="1"/>
      <c r="F120" s="1"/>
      <c r="G120" s="1"/>
      <c r="H120" s="1"/>
      <c r="I120" s="1"/>
      <c r="J120" s="1"/>
      <c r="K120" s="1"/>
      <c r="L120" s="1"/>
      <c r="M120" s="1"/>
    </row>
    <row r="121" spans="2:13">
      <c r="B121" s="1"/>
      <c r="C121" s="1"/>
      <c r="D121" s="1"/>
      <c r="E121" s="1"/>
      <c r="F121" s="1"/>
      <c r="G121" s="1"/>
      <c r="H121" s="1"/>
      <c r="I121" s="1"/>
      <c r="J121" s="1"/>
      <c r="K121" s="1"/>
      <c r="L121" s="1"/>
      <c r="M121" s="1"/>
    </row>
    <row r="122" spans="2:13">
      <c r="B122" s="1"/>
      <c r="C122" s="1"/>
      <c r="D122" s="1"/>
      <c r="E122" s="1"/>
      <c r="F122" s="1"/>
      <c r="G122" s="1"/>
      <c r="H122" s="1"/>
      <c r="I122" s="1"/>
      <c r="J122" s="1"/>
      <c r="K122" s="1"/>
      <c r="L122" s="1"/>
      <c r="M122" s="1"/>
    </row>
    <row r="123" spans="2:13">
      <c r="B123" s="1"/>
      <c r="C123" s="1"/>
      <c r="D123" s="1"/>
      <c r="E123" s="1"/>
      <c r="F123" s="1"/>
      <c r="G123" s="1"/>
      <c r="H123" s="1"/>
      <c r="I123" s="1"/>
      <c r="J123" s="1"/>
      <c r="K123" s="1"/>
      <c r="L123" s="1"/>
      <c r="M123" s="1"/>
    </row>
    <row r="124" spans="2:13">
      <c r="B124" s="1"/>
      <c r="C124" s="1"/>
      <c r="D124" s="1"/>
      <c r="E124" s="1"/>
      <c r="F124" s="1"/>
      <c r="G124" s="1"/>
      <c r="H124" s="1"/>
      <c r="I124" s="1"/>
      <c r="J124" s="1"/>
      <c r="K124" s="1"/>
      <c r="L124" s="1"/>
      <c r="M124" s="1"/>
    </row>
    <row r="125" spans="2:13">
      <c r="B125" s="1"/>
      <c r="C125" s="1"/>
      <c r="D125" s="1"/>
      <c r="E125" s="1"/>
      <c r="F125" s="1"/>
      <c r="G125" s="1"/>
      <c r="H125" s="1"/>
      <c r="I125" s="1"/>
      <c r="J125" s="1"/>
      <c r="K125" s="1"/>
      <c r="L125" s="1"/>
      <c r="M125" s="1"/>
    </row>
    <row r="126" spans="2:13">
      <c r="B126" s="1"/>
      <c r="C126" s="1"/>
      <c r="D126" s="1"/>
      <c r="E126" s="1"/>
      <c r="F126" s="1"/>
      <c r="G126" s="1"/>
      <c r="H126" s="1"/>
      <c r="I126" s="1"/>
      <c r="J126" s="1"/>
      <c r="K126" s="1"/>
      <c r="L126" s="1"/>
      <c r="M126" s="1"/>
    </row>
    <row r="127" spans="2:13">
      <c r="B127" s="1"/>
      <c r="C127" s="1"/>
      <c r="D127" s="1"/>
      <c r="E127" s="1"/>
      <c r="F127" s="1"/>
      <c r="G127" s="1"/>
      <c r="H127" s="1"/>
      <c r="I127" s="1"/>
      <c r="J127" s="1"/>
      <c r="K127" s="1"/>
      <c r="L127" s="1"/>
      <c r="M127" s="1"/>
    </row>
    <row r="128" spans="2:13">
      <c r="B128" s="1"/>
      <c r="C128" s="1"/>
      <c r="D128" s="1"/>
      <c r="E128" s="1"/>
      <c r="F128" s="1"/>
      <c r="G128" s="1"/>
      <c r="H128" s="1"/>
      <c r="I128" s="1"/>
      <c r="J128" s="1"/>
      <c r="K128" s="1"/>
      <c r="L128" s="1"/>
      <c r="M128" s="1"/>
    </row>
    <row r="129" spans="2:13">
      <c r="B129" s="1"/>
      <c r="C129" s="1"/>
      <c r="D129" s="1"/>
      <c r="E129" s="1"/>
      <c r="F129" s="1"/>
      <c r="G129" s="1"/>
      <c r="H129" s="1"/>
      <c r="I129" s="1"/>
      <c r="J129" s="1"/>
      <c r="K129" s="1"/>
      <c r="L129" s="1"/>
      <c r="M129" s="1"/>
    </row>
    <row r="130" spans="2:13">
      <c r="B130" s="1"/>
      <c r="C130" s="1"/>
      <c r="D130" s="1"/>
      <c r="E130" s="1"/>
      <c r="F130" s="1"/>
      <c r="G130" s="1"/>
      <c r="H130" s="1"/>
      <c r="I130" s="1"/>
      <c r="J130" s="1"/>
      <c r="K130" s="1"/>
      <c r="L130" s="1"/>
      <c r="M130" s="1"/>
    </row>
    <row r="131" spans="2:13">
      <c r="B131" s="1"/>
      <c r="C131" s="1"/>
      <c r="D131" s="1"/>
      <c r="E131" s="1"/>
      <c r="F131" s="1"/>
      <c r="G131" s="1"/>
      <c r="H131" s="1"/>
      <c r="I131" s="1"/>
      <c r="J131" s="1"/>
      <c r="K131" s="1"/>
      <c r="L131" s="1"/>
      <c r="M131" s="1"/>
    </row>
    <row r="132" spans="2:13">
      <c r="B132" s="1"/>
      <c r="C132" s="1"/>
      <c r="D132" s="1"/>
      <c r="E132" s="1"/>
      <c r="F132" s="1"/>
      <c r="G132" s="1"/>
      <c r="H132" s="1"/>
      <c r="I132" s="1"/>
      <c r="J132" s="1"/>
      <c r="K132" s="1"/>
      <c r="L132" s="1"/>
      <c r="M132" s="1"/>
    </row>
    <row r="133" spans="2:13">
      <c r="B133" s="1"/>
      <c r="C133" s="1"/>
      <c r="D133" s="1"/>
      <c r="E133" s="1"/>
      <c r="F133" s="1"/>
      <c r="G133" s="1"/>
      <c r="H133" s="1"/>
      <c r="I133" s="1"/>
      <c r="J133" s="1"/>
      <c r="K133" s="1"/>
      <c r="L133" s="1"/>
      <c r="M133" s="1"/>
    </row>
    <row r="134" spans="2:13">
      <c r="B134" s="1"/>
      <c r="C134" s="1"/>
      <c r="D134" s="1"/>
      <c r="E134" s="1"/>
      <c r="F134" s="1"/>
      <c r="G134" s="1"/>
      <c r="H134" s="1"/>
      <c r="I134" s="1"/>
      <c r="J134" s="1"/>
      <c r="K134" s="1"/>
      <c r="L134" s="1"/>
      <c r="M134" s="1"/>
    </row>
    <row r="135" spans="2:13">
      <c r="B135" s="1"/>
      <c r="C135" s="1"/>
      <c r="D135" s="1"/>
      <c r="E135" s="1"/>
      <c r="F135" s="1"/>
      <c r="G135" s="1"/>
      <c r="H135" s="1"/>
      <c r="I135" s="1"/>
      <c r="J135" s="1"/>
      <c r="K135" s="1"/>
      <c r="L135" s="1"/>
      <c r="M135" s="1"/>
    </row>
    <row r="136" spans="2:13">
      <c r="B136" s="1"/>
      <c r="C136" s="1"/>
      <c r="D136" s="1"/>
      <c r="E136" s="1"/>
      <c r="F136" s="1"/>
      <c r="G136" s="1"/>
      <c r="H136" s="1"/>
      <c r="I136" s="1"/>
      <c r="J136" s="1"/>
      <c r="K136" s="1"/>
      <c r="L136" s="1"/>
      <c r="M136" s="1"/>
    </row>
    <row r="137" spans="2:13">
      <c r="B137" s="1"/>
      <c r="C137" s="1"/>
      <c r="D137" s="1"/>
      <c r="E137" s="1"/>
      <c r="F137" s="1"/>
      <c r="G137" s="1"/>
      <c r="H137" s="1"/>
      <c r="I137" s="1"/>
      <c r="J137" s="1"/>
      <c r="K137" s="1"/>
      <c r="L137" s="1"/>
      <c r="M137" s="1"/>
    </row>
    <row r="138" spans="2:13">
      <c r="B138" s="1"/>
      <c r="C138" s="1"/>
      <c r="D138" s="1"/>
      <c r="E138" s="1"/>
      <c r="F138" s="1"/>
      <c r="G138" s="1"/>
      <c r="H138" s="1"/>
      <c r="I138" s="1"/>
      <c r="J138" s="1"/>
      <c r="K138" s="1"/>
      <c r="L138" s="1"/>
      <c r="M138" s="1"/>
    </row>
    <row r="139" spans="2:13">
      <c r="B139" s="1"/>
      <c r="C139" s="1"/>
      <c r="D139" s="1"/>
      <c r="E139" s="1"/>
      <c r="F139" s="1"/>
      <c r="G139" s="1"/>
      <c r="H139" s="1"/>
      <c r="I139" s="1"/>
      <c r="J139" s="1"/>
      <c r="K139" s="1"/>
      <c r="L139" s="1"/>
      <c r="M139" s="1"/>
    </row>
    <row r="140" spans="2:13">
      <c r="B140" s="1"/>
      <c r="C140" s="1"/>
      <c r="D140" s="1"/>
      <c r="E140" s="1"/>
      <c r="F140" s="1"/>
      <c r="G140" s="1"/>
      <c r="H140" s="1"/>
      <c r="I140" s="1"/>
      <c r="J140" s="1"/>
      <c r="K140" s="1"/>
      <c r="L140" s="1"/>
      <c r="M140" s="1"/>
    </row>
    <row r="141" spans="2:13">
      <c r="B141" s="1"/>
      <c r="C141" s="1"/>
      <c r="D141" s="1"/>
      <c r="E141" s="1"/>
      <c r="F141" s="1"/>
      <c r="G141" s="1"/>
      <c r="H141" s="1"/>
      <c r="I141" s="1"/>
      <c r="J141" s="1"/>
      <c r="K141" s="1"/>
      <c r="L141" s="1"/>
      <c r="M141" s="1"/>
    </row>
    <row r="142" spans="2:13">
      <c r="B142" s="1"/>
      <c r="C142" s="1"/>
      <c r="D142" s="1"/>
      <c r="E142" s="1"/>
      <c r="F142" s="1"/>
      <c r="G142" s="1"/>
      <c r="H142" s="1"/>
      <c r="I142" s="1"/>
      <c r="J142" s="1"/>
      <c r="K142" s="1"/>
      <c r="L142" s="1"/>
      <c r="M142" s="1"/>
    </row>
    <row r="143" spans="2:13">
      <c r="B143" s="1"/>
      <c r="C143" s="1"/>
      <c r="D143" s="1"/>
      <c r="E143" s="1"/>
      <c r="F143" s="1"/>
      <c r="G143" s="1"/>
      <c r="H143" s="1"/>
      <c r="I143" s="1"/>
      <c r="J143" s="1"/>
      <c r="K143" s="1"/>
      <c r="L143" s="1"/>
      <c r="M143" s="1"/>
    </row>
    <row r="144" spans="2:13">
      <c r="B144" s="1"/>
      <c r="C144" s="1"/>
      <c r="D144" s="1"/>
      <c r="E144" s="1"/>
      <c r="F144" s="1"/>
      <c r="G144" s="1"/>
      <c r="H144" s="1"/>
      <c r="I144" s="1"/>
      <c r="J144" s="1"/>
      <c r="K144" s="1"/>
      <c r="L144" s="1"/>
      <c r="M144" s="1"/>
    </row>
    <row r="145" spans="2:13">
      <c r="B145" s="1"/>
      <c r="C145" s="1"/>
      <c r="D145" s="1"/>
      <c r="E145" s="1"/>
      <c r="F145" s="1"/>
      <c r="G145" s="1"/>
      <c r="H145" s="1"/>
      <c r="I145" s="1"/>
      <c r="J145" s="1"/>
      <c r="K145" s="1"/>
      <c r="L145" s="1"/>
      <c r="M145" s="1"/>
    </row>
    <row r="146" spans="2:13">
      <c r="B146" s="1"/>
      <c r="C146" s="1"/>
      <c r="D146" s="1"/>
      <c r="E146" s="1"/>
      <c r="F146" s="1"/>
      <c r="G146" s="1"/>
      <c r="H146" s="1"/>
      <c r="I146" s="1"/>
      <c r="J146" s="1"/>
      <c r="K146" s="1"/>
      <c r="L146" s="1"/>
      <c r="M146" s="1"/>
    </row>
    <row r="147" spans="2:13">
      <c r="B147" s="1"/>
      <c r="C147" s="1"/>
      <c r="D147" s="1"/>
      <c r="E147" s="1"/>
      <c r="F147" s="1"/>
      <c r="G147" s="1"/>
      <c r="H147" s="1"/>
      <c r="I147" s="1"/>
      <c r="J147" s="1"/>
      <c r="K147" s="1"/>
      <c r="L147" s="1"/>
      <c r="M147" s="1"/>
    </row>
    <row r="148" spans="2:13">
      <c r="B148" s="1"/>
      <c r="C148" s="1"/>
      <c r="D148" s="1"/>
      <c r="E148" s="1"/>
      <c r="F148" s="1"/>
      <c r="G148" s="1"/>
      <c r="H148" s="1"/>
      <c r="I148" s="1"/>
      <c r="J148" s="1"/>
      <c r="K148" s="1"/>
      <c r="L148" s="1"/>
      <c r="M148" s="1"/>
    </row>
    <row r="149" spans="2:13">
      <c r="B149" s="1"/>
      <c r="C149" s="1"/>
      <c r="D149" s="1"/>
      <c r="E149" s="1"/>
      <c r="F149" s="1"/>
      <c r="G149" s="1"/>
      <c r="H149" s="1"/>
      <c r="I149" s="1"/>
      <c r="J149" s="1"/>
      <c r="K149" s="1"/>
      <c r="L149" s="1"/>
      <c r="M149" s="1"/>
    </row>
    <row r="150" spans="2:13">
      <c r="B150" s="1"/>
      <c r="C150" s="1"/>
      <c r="D150" s="1"/>
      <c r="E150" s="1"/>
      <c r="F150" s="1"/>
      <c r="G150" s="1"/>
      <c r="H150" s="1"/>
      <c r="I150" s="1"/>
      <c r="J150" s="1"/>
      <c r="K150" s="1"/>
      <c r="L150" s="1"/>
      <c r="M150" s="1"/>
    </row>
    <row r="151" spans="2:13">
      <c r="B151" s="1"/>
      <c r="C151" s="1"/>
      <c r="D151" s="1"/>
      <c r="E151" s="1"/>
      <c r="F151" s="1"/>
      <c r="G151" s="1"/>
      <c r="H151" s="1"/>
      <c r="I151" s="1"/>
      <c r="J151" s="1"/>
      <c r="K151" s="1"/>
      <c r="L151" s="1"/>
      <c r="M151" s="1"/>
    </row>
    <row r="152" spans="2:13">
      <c r="B152" s="1"/>
      <c r="C152" s="1"/>
      <c r="D152" s="1"/>
      <c r="E152" s="1"/>
      <c r="F152" s="1"/>
      <c r="G152" s="1"/>
      <c r="H152" s="1"/>
      <c r="I152" s="1"/>
      <c r="J152" s="1"/>
      <c r="K152" s="1"/>
      <c r="L152" s="1"/>
      <c r="M152" s="1"/>
    </row>
    <row r="153" spans="2:13">
      <c r="B153" s="1"/>
      <c r="C153" s="1"/>
      <c r="D153" s="1"/>
      <c r="E153" s="1"/>
      <c r="F153" s="1"/>
      <c r="G153" s="1"/>
      <c r="H153" s="1"/>
      <c r="I153" s="1"/>
      <c r="J153" s="1"/>
      <c r="K153" s="1"/>
      <c r="L153" s="1"/>
      <c r="M153" s="1"/>
    </row>
    <row r="154" spans="2:13">
      <c r="B154" s="1"/>
      <c r="C154" s="1"/>
      <c r="D154" s="1"/>
      <c r="E154" s="1"/>
      <c r="F154" s="1"/>
      <c r="G154" s="1"/>
      <c r="H154" s="1"/>
      <c r="I154" s="1"/>
      <c r="J154" s="1"/>
      <c r="K154" s="1"/>
      <c r="L154" s="1"/>
      <c r="M154" s="1"/>
    </row>
    <row r="155" spans="2:13">
      <c r="B155" s="1"/>
      <c r="C155" s="1"/>
      <c r="D155" s="1"/>
      <c r="E155" s="1"/>
      <c r="F155" s="1"/>
      <c r="G155" s="1"/>
      <c r="H155" s="1"/>
      <c r="I155" s="1"/>
      <c r="J155" s="1"/>
      <c r="K155" s="1"/>
      <c r="L155" s="1"/>
      <c r="M155" s="1"/>
    </row>
    <row r="156" spans="2:13">
      <c r="B156" s="1"/>
      <c r="C156" s="1"/>
      <c r="D156" s="1"/>
      <c r="E156" s="1"/>
      <c r="F156" s="1"/>
      <c r="G156" s="1"/>
      <c r="H156" s="1"/>
      <c r="I156" s="1"/>
      <c r="J156" s="1"/>
      <c r="K156" s="1"/>
      <c r="L156" s="1"/>
      <c r="M156" s="1"/>
    </row>
    <row r="157" spans="2:13">
      <c r="B157" s="1"/>
      <c r="C157" s="1"/>
      <c r="D157" s="1"/>
      <c r="E157" s="1"/>
      <c r="F157" s="1"/>
      <c r="G157" s="1"/>
      <c r="H157" s="1"/>
      <c r="I157" s="1"/>
      <c r="J157" s="1"/>
      <c r="K157" s="1"/>
      <c r="L157" s="1"/>
      <c r="M157" s="1"/>
    </row>
    <row r="158" spans="2:13">
      <c r="B158" s="1"/>
      <c r="C158" s="1"/>
      <c r="D158" s="1"/>
      <c r="E158" s="1"/>
      <c r="F158" s="1"/>
      <c r="G158" s="1"/>
      <c r="H158" s="1"/>
      <c r="I158" s="1"/>
      <c r="J158" s="1"/>
      <c r="K158" s="1"/>
      <c r="L158" s="1"/>
      <c r="M158" s="1"/>
    </row>
    <row r="159" spans="2:13">
      <c r="B159" s="1"/>
      <c r="C159" s="1"/>
      <c r="D159" s="1"/>
      <c r="E159" s="1"/>
      <c r="F159" s="1"/>
      <c r="G159" s="1"/>
      <c r="H159" s="1"/>
      <c r="I159" s="1"/>
      <c r="J159" s="1"/>
      <c r="K159" s="1"/>
      <c r="L159" s="1"/>
      <c r="M159" s="1"/>
    </row>
    <row r="160" spans="2:13">
      <c r="B160" s="1"/>
      <c r="C160" s="1"/>
      <c r="D160" s="1"/>
      <c r="E160" s="1"/>
      <c r="F160" s="1"/>
      <c r="G160" s="1"/>
      <c r="H160" s="1"/>
      <c r="I160" s="1"/>
      <c r="J160" s="1"/>
      <c r="K160" s="1"/>
      <c r="L160" s="1"/>
      <c r="M160" s="1"/>
    </row>
    <row r="161" spans="2:13">
      <c r="B161" s="1"/>
      <c r="C161" s="1"/>
      <c r="D161" s="1"/>
      <c r="E161" s="1"/>
      <c r="F161" s="1"/>
      <c r="G161" s="1"/>
      <c r="H161" s="1"/>
      <c r="I161" s="1"/>
      <c r="J161" s="1"/>
      <c r="K161" s="1"/>
      <c r="L161" s="1"/>
      <c r="M161" s="1"/>
    </row>
    <row r="162" spans="2:13">
      <c r="B162" s="1"/>
      <c r="C162" s="1"/>
      <c r="D162" s="1"/>
      <c r="E162" s="1"/>
      <c r="F162" s="1"/>
      <c r="G162" s="1"/>
      <c r="H162" s="1"/>
      <c r="I162" s="1"/>
      <c r="J162" s="1"/>
      <c r="K162" s="1"/>
      <c r="L162" s="1"/>
      <c r="M162" s="1"/>
    </row>
    <row r="163" spans="2:13">
      <c r="B163" s="1"/>
      <c r="C163" s="1"/>
      <c r="D163" s="1"/>
      <c r="E163" s="1"/>
      <c r="F163" s="1"/>
      <c r="G163" s="1"/>
      <c r="H163" s="1"/>
      <c r="I163" s="1"/>
      <c r="J163" s="1"/>
      <c r="K163" s="1"/>
      <c r="L163" s="1"/>
      <c r="M163" s="1"/>
    </row>
    <row r="164" spans="2:13">
      <c r="B164" s="1"/>
      <c r="C164" s="1"/>
      <c r="D164" s="1"/>
      <c r="E164" s="1"/>
      <c r="F164" s="1"/>
      <c r="G164" s="1"/>
      <c r="H164" s="1"/>
      <c r="I164" s="1"/>
      <c r="J164" s="1"/>
      <c r="K164" s="1"/>
      <c r="L164" s="1"/>
      <c r="M164" s="1"/>
    </row>
    <row r="165" spans="2:13">
      <c r="B165" s="1"/>
      <c r="C165" s="1"/>
      <c r="D165" s="1"/>
      <c r="E165" s="1"/>
      <c r="F165" s="1"/>
      <c r="G165" s="1"/>
      <c r="H165" s="1"/>
      <c r="I165" s="1"/>
      <c r="J165" s="1"/>
      <c r="K165" s="1"/>
      <c r="L165" s="1"/>
      <c r="M165" s="1"/>
    </row>
    <row r="166" spans="2:13">
      <c r="B166" s="1"/>
      <c r="C166" s="1"/>
      <c r="D166" s="1"/>
      <c r="E166" s="1"/>
      <c r="F166" s="1"/>
      <c r="G166" s="1"/>
      <c r="H166" s="1"/>
      <c r="I166" s="1"/>
      <c r="J166" s="1"/>
      <c r="K166" s="1"/>
      <c r="L166" s="1"/>
      <c r="M166" s="1"/>
    </row>
    <row r="167" spans="2:13">
      <c r="B167" s="1"/>
      <c r="C167" s="1"/>
      <c r="D167" s="1"/>
      <c r="E167" s="1"/>
      <c r="F167" s="1"/>
      <c r="G167" s="1"/>
      <c r="H167" s="1"/>
      <c r="I167" s="1"/>
      <c r="J167" s="1"/>
      <c r="K167" s="1"/>
      <c r="L167" s="1"/>
      <c r="M167" s="1"/>
    </row>
    <row r="168" spans="2:13">
      <c r="B168" s="1"/>
      <c r="C168" s="1"/>
      <c r="D168" s="1"/>
      <c r="E168" s="1"/>
      <c r="F168" s="1"/>
      <c r="G168" s="1"/>
      <c r="H168" s="1"/>
      <c r="I168" s="1"/>
      <c r="J168" s="1"/>
      <c r="K168" s="1"/>
      <c r="L168" s="1"/>
      <c r="M168" s="1"/>
    </row>
    <row r="169" spans="2:13">
      <c r="B169" s="1"/>
      <c r="C169" s="1"/>
      <c r="D169" s="1"/>
      <c r="E169" s="1"/>
      <c r="F169" s="1"/>
      <c r="G169" s="1"/>
      <c r="H169" s="1"/>
      <c r="I169" s="1"/>
      <c r="J169" s="1"/>
      <c r="K169" s="1"/>
      <c r="L169" s="1"/>
      <c r="M169" s="1"/>
    </row>
    <row r="170" spans="2:13">
      <c r="B170" s="1"/>
      <c r="C170" s="1"/>
      <c r="D170" s="1"/>
      <c r="E170" s="1"/>
      <c r="F170" s="1"/>
      <c r="G170" s="1"/>
      <c r="H170" s="1"/>
      <c r="I170" s="1"/>
      <c r="J170" s="1"/>
      <c r="K170" s="1"/>
      <c r="L170" s="1"/>
      <c r="M170" s="1"/>
    </row>
    <row r="171" spans="2:13">
      <c r="B171" s="1"/>
      <c r="C171" s="1"/>
      <c r="D171" s="1"/>
      <c r="E171" s="1"/>
      <c r="F171" s="1"/>
      <c r="G171" s="1"/>
      <c r="H171" s="1"/>
      <c r="I171" s="1"/>
      <c r="J171" s="1"/>
      <c r="K171" s="1"/>
      <c r="L171" s="1"/>
      <c r="M171" s="1"/>
    </row>
    <row r="172" spans="2:13">
      <c r="B172" s="1"/>
      <c r="C172" s="1"/>
      <c r="D172" s="1"/>
      <c r="E172" s="1"/>
      <c r="F172" s="1"/>
      <c r="G172" s="1"/>
      <c r="H172" s="1"/>
      <c r="I172" s="1"/>
      <c r="J172" s="1"/>
      <c r="K172" s="1"/>
      <c r="L172" s="1"/>
      <c r="M172" s="1"/>
    </row>
    <row r="173" spans="2:13">
      <c r="B173" s="1"/>
      <c r="C173" s="1"/>
      <c r="D173" s="1"/>
      <c r="E173" s="1"/>
      <c r="F173" s="1"/>
      <c r="G173" s="1"/>
      <c r="H173" s="1"/>
      <c r="I173" s="1"/>
      <c r="J173" s="1"/>
      <c r="K173" s="1"/>
      <c r="L173" s="1"/>
      <c r="M173" s="1"/>
    </row>
    <row r="174" spans="2:13">
      <c r="B174" s="1"/>
      <c r="C174" s="1"/>
      <c r="D174" s="1"/>
      <c r="E174" s="1"/>
      <c r="F174" s="1"/>
      <c r="G174" s="1"/>
      <c r="H174" s="1"/>
      <c r="I174" s="1"/>
      <c r="J174" s="1"/>
      <c r="K174" s="1"/>
      <c r="L174" s="1"/>
      <c r="M174" s="1"/>
    </row>
    <row r="175" spans="2:13">
      <c r="B175" s="1"/>
      <c r="C175" s="1"/>
      <c r="D175" s="1"/>
      <c r="E175" s="1"/>
      <c r="F175" s="1"/>
      <c r="G175" s="1"/>
      <c r="H175" s="1"/>
      <c r="I175" s="1"/>
      <c r="J175" s="1"/>
      <c r="K175" s="1"/>
      <c r="L175" s="1"/>
      <c r="M175" s="1"/>
    </row>
    <row r="176" spans="2:13">
      <c r="B176" s="1"/>
      <c r="C176" s="1"/>
      <c r="D176" s="1"/>
      <c r="E176" s="1"/>
      <c r="F176" s="1"/>
      <c r="G176" s="1"/>
      <c r="H176" s="1"/>
      <c r="I176" s="1"/>
      <c r="J176" s="1"/>
      <c r="K176" s="1"/>
      <c r="L176" s="1"/>
      <c r="M176" s="1"/>
    </row>
    <row r="177" spans="2:13">
      <c r="B177" s="1"/>
      <c r="C177" s="1"/>
      <c r="D177" s="1"/>
      <c r="E177" s="1"/>
      <c r="F177" s="1"/>
      <c r="G177" s="1"/>
      <c r="H177" s="1"/>
      <c r="I177" s="1"/>
      <c r="J177" s="1"/>
      <c r="K177" s="1"/>
      <c r="L177" s="1"/>
      <c r="M177" s="1"/>
    </row>
    <row r="178" spans="2:13">
      <c r="B178" s="1"/>
      <c r="C178" s="1"/>
      <c r="D178" s="1"/>
      <c r="E178" s="1"/>
      <c r="F178" s="1"/>
      <c r="G178" s="1"/>
      <c r="H178" s="1"/>
      <c r="I178" s="1"/>
      <c r="J178" s="1"/>
      <c r="K178" s="1"/>
      <c r="L178" s="1"/>
      <c r="M178" s="1"/>
    </row>
    <row r="179" spans="2:13">
      <c r="B179" s="1"/>
      <c r="C179" s="1"/>
      <c r="D179" s="1"/>
      <c r="E179" s="1"/>
      <c r="F179" s="1"/>
      <c r="G179" s="1"/>
      <c r="H179" s="1"/>
      <c r="I179" s="1"/>
      <c r="J179" s="1"/>
      <c r="K179" s="1"/>
      <c r="L179" s="1"/>
      <c r="M179" s="1"/>
    </row>
    <row r="180" spans="2:13">
      <c r="B180" s="1"/>
      <c r="C180" s="1"/>
      <c r="D180" s="1"/>
      <c r="E180" s="1"/>
      <c r="F180" s="1"/>
      <c r="G180" s="1"/>
      <c r="H180" s="1"/>
      <c r="I180" s="1"/>
      <c r="J180" s="1"/>
      <c r="K180" s="1"/>
      <c r="L180" s="1"/>
      <c r="M180" s="1"/>
    </row>
    <row r="181" spans="2:13">
      <c r="B181" s="1"/>
      <c r="C181" s="1"/>
      <c r="D181" s="1"/>
      <c r="E181" s="1"/>
      <c r="F181" s="1"/>
      <c r="G181" s="1"/>
      <c r="H181" s="1"/>
      <c r="I181" s="1"/>
      <c r="J181" s="1"/>
      <c r="K181" s="1"/>
      <c r="L181" s="1"/>
      <c r="M181" s="1"/>
    </row>
    <row r="182" spans="2:13">
      <c r="B182" s="1"/>
      <c r="C182" s="1"/>
      <c r="D182" s="1"/>
      <c r="E182" s="1"/>
      <c r="F182" s="1"/>
      <c r="G182" s="1"/>
      <c r="H182" s="1"/>
      <c r="I182" s="1"/>
      <c r="J182" s="1"/>
      <c r="K182" s="1"/>
      <c r="L182" s="1"/>
      <c r="M182" s="1"/>
    </row>
    <row r="183" spans="2:13">
      <c r="B183" s="1"/>
      <c r="C183" s="1"/>
      <c r="D183" s="1"/>
      <c r="E183" s="1"/>
      <c r="F183" s="1"/>
      <c r="G183" s="1"/>
      <c r="H183" s="1"/>
      <c r="I183" s="1"/>
      <c r="J183" s="1"/>
      <c r="K183" s="1"/>
      <c r="L183" s="1"/>
      <c r="M183" s="1"/>
    </row>
    <row r="184" spans="2:13">
      <c r="B184" s="1"/>
      <c r="C184" s="1"/>
      <c r="D184" s="1"/>
      <c r="E184" s="1"/>
      <c r="F184" s="1"/>
      <c r="G184" s="1"/>
      <c r="H184" s="1"/>
      <c r="I184" s="1"/>
      <c r="J184" s="1"/>
      <c r="K184" s="1"/>
      <c r="L184" s="1"/>
      <c r="M184" s="1"/>
    </row>
    <row r="185" spans="2:13">
      <c r="B185" s="1"/>
      <c r="C185" s="1"/>
      <c r="D185" s="1"/>
      <c r="E185" s="1"/>
      <c r="F185" s="1"/>
      <c r="G185" s="1"/>
      <c r="H185" s="1"/>
      <c r="I185" s="1"/>
      <c r="J185" s="1"/>
      <c r="K185" s="1"/>
      <c r="L185" s="1"/>
      <c r="M185" s="1"/>
    </row>
    <row r="186" spans="2:13">
      <c r="B186" s="1"/>
      <c r="C186" s="1"/>
      <c r="D186" s="1"/>
      <c r="E186" s="1"/>
      <c r="F186" s="1"/>
      <c r="G186" s="1"/>
      <c r="H186" s="1"/>
      <c r="I186" s="1"/>
      <c r="J186" s="1"/>
      <c r="K186" s="1"/>
      <c r="L186" s="1"/>
      <c r="M186" s="1"/>
    </row>
    <row r="187" spans="2:13">
      <c r="B187" s="1"/>
      <c r="C187" s="1"/>
      <c r="D187" s="1"/>
      <c r="E187" s="1"/>
      <c r="F187" s="1"/>
      <c r="G187" s="1"/>
      <c r="H187" s="1"/>
      <c r="I187" s="1"/>
      <c r="J187" s="1"/>
      <c r="K187" s="1"/>
      <c r="L187" s="1"/>
      <c r="M187" s="1"/>
    </row>
  </sheetData>
  <mergeCells count="3">
    <mergeCell ref="A1:L1"/>
    <mergeCell ref="A2:L2"/>
    <mergeCell ref="A3:L3"/>
  </mergeCells>
  <pageMargins left="0.75" right="0.75" top="1" bottom="1" header="0.5" footer="0.5"/>
  <pageSetup scale="79" fitToHeight="2" orientation="landscape" r:id="rId1"/>
  <headerFooter alignWithMargins="0">
    <oddFooter>&amp;L&amp;Z
&amp;F&amp;C&amp;A&amp;R8.&amp;P</oddFooter>
  </headerFooter>
  <rowBreaks count="1" manualBreakCount="1">
    <brk id="44" max="11" man="1"/>
  </rowBreaks>
</worksheet>
</file>

<file path=xl/worksheets/sheet61.xml><?xml version="1.0" encoding="utf-8"?>
<worksheet xmlns="http://schemas.openxmlformats.org/spreadsheetml/2006/main" xmlns:r="http://schemas.openxmlformats.org/officeDocument/2006/relationships">
  <sheetPr codeName="Sheet98">
    <pageSetUpPr fitToPage="1"/>
  </sheetPr>
  <dimension ref="A1:P15"/>
  <sheetViews>
    <sheetView zoomScaleNormal="100" workbookViewId="0">
      <selection sqref="A1:P1"/>
    </sheetView>
  </sheetViews>
  <sheetFormatPr defaultRowHeight="12.75"/>
  <cols>
    <col min="1" max="1" width="40.5703125" bestFit="1" customWidth="1"/>
    <col min="2" max="2" width="17.7109375" customWidth="1"/>
    <col min="3" max="3" width="1.7109375" customWidth="1"/>
    <col min="4" max="4" width="17.7109375" customWidth="1"/>
    <col min="5" max="5" width="1.7109375" customWidth="1"/>
    <col min="6" max="6" width="17.7109375" customWidth="1"/>
    <col min="7" max="7" width="1.7109375" customWidth="1"/>
    <col min="8" max="8" width="17.7109375" customWidth="1"/>
    <col min="9" max="9" width="1.7109375" customWidth="1"/>
    <col min="10" max="10" width="17.7109375" customWidth="1"/>
    <col min="11" max="11" width="1.7109375" customWidth="1"/>
    <col min="12" max="12" width="17.7109375" customWidth="1"/>
    <col min="13" max="13" width="2.140625" customWidth="1"/>
    <col min="14" max="14" width="11.85546875" bestFit="1" customWidth="1"/>
    <col min="15" max="15" width="1.85546875" customWidth="1"/>
    <col min="16" max="16" width="23.140625" bestFit="1" customWidth="1"/>
  </cols>
  <sheetData>
    <row r="1" spans="1:16" s="38" customFormat="1" ht="15.75">
      <c r="A1" s="366" t="s">
        <v>134</v>
      </c>
      <c r="B1" s="366"/>
      <c r="C1" s="366"/>
      <c r="D1" s="366"/>
      <c r="E1" s="366"/>
      <c r="F1" s="366"/>
      <c r="G1" s="366"/>
      <c r="H1" s="366"/>
      <c r="I1" s="366"/>
      <c r="J1" s="366"/>
      <c r="K1" s="366"/>
      <c r="L1" s="366"/>
      <c r="M1" s="366"/>
      <c r="N1" s="366"/>
      <c r="O1" s="366"/>
      <c r="P1" s="366"/>
    </row>
    <row r="2" spans="1:16" s="38" customFormat="1" ht="15.75">
      <c r="A2" s="366" t="s">
        <v>1187</v>
      </c>
      <c r="B2" s="366"/>
      <c r="C2" s="366"/>
      <c r="D2" s="366"/>
      <c r="E2" s="366"/>
      <c r="F2" s="366"/>
      <c r="G2" s="366"/>
      <c r="H2" s="366"/>
      <c r="I2" s="366"/>
      <c r="J2" s="366"/>
      <c r="K2" s="366"/>
      <c r="L2" s="366"/>
      <c r="M2" s="366"/>
      <c r="N2" s="366"/>
      <c r="O2" s="366"/>
      <c r="P2" s="366"/>
    </row>
    <row r="3" spans="1:16">
      <c r="A3" s="357" t="str">
        <f>'Summary - Cost - PG 1 (Tot)'!A3:N3</f>
        <v>MARCH 2012</v>
      </c>
      <c r="B3" s="357"/>
      <c r="C3" s="357"/>
      <c r="D3" s="357"/>
      <c r="E3" s="357"/>
      <c r="F3" s="357"/>
      <c r="G3" s="357"/>
      <c r="H3" s="357"/>
      <c r="I3" s="357"/>
      <c r="J3" s="357"/>
      <c r="K3" s="357"/>
      <c r="L3" s="357"/>
      <c r="M3" s="357"/>
      <c r="N3" s="357"/>
      <c r="O3" s="357"/>
      <c r="P3" s="357"/>
    </row>
    <row r="4" spans="1:16">
      <c r="A4" s="190"/>
      <c r="B4" s="190"/>
      <c r="C4" s="190"/>
      <c r="D4" s="190"/>
      <c r="E4" s="190"/>
      <c r="F4" s="190"/>
      <c r="G4" s="190"/>
      <c r="H4" s="190"/>
      <c r="I4" s="190"/>
      <c r="J4" s="190"/>
      <c r="K4" s="190"/>
      <c r="L4" s="190"/>
      <c r="M4" s="40"/>
    </row>
    <row r="6" spans="1:16">
      <c r="B6" s="41" t="s">
        <v>25</v>
      </c>
      <c r="D6" s="182"/>
      <c r="F6" s="182"/>
      <c r="H6" s="41" t="s">
        <v>612</v>
      </c>
      <c r="J6" s="182"/>
      <c r="L6" s="41" t="s">
        <v>26</v>
      </c>
      <c r="P6" s="3" t="s">
        <v>422</v>
      </c>
    </row>
    <row r="7" spans="1:16" s="10" customFormat="1">
      <c r="B7" s="42" t="s">
        <v>27</v>
      </c>
      <c r="C7"/>
      <c r="D7" s="42" t="s">
        <v>107</v>
      </c>
      <c r="E7"/>
      <c r="F7" s="42" t="s">
        <v>108</v>
      </c>
      <c r="G7"/>
      <c r="H7" s="42" t="s">
        <v>613</v>
      </c>
      <c r="I7"/>
      <c r="J7" s="42" t="s">
        <v>109</v>
      </c>
      <c r="K7"/>
      <c r="L7" s="42" t="s">
        <v>27</v>
      </c>
      <c r="N7" s="42" t="s">
        <v>46</v>
      </c>
      <c r="P7" s="42" t="s">
        <v>419</v>
      </c>
    </row>
    <row r="8" spans="1:16" s="10" customFormat="1">
      <c r="A8" s="12" t="s">
        <v>296</v>
      </c>
      <c r="B8" s="54"/>
      <c r="C8"/>
      <c r="D8" s="54"/>
      <c r="E8"/>
      <c r="F8" s="54"/>
      <c r="G8"/>
      <c r="H8" s="54"/>
      <c r="I8"/>
      <c r="J8" s="54"/>
      <c r="K8"/>
      <c r="L8" s="54"/>
    </row>
    <row r="9" spans="1:16" s="10" customFormat="1">
      <c r="A9" s="12" t="s">
        <v>420</v>
      </c>
      <c r="B9" s="182"/>
      <c r="C9" s="182"/>
      <c r="D9" s="182"/>
      <c r="E9" s="182"/>
      <c r="F9" s="182"/>
      <c r="G9" s="182"/>
      <c r="H9" s="182"/>
      <c r="I9" s="182"/>
      <c r="J9" s="182"/>
      <c r="K9" s="182"/>
      <c r="L9" s="182"/>
    </row>
    <row r="10" spans="1:16">
      <c r="A10" t="s">
        <v>4</v>
      </c>
      <c r="B10" s="48">
        <f>'IN_Cost Plant Acct-Com-P10(Tot)'!B10+'IN_Cost Plant Acct-Com-P10(Tot)'!B19</f>
        <v>284803.74</v>
      </c>
      <c r="C10" s="182"/>
      <c r="D10" s="48">
        <f>'IN_Cost Plant Acct-Com-P10(Tot)'!D10+'IN_Cost Plant Acct-Com-P10(Tot)'!D19</f>
        <v>0</v>
      </c>
      <c r="E10" s="182"/>
      <c r="F10" s="48">
        <f>'IN_Cost Plant Acct-Com-P10(Tot)'!F10+'IN_Cost Plant Acct-Com-P10(Tot)'!F19</f>
        <v>0</v>
      </c>
      <c r="G10" s="182"/>
      <c r="H10" s="48">
        <f>'IN_Cost Plant Acct-Com-P10(Tot)'!H10+'IN_Cost Plant Acct-Com-P10(Tot)'!H19</f>
        <v>0</v>
      </c>
      <c r="I10" s="182"/>
      <c r="J10" s="48">
        <f>+D10+F10+H10</f>
        <v>0</v>
      </c>
      <c r="K10" s="182"/>
      <c r="L10" s="48">
        <f>J10+B10</f>
        <v>284803.74</v>
      </c>
      <c r="N10" s="90">
        <f>'IN_Res by Plant Acct-P30 (Tot)'!R43</f>
        <v>-144741.55000000002</v>
      </c>
      <c r="P10" s="90">
        <f>L10+N10</f>
        <v>140062.18999999997</v>
      </c>
    </row>
    <row r="11" spans="1:16">
      <c r="B11" s="52">
        <f>SUM(B10)</f>
        <v>284803.74</v>
      </c>
      <c r="C11" s="52"/>
      <c r="D11" s="52">
        <f>SUM(D10)</f>
        <v>0</v>
      </c>
      <c r="E11" s="52"/>
      <c r="F11" s="52">
        <f>SUM(F10)</f>
        <v>0</v>
      </c>
      <c r="G11" s="52"/>
      <c r="H11" s="52">
        <f>SUM(H10)</f>
        <v>0</v>
      </c>
      <c r="I11" s="52"/>
      <c r="J11" s="52">
        <f>SUM(J10)</f>
        <v>0</v>
      </c>
      <c r="K11" s="52"/>
      <c r="L11" s="52">
        <f>SUM(L10)</f>
        <v>284803.74</v>
      </c>
      <c r="M11" s="7"/>
      <c r="N11" s="52">
        <f>SUM(N10)</f>
        <v>-144741.55000000002</v>
      </c>
      <c r="P11" s="52">
        <f>SUM(P10)</f>
        <v>140062.18999999997</v>
      </c>
    </row>
    <row r="12" spans="1:16">
      <c r="B12" s="52"/>
      <c r="C12" s="52"/>
      <c r="D12" s="52"/>
      <c r="E12" s="52"/>
      <c r="F12" s="52"/>
      <c r="G12" s="52"/>
      <c r="H12" s="52"/>
      <c r="I12" s="52"/>
      <c r="J12" s="52"/>
      <c r="K12" s="52"/>
      <c r="L12" s="52"/>
      <c r="M12" s="7"/>
    </row>
    <row r="13" spans="1:16">
      <c r="B13" s="182"/>
      <c r="C13" s="182"/>
      <c r="D13" s="182"/>
      <c r="E13" s="182"/>
      <c r="F13" s="182"/>
      <c r="G13" s="182"/>
      <c r="H13" s="182"/>
      <c r="I13" s="182"/>
      <c r="J13" s="182"/>
      <c r="K13" s="182"/>
      <c r="L13" s="182"/>
    </row>
    <row r="14" spans="1:16" ht="13.5" thickBot="1">
      <c r="A14" s="3" t="s">
        <v>683</v>
      </c>
      <c r="B14" s="46">
        <f>B11</f>
        <v>284803.74</v>
      </c>
      <c r="C14" s="182"/>
      <c r="D14" s="46">
        <f>D11</f>
        <v>0</v>
      </c>
      <c r="E14" s="182"/>
      <c r="F14" s="46">
        <f>F11</f>
        <v>0</v>
      </c>
      <c r="G14" s="182"/>
      <c r="H14" s="46">
        <f>H11</f>
        <v>0</v>
      </c>
      <c r="I14" s="182"/>
      <c r="J14" s="46">
        <f>J11</f>
        <v>0</v>
      </c>
      <c r="K14" s="182"/>
      <c r="L14" s="46">
        <f>L11</f>
        <v>284803.74</v>
      </c>
      <c r="N14" s="46">
        <f>N11</f>
        <v>-144741.55000000002</v>
      </c>
      <c r="P14" s="46">
        <f>P11</f>
        <v>140062.18999999997</v>
      </c>
    </row>
    <row r="15" spans="1:16" ht="13.5" thickTop="1">
      <c r="B15" s="182"/>
      <c r="C15" s="182"/>
      <c r="D15" s="182"/>
      <c r="E15" s="182"/>
      <c r="F15" s="182"/>
      <c r="G15" s="182"/>
      <c r="H15" s="182"/>
      <c r="I15" s="182"/>
      <c r="J15" s="182"/>
      <c r="K15" s="182"/>
      <c r="L15" s="182"/>
    </row>
  </sheetData>
  <mergeCells count="3">
    <mergeCell ref="A1:P1"/>
    <mergeCell ref="A2:P2"/>
    <mergeCell ref="A3:P3"/>
  </mergeCells>
  <pageMargins left="0.75" right="0.75" top="1" bottom="1" header="0.5" footer="0.5"/>
  <pageSetup scale="63" orientation="landscape" r:id="rId1"/>
  <headerFooter alignWithMargins="0">
    <oddFooter>&amp;L&amp;Z
&amp;F&amp;C&amp;A&amp;R9.&amp;P</oddFooter>
  </headerFooter>
</worksheet>
</file>

<file path=xl/worksheets/sheet62.xml><?xml version="1.0" encoding="utf-8"?>
<worksheet xmlns="http://schemas.openxmlformats.org/spreadsheetml/2006/main" xmlns:r="http://schemas.openxmlformats.org/officeDocument/2006/relationships">
  <sheetPr codeName="Sheet99">
    <tabColor indexed="33"/>
    <pageSetUpPr fitToPage="1"/>
  </sheetPr>
  <dimension ref="A1:N26"/>
  <sheetViews>
    <sheetView zoomScaleNormal="100" workbookViewId="0">
      <selection sqref="A1:P1"/>
    </sheetView>
  </sheetViews>
  <sheetFormatPr defaultRowHeight="12.75"/>
  <cols>
    <col min="1" max="1" width="40.5703125" bestFit="1" customWidth="1"/>
    <col min="2" max="2" width="17.7109375" customWidth="1"/>
    <col min="3" max="3" width="1.7109375" customWidth="1"/>
    <col min="4" max="4" width="17.7109375" customWidth="1"/>
    <col min="5" max="5" width="1.7109375" customWidth="1"/>
    <col min="6" max="6" width="17.7109375" customWidth="1"/>
    <col min="7" max="7" width="1.7109375" customWidth="1"/>
    <col min="8" max="8" width="17.7109375" customWidth="1"/>
    <col min="9" max="9" width="1.7109375" customWidth="1"/>
    <col min="10" max="10" width="17.7109375" customWidth="1"/>
    <col min="11" max="11" width="1.7109375" customWidth="1"/>
    <col min="12" max="12" width="17.7109375" customWidth="1"/>
  </cols>
  <sheetData>
    <row r="1" spans="1:14" s="38" customFormat="1" ht="15.75">
      <c r="A1" s="366" t="s">
        <v>134</v>
      </c>
      <c r="B1" s="366"/>
      <c r="C1" s="366"/>
      <c r="D1" s="366"/>
      <c r="E1" s="366"/>
      <c r="F1" s="366"/>
      <c r="G1" s="366"/>
      <c r="H1" s="366"/>
      <c r="I1" s="366"/>
      <c r="J1" s="366"/>
      <c r="K1" s="366"/>
      <c r="L1" s="366"/>
    </row>
    <row r="2" spans="1:14" s="38" customFormat="1" ht="15.75">
      <c r="A2" s="366" t="s">
        <v>1188</v>
      </c>
      <c r="B2" s="366"/>
      <c r="C2" s="366"/>
      <c r="D2" s="366"/>
      <c r="E2" s="366"/>
      <c r="F2" s="366"/>
      <c r="G2" s="366"/>
      <c r="H2" s="366"/>
      <c r="I2" s="366"/>
      <c r="J2" s="366"/>
      <c r="K2" s="366"/>
      <c r="L2" s="366"/>
    </row>
    <row r="3" spans="1:14">
      <c r="A3" s="357" t="str">
        <f>'Summary - Cost - PG 1 (Tot)'!A3:N3</f>
        <v>MARCH 2012</v>
      </c>
      <c r="B3" s="357"/>
      <c r="C3" s="357"/>
      <c r="D3" s="357"/>
      <c r="E3" s="357"/>
      <c r="F3" s="357"/>
      <c r="G3" s="357"/>
      <c r="H3" s="357"/>
      <c r="I3" s="357"/>
      <c r="J3" s="357"/>
      <c r="K3" s="357"/>
      <c r="L3" s="357"/>
      <c r="M3" s="40"/>
      <c r="N3" s="40"/>
    </row>
    <row r="4" spans="1:14">
      <c r="A4" s="190"/>
      <c r="B4" s="190"/>
      <c r="C4" s="190"/>
      <c r="D4" s="190"/>
      <c r="E4" s="190"/>
      <c r="F4" s="190"/>
      <c r="G4" s="190"/>
      <c r="H4" s="190"/>
      <c r="I4" s="190"/>
      <c r="J4" s="190"/>
      <c r="K4" s="190"/>
      <c r="L4" s="190"/>
      <c r="M4" s="40"/>
      <c r="N4" s="40"/>
    </row>
    <row r="6" spans="1:14">
      <c r="B6" s="41" t="s">
        <v>25</v>
      </c>
      <c r="D6" s="33"/>
      <c r="F6" s="33"/>
      <c r="H6" s="41" t="s">
        <v>612</v>
      </c>
      <c r="J6" s="33"/>
      <c r="L6" s="41" t="s">
        <v>26</v>
      </c>
    </row>
    <row r="7" spans="1:14" s="10" customFormat="1">
      <c r="B7" s="42" t="s">
        <v>27</v>
      </c>
      <c r="C7"/>
      <c r="D7" s="42" t="s">
        <v>107</v>
      </c>
      <c r="E7"/>
      <c r="F7" s="42" t="s">
        <v>108</v>
      </c>
      <c r="G7"/>
      <c r="H7" s="42" t="s">
        <v>613</v>
      </c>
      <c r="I7"/>
      <c r="J7" s="42" t="s">
        <v>109</v>
      </c>
      <c r="K7"/>
      <c r="L7" s="42" t="s">
        <v>27</v>
      </c>
    </row>
    <row r="8" spans="1:14" s="10" customFormat="1">
      <c r="B8" s="54"/>
      <c r="C8"/>
      <c r="D8" s="54"/>
      <c r="E8"/>
      <c r="F8" s="54"/>
      <c r="G8"/>
      <c r="H8" s="54"/>
      <c r="I8"/>
      <c r="J8" s="54"/>
      <c r="K8"/>
      <c r="L8" s="54"/>
    </row>
    <row r="9" spans="1:14" s="10" customFormat="1">
      <c r="A9" s="12" t="s">
        <v>806</v>
      </c>
      <c r="B9" s="33"/>
      <c r="C9" s="33"/>
      <c r="D9" s="33"/>
      <c r="E9" s="33"/>
      <c r="F9" s="33"/>
      <c r="G9" s="33"/>
      <c r="H9" s="33"/>
      <c r="I9" s="33"/>
      <c r="J9" s="33"/>
      <c r="K9" s="33"/>
      <c r="L9" s="33"/>
    </row>
    <row r="10" spans="1:14">
      <c r="A10" t="s">
        <v>4</v>
      </c>
      <c r="B10" s="35">
        <f>+'IN_Cost Plant Acct-Com-P10(Fin)'!B11+'IN_Cost-Plant Acct-Com-P10 (PA)'!B10</f>
        <v>284803.74</v>
      </c>
      <c r="C10" s="33"/>
      <c r="D10" s="35">
        <f>+'IN_Cost Plant Acct-Com-P10(Fin)'!D11+'IN_Cost-Plant Acct-Com-P10 (PA)'!D10</f>
        <v>0</v>
      </c>
      <c r="E10" s="33"/>
      <c r="F10" s="35">
        <f>+'IN_Cost Plant Acct-Com-P10(Fin)'!F11+'IN_Cost-Plant Acct-Com-P10 (PA)'!F10</f>
        <v>0</v>
      </c>
      <c r="G10" s="33"/>
      <c r="H10" s="35">
        <f>+'IN_Cost Plant Acct-Com-P10(Fin)'!H11+'IN_Cost-Plant Acct-Com-P10 (PA)'!H10</f>
        <v>0</v>
      </c>
      <c r="I10" s="33"/>
      <c r="J10" s="35">
        <f>D10+F10+H10</f>
        <v>0</v>
      </c>
      <c r="K10" s="33"/>
      <c r="L10" s="35">
        <f>J10+B10</f>
        <v>284803.74</v>
      </c>
    </row>
    <row r="11" spans="1:14">
      <c r="B11" s="37">
        <f>SUM(B10)</f>
        <v>284803.74</v>
      </c>
      <c r="C11" s="37"/>
      <c r="D11" s="37">
        <f>SUM(D10)</f>
        <v>0</v>
      </c>
      <c r="E11" s="37"/>
      <c r="F11" s="37">
        <f>SUM(F10)</f>
        <v>0</v>
      </c>
      <c r="G11" s="37"/>
      <c r="H11" s="37">
        <f>SUM(H10)</f>
        <v>0</v>
      </c>
      <c r="I11" s="37"/>
      <c r="J11" s="37">
        <f>SUM(J10)</f>
        <v>0</v>
      </c>
      <c r="K11" s="37"/>
      <c r="L11" s="37">
        <f>SUM(L10)</f>
        <v>284803.74</v>
      </c>
      <c r="M11" s="7"/>
    </row>
    <row r="12" spans="1:14">
      <c r="B12" s="37"/>
      <c r="C12" s="37"/>
      <c r="D12" s="37"/>
      <c r="E12" s="37"/>
      <c r="F12" s="37"/>
      <c r="G12" s="37"/>
      <c r="H12" s="37"/>
      <c r="I12" s="37"/>
      <c r="J12" s="37"/>
      <c r="K12" s="37"/>
      <c r="L12" s="37"/>
      <c r="M12" s="7"/>
    </row>
    <row r="13" spans="1:14">
      <c r="B13" s="33"/>
      <c r="C13" s="33"/>
      <c r="D13" s="33"/>
      <c r="E13" s="33"/>
      <c r="F13" s="33"/>
      <c r="G13" s="33"/>
      <c r="H13" s="33"/>
      <c r="I13" s="33"/>
      <c r="J13" s="33"/>
      <c r="K13" s="33"/>
      <c r="L13" s="33"/>
    </row>
    <row r="14" spans="1:14" ht="13.5" thickBot="1">
      <c r="A14" s="3" t="s">
        <v>1262</v>
      </c>
      <c r="B14" s="44">
        <f>B11</f>
        <v>284803.74</v>
      </c>
      <c r="C14" s="33"/>
      <c r="D14" s="44">
        <f>D11</f>
        <v>0</v>
      </c>
      <c r="E14" s="33"/>
      <c r="F14" s="44">
        <f>F11</f>
        <v>0</v>
      </c>
      <c r="G14" s="33"/>
      <c r="H14" s="44">
        <f>H11</f>
        <v>0</v>
      </c>
      <c r="I14" s="33"/>
      <c r="J14" s="44">
        <f>J11</f>
        <v>0</v>
      </c>
      <c r="K14" s="33"/>
      <c r="L14" s="44">
        <f>L11</f>
        <v>284803.74</v>
      </c>
    </row>
    <row r="15" spans="1:14" ht="13.5" thickTop="1">
      <c r="B15" s="33"/>
      <c r="C15" s="33"/>
      <c r="D15" s="33"/>
      <c r="E15" s="33"/>
      <c r="F15" s="33"/>
      <c r="G15" s="33"/>
      <c r="H15" s="33"/>
      <c r="I15" s="33"/>
      <c r="J15" s="33"/>
      <c r="K15" s="33"/>
      <c r="L15" s="33"/>
    </row>
    <row r="17" spans="1:13">
      <c r="A17" s="3" t="s">
        <v>573</v>
      </c>
    </row>
    <row r="18" spans="1:13">
      <c r="A18" s="3" t="s">
        <v>807</v>
      </c>
    </row>
    <row r="19" spans="1:13">
      <c r="A19" t="s">
        <v>4</v>
      </c>
      <c r="B19" s="35">
        <f>+'IN_Cost Plant Acct-Com-P10(Fin)'!B20+'IN_Cost-Plant Acct-Com-P10 (PA)'!B19</f>
        <v>0</v>
      </c>
      <c r="C19" s="33"/>
      <c r="D19" s="35">
        <f>+'IN_Cost Plant Acct-Com-P10(Fin)'!D20+'IN_Cost-Plant Acct-Com-P10 (PA)'!D19</f>
        <v>0</v>
      </c>
      <c r="E19" s="33"/>
      <c r="F19" s="35">
        <f>+'IN_Cost Plant Acct-Com-P10(Fin)'!F20+'IN_Cost-Plant Acct-Com-P10 (PA)'!F19</f>
        <v>0</v>
      </c>
      <c r="G19" s="33"/>
      <c r="H19" s="35">
        <f>+'IN_Cost Plant Acct-Com-P10(Fin)'!H20+'IN_Cost-Plant Acct-Com-P10 (PA)'!H19</f>
        <v>0</v>
      </c>
      <c r="I19" s="33"/>
      <c r="J19" s="35">
        <f>D19+F19+H19</f>
        <v>0</v>
      </c>
      <c r="K19" s="33"/>
      <c r="L19" s="35">
        <f>J19+B19</f>
        <v>0</v>
      </c>
    </row>
    <row r="20" spans="1:13">
      <c r="B20" s="37">
        <f>SUM(B19)</f>
        <v>0</v>
      </c>
      <c r="C20" s="37"/>
      <c r="D20" s="37">
        <f>SUM(D19)</f>
        <v>0</v>
      </c>
      <c r="E20" s="37"/>
      <c r="F20" s="37">
        <f>SUM(F19)</f>
        <v>0</v>
      </c>
      <c r="G20" s="37"/>
      <c r="H20" s="37">
        <f>SUM(H19)</f>
        <v>0</v>
      </c>
      <c r="I20" s="37"/>
      <c r="J20" s="37">
        <f>SUM(J19)</f>
        <v>0</v>
      </c>
      <c r="K20" s="37"/>
      <c r="L20" s="37">
        <f>SUM(L19)</f>
        <v>0</v>
      </c>
    </row>
    <row r="22" spans="1:13">
      <c r="A22" s="3" t="s">
        <v>1263</v>
      </c>
      <c r="B22" s="34">
        <f>+B20</f>
        <v>0</v>
      </c>
      <c r="C22" s="6"/>
      <c r="D22" s="34">
        <f>+D20</f>
        <v>0</v>
      </c>
      <c r="E22" s="6"/>
      <c r="F22" s="34">
        <f>+F20</f>
        <v>0</v>
      </c>
      <c r="G22" s="6"/>
      <c r="H22" s="34">
        <f>+H20</f>
        <v>0</v>
      </c>
      <c r="I22" s="6"/>
      <c r="J22" s="34">
        <f>+J20</f>
        <v>0</v>
      </c>
      <c r="K22" s="6"/>
      <c r="L22" s="34">
        <f>+L20</f>
        <v>0</v>
      </c>
      <c r="M22" s="6"/>
    </row>
    <row r="23" spans="1:13">
      <c r="B23" s="37"/>
      <c r="C23" s="37"/>
      <c r="D23" s="37"/>
      <c r="E23" s="37"/>
      <c r="F23" s="37"/>
      <c r="G23" s="37"/>
      <c r="H23" s="37"/>
      <c r="I23" s="37"/>
      <c r="J23" s="37"/>
      <c r="K23" s="37"/>
      <c r="L23" s="37"/>
      <c r="M23" s="6"/>
    </row>
    <row r="24" spans="1:13">
      <c r="B24" s="33"/>
      <c r="C24" s="33"/>
      <c r="D24" s="33"/>
      <c r="E24" s="33"/>
      <c r="F24" s="33"/>
      <c r="G24" s="33"/>
      <c r="H24" s="33"/>
      <c r="I24" s="33"/>
      <c r="J24" s="33"/>
      <c r="K24" s="33"/>
      <c r="L24" s="33"/>
      <c r="M24" s="1"/>
    </row>
    <row r="25" spans="1:13" ht="13.5" thickBot="1">
      <c r="A25" s="3" t="s">
        <v>1264</v>
      </c>
      <c r="B25" s="44">
        <f>+B14+B22</f>
        <v>284803.74</v>
      </c>
      <c r="C25" s="33"/>
      <c r="D25" s="44">
        <f>+D14+D22</f>
        <v>0</v>
      </c>
      <c r="E25" s="33"/>
      <c r="F25" s="44">
        <f>+F14+F22</f>
        <v>0</v>
      </c>
      <c r="G25" s="33"/>
      <c r="H25" s="44">
        <f>+H14+H22</f>
        <v>0</v>
      </c>
      <c r="I25" s="33"/>
      <c r="J25" s="44">
        <f>+J14+J22</f>
        <v>0</v>
      </c>
      <c r="K25" s="33"/>
      <c r="L25" s="44">
        <f>+L14+L22</f>
        <v>284803.74</v>
      </c>
      <c r="M25" s="1"/>
    </row>
    <row r="26" spans="1:13" ht="13.5" thickTop="1"/>
  </sheetData>
  <mergeCells count="3">
    <mergeCell ref="A1:L1"/>
    <mergeCell ref="A2:L2"/>
    <mergeCell ref="A3:L3"/>
  </mergeCells>
  <pageMargins left="0.75" right="0.75" top="1" bottom="1" header="0.5" footer="0.5"/>
  <pageSetup scale="79" orientation="landscape" r:id="rId1"/>
  <headerFooter alignWithMargins="0">
    <oddFooter>&amp;L&amp;Z
&amp;F&amp;C&amp;A&amp;R10.&amp;P</oddFooter>
  </headerFooter>
</worksheet>
</file>

<file path=xl/worksheets/sheet63.xml><?xml version="1.0" encoding="utf-8"?>
<worksheet xmlns="http://schemas.openxmlformats.org/spreadsheetml/2006/main" xmlns:r="http://schemas.openxmlformats.org/officeDocument/2006/relationships">
  <sheetPr codeName="Sheet100"/>
  <dimension ref="A1:P130"/>
  <sheetViews>
    <sheetView zoomScale="90" zoomScaleNormal="90" workbookViewId="0">
      <pane xSplit="1" ySplit="10" topLeftCell="B11" activePane="bottomRight" state="frozen"/>
      <selection sqref="A1:P1"/>
      <selection pane="topRight" sqref="A1:P1"/>
      <selection pane="bottomLeft" sqref="A1:P1"/>
      <selection pane="bottomRight" sqref="A1:P1"/>
    </sheetView>
  </sheetViews>
  <sheetFormatPr defaultRowHeight="12.75"/>
  <cols>
    <col min="1" max="1" width="41" bestFit="1" customWidth="1"/>
    <col min="2" max="2" width="17.7109375" customWidth="1"/>
    <col min="3" max="3" width="1.7109375" customWidth="1"/>
    <col min="4" max="4" width="17.7109375" customWidth="1"/>
    <col min="5" max="5" width="1.7109375" customWidth="1"/>
    <col min="6" max="6" width="17.7109375" customWidth="1"/>
    <col min="7" max="7" width="1.7109375" customWidth="1"/>
    <col min="8" max="8" width="18.42578125" bestFit="1" customWidth="1"/>
    <col min="9" max="9" width="1.7109375" customWidth="1"/>
    <col min="10" max="10" width="18.42578125" bestFit="1" customWidth="1"/>
    <col min="11" max="11" width="1.5703125" customWidth="1"/>
    <col min="12" max="12" width="17.7109375" customWidth="1"/>
    <col min="13" max="13" width="1.7109375" customWidth="1"/>
    <col min="14" max="14" width="21.85546875" customWidth="1"/>
    <col min="15" max="15" width="2.7109375" customWidth="1"/>
    <col min="16" max="16" width="23.140625" bestFit="1" customWidth="1"/>
  </cols>
  <sheetData>
    <row r="1" spans="1:16" s="38" customFormat="1" ht="15.75">
      <c r="A1" s="366" t="s">
        <v>134</v>
      </c>
      <c r="B1" s="366"/>
      <c r="C1" s="366"/>
      <c r="D1" s="366"/>
      <c r="E1" s="366"/>
      <c r="F1" s="366"/>
      <c r="G1" s="366"/>
      <c r="H1" s="366"/>
      <c r="I1" s="366"/>
      <c r="J1" s="366"/>
      <c r="K1" s="366"/>
      <c r="L1" s="366"/>
      <c r="M1" s="366"/>
      <c r="N1" s="366"/>
      <c r="O1" s="366"/>
      <c r="P1" s="366"/>
    </row>
    <row r="2" spans="1:16" s="38" customFormat="1" ht="15.75">
      <c r="A2" s="367" t="s">
        <v>1189</v>
      </c>
      <c r="B2" s="366"/>
      <c r="C2" s="366"/>
      <c r="D2" s="366"/>
      <c r="E2" s="366"/>
      <c r="F2" s="366"/>
      <c r="G2" s="366"/>
      <c r="H2" s="366"/>
      <c r="I2" s="366"/>
      <c r="J2" s="366"/>
      <c r="K2" s="366"/>
      <c r="L2" s="366"/>
      <c r="M2" s="366"/>
      <c r="N2" s="366"/>
      <c r="O2" s="366"/>
      <c r="P2" s="366"/>
    </row>
    <row r="3" spans="1:16">
      <c r="A3" s="357" t="str">
        <f>'Summary - Cost - PG 1 (Tot)'!A3:N3</f>
        <v>MARCH 2012</v>
      </c>
      <c r="B3" s="357"/>
      <c r="C3" s="357"/>
      <c r="D3" s="357"/>
      <c r="E3" s="357"/>
      <c r="F3" s="357"/>
      <c r="G3" s="357"/>
      <c r="H3" s="357"/>
      <c r="I3" s="357"/>
      <c r="J3" s="357"/>
      <c r="K3" s="357"/>
      <c r="L3" s="357"/>
      <c r="M3" s="357"/>
      <c r="N3" s="357"/>
      <c r="O3" s="357"/>
      <c r="P3" s="357"/>
    </row>
    <row r="4" spans="1:16">
      <c r="A4" s="190"/>
      <c r="B4" s="190"/>
      <c r="C4" s="190"/>
      <c r="D4" s="190"/>
      <c r="E4" s="190"/>
      <c r="F4" s="190"/>
      <c r="G4" s="190"/>
      <c r="H4" s="190"/>
      <c r="I4" s="190"/>
      <c r="J4" s="190"/>
      <c r="K4" s="190"/>
      <c r="L4" s="190"/>
    </row>
    <row r="6" spans="1:16">
      <c r="B6" s="41" t="s">
        <v>25</v>
      </c>
      <c r="D6" s="182"/>
      <c r="F6" s="182"/>
      <c r="H6" s="41" t="s">
        <v>612</v>
      </c>
      <c r="J6" s="41" t="s">
        <v>147</v>
      </c>
      <c r="K6" s="182"/>
      <c r="L6" s="41" t="s">
        <v>26</v>
      </c>
      <c r="P6" s="29" t="s">
        <v>422</v>
      </c>
    </row>
    <row r="7" spans="1:16" s="10" customFormat="1">
      <c r="A7" s="12" t="s">
        <v>371</v>
      </c>
      <c r="B7" s="42" t="s">
        <v>27</v>
      </c>
      <c r="C7"/>
      <c r="D7" s="42" t="s">
        <v>107</v>
      </c>
      <c r="E7"/>
      <c r="F7" s="42" t="s">
        <v>108</v>
      </c>
      <c r="G7"/>
      <c r="H7" s="42" t="s">
        <v>613</v>
      </c>
      <c r="I7"/>
      <c r="J7" s="42" t="s">
        <v>109</v>
      </c>
      <c r="K7" s="54"/>
      <c r="L7" s="42" t="s">
        <v>27</v>
      </c>
      <c r="N7" s="42" t="s">
        <v>46</v>
      </c>
      <c r="P7" s="42" t="s">
        <v>419</v>
      </c>
    </row>
    <row r="8" spans="1:16" s="10" customFormat="1">
      <c r="A8" s="12" t="s">
        <v>296</v>
      </c>
      <c r="B8" s="54"/>
      <c r="C8"/>
      <c r="D8" s="54"/>
      <c r="E8"/>
      <c r="F8" s="54"/>
      <c r="G8"/>
      <c r="H8" s="54"/>
      <c r="I8"/>
      <c r="J8" s="54"/>
      <c r="K8" s="54"/>
      <c r="L8" s="54"/>
    </row>
    <row r="9" spans="1:16" s="10" customFormat="1">
      <c r="A9" s="12" t="s">
        <v>420</v>
      </c>
      <c r="B9"/>
      <c r="C9"/>
      <c r="D9"/>
      <c r="E9"/>
      <c r="F9"/>
      <c r="G9"/>
      <c r="H9"/>
      <c r="I9"/>
      <c r="J9"/>
      <c r="K9"/>
      <c r="L9"/>
    </row>
    <row r="10" spans="1:16" s="10" customFormat="1">
      <c r="A10" s="12" t="s">
        <v>691</v>
      </c>
      <c r="B10"/>
      <c r="C10"/>
      <c r="D10"/>
      <c r="E10"/>
      <c r="F10"/>
      <c r="G10"/>
      <c r="H10"/>
      <c r="I10"/>
      <c r="J10"/>
      <c r="K10"/>
      <c r="L10"/>
    </row>
    <row r="11" spans="1:16">
      <c r="A11" t="s">
        <v>274</v>
      </c>
      <c r="B11" s="182">
        <f>'KY_Cost Plant Acct-Elec-P14(Tot'!B11</f>
        <v>4110848.6500000004</v>
      </c>
      <c r="C11" s="182"/>
      <c r="D11" s="182">
        <f>'KY_Cost Plant Acct-Elec-P14(Tot'!D11</f>
        <v>1215889.1399999999</v>
      </c>
      <c r="E11" s="182"/>
      <c r="F11" s="182">
        <f>'KY_Cost Plant Acct-Elec-P14(Tot'!F11</f>
        <v>0</v>
      </c>
      <c r="G11" s="182"/>
      <c r="H11" s="182">
        <f>'KY_Cost Plant Acct-Elec-P14(Tot'!H11</f>
        <v>21926.880000000001</v>
      </c>
      <c r="I11" s="182"/>
      <c r="J11" s="182">
        <f t="shared" ref="J11:J24" si="0">H11+F11+D11</f>
        <v>1237816.0199999998</v>
      </c>
      <c r="K11" s="182"/>
      <c r="L11" s="182">
        <f t="shared" ref="L11:L24" si="1">B11+J11</f>
        <v>5348664.67</v>
      </c>
      <c r="N11" s="89">
        <v>0</v>
      </c>
      <c r="P11" s="89">
        <f t="shared" ref="P11:P24" si="2">L11+N11</f>
        <v>5348664.67</v>
      </c>
    </row>
    <row r="12" spans="1:16">
      <c r="A12" t="s">
        <v>275</v>
      </c>
      <c r="B12" s="182">
        <f>'KY_Cost Plant Acct-Elec-P14(Tot'!B12+'KY_Cost Plant Acct-Elec-P14(Tot'!B100</f>
        <v>2813202</v>
      </c>
      <c r="C12" s="182"/>
      <c r="D12" s="182">
        <f>'KY_Cost Plant Acct-Elec-P14(Tot'!D12+'KY_Cost Plant Acct-Elec-P14(Tot'!D100</f>
        <v>630992.79</v>
      </c>
      <c r="E12" s="182"/>
      <c r="F12" s="182">
        <f>'KY_Cost Plant Acct-Elec-P14(Tot'!F12</f>
        <v>-110.72000000000003</v>
      </c>
      <c r="G12" s="182"/>
      <c r="H12" s="182">
        <f>'KY_Cost Plant Acct-Elec-P14(Tot'!H12</f>
        <v>0</v>
      </c>
      <c r="I12" s="182"/>
      <c r="J12" s="182">
        <f t="shared" si="0"/>
        <v>630882.07000000007</v>
      </c>
      <c r="K12" s="182"/>
      <c r="L12" s="182">
        <f t="shared" si="1"/>
        <v>3444084.0700000003</v>
      </c>
      <c r="N12" s="89">
        <f>'KY_Res by Plant Acct-P29 (Tot)'!R12</f>
        <v>-501984.49000000017</v>
      </c>
      <c r="P12" s="89">
        <f t="shared" si="2"/>
        <v>2942099.58</v>
      </c>
    </row>
    <row r="13" spans="1:16">
      <c r="A13" t="s">
        <v>12</v>
      </c>
      <c r="B13" s="182">
        <f>'KY_Cost Plant Acct-Elec-P14(Tot'!B13+'KY_Cost Plant Acct-Elec-P14(Tot'!B101+'IN_Total PIS_Elec_NBV-P15 (Tot)'!B11</f>
        <v>72801205.150000006</v>
      </c>
      <c r="C13" s="182"/>
      <c r="D13" s="182">
        <f>'KY_Cost Plant Acct-Elec-P14(Tot'!D13+'KY_Cost Plant Acct-Elec-P14(Tot'!D101+'IN_Total PIS_Elec_NBV-P15 (Tot)'!D11</f>
        <v>8577547.4700000007</v>
      </c>
      <c r="E13" s="182"/>
      <c r="F13" s="182">
        <f>'KY_Cost Plant Acct-Elec-P14(Tot'!F13+'IN_Total PIS_Elec_NBV-P15 (Tot)'!F11</f>
        <v>-13979.320000000007</v>
      </c>
      <c r="G13" s="182"/>
      <c r="H13" s="182">
        <f>'KY_Cost Plant Acct-Elec-P14(Tot'!H13+'IN_Total PIS_Elec_NBV-P15 (Tot)'!H11+'KY_Cost Plant Acct-Elec-P14(Tot'!H101</f>
        <v>0</v>
      </c>
      <c r="I13" s="182"/>
      <c r="J13" s="182">
        <f t="shared" si="0"/>
        <v>8563568.1500000004</v>
      </c>
      <c r="K13" s="182"/>
      <c r="L13" s="182">
        <f t="shared" si="1"/>
        <v>81364773.300000012</v>
      </c>
      <c r="N13" s="89">
        <f>'KY_Res by Plant Acct-P29 (Tot)'!R13+'IN_Total PIS_Elec_NBV-P15 (Tot)'!N11</f>
        <v>-4280669.0600000015</v>
      </c>
      <c r="P13" s="89">
        <f t="shared" si="2"/>
        <v>77084104.24000001</v>
      </c>
    </row>
    <row r="14" spans="1:16">
      <c r="A14" t="s">
        <v>276</v>
      </c>
      <c r="B14" s="182">
        <f>'KY_Cost Plant Acct-Elec-P14(Tot'!B14+'KY_Cost Plant Acct-Elec-P14(Tot'!B102</f>
        <v>124108686.89999999</v>
      </c>
      <c r="C14" s="182"/>
      <c r="D14" s="182">
        <f>'KY_Cost Plant Acct-Elec-P14(Tot'!D14+'KY_Cost Plant Acct-Elec-P14(Tot'!D102</f>
        <v>5215663.3899999997</v>
      </c>
      <c r="E14" s="182"/>
      <c r="F14" s="182">
        <f>'KY_Cost Plant Acct-Elec-P14(Tot'!F14</f>
        <v>-286956.17000000004</v>
      </c>
      <c r="G14" s="182"/>
      <c r="H14" s="182">
        <f>'KY_Cost Plant Acct-Elec-P14(Tot'!H14+'KY_Cost Plant Acct-Elec-P14(Tot'!H102</f>
        <v>0</v>
      </c>
      <c r="I14" s="182"/>
      <c r="J14" s="182">
        <f t="shared" si="0"/>
        <v>4928707.22</v>
      </c>
      <c r="K14" s="182"/>
      <c r="L14" s="182">
        <f t="shared" si="1"/>
        <v>129037394.11999999</v>
      </c>
      <c r="N14" s="89">
        <f>'KY_Res by Plant Acct-P29 (Tot)'!R15</f>
        <v>-57161710.689999998</v>
      </c>
      <c r="P14" s="89">
        <f t="shared" si="2"/>
        <v>71875683.429999992</v>
      </c>
    </row>
    <row r="15" spans="1:16">
      <c r="A15" t="s">
        <v>277</v>
      </c>
      <c r="B15" s="182">
        <f>'KY_Cost Plant Acct-Elec-P14(Tot'!B15+'KY_Cost Plant Acct-Elec-P14(Tot'!B103</f>
        <v>180271073.51999998</v>
      </c>
      <c r="C15" s="182"/>
      <c r="D15" s="182">
        <f>'KY_Cost Plant Acct-Elec-P14(Tot'!D15+'KY_Cost Plant Acct-Elec-P14(Tot'!D103</f>
        <v>8164767.7899999991</v>
      </c>
      <c r="E15" s="182"/>
      <c r="F15" s="182">
        <f>'KY_Cost Plant Acct-Elec-P14(Tot'!F15</f>
        <v>-503284.64</v>
      </c>
      <c r="G15" s="182"/>
      <c r="H15" s="182">
        <f>'KY_Cost Plant Acct-Elec-P14(Tot'!H15+'KY_Cost Plant Acct-Elec-P14(Tot'!H103</f>
        <v>0</v>
      </c>
      <c r="I15" s="182"/>
      <c r="J15" s="182">
        <f t="shared" si="0"/>
        <v>7661483.1499999994</v>
      </c>
      <c r="K15" s="182"/>
      <c r="L15" s="182">
        <f t="shared" si="1"/>
        <v>187932556.66999999</v>
      </c>
      <c r="N15" s="89">
        <f>'KY_Res by Plant Acct-P29 (Tot)'!R16</f>
        <v>-43585606.320000015</v>
      </c>
      <c r="P15" s="89">
        <f t="shared" si="2"/>
        <v>144346950.34999996</v>
      </c>
    </row>
    <row r="16" spans="1:16">
      <c r="A16" t="s">
        <v>278</v>
      </c>
      <c r="B16" s="182">
        <f>'KY_Cost Plant Acct-Elec-P14(Tot'!B16+'KY_Cost Plant Acct-Elec-P14(Tot'!B104</f>
        <v>45542226.080000006</v>
      </c>
      <c r="C16" s="182"/>
      <c r="D16" s="182">
        <f>'KY_Cost Plant Acct-Elec-P14(Tot'!D16+'KY_Cost Plant Acct-Elec-P14(Tot'!D104</f>
        <v>-482804.05000000016</v>
      </c>
      <c r="E16" s="182"/>
      <c r="F16" s="182">
        <f>'KY_Cost Plant Acct-Elec-P14(Tot'!F16</f>
        <v>-795.21000000000095</v>
      </c>
      <c r="G16" s="182"/>
      <c r="H16" s="182">
        <f>'KY_Cost Plant Acct-Elec-P14(Tot'!H16+'KY_Cost Plant Acct-Elec-P14(Tot'!H104</f>
        <v>0</v>
      </c>
      <c r="I16" s="182"/>
      <c r="J16" s="182">
        <f t="shared" si="0"/>
        <v>-483599.26000000018</v>
      </c>
      <c r="K16" s="182"/>
      <c r="L16" s="182">
        <f t="shared" si="1"/>
        <v>45058626.820000008</v>
      </c>
      <c r="N16" s="89">
        <f>'KY_Res by Plant Acct-P29 (Tot)'!R17</f>
        <v>-2526165.7900000014</v>
      </c>
      <c r="P16" s="89">
        <f t="shared" si="2"/>
        <v>42532461.030000009</v>
      </c>
    </row>
    <row r="17" spans="1:16">
      <c r="A17" t="s">
        <v>279</v>
      </c>
      <c r="B17" s="182">
        <f>'KY_Cost Plant Acct-Elec-P14(Tot'!B17+'KY_Cost Plant Acct-Elec-P14(Tot'!B105</f>
        <v>109291659.91999999</v>
      </c>
      <c r="C17" s="182"/>
      <c r="D17" s="182">
        <f>'KY_Cost Plant Acct-Elec-P14(Tot'!D17+'KY_Cost Plant Acct-Elec-P14(Tot'!D105</f>
        <v>4233679.7200000007</v>
      </c>
      <c r="E17" s="182"/>
      <c r="F17" s="182">
        <f>'KY_Cost Plant Acct-Elec-P14(Tot'!F17</f>
        <v>-249153.31</v>
      </c>
      <c r="G17" s="182"/>
      <c r="H17" s="182">
        <f>'KY_Cost Plant Acct-Elec-P14(Tot'!H17+'KY_Cost Plant Acct-Elec-P14(Tot'!H105</f>
        <v>0</v>
      </c>
      <c r="I17" s="182"/>
      <c r="J17" s="182">
        <f t="shared" si="0"/>
        <v>3984526.4100000006</v>
      </c>
      <c r="K17" s="182"/>
      <c r="L17" s="182">
        <f t="shared" si="1"/>
        <v>113276186.32999998</v>
      </c>
      <c r="N17" s="89">
        <f>'KY_Res by Plant Acct-P29 (Tot)'!R18</f>
        <v>-12343140.639999986</v>
      </c>
      <c r="P17" s="89">
        <f t="shared" si="2"/>
        <v>100933045.69</v>
      </c>
    </row>
    <row r="18" spans="1:16">
      <c r="A18" t="s">
        <v>280</v>
      </c>
      <c r="B18" s="182">
        <f>'KY_Cost Plant Acct-Elec-P14(Tot'!B18+'KY_Cost Plant Acct-Elec-P14(Tot'!B106</f>
        <v>84897790.959999993</v>
      </c>
      <c r="C18" s="182"/>
      <c r="D18" s="182">
        <f>'KY_Cost Plant Acct-Elec-P14(Tot'!D18+'KY_Cost Plant Acct-Elec-P14(Tot'!D106</f>
        <v>715239.02</v>
      </c>
      <c r="E18" s="182"/>
      <c r="F18" s="182">
        <f>'KY_Cost Plant Acct-Elec-P14(Tot'!F18</f>
        <v>-44155.97</v>
      </c>
      <c r="G18" s="182"/>
      <c r="H18" s="182">
        <f>'KY_Cost Plant Acct-Elec-P14(Tot'!H18+'KY_Cost Plant Acct-Elec-P14(Tot'!H106</f>
        <v>0</v>
      </c>
      <c r="I18" s="182"/>
      <c r="J18" s="182">
        <f t="shared" si="0"/>
        <v>671083.05000000005</v>
      </c>
      <c r="K18" s="182"/>
      <c r="L18" s="182">
        <f t="shared" si="1"/>
        <v>85568874.00999999</v>
      </c>
      <c r="N18" s="89">
        <f>'KY_Res by Plant Acct-P29 (Tot)'!R19</f>
        <v>-8403789.3899999931</v>
      </c>
      <c r="P18" s="89">
        <f t="shared" si="2"/>
        <v>77165084.620000005</v>
      </c>
    </row>
    <row r="19" spans="1:16">
      <c r="A19" t="s">
        <v>308</v>
      </c>
      <c r="B19" s="182">
        <f>'KY_Cost Plant Acct-Elec-P14(Tot'!B19+'KY_Cost Plant Acct-Elec-P14(Tot'!B107</f>
        <v>4202844.1100000003</v>
      </c>
      <c r="C19" s="182"/>
      <c r="D19" s="182">
        <f>'KY_Cost Plant Acct-Elec-P14(Tot'!D19+'KY_Cost Plant Acct-Elec-P14(Tot'!D107</f>
        <v>-64846.200000000004</v>
      </c>
      <c r="E19" s="182"/>
      <c r="F19" s="182">
        <f>'KY_Cost Plant Acct-Elec-P14(Tot'!F19</f>
        <v>-678.65000000000146</v>
      </c>
      <c r="G19" s="182"/>
      <c r="H19" s="182">
        <f>'KY_Cost Plant Acct-Elec-P14(Tot'!H19+'KY_Cost Plant Acct-Elec-P14(Tot'!H107</f>
        <v>0</v>
      </c>
      <c r="I19" s="182"/>
      <c r="J19" s="182">
        <f t="shared" si="0"/>
        <v>-65524.850000000006</v>
      </c>
      <c r="K19" s="182"/>
      <c r="L19" s="182">
        <f t="shared" si="1"/>
        <v>4137319.2600000002</v>
      </c>
      <c r="N19" s="89">
        <f>'KY_Res by Plant Acct-P29 (Tot)'!R20</f>
        <v>728181.42000000039</v>
      </c>
      <c r="P19" s="89">
        <f t="shared" si="2"/>
        <v>4865500.6800000006</v>
      </c>
    </row>
    <row r="20" spans="1:16">
      <c r="A20" t="s">
        <v>309</v>
      </c>
      <c r="B20" s="182">
        <f>'KY_Cost Plant Acct-Elec-P14(Tot'!B20</f>
        <v>14226877.890000004</v>
      </c>
      <c r="C20" s="182"/>
      <c r="D20" s="182">
        <f>'KY_Cost Plant Acct-Elec-P14(Tot'!D20</f>
        <v>1247192.02</v>
      </c>
      <c r="E20" s="182"/>
      <c r="F20" s="182">
        <f>'KY_Cost Plant Acct-Elec-P14(Tot'!F20</f>
        <v>-13155.990000000002</v>
      </c>
      <c r="G20" s="182"/>
      <c r="H20" s="182">
        <f>'KY_Cost Plant Acct-Elec-P14(Tot'!H20</f>
        <v>0</v>
      </c>
      <c r="I20" s="182"/>
      <c r="J20" s="182">
        <f t="shared" si="0"/>
        <v>1234036.03</v>
      </c>
      <c r="K20" s="182"/>
      <c r="L20" s="182">
        <f t="shared" si="1"/>
        <v>15460913.920000004</v>
      </c>
      <c r="N20" s="89">
        <f>'KY_Res by Plant Acct-P29 (Tot)'!R21</f>
        <v>-12780805.120000007</v>
      </c>
      <c r="P20" s="89">
        <f t="shared" si="2"/>
        <v>2680108.799999997</v>
      </c>
    </row>
    <row r="21" spans="1:16">
      <c r="A21" t="s">
        <v>310</v>
      </c>
      <c r="B21" s="182">
        <f>'KY_Cost Plant Acct-Elec-P14(Tot'!B21</f>
        <v>21718762.280000001</v>
      </c>
      <c r="C21" s="182"/>
      <c r="D21" s="182">
        <f>'KY_Cost Plant Acct-Elec-P14(Tot'!D21+'KY_Cost Plant Acct-Elec-P14(Tot'!D108</f>
        <v>469473.26</v>
      </c>
      <c r="E21" s="182"/>
      <c r="F21" s="182">
        <f>'KY_Cost Plant Acct-Elec-P14(Tot'!F21</f>
        <v>0</v>
      </c>
      <c r="G21" s="182"/>
      <c r="H21" s="182">
        <f>'KY_Cost Plant Acct-Elec-P14(Tot'!H21</f>
        <v>0</v>
      </c>
      <c r="I21" s="182"/>
      <c r="J21" s="182">
        <f t="shared" si="0"/>
        <v>469473.26</v>
      </c>
      <c r="K21" s="182"/>
      <c r="L21" s="182">
        <f t="shared" si="1"/>
        <v>22188235.540000003</v>
      </c>
      <c r="N21" s="89">
        <f>'KY_Res by Plant Acct-P29 (Tot)'!R22</f>
        <v>-4329645.4899999956</v>
      </c>
      <c r="P21" s="89">
        <f t="shared" si="2"/>
        <v>17858590.050000008</v>
      </c>
    </row>
    <row r="22" spans="1:16">
      <c r="A22" t="s">
        <v>311</v>
      </c>
      <c r="B22" s="182">
        <f>'KY_Cost Plant Acct-Elec-P14(Tot'!B22+'KY_Cost Plant Acct-Elec-P14(Tot'!B109</f>
        <v>21710477.77</v>
      </c>
      <c r="C22" s="182"/>
      <c r="D22" s="182">
        <f>'KY_Cost Plant Acct-Elec-P14(Tot'!D109+'KY_Cost Plant Acct-Elec-P14(Tot'!D22</f>
        <v>1346358.39</v>
      </c>
      <c r="E22" s="182"/>
      <c r="F22" s="182">
        <f>'KY_Cost Plant Acct-Elec-P14(Tot'!F22</f>
        <v>-72435.399999999994</v>
      </c>
      <c r="G22" s="182"/>
      <c r="H22" s="182">
        <f>'KY_Cost Plant Acct-Elec-P14(Tot'!H22+'KY_Cost Plant Acct-Elec-P14(Tot'!H109</f>
        <v>0</v>
      </c>
      <c r="I22" s="182"/>
      <c r="J22" s="182">
        <f t="shared" si="0"/>
        <v>1273922.99</v>
      </c>
      <c r="K22" s="182"/>
      <c r="L22" s="182">
        <f t="shared" si="1"/>
        <v>22984400.759999998</v>
      </c>
      <c r="N22" s="89">
        <f>'KY_Res by Plant Acct-P29 (Tot)'!R23</f>
        <v>-137473.69000000623</v>
      </c>
      <c r="P22" s="89">
        <f t="shared" si="2"/>
        <v>22846927.069999993</v>
      </c>
    </row>
    <row r="23" spans="1:16">
      <c r="A23" t="s">
        <v>312</v>
      </c>
      <c r="B23" s="182">
        <f>'KY_Cost Plant Acct-Elec-P14(Tot'!B23+'KY_Cost Plant Acct-Elec-P14(Tot'!B110</f>
        <v>29904985.260000005</v>
      </c>
      <c r="C23" s="182"/>
      <c r="D23" s="182">
        <f>'KY_Cost Plant Acct-Elec-P14(Tot'!D23+'KY_Cost Plant Acct-Elec-P14(Tot'!D110</f>
        <v>794401.45</v>
      </c>
      <c r="E23" s="182"/>
      <c r="F23" s="182">
        <f>'KY_Cost Plant Acct-Elec-P14(Tot'!F23</f>
        <v>-27448.55000000001</v>
      </c>
      <c r="G23" s="182"/>
      <c r="H23" s="182">
        <f>'KY_Cost Plant Acct-Elec-P14(Tot'!H23+'KY_Cost Plant Acct-Elec-P14(Tot'!H110</f>
        <v>0</v>
      </c>
      <c r="I23" s="182"/>
      <c r="J23" s="182">
        <f t="shared" si="0"/>
        <v>766952.89999999991</v>
      </c>
      <c r="K23" s="182"/>
      <c r="L23" s="182">
        <f t="shared" si="1"/>
        <v>30671938.160000004</v>
      </c>
      <c r="N23" s="89">
        <f>'KY_Res by Plant Acct-P29 (Tot)'!R24</f>
        <v>-3379546.3799999976</v>
      </c>
      <c r="P23" s="89">
        <f t="shared" si="2"/>
        <v>27292391.780000005</v>
      </c>
    </row>
    <row r="24" spans="1:16">
      <c r="A24" t="s">
        <v>313</v>
      </c>
      <c r="B24" s="182">
        <f>'KY_Cost Plant Acct-Elec-P14(Tot'!B24</f>
        <v>0</v>
      </c>
      <c r="C24" s="182"/>
      <c r="D24" s="182">
        <f>'KY_Cost Plant Acct-Elec-P14(Tot'!D24</f>
        <v>0</v>
      </c>
      <c r="E24" s="182"/>
      <c r="F24" s="182">
        <f>'KY_Cost Plant Acct-Elec-P14(Tot'!F24</f>
        <v>0</v>
      </c>
      <c r="G24" s="182"/>
      <c r="H24" s="182">
        <f>'KY_Cost Plant Acct-Elec-P14(Tot'!H24</f>
        <v>0</v>
      </c>
      <c r="I24" s="182"/>
      <c r="J24" s="182">
        <f t="shared" si="0"/>
        <v>0</v>
      </c>
      <c r="K24" s="182"/>
      <c r="L24" s="182">
        <f t="shared" si="1"/>
        <v>0</v>
      </c>
      <c r="N24" s="89">
        <f>'KY_Res by Plant Acct-P29 (Tot)'!R25</f>
        <v>-96556.53</v>
      </c>
      <c r="P24" s="89">
        <f t="shared" si="2"/>
        <v>-96556.53</v>
      </c>
    </row>
    <row r="25" spans="1:16">
      <c r="A25" t="s">
        <v>314</v>
      </c>
      <c r="B25" s="325">
        <f>'KY_Cost Plant Acct-Elec-P14(Tot'!B25</f>
        <v>481206.24000000005</v>
      </c>
      <c r="C25" s="325"/>
      <c r="D25" s="325">
        <f>'KY_Cost Plant Acct-Elec-P14(Tot'!D25</f>
        <v>0</v>
      </c>
      <c r="E25" s="325"/>
      <c r="F25" s="325">
        <f>'KY_Cost Plant Acct-Elec-P14(Tot'!F25</f>
        <v>0</v>
      </c>
      <c r="G25" s="325"/>
      <c r="H25" s="325">
        <f>'KY_Cost Plant Acct-Elec-P14(Tot'!H25</f>
        <v>0</v>
      </c>
      <c r="I25" s="325"/>
      <c r="J25" s="325">
        <f t="shared" ref="J25:J26" si="3">H25+F25+D25</f>
        <v>0</v>
      </c>
      <c r="K25" s="326"/>
      <c r="L25" s="325">
        <f>B25+J25</f>
        <v>481206.24000000005</v>
      </c>
      <c r="N25" s="89">
        <f>'KY_Res by Plant Acct-P29 (Tot)'!R26</f>
        <v>-8798.8600000000679</v>
      </c>
      <c r="P25" s="89">
        <f>L25+N25</f>
        <v>472407.38</v>
      </c>
    </row>
    <row r="26" spans="1:16">
      <c r="A26" s="331" t="s">
        <v>1449</v>
      </c>
      <c r="B26" s="327">
        <f>'KY_Cost Plant Acct-Elec-P14(Tot'!B26</f>
        <v>145332.98000000001</v>
      </c>
      <c r="C26" s="325"/>
      <c r="D26" s="327">
        <f>'KY_Cost Plant Acct-Elec-P14(Tot'!D26</f>
        <v>0</v>
      </c>
      <c r="E26" s="325"/>
      <c r="F26" s="327">
        <f>'KY_Cost Plant Acct-Elec-P14(Tot'!F26</f>
        <v>0</v>
      </c>
      <c r="G26" s="182"/>
      <c r="H26" s="327">
        <f>'KY_Cost Plant Acct-Elec-P14(Tot'!H26</f>
        <v>-23.740000000019791</v>
      </c>
      <c r="I26" s="182"/>
      <c r="J26" s="327">
        <f t="shared" si="3"/>
        <v>-23.740000000019791</v>
      </c>
      <c r="K26" s="325"/>
      <c r="L26" s="327">
        <f>B26+J26</f>
        <v>145309.24</v>
      </c>
      <c r="N26" s="90">
        <f>'KY_Res by Plant Acct-P29 (Tot)'!R27</f>
        <v>-1564.88</v>
      </c>
      <c r="P26" s="90">
        <f>L26+N26</f>
        <v>143744.35999999999</v>
      </c>
    </row>
    <row r="27" spans="1:16">
      <c r="B27" s="52">
        <f>SUM(B11:B26)</f>
        <v>716227179.70999992</v>
      </c>
      <c r="C27" s="52"/>
      <c r="D27" s="52">
        <f>SUM(D11:D26)</f>
        <v>32063554.190000001</v>
      </c>
      <c r="E27" s="52"/>
      <c r="F27" s="52">
        <f>SUM(F11:F26)</f>
        <v>-1212153.93</v>
      </c>
      <c r="G27" s="52"/>
      <c r="H27" s="52">
        <f>SUM(H11:H26)</f>
        <v>21903.139999999981</v>
      </c>
      <c r="I27" s="52"/>
      <c r="J27" s="52">
        <f>SUM(J11:J26)</f>
        <v>30873303.399999999</v>
      </c>
      <c r="K27" s="52"/>
      <c r="L27" s="52">
        <f>SUM(L11:L26)</f>
        <v>747100483.1099999</v>
      </c>
      <c r="N27" s="52">
        <f>SUM(N11:N26)</f>
        <v>-148809275.91000003</v>
      </c>
      <c r="P27" s="52">
        <f>SUM(P11:P26)</f>
        <v>598291207.20000005</v>
      </c>
    </row>
    <row r="28" spans="1:16">
      <c r="B28" s="52"/>
      <c r="C28" s="52"/>
      <c r="D28" s="52"/>
      <c r="E28" s="52"/>
      <c r="F28" s="52"/>
      <c r="G28" s="52"/>
      <c r="H28" s="52"/>
      <c r="I28" s="52"/>
      <c r="J28" s="52"/>
      <c r="K28" s="52"/>
      <c r="L28" s="52"/>
    </row>
    <row r="29" spans="1:16">
      <c r="A29" s="12" t="s">
        <v>808</v>
      </c>
      <c r="B29" s="52"/>
      <c r="C29" s="52"/>
      <c r="D29" s="52"/>
      <c r="E29" s="52"/>
      <c r="F29" s="52"/>
      <c r="G29" s="52"/>
      <c r="H29" s="52"/>
      <c r="I29" s="52"/>
      <c r="J29" s="52"/>
      <c r="K29" s="52"/>
      <c r="L29" s="52"/>
    </row>
    <row r="30" spans="1:16">
      <c r="A30" t="s">
        <v>315</v>
      </c>
      <c r="B30" s="52">
        <f>'KY_Cost Plant Acct-Elec-P14(Tot'!B30</f>
        <v>1202710.8499999996</v>
      </c>
      <c r="C30" s="52"/>
      <c r="D30" s="52">
        <f>'KY_Cost Plant Acct-Elec-P14(Tot'!D30</f>
        <v>118725.14</v>
      </c>
      <c r="E30" s="52"/>
      <c r="F30" s="52">
        <f>'KY_Cost Plant Acct-Elec-P14(Tot'!F30</f>
        <v>0</v>
      </c>
      <c r="G30" s="52"/>
      <c r="H30" s="52">
        <f>'KY_Cost Plant Acct-Elec-P14(Tot'!H30</f>
        <v>0</v>
      </c>
      <c r="I30" s="52"/>
      <c r="J30" s="52">
        <f t="shared" ref="J30:J35" si="4">H30+F30+D30</f>
        <v>118725.14</v>
      </c>
      <c r="K30" s="52"/>
      <c r="L30" s="182">
        <f t="shared" ref="L30:L35" si="5">B30+J30</f>
        <v>1321435.9899999995</v>
      </c>
      <c r="N30" s="89">
        <f>'KY_Res by Plant Acct-P29 (Tot)'!R31</f>
        <v>-234383.6400000024</v>
      </c>
      <c r="P30" s="89">
        <f t="shared" ref="P30:P35" si="6">L30+N30</f>
        <v>1087052.3499999971</v>
      </c>
    </row>
    <row r="31" spans="1:16">
      <c r="A31" t="s">
        <v>316</v>
      </c>
      <c r="B31" s="52">
        <f>'KY_Cost Plant Acct-Elec-P14(Tot'!B31+'KY_Cost Plant Acct-Elec-P14(Tot'!B114</f>
        <v>353637.27</v>
      </c>
      <c r="C31" s="52"/>
      <c r="D31" s="52">
        <f>'KY_Cost Plant Acct-Elec-P14(Tot'!D31+'KY_Cost Plant Acct-Elec-P14(Tot'!D114</f>
        <v>75520.66</v>
      </c>
      <c r="E31" s="52"/>
      <c r="F31" s="52">
        <f>'KY_Cost Plant Acct-Elec-P14(Tot'!F31</f>
        <v>0</v>
      </c>
      <c r="G31" s="52"/>
      <c r="H31" s="52">
        <f>'KY_Cost Plant Acct-Elec-P14(Tot'!H31</f>
        <v>0</v>
      </c>
      <c r="I31" s="52"/>
      <c r="J31" s="52">
        <f t="shared" si="4"/>
        <v>75520.66</v>
      </c>
      <c r="K31" s="52"/>
      <c r="L31" s="182">
        <f t="shared" si="5"/>
        <v>429157.93000000005</v>
      </c>
      <c r="N31" s="89">
        <f>'KY_Res by Plant Acct-P29 (Tot)'!R32</f>
        <v>-9550.4099999999962</v>
      </c>
      <c r="P31" s="89">
        <f t="shared" si="6"/>
        <v>419607.52000000008</v>
      </c>
    </row>
    <row r="32" spans="1:16">
      <c r="A32" t="s">
        <v>317</v>
      </c>
      <c r="B32" s="52">
        <f>'KY_Cost Plant Acct-Elec-P14(Tot'!B32+'KY_Cost Plant Acct-Elec-P14(Tot'!B115</f>
        <v>3218710.2800000003</v>
      </c>
      <c r="C32" s="52"/>
      <c r="D32" s="52">
        <f>'KY_Cost Plant Acct-Elec-P14(Tot'!D32+'KY_Cost Plant Acct-Elec-P14(Tot'!D115</f>
        <v>48831.4</v>
      </c>
      <c r="E32" s="52"/>
      <c r="F32" s="52">
        <f>'KY_Cost Plant Acct-Elec-P14(Tot'!F32</f>
        <v>0</v>
      </c>
      <c r="G32" s="52"/>
      <c r="H32" s="52">
        <f>'KY_Cost Plant Acct-Elec-P14(Tot'!H32</f>
        <v>0</v>
      </c>
      <c r="I32" s="52"/>
      <c r="J32" s="52">
        <f t="shared" si="4"/>
        <v>48831.4</v>
      </c>
      <c r="K32" s="52"/>
      <c r="L32" s="182">
        <f t="shared" si="5"/>
        <v>3267541.68</v>
      </c>
      <c r="N32" s="89">
        <f>'KY_Res by Plant Acct-P29 (Tot)'!R33</f>
        <v>-173659.17999999991</v>
      </c>
      <c r="P32" s="89">
        <f t="shared" si="6"/>
        <v>3093882.5000000005</v>
      </c>
    </row>
    <row r="33" spans="1:16">
      <c r="A33" t="s">
        <v>318</v>
      </c>
      <c r="B33" s="52">
        <f>'KY_Cost Plant Acct-Elec-P14(Tot'!B33</f>
        <v>-21504.75</v>
      </c>
      <c r="C33" s="52"/>
      <c r="D33" s="52">
        <f>'KY_Cost Plant Acct-Elec-P14(Tot'!D33</f>
        <v>0</v>
      </c>
      <c r="E33" s="52"/>
      <c r="F33" s="52">
        <f>'KY_Cost Plant Acct-Elec-P14(Tot'!F33</f>
        <v>0</v>
      </c>
      <c r="G33" s="52"/>
      <c r="H33" s="52">
        <f>'KY_Cost Plant Acct-Elec-P14(Tot'!H33</f>
        <v>0</v>
      </c>
      <c r="I33" s="52"/>
      <c r="J33" s="52">
        <f t="shared" si="4"/>
        <v>0</v>
      </c>
      <c r="K33" s="52"/>
      <c r="L33" s="182">
        <f t="shared" si="5"/>
        <v>-21504.75</v>
      </c>
      <c r="N33" s="89">
        <f>'KY_Res by Plant Acct-P29 (Tot)'!R34</f>
        <v>21504.750000000131</v>
      </c>
      <c r="P33" s="89">
        <f t="shared" si="6"/>
        <v>1.3096723705530167E-10</v>
      </c>
    </row>
    <row r="34" spans="1:16">
      <c r="A34" t="s">
        <v>319</v>
      </c>
      <c r="B34" s="52">
        <f>'KY_Cost Plant Acct-Elec-P14(Tot'!B34</f>
        <v>246472.25999999978</v>
      </c>
      <c r="C34" s="52"/>
      <c r="D34" s="52">
        <f>'KY_Cost Plant Acct-Elec-P14(Tot'!D34</f>
        <v>0</v>
      </c>
      <c r="E34" s="52"/>
      <c r="F34" s="52">
        <f>'KY_Cost Plant Acct-Elec-P14(Tot'!F34</f>
        <v>0</v>
      </c>
      <c r="G34" s="52"/>
      <c r="H34" s="52">
        <f>'KY_Cost Plant Acct-Elec-P14(Tot'!H34</f>
        <v>0</v>
      </c>
      <c r="I34" s="52"/>
      <c r="J34" s="52">
        <f t="shared" si="4"/>
        <v>0</v>
      </c>
      <c r="K34" s="52"/>
      <c r="L34" s="182">
        <f t="shared" si="5"/>
        <v>246472.25999999978</v>
      </c>
      <c r="N34" s="89">
        <f>'KY_Res by Plant Acct-P29 (Tot)'!R35</f>
        <v>-75628.229999999807</v>
      </c>
      <c r="P34" s="89">
        <f t="shared" si="6"/>
        <v>170844.02999999997</v>
      </c>
    </row>
    <row r="35" spans="1:16">
      <c r="A35" t="s">
        <v>320</v>
      </c>
      <c r="B35" s="48">
        <f>'KY_Cost Plant Acct-Elec-P14(Tot'!B35+'KY_Cost Plant Acct-Elec-P14(Tot'!B116</f>
        <v>124576.10999999999</v>
      </c>
      <c r="C35" s="52"/>
      <c r="D35" s="48">
        <f>'KY_Cost Plant Acct-Elec-P14(Tot'!D35+'KY_Cost Plant Acct-Elec-P14(Tot'!D116</f>
        <v>0</v>
      </c>
      <c r="E35" s="52"/>
      <c r="F35" s="48">
        <f>'KY_Cost Plant Acct-Elec-P14(Tot'!F35+'KY_Cost Plant Acct-Elec-P14(Tot'!F116</f>
        <v>0</v>
      </c>
      <c r="G35" s="52"/>
      <c r="H35" s="48">
        <f>'KY_Cost Plant Acct-Elec-P14(Tot'!H35+'KY_Cost Plant Acct-Elec-P14(Tot'!H116</f>
        <v>0</v>
      </c>
      <c r="I35" s="52"/>
      <c r="J35" s="48">
        <f t="shared" si="4"/>
        <v>0</v>
      </c>
      <c r="K35" s="52"/>
      <c r="L35" s="48">
        <f t="shared" si="5"/>
        <v>124576.10999999999</v>
      </c>
      <c r="N35" s="90">
        <f>'KY_Res by Plant Acct-P29 (Tot)'!R36</f>
        <v>-1634.8399999999961</v>
      </c>
      <c r="P35" s="90">
        <f t="shared" si="6"/>
        <v>122941.26999999999</v>
      </c>
    </row>
    <row r="36" spans="1:16">
      <c r="B36" s="52">
        <f>SUM(B30:B35)</f>
        <v>5124602.0200000005</v>
      </c>
      <c r="C36" s="52"/>
      <c r="D36" s="52">
        <f>SUM(D30:D35)</f>
        <v>243077.19999999998</v>
      </c>
      <c r="E36" s="52"/>
      <c r="F36" s="52">
        <f>SUM(F30:F35)</f>
        <v>0</v>
      </c>
      <c r="G36" s="52"/>
      <c r="H36" s="52">
        <f>SUM(H30:H35)</f>
        <v>0</v>
      </c>
      <c r="I36" s="52"/>
      <c r="J36" s="52">
        <f>SUM(J30:J35)</f>
        <v>243077.19999999998</v>
      </c>
      <c r="K36" s="52"/>
      <c r="L36" s="52">
        <f>SUM(L30:L35)</f>
        <v>5367679.22</v>
      </c>
      <c r="N36" s="52">
        <f>SUM(N30:N35)</f>
        <v>-473351.55000000197</v>
      </c>
      <c r="P36" s="52">
        <f>SUM(P30:P35)</f>
        <v>4894327.6699999971</v>
      </c>
    </row>
    <row r="37" spans="1:16">
      <c r="B37" s="52"/>
      <c r="C37" s="52"/>
      <c r="D37" s="52"/>
      <c r="E37" s="52"/>
      <c r="F37" s="52"/>
      <c r="G37" s="52"/>
      <c r="H37" s="52"/>
      <c r="I37" s="52"/>
      <c r="J37" s="52"/>
      <c r="K37" s="52"/>
      <c r="L37" s="52"/>
    </row>
    <row r="38" spans="1:16">
      <c r="A38" s="12" t="s">
        <v>809</v>
      </c>
      <c r="B38" s="52"/>
      <c r="C38" s="52"/>
      <c r="D38" s="52"/>
      <c r="E38" s="52"/>
      <c r="F38" s="52"/>
      <c r="G38" s="52"/>
      <c r="H38" s="52"/>
      <c r="I38" s="52"/>
      <c r="J38" s="52"/>
      <c r="K38" s="52"/>
      <c r="L38" s="52"/>
    </row>
    <row r="39" spans="1:16">
      <c r="A39" t="s">
        <v>321</v>
      </c>
      <c r="B39" s="52">
        <f>'KY_Cost Plant Acct-Elec-P14(Tot'!B39</f>
        <v>6.5</v>
      </c>
      <c r="C39" s="52"/>
      <c r="D39" s="52">
        <f>'KY_Cost Plant Acct-Elec-P14(Tot'!D39</f>
        <v>0</v>
      </c>
      <c r="E39" s="52"/>
      <c r="F39" s="52">
        <f>'KY_Cost Plant Acct-Elec-P14(Tot'!F39</f>
        <v>0</v>
      </c>
      <c r="G39" s="52"/>
      <c r="H39" s="52">
        <f>'KY_Cost Plant Acct-Elec-P14(Tot'!H39</f>
        <v>0</v>
      </c>
      <c r="I39" s="52"/>
      <c r="J39" s="52">
        <f t="shared" ref="J39:J46" si="7">H39+F39+D39</f>
        <v>0</v>
      </c>
      <c r="K39" s="52"/>
      <c r="L39" s="182">
        <f t="shared" ref="L39:L46" si="8">B39+J39</f>
        <v>6.5</v>
      </c>
      <c r="N39" s="89">
        <v>0</v>
      </c>
      <c r="P39" s="89">
        <f t="shared" ref="P39:P46" si="9">L39+N39</f>
        <v>6.5</v>
      </c>
    </row>
    <row r="40" spans="1:16">
      <c r="A40" t="s">
        <v>574</v>
      </c>
      <c r="B40" s="52">
        <f>'KY_Cost Plant Acct-Elec-P14(Tot'!B40+'KY_Cost Plant Acct-Elec-P14(Tot'!B120</f>
        <v>511296.46999999939</v>
      </c>
      <c r="C40" s="52"/>
      <c r="D40" s="52">
        <f>'KY_Cost Plant Acct-Elec-P14(Tot'!D40+'KY_Cost Plant Acct-Elec-P14(Tot'!D120</f>
        <v>0</v>
      </c>
      <c r="E40" s="52"/>
      <c r="F40" s="52">
        <f>'KY_Cost Plant Acct-Elec-P14(Tot'!F40</f>
        <v>18.109999999999957</v>
      </c>
      <c r="G40" s="52"/>
      <c r="H40" s="52">
        <f>'KY_Cost Plant Acct-Elec-P14(Tot'!H40+'KY_Cost Plant Acct-Elec-P14(Tot'!H120</f>
        <v>0</v>
      </c>
      <c r="I40" s="52"/>
      <c r="J40" s="52">
        <f t="shared" si="7"/>
        <v>18.109999999999957</v>
      </c>
      <c r="K40" s="52"/>
      <c r="L40" s="182">
        <f t="shared" si="8"/>
        <v>511314.57999999938</v>
      </c>
      <c r="N40" s="89">
        <f>'KY_Res by Plant Acct-P29 (Tot)'!R42+'KY_Res by Plant Acct-P29 (Tot)'!R43</f>
        <v>145441.74999999991</v>
      </c>
      <c r="P40" s="89">
        <f t="shared" si="9"/>
        <v>656756.32999999926</v>
      </c>
    </row>
    <row r="41" spans="1:16">
      <c r="A41" t="s">
        <v>575</v>
      </c>
      <c r="B41" s="65">
        <f>'KY_Cost Plant Acct-Elec-P14(Tot'!B41+'KY_Cost Plant Acct-Elec-P14(Tot'!B121</f>
        <v>10408984.73</v>
      </c>
      <c r="C41" s="52"/>
      <c r="D41" s="52">
        <f>'KY_Cost Plant Acct-Elec-P14(Tot'!D41+'KY_Cost Plant Acct-Elec-P14(Tot'!D121</f>
        <v>0</v>
      </c>
      <c r="E41" s="52"/>
      <c r="F41" s="52">
        <f>'KY_Cost Plant Acct-Elec-P14(Tot'!F41</f>
        <v>0</v>
      </c>
      <c r="G41" s="52"/>
      <c r="H41" s="52">
        <f>'KY_Cost Plant Acct-Elec-P14(Tot'!H41+'KY_Cost Plant Acct-Elec-P14(Tot'!H121</f>
        <v>0</v>
      </c>
      <c r="I41" s="52"/>
      <c r="J41" s="52">
        <f t="shared" si="7"/>
        <v>0</v>
      </c>
      <c r="K41" s="52"/>
      <c r="L41" s="182">
        <f t="shared" si="8"/>
        <v>10408984.73</v>
      </c>
      <c r="N41" s="89">
        <f>'KY_Res by Plant Acct-P29 (Tot)'!R44</f>
        <v>-520137.84</v>
      </c>
      <c r="P41" s="89">
        <f t="shared" si="9"/>
        <v>9888846.8900000006</v>
      </c>
    </row>
    <row r="42" spans="1:16">
      <c r="A42" t="s">
        <v>576</v>
      </c>
      <c r="B42" s="65">
        <f>'KY_Cost Plant Acct-Elec-P14(Tot'!B42+'KY_Cost Plant Acct-Elec-P14(Tot'!B122</f>
        <v>17930347.479999997</v>
      </c>
      <c r="C42" s="52"/>
      <c r="D42" s="52">
        <f>'KY_Cost Plant Acct-Elec-P14(Tot'!D42+'KY_Cost Plant Acct-Elec-P14(Tot'!D122</f>
        <v>0</v>
      </c>
      <c r="E42" s="52"/>
      <c r="F42" s="52">
        <f>'KY_Cost Plant Acct-Elec-P14(Tot'!F42</f>
        <v>0</v>
      </c>
      <c r="G42" s="52"/>
      <c r="H42" s="52">
        <f>'KY_Cost Plant Acct-Elec-P14(Tot'!H42+'KY_Cost Plant Acct-Elec-P14(Tot'!H122</f>
        <v>0</v>
      </c>
      <c r="I42" s="52"/>
      <c r="J42" s="52">
        <f t="shared" si="7"/>
        <v>0</v>
      </c>
      <c r="K42" s="52"/>
      <c r="L42" s="182">
        <f t="shared" si="8"/>
        <v>17930347.479999997</v>
      </c>
      <c r="N42" s="89">
        <f>'KY_Res by Plant Acct-P29 (Tot)'!R45</f>
        <v>1086251.8500000001</v>
      </c>
      <c r="P42" s="89">
        <f t="shared" si="9"/>
        <v>19016599.329999998</v>
      </c>
    </row>
    <row r="43" spans="1:16">
      <c r="A43" t="s">
        <v>577</v>
      </c>
      <c r="B43" s="65">
        <f>'KY_Cost Plant Acct-Elec-P14(Tot'!B43+'KY_Cost Plant Acct-Elec-P14(Tot'!B123</f>
        <v>3853196.0599999996</v>
      </c>
      <c r="C43" s="52"/>
      <c r="D43" s="52">
        <f>'KY_Cost Plant Acct-Elec-P14(Tot'!D43+'KY_Cost Plant Acct-Elec-P14(Tot'!D123</f>
        <v>0</v>
      </c>
      <c r="E43" s="52"/>
      <c r="F43" s="52">
        <f>'KY_Cost Plant Acct-Elec-P14(Tot'!F43</f>
        <v>0</v>
      </c>
      <c r="G43" s="52"/>
      <c r="H43" s="52">
        <f>'KY_Cost Plant Acct-Elec-P14(Tot'!H43+'KY_Cost Plant Acct-Elec-P14(Tot'!H123</f>
        <v>0</v>
      </c>
      <c r="I43" s="52"/>
      <c r="J43" s="52">
        <f t="shared" si="7"/>
        <v>0</v>
      </c>
      <c r="K43" s="52"/>
      <c r="L43" s="182">
        <f t="shared" si="8"/>
        <v>3853196.0599999996</v>
      </c>
      <c r="N43" s="89">
        <f>'KY_Res by Plant Acct-P29 (Tot)'!R46</f>
        <v>-325635.9599999999</v>
      </c>
      <c r="P43" s="89">
        <f t="shared" si="9"/>
        <v>3527560.0999999996</v>
      </c>
    </row>
    <row r="44" spans="1:16">
      <c r="A44" t="s">
        <v>281</v>
      </c>
      <c r="B44" s="52">
        <f>'KY_Cost Plant Acct-Elec-P14(Tot'!B44</f>
        <v>268453.92000000004</v>
      </c>
      <c r="C44" s="52"/>
      <c r="D44" s="52">
        <f>'KY_Cost Plant Acct-Elec-P14(Tot'!D44+'KY_Cost Plant Acct-Elec-P14(Tot'!D124</f>
        <v>0</v>
      </c>
      <c r="E44" s="52"/>
      <c r="F44" s="52">
        <f>'KY_Cost Plant Acct-Elec-P14(Tot'!F44</f>
        <v>0</v>
      </c>
      <c r="G44" s="52"/>
      <c r="H44" s="52">
        <f>'KY_Cost Plant Acct-Elec-P14(Tot'!H44</f>
        <v>0</v>
      </c>
      <c r="I44" s="52"/>
      <c r="J44" s="52">
        <f t="shared" si="7"/>
        <v>0</v>
      </c>
      <c r="K44" s="52"/>
      <c r="L44" s="182">
        <f t="shared" si="8"/>
        <v>268453.92000000004</v>
      </c>
      <c r="N44" s="89">
        <f>'KY_Res by Plant Acct-P29 (Tot)'!R48+'KY_Res by Plant Acct-P29 (Tot)'!R47</f>
        <v>-15579.679999999986</v>
      </c>
      <c r="P44" s="89">
        <f t="shared" si="9"/>
        <v>252874.24000000005</v>
      </c>
    </row>
    <row r="45" spans="1:16">
      <c r="A45" t="s">
        <v>282</v>
      </c>
      <c r="B45" s="52">
        <f>'KY_Cost Plant Acct-Elec-P14(Tot'!B45</f>
        <v>-44756.130000000005</v>
      </c>
      <c r="C45" s="52"/>
      <c r="D45" s="52">
        <f>'KY_Cost Plant Acct-Elec-P14(Tot'!D45</f>
        <v>0</v>
      </c>
      <c r="E45" s="52"/>
      <c r="F45" s="52">
        <f>'KY_Cost Plant Acct-Elec-P14(Tot'!F45</f>
        <v>0</v>
      </c>
      <c r="G45" s="52"/>
      <c r="H45" s="52">
        <f>'KY_Cost Plant Acct-Elec-P14(Tot'!H45</f>
        <v>0</v>
      </c>
      <c r="I45" s="52"/>
      <c r="J45" s="52">
        <f t="shared" si="7"/>
        <v>0</v>
      </c>
      <c r="K45" s="52"/>
      <c r="L45" s="182">
        <f t="shared" si="8"/>
        <v>-44756.130000000005</v>
      </c>
      <c r="N45" s="89">
        <f>'KY_Res by Plant Acct-P29 (Tot)'!R49+'KY_Res by Plant Acct-P29 (Tot)'!R50</f>
        <v>56880.53</v>
      </c>
      <c r="P45" s="89">
        <f t="shared" si="9"/>
        <v>12124.399999999994</v>
      </c>
    </row>
    <row r="46" spans="1:16">
      <c r="A46" t="s">
        <v>283</v>
      </c>
      <c r="B46" s="48">
        <f>'KY_Cost Plant Acct-Elec-P14(Tot'!B46</f>
        <v>103528.98</v>
      </c>
      <c r="C46" s="52"/>
      <c r="D46" s="48">
        <f>'KY_Cost Plant Acct-Elec-P14(Tot'!D46</f>
        <v>0</v>
      </c>
      <c r="E46" s="52"/>
      <c r="F46" s="48">
        <f>'KY_Cost Plant Acct-Elec-P14(Tot'!F46</f>
        <v>0</v>
      </c>
      <c r="G46" s="52"/>
      <c r="H46" s="48">
        <f>'KY_Cost Plant Acct-Elec-P14(Tot'!H46</f>
        <v>0</v>
      </c>
      <c r="I46" s="52"/>
      <c r="J46" s="48">
        <f t="shared" si="7"/>
        <v>0</v>
      </c>
      <c r="K46" s="52"/>
      <c r="L46" s="48">
        <f t="shared" si="8"/>
        <v>103528.98</v>
      </c>
      <c r="N46" s="90">
        <f>'KY_Res by Plant Acct-P29 (Tot)'!R51</f>
        <v>-2549.75000000001</v>
      </c>
      <c r="P46" s="90">
        <f t="shared" si="9"/>
        <v>100979.22999999998</v>
      </c>
    </row>
    <row r="47" spans="1:16">
      <c r="B47" s="52">
        <f>SUM(B39:B46)</f>
        <v>33031058.009999998</v>
      </c>
      <c r="C47" s="52"/>
      <c r="D47" s="52">
        <f>SUM(D39:D46)</f>
        <v>0</v>
      </c>
      <c r="E47" s="52"/>
      <c r="F47" s="52">
        <f>SUM(F39:F46)</f>
        <v>18.109999999999957</v>
      </c>
      <c r="G47" s="52"/>
      <c r="H47" s="52">
        <f>SUM(H39:H46)</f>
        <v>0</v>
      </c>
      <c r="I47" s="52"/>
      <c r="J47" s="52">
        <f>SUM(J39:J46)</f>
        <v>18.109999999999957</v>
      </c>
      <c r="K47" s="52"/>
      <c r="L47" s="52">
        <f>SUM(L39:L46)</f>
        <v>33031076.120000001</v>
      </c>
      <c r="N47" s="89">
        <f>SUM(N39:N46)</f>
        <v>424670.90000000014</v>
      </c>
      <c r="P47" s="89">
        <f>SUM(P39:P46)</f>
        <v>33455747.019999996</v>
      </c>
    </row>
    <row r="48" spans="1:16">
      <c r="B48" s="52"/>
      <c r="C48" s="52"/>
      <c r="D48" s="52"/>
      <c r="E48" s="52"/>
      <c r="F48" s="52"/>
      <c r="G48" s="52"/>
      <c r="H48" s="52"/>
      <c r="I48" s="52"/>
      <c r="J48" s="52"/>
      <c r="K48" s="52"/>
      <c r="L48" s="52"/>
    </row>
    <row r="49" spans="1:16">
      <c r="A49" s="3" t="s">
        <v>810</v>
      </c>
      <c r="B49" s="52"/>
      <c r="C49" s="52"/>
      <c r="D49" s="52"/>
      <c r="E49" s="52"/>
      <c r="F49" s="52"/>
      <c r="G49" s="52"/>
      <c r="H49" s="52"/>
      <c r="I49" s="52"/>
      <c r="J49" s="52"/>
      <c r="K49" s="52"/>
      <c r="L49" s="52"/>
    </row>
    <row r="50" spans="1:16">
      <c r="A50" t="s">
        <v>284</v>
      </c>
      <c r="B50" s="182">
        <f>'KY_Cost Plant Acct-Elec-P14(Tot'!B50</f>
        <v>2240.29</v>
      </c>
      <c r="C50" s="52"/>
      <c r="D50" s="52">
        <f>'KY_Cost Plant Acct-Elec-P14(Tot'!D50</f>
        <v>0</v>
      </c>
      <c r="E50" s="52"/>
      <c r="F50" s="52">
        <f>'KY_Cost Plant Acct-Elec-P14(Tot'!F50</f>
        <v>0</v>
      </c>
      <c r="G50" s="52"/>
      <c r="H50" s="52">
        <f>'KY_Cost Plant Acct-Elec-P14(Tot'!H50</f>
        <v>0</v>
      </c>
      <c r="I50" s="52"/>
      <c r="J50" s="52">
        <f>H50+F50+D50</f>
        <v>0</v>
      </c>
      <c r="K50" s="52"/>
      <c r="L50" s="182">
        <f>B50+J50</f>
        <v>2240.29</v>
      </c>
      <c r="N50" s="89">
        <f>'KY_Res by Plant Acct-P29 (Tot)'!R329</f>
        <v>0</v>
      </c>
      <c r="P50" s="89">
        <f>L50+N50</f>
        <v>2240.29</v>
      </c>
    </row>
    <row r="51" spans="1:16">
      <c r="A51" t="s">
        <v>285</v>
      </c>
      <c r="B51" s="48">
        <f>'KY_Cost Plant Acct-Elec-P14(Tot'!B51</f>
        <v>0</v>
      </c>
      <c r="C51" s="52"/>
      <c r="D51" s="48">
        <f>'KY_Cost Plant Acct-Elec-P14(Tot'!D51</f>
        <v>0</v>
      </c>
      <c r="E51" s="52"/>
      <c r="F51" s="48">
        <f>'KY_Cost Plant Acct-Elec-P14(Tot'!F51</f>
        <v>0</v>
      </c>
      <c r="G51" s="52"/>
      <c r="H51" s="48">
        <f>'KY_Cost Plant Acct-Elec-P14(Tot'!H51</f>
        <v>0</v>
      </c>
      <c r="I51" s="52"/>
      <c r="J51" s="48">
        <f>H51+F51+D51</f>
        <v>0</v>
      </c>
      <c r="K51" s="52"/>
      <c r="L51" s="48">
        <f>B51+J51</f>
        <v>0</v>
      </c>
      <c r="N51" s="90">
        <f>'KY_Res by Plant Acct-P29 (Tot)'!R330</f>
        <v>0</v>
      </c>
      <c r="P51" s="90">
        <f>L51+N51</f>
        <v>0</v>
      </c>
    </row>
    <row r="52" spans="1:16">
      <c r="B52" s="52">
        <f>SUM(B50:B51)</f>
        <v>2240.29</v>
      </c>
      <c r="C52" s="52"/>
      <c r="D52" s="52">
        <f>SUM(D50:D51)</f>
        <v>0</v>
      </c>
      <c r="E52" s="52"/>
      <c r="F52" s="52">
        <f>SUM(F50:F51)</f>
        <v>0</v>
      </c>
      <c r="G52" s="52"/>
      <c r="H52" s="52">
        <f>SUM(H50:H51)</f>
        <v>0</v>
      </c>
      <c r="I52" s="52"/>
      <c r="J52" s="52">
        <f>SUM(J50:J51)</f>
        <v>0</v>
      </c>
      <c r="K52" s="52"/>
      <c r="L52" s="52">
        <f>SUM(L50:L51)</f>
        <v>2240.29</v>
      </c>
      <c r="N52" s="89">
        <f>SUM(N50:N51)</f>
        <v>0</v>
      </c>
      <c r="P52" s="89">
        <f>SUM(P50:P51)</f>
        <v>2240.29</v>
      </c>
    </row>
    <row r="53" spans="1:16">
      <c r="B53" s="52"/>
      <c r="C53" s="52"/>
      <c r="D53" s="52"/>
      <c r="E53" s="52"/>
      <c r="F53" s="52"/>
      <c r="G53" s="52"/>
      <c r="H53" s="52"/>
      <c r="I53" s="52"/>
      <c r="J53" s="52"/>
      <c r="K53" s="52"/>
      <c r="L53" s="52"/>
    </row>
    <row r="54" spans="1:16">
      <c r="A54" s="3" t="s">
        <v>811</v>
      </c>
      <c r="B54" s="182"/>
      <c r="C54" s="182"/>
      <c r="D54" s="182"/>
      <c r="E54" s="182"/>
      <c r="F54" s="182"/>
      <c r="G54" s="182"/>
      <c r="H54" s="182"/>
      <c r="I54" s="182"/>
      <c r="J54" s="182"/>
      <c r="K54" s="182"/>
      <c r="L54" s="182"/>
    </row>
    <row r="55" spans="1:16">
      <c r="A55" t="s">
        <v>286</v>
      </c>
      <c r="B55" s="182">
        <f>'KY_Cost Plant Acct-Elec-P14(Tot'!B55</f>
        <v>8132.93</v>
      </c>
      <c r="C55" s="182"/>
      <c r="D55" s="182">
        <f>'KY_Cost Plant Acct-Elec-P14(Tot'!D55</f>
        <v>0</v>
      </c>
      <c r="E55" s="182"/>
      <c r="F55" s="182">
        <f>'KY_Cost Plant Acct-Elec-P14(Tot'!F55</f>
        <v>0</v>
      </c>
      <c r="G55" s="182"/>
      <c r="H55" s="182">
        <f>'KY_Cost Plant Acct-Elec-P14(Tot'!H55</f>
        <v>0</v>
      </c>
      <c r="I55" s="182"/>
      <c r="J55" s="182">
        <f t="shared" ref="J55:J63" si="10">H55+F55+D55</f>
        <v>0</v>
      </c>
      <c r="K55" s="182"/>
      <c r="L55" s="182">
        <f t="shared" ref="L55:L63" si="11">B55+J55</f>
        <v>8132.93</v>
      </c>
      <c r="N55" s="89">
        <f>'KY_Res by Plant Acct-P29 (Tot)'!R55+'KY_Res by Plant Acct-P29 (Tot)'!R56</f>
        <v>0</v>
      </c>
      <c r="P55" s="89">
        <f t="shared" ref="P55:P63" si="12">L55+N55</f>
        <v>8132.93</v>
      </c>
    </row>
    <row r="56" spans="1:16">
      <c r="A56" t="s">
        <v>287</v>
      </c>
      <c r="B56" s="182">
        <f>'KY_Cost Plant Acct-Elec-P14(Tot'!B56</f>
        <v>11285341.879999999</v>
      </c>
      <c r="C56" s="182"/>
      <c r="D56" s="182">
        <f>'KY_Cost Plant Acct-Elec-P14(Tot'!D56</f>
        <v>0</v>
      </c>
      <c r="E56" s="182"/>
      <c r="F56" s="182">
        <f>'KY_Cost Plant Acct-Elec-P14(Tot'!F56</f>
        <v>0</v>
      </c>
      <c r="G56" s="182"/>
      <c r="H56" s="182">
        <f>'KY_Cost Plant Acct-Elec-P14(Tot'!H56</f>
        <v>0</v>
      </c>
      <c r="I56" s="182"/>
      <c r="J56" s="182">
        <f t="shared" si="10"/>
        <v>0</v>
      </c>
      <c r="K56" s="182"/>
      <c r="L56" s="182">
        <f t="shared" si="11"/>
        <v>11285341.879999999</v>
      </c>
      <c r="N56" s="89">
        <f>'KY_Res by Plant Acct-P29 (Tot)'!R71</f>
        <v>-722454.29</v>
      </c>
      <c r="P56" s="89">
        <f t="shared" si="12"/>
        <v>10562887.59</v>
      </c>
    </row>
    <row r="57" spans="1:16">
      <c r="A57" t="s">
        <v>288</v>
      </c>
      <c r="B57" s="182">
        <f>'KY_Cost Plant Acct-Elec-P14(Tot'!B57</f>
        <v>5689996.6100000013</v>
      </c>
      <c r="C57" s="182"/>
      <c r="D57" s="182">
        <f>'KY_Cost Plant Acct-Elec-P14(Tot'!D57+'KY_Cost Plant Acct-Elec-P14(Tot'!D128</f>
        <v>0</v>
      </c>
      <c r="E57" s="182"/>
      <c r="F57" s="182">
        <f>'KY_Cost Plant Acct-Elec-P14(Tot'!F57</f>
        <v>0</v>
      </c>
      <c r="G57" s="182"/>
      <c r="H57" s="182">
        <f>'KY_Cost Plant Acct-Elec-P14(Tot'!H57</f>
        <v>0</v>
      </c>
      <c r="I57" s="182"/>
      <c r="J57" s="182">
        <f t="shared" si="10"/>
        <v>0</v>
      </c>
      <c r="K57" s="182"/>
      <c r="L57" s="182">
        <f t="shared" si="11"/>
        <v>5689996.6100000013</v>
      </c>
      <c r="N57" s="89">
        <f>'KY_Res by Plant Acct-P29 (Tot)'!R88</f>
        <v>-289651.45000000007</v>
      </c>
      <c r="P57" s="89">
        <f t="shared" si="12"/>
        <v>5400345.1600000011</v>
      </c>
    </row>
    <row r="58" spans="1:16">
      <c r="A58" t="s">
        <v>289</v>
      </c>
      <c r="B58" s="182">
        <f>'KY_Cost Plant Acct-Elec-P14(Tot'!B58+'KY_Cost Plant Acct-Elec-P14(Tot'!B129</f>
        <v>125584355.70999998</v>
      </c>
      <c r="C58" s="182"/>
      <c r="D58" s="182">
        <f>'KY_Cost Plant Acct-Elec-P14(Tot'!D58+'KY_Cost Plant Acct-Elec-P14(Tot'!D129</f>
        <v>429269.99000000022</v>
      </c>
      <c r="E58" s="182"/>
      <c r="F58" s="182">
        <f>'KY_Cost Plant Acct-Elec-P14(Tot'!F58</f>
        <v>-482249.92000000004</v>
      </c>
      <c r="G58" s="182"/>
      <c r="H58" s="182">
        <f>'KY_Cost Plant Acct-Elec-P14(Tot'!H58</f>
        <v>0</v>
      </c>
      <c r="I58" s="182"/>
      <c r="J58" s="182">
        <f t="shared" si="10"/>
        <v>-52979.929999999818</v>
      </c>
      <c r="K58" s="182"/>
      <c r="L58" s="182">
        <f t="shared" si="11"/>
        <v>125531375.77999997</v>
      </c>
      <c r="N58" s="89">
        <f>'KY_Res by Plant Acct-P29 (Tot)'!R100</f>
        <v>-8605170.6100000031</v>
      </c>
      <c r="P58" s="89">
        <f t="shared" si="12"/>
        <v>116926205.16999997</v>
      </c>
    </row>
    <row r="59" spans="1:16">
      <c r="A59" t="s">
        <v>290</v>
      </c>
      <c r="B59" s="182">
        <f>'KY_Cost Plant Acct-Elec-P14(Tot'!B59+'KY_Cost Plant Acct-Elec-P14(Tot'!B130</f>
        <v>18459754.829999998</v>
      </c>
      <c r="C59" s="182"/>
      <c r="D59" s="182">
        <f>'KY_Cost Plant Acct-Elec-P14(Tot'!D59+'KY_Cost Plant Acct-Elec-P14(Tot'!D130</f>
        <v>0</v>
      </c>
      <c r="E59" s="182"/>
      <c r="F59" s="182">
        <f>'KY_Cost Plant Acct-Elec-P14(Tot'!F59</f>
        <v>0</v>
      </c>
      <c r="G59" s="182"/>
      <c r="H59" s="182">
        <f>'KY_Cost Plant Acct-Elec-P14(Tot'!H59</f>
        <v>0</v>
      </c>
      <c r="I59" s="182"/>
      <c r="J59" s="182">
        <f t="shared" si="10"/>
        <v>0</v>
      </c>
      <c r="K59" s="182"/>
      <c r="L59" s="182">
        <f t="shared" si="11"/>
        <v>18459754.829999998</v>
      </c>
      <c r="N59" s="89">
        <f>'KY_Res by Plant Acct-P29 (Tot)'!R116</f>
        <v>-2164054.56</v>
      </c>
      <c r="P59" s="89">
        <f t="shared" si="12"/>
        <v>16295700.269999998</v>
      </c>
    </row>
    <row r="60" spans="1:16">
      <c r="A60" t="s">
        <v>291</v>
      </c>
      <c r="B60" s="182">
        <f>'KY_Cost Plant Acct-Elec-P14(Tot'!B60+'KY_Cost Plant Acct-Elec-P14(Tot'!B131</f>
        <v>15422814.169999996</v>
      </c>
      <c r="C60" s="182"/>
      <c r="D60" s="182">
        <f>'KY_Cost Plant Acct-Elec-P14(Tot'!D60+'KY_Cost Plant Acct-Elec-P14(Tot'!D131</f>
        <v>154140.03</v>
      </c>
      <c r="E60" s="182"/>
      <c r="F60" s="182">
        <f>'KY_Cost Plant Acct-Elec-P14(Tot'!F60</f>
        <v>0</v>
      </c>
      <c r="G60" s="182"/>
      <c r="H60" s="182">
        <f>'KY_Cost Plant Acct-Elec-P14(Tot'!H60</f>
        <v>0</v>
      </c>
      <c r="I60" s="182"/>
      <c r="J60" s="182">
        <f t="shared" si="10"/>
        <v>154140.03</v>
      </c>
      <c r="K60" s="182"/>
      <c r="L60" s="182">
        <f t="shared" si="11"/>
        <v>15576954.199999996</v>
      </c>
      <c r="N60" s="89">
        <f>'KY_Res by Plant Acct-P29 (Tot)'!R132</f>
        <v>-971789.91999999958</v>
      </c>
      <c r="P60" s="89">
        <f t="shared" si="12"/>
        <v>14605164.279999996</v>
      </c>
    </row>
    <row r="61" spans="1:16">
      <c r="A61" t="s">
        <v>292</v>
      </c>
      <c r="B61" s="182">
        <f>'KY_Cost Plant Acct-Elec-P14(Tot'!B61</f>
        <v>2649667.5600000005</v>
      </c>
      <c r="C61" s="182"/>
      <c r="D61" s="182">
        <f>'KY_Cost Plant Acct-Elec-P14(Tot'!D61+'KY_Cost Plant Acct-Elec-P14(Tot'!D132</f>
        <v>0</v>
      </c>
      <c r="E61" s="182"/>
      <c r="F61" s="182">
        <f>'KY_Cost Plant Acct-Elec-P14(Tot'!F61</f>
        <v>0</v>
      </c>
      <c r="G61" s="182"/>
      <c r="H61" s="182">
        <f>'KY_Cost Plant Acct-Elec-P14(Tot'!H61</f>
        <v>0</v>
      </c>
      <c r="I61" s="182"/>
      <c r="J61" s="182">
        <f t="shared" si="10"/>
        <v>0</v>
      </c>
      <c r="K61" s="182"/>
      <c r="L61" s="182">
        <f t="shared" si="11"/>
        <v>2649667.5600000005</v>
      </c>
      <c r="N61" s="89">
        <f>'KY_Res by Plant Acct-P29 (Tot)'!R146</f>
        <v>-157481.17999999996</v>
      </c>
      <c r="P61" s="89">
        <f t="shared" si="12"/>
        <v>2492186.3800000004</v>
      </c>
    </row>
    <row r="62" spans="1:16">
      <c r="A62" t="s">
        <v>293</v>
      </c>
      <c r="B62" s="182">
        <f>'KY_Cost Plant Acct-Elec-P14(Tot'!B62</f>
        <v>38429.14</v>
      </c>
      <c r="C62" s="182"/>
      <c r="D62" s="182">
        <f>'KY_Cost Plant Acct-Elec-P14(Tot'!D62</f>
        <v>0</v>
      </c>
      <c r="E62" s="182"/>
      <c r="F62" s="182">
        <f>'KY_Cost Plant Acct-Elec-P14(Tot'!F62</f>
        <v>0</v>
      </c>
      <c r="G62" s="182"/>
      <c r="H62" s="182">
        <f>'KY_Cost Plant Acct-Elec-P14(Tot'!H62</f>
        <v>0</v>
      </c>
      <c r="I62" s="182"/>
      <c r="J62" s="182">
        <f t="shared" si="10"/>
        <v>0</v>
      </c>
      <c r="K62" s="182"/>
      <c r="L62" s="182">
        <f t="shared" si="11"/>
        <v>38429.14</v>
      </c>
      <c r="N62" s="89">
        <f>'KY_Res by Plant Acct-P29 (Tot)'!R147</f>
        <v>-1592.4999999999975</v>
      </c>
      <c r="P62" s="89">
        <f t="shared" si="12"/>
        <v>36836.639999999999</v>
      </c>
    </row>
    <row r="63" spans="1:16">
      <c r="A63" t="s">
        <v>294</v>
      </c>
      <c r="B63" s="48">
        <f>'KY_Cost Plant Acct-Elec-P14(Tot'!B63</f>
        <v>0</v>
      </c>
      <c r="C63" s="182"/>
      <c r="D63" s="48">
        <f>'KY_Cost Plant Acct-Elec-P14(Tot'!D63</f>
        <v>0</v>
      </c>
      <c r="E63" s="182"/>
      <c r="F63" s="48">
        <f>'KY_Cost Plant Acct-Elec-P14(Tot'!F63</f>
        <v>0</v>
      </c>
      <c r="G63" s="182"/>
      <c r="H63" s="48">
        <f>'KY_Cost Plant Acct-Elec-P14(Tot'!H63</f>
        <v>0</v>
      </c>
      <c r="I63" s="182"/>
      <c r="J63" s="48">
        <f t="shared" si="10"/>
        <v>0</v>
      </c>
      <c r="K63" s="52"/>
      <c r="L63" s="48">
        <f t="shared" si="11"/>
        <v>0</v>
      </c>
      <c r="N63" s="90">
        <f>'KY_Res by Plant Acct-P29 (Tot)'!R148</f>
        <v>-2.3283064365386963E-10</v>
      </c>
      <c r="P63" s="90">
        <f t="shared" si="12"/>
        <v>-2.3283064365386963E-10</v>
      </c>
    </row>
    <row r="64" spans="1:16">
      <c r="B64" s="52">
        <f>SUM(B55:B63)</f>
        <v>179138492.82999995</v>
      </c>
      <c r="C64" s="52"/>
      <c r="D64" s="52">
        <f>SUM(D55:D63)</f>
        <v>583410.02000000025</v>
      </c>
      <c r="E64" s="52"/>
      <c r="F64" s="52">
        <f>SUM(F55:F63)</f>
        <v>-482249.92000000004</v>
      </c>
      <c r="G64" s="52"/>
      <c r="H64" s="52">
        <f>SUM(H55:H63)</f>
        <v>0</v>
      </c>
      <c r="I64" s="52"/>
      <c r="J64" s="52">
        <f>SUM(J55:J63)</f>
        <v>101160.10000000018</v>
      </c>
      <c r="K64" s="52"/>
      <c r="L64" s="52">
        <f>SUM(L55:L63)</f>
        <v>179239652.92999995</v>
      </c>
      <c r="N64" s="89">
        <f>SUM(N55:N63)</f>
        <v>-12912194.510000004</v>
      </c>
      <c r="P64" s="89">
        <f>SUM(P55:P63)</f>
        <v>166327458.41999996</v>
      </c>
    </row>
    <row r="65" spans="1:16">
      <c r="B65" s="52"/>
      <c r="C65" s="52"/>
      <c r="D65" s="52"/>
      <c r="E65" s="52"/>
      <c r="F65" s="52"/>
      <c r="G65" s="52"/>
      <c r="H65" s="52"/>
      <c r="I65" s="52"/>
      <c r="J65" s="52"/>
      <c r="K65" s="52"/>
      <c r="L65" s="52"/>
    </row>
    <row r="66" spans="1:16">
      <c r="A66" s="3" t="s">
        <v>812</v>
      </c>
      <c r="B66" s="65"/>
      <c r="C66" s="52"/>
      <c r="D66" s="52"/>
      <c r="E66" s="52"/>
      <c r="F66" s="52"/>
      <c r="G66" s="52"/>
      <c r="H66" s="52"/>
      <c r="I66" s="52"/>
      <c r="J66" s="52"/>
      <c r="K66" s="52"/>
      <c r="L66" s="52"/>
    </row>
    <row r="67" spans="1:16">
      <c r="A67" t="s">
        <v>295</v>
      </c>
      <c r="B67" s="65">
        <f>'KY_Cost Plant Acct-Elec-P14(Tot'!B67</f>
        <v>6193327.3699999992</v>
      </c>
      <c r="C67" s="52"/>
      <c r="D67" s="52">
        <f>'KY_Cost Plant Acct-Elec-P14(Tot'!D67</f>
        <v>0</v>
      </c>
      <c r="E67" s="52"/>
      <c r="F67" s="52">
        <f>'KY_Cost Plant Acct-Elec-P14(Tot'!F67</f>
        <v>0</v>
      </c>
      <c r="G67" s="52"/>
      <c r="H67" s="52">
        <f>'KY_Cost Plant Acct-Elec-P14(Tot'!H67</f>
        <v>0</v>
      </c>
      <c r="I67" s="52"/>
      <c r="J67" s="52">
        <f t="shared" ref="J67:J77" si="13">H67+F67+D67</f>
        <v>0</v>
      </c>
      <c r="K67" s="52"/>
      <c r="L67" s="182">
        <f t="shared" ref="L67:L77" si="14">B67+J67</f>
        <v>6193327.3699999992</v>
      </c>
      <c r="N67" s="89">
        <f>'KY_Res by Plant Acct-P29 (Tot)'!R152</f>
        <v>0</v>
      </c>
      <c r="P67" s="89">
        <f t="shared" ref="P67:P77" si="15">L67+N67</f>
        <v>6193327.3699999992</v>
      </c>
    </row>
    <row r="68" spans="1:16">
      <c r="A68" t="s">
        <v>1431</v>
      </c>
      <c r="B68" s="65">
        <f>'KY_Cost Plant Acct-Elec-P14(Tot'!B68</f>
        <v>100000</v>
      </c>
      <c r="C68" s="52"/>
      <c r="D68" s="52">
        <f>'KY_Cost Plant Acct-Elec-P14(Tot'!D68</f>
        <v>0</v>
      </c>
      <c r="E68" s="52"/>
      <c r="F68" s="52">
        <f>'KY_Cost Plant Acct-Elec-P14(Tot'!F68</f>
        <v>0</v>
      </c>
      <c r="G68" s="52"/>
      <c r="H68" s="52">
        <f>'KY_Cost Plant Acct-Elec-P14(Tot'!H68</f>
        <v>0</v>
      </c>
      <c r="I68" s="52"/>
      <c r="J68" s="52">
        <f t="shared" ref="J68" si="16">H68+F68+D68</f>
        <v>0</v>
      </c>
      <c r="K68" s="52"/>
      <c r="L68" s="182">
        <f t="shared" ref="L68" si="17">B68+J68</f>
        <v>100000</v>
      </c>
      <c r="N68" s="89">
        <f>'KY_Res by Plant Acct-P29 (Tot)'!R153</f>
        <v>0</v>
      </c>
      <c r="P68" s="89">
        <f t="shared" ref="P68" si="18">L68+N68</f>
        <v>100000</v>
      </c>
    </row>
    <row r="69" spans="1:16">
      <c r="A69" t="s">
        <v>832</v>
      </c>
      <c r="B69" s="65">
        <f>'KY_Cost Plant Acct-Elec-P14(Tot'!B69+'KY_Cost Plant Acct-Elec-P14(Tot'!B135+'Capital Leased Prop P25 (Tot)'!B10</f>
        <v>113985346.91000001</v>
      </c>
      <c r="C69" s="52"/>
      <c r="D69" s="52">
        <f>'KY_Cost Plant Acct-Elec-P14(Tot'!D69+'KY_Cost Plant Acct-Elec-P14(Tot'!D135</f>
        <v>994590.93</v>
      </c>
      <c r="E69" s="52"/>
      <c r="F69" s="52">
        <f>'KY_Cost Plant Acct-Elec-P14(Tot'!F69</f>
        <v>-5357.2900000000009</v>
      </c>
      <c r="G69" s="52"/>
      <c r="H69" s="52">
        <f>'KY_Cost Plant Acct-Elec-P14(Tot'!H69+'Capital Leased Prop P25 (Tot)'!H10+'KY_Cost Plant Acct-Elec-P14(Tot'!H135</f>
        <v>0</v>
      </c>
      <c r="I69" s="52"/>
      <c r="J69" s="52">
        <f t="shared" si="13"/>
        <v>989233.64</v>
      </c>
      <c r="K69" s="52"/>
      <c r="L69" s="182">
        <f t="shared" si="14"/>
        <v>114974580.55000001</v>
      </c>
      <c r="N69" s="89">
        <f>'KY_Res by Plant Acct-P29 (Tot)'!R181+'KY_Res by Plant Acct-P29 (Tot)'!R192</f>
        <v>-15473870.890000002</v>
      </c>
      <c r="P69" s="89">
        <f t="shared" si="15"/>
        <v>99500709.660000011</v>
      </c>
    </row>
    <row r="70" spans="1:16">
      <c r="A70" t="s">
        <v>833</v>
      </c>
      <c r="B70" s="324">
        <f>'KY_Cost Plant Acct-Elec-P14(Tot'!B70+'KY_Cost Plant Acct-Elec-P14(Tot'!B136</f>
        <v>18795547.440000001</v>
      </c>
      <c r="C70" s="52"/>
      <c r="D70" s="324">
        <f>'KY_Cost Plant Acct-Elec-P14(Tot'!D70+'KY_Cost Plant Acct-Elec-P14(Tot'!D136</f>
        <v>0</v>
      </c>
      <c r="E70" s="52"/>
      <c r="F70" s="324">
        <f>'KY_Cost Plant Acct-Elec-P14(Tot'!F70+'KY_Cost Plant Acct-Elec-P14(Tot'!F136</f>
        <v>0</v>
      </c>
      <c r="G70" s="52"/>
      <c r="H70" s="324">
        <f>'KY_Cost Plant Acct-Elec-P14(Tot'!H70+'KY_Cost Plant Acct-Elec-P14(Tot'!H136</f>
        <v>0</v>
      </c>
      <c r="I70" s="52"/>
      <c r="J70" s="52">
        <f t="shared" si="13"/>
        <v>0</v>
      </c>
      <c r="K70" s="52"/>
      <c r="L70" s="182">
        <f t="shared" si="14"/>
        <v>18795547.440000001</v>
      </c>
      <c r="N70" s="89">
        <f>'KY_Res by Plant Acct-P29 (Tot)'!R189</f>
        <v>-586044.17000000004</v>
      </c>
      <c r="P70" s="89">
        <f t="shared" si="15"/>
        <v>18209503.27</v>
      </c>
    </row>
    <row r="71" spans="1:16">
      <c r="A71" t="s">
        <v>834</v>
      </c>
      <c r="B71" s="65">
        <f>'KY_Cost Plant Acct-Elec-P14(Tot'!B71+'KY_Cost Plant Acct-Elec-P14(Tot'!B137</f>
        <v>799488674.16999996</v>
      </c>
      <c r="C71" s="52"/>
      <c r="D71" s="52">
        <f>'KY_Cost Plant Acct-Elec-P14(Tot'!D71+'KY_Cost Plant Acct-Elec-P14(Tot'!D137</f>
        <v>4033598.9699999997</v>
      </c>
      <c r="E71" s="52"/>
      <c r="F71" s="52">
        <f>'KY_Cost Plant Acct-Elec-P14(Tot'!F71</f>
        <v>-1058503.4900000002</v>
      </c>
      <c r="G71" s="52"/>
      <c r="H71" s="52">
        <f>'KY_Cost Plant Acct-Elec-P14(Tot'!H71+'KY_Cost Plant Acct-Elec-P14(Tot'!H137</f>
        <v>0</v>
      </c>
      <c r="I71" s="52"/>
      <c r="J71" s="52">
        <f t="shared" si="13"/>
        <v>2975095.4799999995</v>
      </c>
      <c r="K71" s="52"/>
      <c r="L71" s="182">
        <f t="shared" si="14"/>
        <v>802463769.64999998</v>
      </c>
      <c r="N71" s="89">
        <f>'KY_Res by Plant Acct-P29 (Tot)'!R235</f>
        <v>-109635106.81999996</v>
      </c>
      <c r="P71" s="89">
        <f t="shared" si="15"/>
        <v>692828662.83000004</v>
      </c>
    </row>
    <row r="72" spans="1:16">
      <c r="A72" t="s">
        <v>835</v>
      </c>
      <c r="B72" s="65">
        <f>'KY_Cost Plant Acct-Elec-P14(Tot'!B72</f>
        <v>70264.270000000019</v>
      </c>
      <c r="C72" s="52"/>
      <c r="D72" s="52">
        <f>'KY_Cost Plant Acct-Elec-P14(Tot'!D72</f>
        <v>0</v>
      </c>
      <c r="E72" s="52"/>
      <c r="F72" s="52">
        <f>'KY_Cost Plant Acct-Elec-P14(Tot'!F72</f>
        <v>0</v>
      </c>
      <c r="G72" s="52"/>
      <c r="H72" s="52">
        <f>'KY_Cost Plant Acct-Elec-P14(Tot'!H72</f>
        <v>0</v>
      </c>
      <c r="I72" s="52"/>
      <c r="J72" s="52">
        <f t="shared" si="13"/>
        <v>0</v>
      </c>
      <c r="K72" s="52"/>
      <c r="L72" s="182">
        <f t="shared" si="14"/>
        <v>70264.270000000019</v>
      </c>
      <c r="N72" s="89">
        <f>'KY_Res by Plant Acct-P29 (Tot)'!R238</f>
        <v>-26334.530000000006</v>
      </c>
      <c r="P72" s="89">
        <f t="shared" si="15"/>
        <v>43929.740000000013</v>
      </c>
    </row>
    <row r="73" spans="1:16">
      <c r="A73" t="s">
        <v>836</v>
      </c>
      <c r="B73" s="52">
        <f>'KY_Cost Plant Acct-Elec-P14(Tot'!B73+'KY_Cost Plant Acct-Elec-P14(Tot'!B138</f>
        <v>101609063.00000001</v>
      </c>
      <c r="C73" s="52"/>
      <c r="D73" s="52">
        <f>'KY_Cost Plant Acct-Elec-P14(Tot'!D73+'KY_Cost Plant Acct-Elec-P14(Tot'!D138</f>
        <v>247350.45000000019</v>
      </c>
      <c r="E73" s="52"/>
      <c r="F73" s="52">
        <f>'KY_Cost Plant Acct-Elec-P14(Tot'!F73</f>
        <v>-56344.619999999937</v>
      </c>
      <c r="G73" s="52"/>
      <c r="H73" s="52">
        <f>'KY_Cost Plant Acct-Elec-P14(Tot'!H73+'KY_Cost Plant Acct-Elec-P14(Tot'!H138</f>
        <v>0</v>
      </c>
      <c r="I73" s="52"/>
      <c r="J73" s="52">
        <f t="shared" si="13"/>
        <v>191005.83000000025</v>
      </c>
      <c r="K73" s="52"/>
      <c r="L73" s="182">
        <f t="shared" si="14"/>
        <v>101800068.83000001</v>
      </c>
      <c r="N73" s="89">
        <f>'KY_Res by Plant Acct-P29 (Tot)'!R252</f>
        <v>-12931253.160000004</v>
      </c>
      <c r="P73" s="89">
        <f t="shared" si="15"/>
        <v>88868815.670000017</v>
      </c>
    </row>
    <row r="74" spans="1:16">
      <c r="A74" t="s">
        <v>837</v>
      </c>
      <c r="B74" s="52">
        <f>'KY_Cost Plant Acct-Elec-P14(Tot'!B74+'KY_Cost Plant Acct-Elec-P14(Tot'!B139</f>
        <v>68314038.679999962</v>
      </c>
      <c r="C74" s="52"/>
      <c r="D74" s="52">
        <f>'KY_Cost Plant Acct-Elec-P14(Tot'!D74+'KY_Cost Plant Acct-Elec-P14(Tot'!D139</f>
        <v>203183.5700000003</v>
      </c>
      <c r="E74" s="52"/>
      <c r="F74" s="52">
        <f>'KY_Cost Plant Acct-Elec-P14(Tot'!F74</f>
        <v>-1728.0900000000111</v>
      </c>
      <c r="G74" s="52"/>
      <c r="H74" s="52">
        <f>'KY_Cost Plant Acct-Elec-P14(Tot'!H74+'KY_Cost Plant Acct-Elec-P14(Tot'!H139</f>
        <v>0</v>
      </c>
      <c r="I74" s="52"/>
      <c r="J74" s="52">
        <f t="shared" si="13"/>
        <v>201455.48000000027</v>
      </c>
      <c r="K74" s="52"/>
      <c r="L74" s="182">
        <f t="shared" si="14"/>
        <v>68515494.159999967</v>
      </c>
      <c r="N74" s="89">
        <f>'KY_Res by Plant Acct-P29 (Tot)'!R275</f>
        <v>-12385609.639999999</v>
      </c>
      <c r="P74" s="89">
        <f t="shared" si="15"/>
        <v>56129884.519999966</v>
      </c>
    </row>
    <row r="75" spans="1:16">
      <c r="A75" t="s">
        <v>1024</v>
      </c>
      <c r="B75" s="52">
        <f>'KY_Cost Plant Acct-Elec-P14(Tot'!B75</f>
        <v>0</v>
      </c>
      <c r="C75" s="52"/>
      <c r="D75" s="52">
        <f>'KY_Cost Plant Acct-Elec-P14(Tot'!D75</f>
        <v>0</v>
      </c>
      <c r="E75" s="52"/>
      <c r="F75" s="52">
        <f>'KY_Cost Plant Acct-Elec-P14(Tot'!F75</f>
        <v>0</v>
      </c>
      <c r="G75" s="52"/>
      <c r="H75" s="52">
        <f>'KY_Cost Plant Acct-Elec-P14(Tot'!H75</f>
        <v>0</v>
      </c>
      <c r="I75" s="52"/>
      <c r="J75" s="52">
        <f t="shared" si="13"/>
        <v>0</v>
      </c>
      <c r="K75" s="52"/>
      <c r="L75" s="182">
        <f t="shared" si="14"/>
        <v>0</v>
      </c>
      <c r="N75" s="89">
        <f>'KY_Res by Plant Acct-P29 (Tot)'!R284</f>
        <v>2.2351741811588166E-10</v>
      </c>
      <c r="P75" s="89">
        <f t="shared" si="15"/>
        <v>2.2351741811588166E-10</v>
      </c>
    </row>
    <row r="76" spans="1:16">
      <c r="A76" t="s">
        <v>838</v>
      </c>
      <c r="B76" s="52">
        <f>'KY_Cost Plant Acct-Elec-P14(Tot'!B76+'KY_Cost Plant Acct-Elec-P14(Tot'!B140</f>
        <v>11042739.800000001</v>
      </c>
      <c r="C76" s="52"/>
      <c r="D76" s="52">
        <f>'KY_Cost Plant Acct-Elec-P14(Tot'!D76+'KY_Cost Plant Acct-Elec-P14(Tot'!D140</f>
        <v>107115.07999999999</v>
      </c>
      <c r="E76" s="52"/>
      <c r="F76" s="52">
        <f>'KY_Cost Plant Acct-Elec-P14(Tot'!F76</f>
        <v>0</v>
      </c>
      <c r="G76" s="52"/>
      <c r="H76" s="52">
        <f>'KY_Cost Plant Acct-Elec-P14(Tot'!H76+'KY_Cost Plant Acct-Elec-P14(Tot'!H140</f>
        <v>0</v>
      </c>
      <c r="I76" s="52"/>
      <c r="J76" s="52">
        <f t="shared" si="13"/>
        <v>107115.07999999999</v>
      </c>
      <c r="K76" s="52"/>
      <c r="L76" s="182">
        <f t="shared" si="14"/>
        <v>11149854.880000001</v>
      </c>
      <c r="N76" s="89">
        <f>'KY_Res by Plant Acct-P29 (Tot)'!R300</f>
        <v>-1258142.3100000003</v>
      </c>
      <c r="P76" s="89">
        <f t="shared" si="15"/>
        <v>9891712.5700000003</v>
      </c>
    </row>
    <row r="77" spans="1:16">
      <c r="A77" t="s">
        <v>839</v>
      </c>
      <c r="B77" s="48">
        <f>'KY_Cost Plant Acct-Elec-P14(Tot'!B77</f>
        <v>27798267.339999996</v>
      </c>
      <c r="C77" s="52"/>
      <c r="D77" s="48">
        <f>'KY_Cost Plant Acct-Elec-P14(Tot'!D77</f>
        <v>0</v>
      </c>
      <c r="E77" s="52"/>
      <c r="F77" s="48">
        <f>'KY_Cost Plant Acct-Elec-P14(Tot'!F77</f>
        <v>0</v>
      </c>
      <c r="G77" s="52"/>
      <c r="H77" s="48">
        <f>'KY_Cost Plant Acct-Elec-P14(Tot'!H77</f>
        <v>0</v>
      </c>
      <c r="I77" s="52"/>
      <c r="J77" s="48">
        <f t="shared" si="13"/>
        <v>0</v>
      </c>
      <c r="K77" s="52"/>
      <c r="L77" s="48">
        <f t="shared" si="14"/>
        <v>27798267.339999996</v>
      </c>
      <c r="N77" s="90">
        <f>'KY_Res by Plant Acct-P29 (Tot)'!R301</f>
        <v>-1850283.9699999997</v>
      </c>
      <c r="P77" s="90">
        <f t="shared" si="15"/>
        <v>25947983.369999997</v>
      </c>
    </row>
    <row r="78" spans="1:16">
      <c r="B78" s="52">
        <f>SUM(B67:B77)</f>
        <v>1147397268.9799998</v>
      </c>
      <c r="C78" s="52"/>
      <c r="D78" s="52">
        <f>SUM(D67:D77)</f>
        <v>5585839</v>
      </c>
      <c r="E78" s="52"/>
      <c r="F78" s="52">
        <f>SUM(F67:F77)</f>
        <v>-1121933.4900000002</v>
      </c>
      <c r="G78" s="52"/>
      <c r="H78" s="52">
        <f>SUM(H67:H77)</f>
        <v>0</v>
      </c>
      <c r="I78" s="52"/>
      <c r="J78" s="52">
        <f>SUM(J67:J77)</f>
        <v>4463905.51</v>
      </c>
      <c r="K78" s="52"/>
      <c r="L78" s="52">
        <f>SUM(L67:L77)</f>
        <v>1151861174.49</v>
      </c>
      <c r="N78" s="89">
        <f>SUM(N67:N77)</f>
        <v>-154146645.48999995</v>
      </c>
      <c r="P78" s="89">
        <f>SUM(P67:P77)</f>
        <v>997714529.00000024</v>
      </c>
    </row>
    <row r="79" spans="1:16">
      <c r="B79" s="52"/>
      <c r="C79" s="52"/>
      <c r="D79" s="52"/>
      <c r="E79" s="52"/>
      <c r="F79" s="52"/>
      <c r="G79" s="52"/>
      <c r="H79" s="52"/>
      <c r="I79" s="52"/>
      <c r="J79" s="52"/>
      <c r="K79" s="52"/>
      <c r="L79" s="52"/>
    </row>
    <row r="80" spans="1:16">
      <c r="A80" s="3" t="s">
        <v>119</v>
      </c>
      <c r="B80" s="52"/>
      <c r="C80" s="52"/>
      <c r="D80" s="52"/>
      <c r="E80" s="52"/>
      <c r="F80" s="52"/>
      <c r="G80" s="52"/>
      <c r="H80" s="52"/>
      <c r="I80" s="52"/>
      <c r="J80" s="52"/>
      <c r="K80" s="52"/>
      <c r="L80" s="52"/>
    </row>
    <row r="81" spans="1:16">
      <c r="A81" t="s">
        <v>5</v>
      </c>
      <c r="B81" s="52">
        <f>'KY_Cost Plant Acct-Elec-P14(Tot'!B81+'IN_Total PIS_Elec_NBV-P15 (Tot)'!B15</f>
        <v>5865364.5899999999</v>
      </c>
      <c r="C81" s="52"/>
      <c r="D81" s="52">
        <f>'KY_Cost Plant Acct-Elec-P14(Tot'!D81+'IN_Total PIS_Elec_NBV-P15 (Tot)'!D15</f>
        <v>10100</v>
      </c>
      <c r="E81" s="52"/>
      <c r="F81" s="52">
        <f>'KY_Cost Plant Acct-Elec-P14(Tot'!F81+'IN_Total PIS_Elec_NBV-P15 (Tot)'!F15</f>
        <v>0</v>
      </c>
      <c r="G81" s="52"/>
      <c r="H81" s="52">
        <f>'KY_Cost Plant Acct-Elec-P14(Tot'!H81+'IN_Total PIS_Elec_NBV-P15 (Tot)'!H15</f>
        <v>0</v>
      </c>
      <c r="I81" s="52"/>
      <c r="J81" s="52">
        <f t="shared" ref="J81:J92" si="19">H81+F81+D81</f>
        <v>10100</v>
      </c>
      <c r="K81" s="52"/>
      <c r="L81" s="182">
        <f t="shared" ref="L81:L92" si="20">B81+J81</f>
        <v>5875464.5899999999</v>
      </c>
      <c r="N81" s="89">
        <f>'KY_Res by Plant Acct-P29 (Tot)'!R305+'IN_Total PIS_Elec_NBV-P15 (Tot)'!N15</f>
        <v>-432144.29000000027</v>
      </c>
      <c r="P81" s="89">
        <f t="shared" ref="P81:P92" si="21">L81+N81</f>
        <v>5443320.2999999998</v>
      </c>
    </row>
    <row r="82" spans="1:16">
      <c r="A82" t="s">
        <v>6</v>
      </c>
      <c r="B82" s="52">
        <f>'KY_Cost Plant Acct-Elec-P14(Tot'!B82+'IN_Total PIS_Elec_NBV-P15 (Tot)'!B16</f>
        <v>1573048.99</v>
      </c>
      <c r="C82" s="52"/>
      <c r="D82" s="52">
        <f>'KY_Cost Plant Acct-Elec-P14(Tot'!D82+'IN_Cost Plant Acct-Elec-P16(Tot'!D12</f>
        <v>0</v>
      </c>
      <c r="E82" s="52"/>
      <c r="F82" s="52">
        <f>'KY_Cost Plant Acct-Elec-P14(Tot'!F82+'IN_Cost Plant Acct-Elec-P16(Tot'!F12</f>
        <v>0</v>
      </c>
      <c r="G82" s="52"/>
      <c r="H82" s="52">
        <f>'KY_Cost Plant Acct-Elec-P14(Tot'!H82+'IN_Cost Plant Acct-Elec-P16(Tot'!H12</f>
        <v>0</v>
      </c>
      <c r="I82" s="52"/>
      <c r="J82" s="52">
        <f t="shared" si="19"/>
        <v>0</v>
      </c>
      <c r="K82" s="52"/>
      <c r="L82" s="182">
        <f t="shared" si="20"/>
        <v>1573048.99</v>
      </c>
      <c r="N82" s="89">
        <f>'IN_Total PIS_Elec_NBV-P15 (Tot)'!N16+'KY_Res by Plant Acct-P29 (Tot)'!R306</f>
        <v>0</v>
      </c>
      <c r="P82" s="89">
        <f t="shared" si="21"/>
        <v>1573048.99</v>
      </c>
    </row>
    <row r="83" spans="1:16">
      <c r="A83" t="s">
        <v>7</v>
      </c>
      <c r="B83" s="52">
        <f>'KY_Cost Plant Acct-Elec-P14(Tot'!B83+'KY_Cost Plant Acct-Elec-P14(Tot'!B145+'IN_Total PIS_Elec_NBV-P15 (Tot)'!B17</f>
        <v>5215208.290000001</v>
      </c>
      <c r="C83" s="52"/>
      <c r="D83" s="52">
        <f>'KY_Cost Plant Acct-Elec-P14(Tot'!D83+'KY_Cost Plant Acct-Elec-P14(Tot'!D145+'IN_Total PIS_Elec_NBV-P15 (Tot)'!D17</f>
        <v>14845.07</v>
      </c>
      <c r="E83" s="52"/>
      <c r="F83" s="52">
        <f>'KY_Cost Plant Acct-Elec-P14(Tot'!F83+'IN_Total PIS_Elec_NBV-P15 (Tot)'!F17</f>
        <v>0</v>
      </c>
      <c r="G83" s="52"/>
      <c r="H83" s="52">
        <f>'KY_Cost Plant Acct-Elec-P14(Tot'!H83+'IN_Total PIS_Elec_NBV-P15 (Tot)'!H17</f>
        <v>0</v>
      </c>
      <c r="I83" s="52"/>
      <c r="J83" s="52">
        <f t="shared" si="19"/>
        <v>14845.07</v>
      </c>
      <c r="K83" s="52"/>
      <c r="L83" s="182">
        <f t="shared" si="20"/>
        <v>5230053.3600000013</v>
      </c>
      <c r="N83" s="89">
        <f>'KY_Res by Plant Acct-P29 (Tot)'!R307+'KY_Res by Plant Acct-P29 (Tot)'!R308+'IN_Total PIS_Elec_NBV-P15 (Tot)'!N17+'KY_Res by Plant Acct-P29 (Tot)'!R309</f>
        <v>-278411.99</v>
      </c>
      <c r="P83" s="89">
        <f t="shared" si="21"/>
        <v>4951641.370000001</v>
      </c>
    </row>
    <row r="84" spans="1:16">
      <c r="A84" t="s">
        <v>8</v>
      </c>
      <c r="B84" s="52">
        <f>'KY_Cost Plant Acct-Elec-P14(Tot'!B84+'KY_Cost Plant Acct-Elec-P14(Tot'!B146+'IN_Total PIS_Elec_NBV-P15 (Tot)'!B18</f>
        <v>58474825.329999998</v>
      </c>
      <c r="C84" s="52"/>
      <c r="D84" s="52">
        <f>'KY_Cost Plant Acct-Elec-P14(Tot'!D84+'KY_Cost Plant Acct-Elec-P14(Tot'!D146+'IN_Total PIS_Elec_NBV-P15 (Tot)'!D18</f>
        <v>1126696.22</v>
      </c>
      <c r="E84" s="52"/>
      <c r="F84" s="52">
        <f>'KY_Cost Plant Acct-Elec-P14(Tot'!F84+'IN_Total PIS_Elec_NBV-P15 (Tot)'!F18</f>
        <v>-282409.46999999997</v>
      </c>
      <c r="G84" s="52"/>
      <c r="H84" s="52">
        <f>'KY_Cost Plant Acct-Elec-P14(Tot'!H84+'IN_Total PIS_Elec_NBV-P15 (Tot)'!H18+'KY_Cost Plant Acct-Elec-P14(Tot'!H146</f>
        <v>0</v>
      </c>
      <c r="I84" s="52"/>
      <c r="J84" s="52">
        <f t="shared" si="19"/>
        <v>844286.75</v>
      </c>
      <c r="K84" s="52"/>
      <c r="L84" s="182">
        <f t="shared" si="20"/>
        <v>59319112.079999998</v>
      </c>
      <c r="N84" s="89">
        <f>'KY_Res by Plant Acct-P29 (Tot)'!R310+'KY_Res by Plant Acct-P29 (Tot)'!R311+'KY_Res by Plant Acct-P29 (Tot)'!R312+'IN_Total PIS_Elec_NBV-P15 (Tot)'!N18</f>
        <v>-447756.87999999383</v>
      </c>
      <c r="P84" s="89">
        <f t="shared" si="21"/>
        <v>58871355.200000003</v>
      </c>
    </row>
    <row r="85" spans="1:16">
      <c r="A85" t="s">
        <v>840</v>
      </c>
      <c r="B85" s="52">
        <f>'KY_Cost Plant Acct-Elec-P14(Tot'!B85</f>
        <v>-5748.1100000000006</v>
      </c>
      <c r="C85" s="52"/>
      <c r="D85" s="52">
        <f>'KY_Cost Plant Acct-Elec-P14(Tot'!D85</f>
        <v>0</v>
      </c>
      <c r="E85" s="52"/>
      <c r="F85" s="52">
        <f>'KY_Cost Plant Acct-Elec-P14(Tot'!F85</f>
        <v>0</v>
      </c>
      <c r="G85" s="52"/>
      <c r="H85" s="52">
        <f>'KY_Cost Plant Acct-Elec-P14(Tot'!H85</f>
        <v>0</v>
      </c>
      <c r="I85" s="52"/>
      <c r="J85" s="52">
        <f t="shared" si="19"/>
        <v>0</v>
      </c>
      <c r="K85" s="52"/>
      <c r="L85" s="182">
        <f t="shared" si="20"/>
        <v>-5748.1100000000006</v>
      </c>
      <c r="N85" s="89">
        <f>'KY_Res by Plant Acct-P29 (Tot)'!R313+'KY_Res by Plant Acct-P29 (Tot)'!R314</f>
        <v>-6767.7600000003576</v>
      </c>
      <c r="P85" s="89">
        <f t="shared" si="21"/>
        <v>-12515.870000000359</v>
      </c>
    </row>
    <row r="86" spans="1:16">
      <c r="A86" t="s">
        <v>9</v>
      </c>
      <c r="B86" s="52">
        <f>'KY_Cost Plant Acct-Elec-P14(Tot'!B86+'IN_Total PIS_Elec_NBV-P15 (Tot)'!B19+'KY_Cost Plant Acct-Elec-P14(Tot'!B147</f>
        <v>25707745.509999998</v>
      </c>
      <c r="C86" s="52"/>
      <c r="D86" s="52">
        <f>'KY_Cost Plant Acct-Elec-P14(Tot'!D86+'IN_Total PIS_Elec_NBV-P15 (Tot)'!D19+'KY_Cost Plant Acct-Elec-P14(Tot'!D147</f>
        <v>3194592.1100000003</v>
      </c>
      <c r="E86" s="52"/>
      <c r="F86" s="52">
        <f>'KY_Cost Plant Acct-Elec-P14(Tot'!F86+'IN_Total PIS_Elec_NBV-P15 (Tot)'!F19</f>
        <v>-46984.17</v>
      </c>
      <c r="G86" s="52"/>
      <c r="H86" s="52">
        <f>'KY_Cost Plant Acct-Elec-P14(Tot'!H86+'IN_Total PIS_Elec_NBV-P15 (Tot)'!H19+'KY_Cost Plant Acct-Elec-P14(Tot'!H147</f>
        <v>0</v>
      </c>
      <c r="I86" s="52"/>
      <c r="J86" s="52">
        <f t="shared" si="19"/>
        <v>3147607.9400000004</v>
      </c>
      <c r="K86" s="52"/>
      <c r="L86" s="182">
        <f t="shared" si="20"/>
        <v>28855353.449999999</v>
      </c>
      <c r="N86" s="89">
        <f>'KY_Res by Plant Acct-P29 (Tot)'!R315+'IN_Total PIS_Elec_NBV-P15 (Tot)'!N19</f>
        <v>-8363772.1500000032</v>
      </c>
      <c r="P86" s="89">
        <f t="shared" si="21"/>
        <v>20491581.299999997</v>
      </c>
    </row>
    <row r="87" spans="1:16">
      <c r="A87" t="s">
        <v>10</v>
      </c>
      <c r="B87" s="52">
        <f>'KY_Cost Plant Acct-Elec-P14(Tot'!B87+'KY_Cost Plant Acct-Elec-P14(Tot'!B148+'IN_Cost Plant Acct-Elec-P16(Tot'!B16+'IN_Cost Plant Acct-Elec-P16(Tot'!B32</f>
        <v>40324825.709999993</v>
      </c>
      <c r="C87" s="52"/>
      <c r="D87" s="52">
        <f>'KY_Cost Plant Acct-Elec-P14(Tot'!D87+'KY_Cost Plant Acct-Elec-P14(Tot'!D148+'IN_Cost Plant Acct-Elec-P16(Tot'!D16+'IN_Cost Plant Acct-Elec-P16(Tot'!D32</f>
        <v>522541.03</v>
      </c>
      <c r="E87" s="52"/>
      <c r="F87" s="52">
        <f>'KY_Cost Plant Acct-Elec-P14(Tot'!F87+'KY_Cost Plant Acct-Elec-P14(Tot'!F148+'IN_Cost Plant Acct-Elec-P16(Tot'!F16+'IN_Cost Plant Acct-Elec-P16(Tot'!F32</f>
        <v>-34999.94</v>
      </c>
      <c r="G87" s="52"/>
      <c r="H87" s="52">
        <f>'KY_Cost Plant Acct-Elec-P14(Tot'!H87+'KY_Cost Plant Acct-Elec-P14(Tot'!H148+'IN_Cost Plant Acct-Elec-P16(Tot'!H16+'IN_Cost Plant Acct-Elec-P16(Tot'!H32</f>
        <v>0</v>
      </c>
      <c r="I87" s="52"/>
      <c r="J87" s="52">
        <f t="shared" si="19"/>
        <v>487541.09</v>
      </c>
      <c r="K87" s="52"/>
      <c r="L87" s="182">
        <f t="shared" si="20"/>
        <v>40812366.799999997</v>
      </c>
      <c r="N87" s="89">
        <f>'KY_Res by Plant Acct-P29 (Tot)'!R316+'IN_Total PIS_Elec_NBV-P15 (Tot)'!N20</f>
        <v>-5399062.4800000032</v>
      </c>
      <c r="P87" s="89">
        <f t="shared" si="21"/>
        <v>35413304.319999993</v>
      </c>
    </row>
    <row r="88" spans="1:16">
      <c r="A88" t="s">
        <v>11</v>
      </c>
      <c r="B88" s="52">
        <f>'KY_Cost Plant Acct-Elec-P14(Tot'!B88+'KY_Cost Plant Acct-Elec-P14(Tot'!B149+'IN_Cost Plant Acct-Elec-P16(Tot'!B17+'IN_Cost Plant Acct-Elec-P16(Tot'!B33</f>
        <v>31773957.910000004</v>
      </c>
      <c r="C88" s="52"/>
      <c r="D88" s="52">
        <f>'KY_Cost Plant Acct-Elec-P14(Tot'!D88+'KY_Cost Plant Acct-Elec-P14(Tot'!D149+'IN_Cost Plant Acct-Elec-P16(Tot'!D17+'IN_Cost Plant Acct-Elec-P16(Tot'!D33</f>
        <v>337460.24</v>
      </c>
      <c r="E88" s="52"/>
      <c r="F88" s="52">
        <f>'KY_Cost Plant Acct-Elec-P14(Tot'!F88+'KY_Cost Plant Acct-Elec-P14(Tot'!F149+'IN_Cost Plant Acct-Elec-P16(Tot'!F17+'IN_Cost Plant Acct-Elec-P16(Tot'!F33</f>
        <v>-13658.170000000006</v>
      </c>
      <c r="G88" s="52"/>
      <c r="H88" s="52">
        <f>'KY_Cost Plant Acct-Elec-P14(Tot'!H88+'KY_Cost Plant Acct-Elec-P14(Tot'!H149+'IN_Cost Plant Acct-Elec-P16(Tot'!H17+'IN_Cost Plant Acct-Elec-P16(Tot'!H33</f>
        <v>0</v>
      </c>
      <c r="I88" s="52"/>
      <c r="J88" s="52">
        <f t="shared" si="19"/>
        <v>323802.07</v>
      </c>
      <c r="K88" s="52"/>
      <c r="L88" s="182">
        <f t="shared" si="20"/>
        <v>32097759.980000004</v>
      </c>
      <c r="N88" s="89">
        <f>'KY_Res by Plant Acct-P29 (Tot)'!R317+'IN_Total PIS_Elec_NBV-P15 (Tot)'!N21</f>
        <v>-9313312.2399999946</v>
      </c>
      <c r="P88" s="89">
        <f t="shared" si="21"/>
        <v>22784447.74000001</v>
      </c>
    </row>
    <row r="89" spans="1:16">
      <c r="A89" t="s">
        <v>841</v>
      </c>
      <c r="B89" s="52">
        <f>'KY_Cost Plant Acct-Elec-P14(Tot'!B89</f>
        <v>1871055.4299999997</v>
      </c>
      <c r="C89" s="52"/>
      <c r="D89" s="52">
        <f>'KY_Cost Plant Acct-Elec-P14(Tot'!D89</f>
        <v>8406.41</v>
      </c>
      <c r="E89" s="52"/>
      <c r="F89" s="52">
        <f>'KY_Cost Plant Acct-Elec-P14(Tot'!F89</f>
        <v>-28654.369999999995</v>
      </c>
      <c r="G89" s="52"/>
      <c r="H89" s="52">
        <f>'KY_Cost Plant Acct-Elec-P14(Tot'!H89</f>
        <v>0</v>
      </c>
      <c r="I89" s="52"/>
      <c r="J89" s="52">
        <f t="shared" si="19"/>
        <v>-20247.959999999995</v>
      </c>
      <c r="K89" s="52"/>
      <c r="L89" s="182">
        <f t="shared" si="20"/>
        <v>1850807.4699999997</v>
      </c>
      <c r="N89" s="89">
        <f>'KY_Res by Plant Acct-P29 (Tot)'!R318</f>
        <v>-74035.33000000006</v>
      </c>
      <c r="P89" s="89">
        <f t="shared" si="21"/>
        <v>1776772.1399999997</v>
      </c>
    </row>
    <row r="90" spans="1:16">
      <c r="A90" t="s">
        <v>842</v>
      </c>
      <c r="B90" s="52">
        <f>'KY_Cost Plant Acct-Elec-P14(Tot'!B90</f>
        <v>3688471.82</v>
      </c>
      <c r="C90" s="52"/>
      <c r="D90" s="52">
        <f>'KY_Cost Plant Acct-Elec-P14(Tot'!D90</f>
        <v>2004868.88</v>
      </c>
      <c r="E90" s="52"/>
      <c r="F90" s="52">
        <f>'KY_Cost Plant Acct-Elec-P14(Tot'!F90</f>
        <v>-50012.210000000021</v>
      </c>
      <c r="G90" s="52"/>
      <c r="H90" s="52">
        <f>'KY_Cost Plant Acct-Elec-P14(Tot'!H90</f>
        <v>0</v>
      </c>
      <c r="I90" s="52"/>
      <c r="J90" s="52">
        <f t="shared" si="19"/>
        <v>1954856.67</v>
      </c>
      <c r="K90" s="52"/>
      <c r="L90" s="182">
        <f t="shared" si="20"/>
        <v>5643328.4900000002</v>
      </c>
      <c r="N90" s="89">
        <f>'KY_Res by Plant Acct-P29 (Tot)'!R319</f>
        <v>-268460.76999999967</v>
      </c>
      <c r="P90" s="89">
        <f t="shared" si="21"/>
        <v>5374867.7200000007</v>
      </c>
    </row>
    <row r="91" spans="1:16">
      <c r="A91" t="s">
        <v>843</v>
      </c>
      <c r="B91" s="52">
        <f>'KY_Cost Plant Acct-Elec-P14(Tot'!B91</f>
        <v>13760.73</v>
      </c>
      <c r="C91" s="52"/>
      <c r="D91" s="52">
        <f>'KY_Cost Plant Acct-Elec-P14(Tot'!D91</f>
        <v>0</v>
      </c>
      <c r="E91" s="52"/>
      <c r="F91" s="52">
        <f>'KY_Cost Plant Acct-Elec-P14(Tot'!F91</f>
        <v>0</v>
      </c>
      <c r="G91" s="52"/>
      <c r="H91" s="52">
        <f>'KY_Cost Plant Acct-Elec-P14(Tot'!H91</f>
        <v>0</v>
      </c>
      <c r="I91" s="52"/>
      <c r="J91" s="52">
        <f t="shared" si="19"/>
        <v>0</v>
      </c>
      <c r="K91" s="52"/>
      <c r="L91" s="182">
        <f t="shared" si="20"/>
        <v>13760.73</v>
      </c>
      <c r="N91" s="89">
        <f>'KY_Res by Plant Acct-P29 (Tot)'!R320</f>
        <v>-289.9499999999997</v>
      </c>
      <c r="P91" s="89">
        <f t="shared" si="21"/>
        <v>13470.78</v>
      </c>
    </row>
    <row r="92" spans="1:16">
      <c r="A92" t="s">
        <v>844</v>
      </c>
      <c r="B92" s="48">
        <f>'KY_Cost Plant Acct-Elec-P14(Tot'!B92</f>
        <v>238693.59</v>
      </c>
      <c r="C92" s="52"/>
      <c r="D92" s="48">
        <f>'KY_Cost Plant Acct-Elec-P14(Tot'!D92</f>
        <v>0</v>
      </c>
      <c r="E92" s="52"/>
      <c r="F92" s="48">
        <f>'KY_Cost Plant Acct-Elec-P14(Tot'!F92</f>
        <v>0</v>
      </c>
      <c r="G92" s="52"/>
      <c r="H92" s="48">
        <f>'KY_Cost Plant Acct-Elec-P14(Tot'!H92</f>
        <v>0</v>
      </c>
      <c r="I92" s="52"/>
      <c r="J92" s="48">
        <f t="shared" si="19"/>
        <v>0</v>
      </c>
      <c r="K92" s="52"/>
      <c r="L92" s="48">
        <f t="shared" si="20"/>
        <v>238693.59</v>
      </c>
      <c r="N92" s="90">
        <f>'KY_Res by Plant Acct-P29 (Tot)'!R321</f>
        <v>-2652.16</v>
      </c>
      <c r="P92" s="90">
        <f t="shared" si="21"/>
        <v>236041.43</v>
      </c>
    </row>
    <row r="93" spans="1:16">
      <c r="B93" s="52">
        <f>SUM(B81:B92)</f>
        <v>174741209.78999999</v>
      </c>
      <c r="C93" s="52"/>
      <c r="D93" s="52">
        <f>SUM(D81:D92)</f>
        <v>7219509.9600000009</v>
      </c>
      <c r="E93" s="52"/>
      <c r="F93" s="52">
        <f>SUM(F81:F92)</f>
        <v>-456718.32999999996</v>
      </c>
      <c r="G93" s="52"/>
      <c r="H93" s="52">
        <f>SUM(H81:H92)</f>
        <v>0</v>
      </c>
      <c r="I93" s="52"/>
      <c r="J93" s="52">
        <f>SUM(J81:J92)</f>
        <v>6762791.6300000008</v>
      </c>
      <c r="K93" s="52"/>
      <c r="L93" s="52">
        <f>SUM(L81:L92)</f>
        <v>181504001.41999999</v>
      </c>
      <c r="N93" s="52">
        <f>SUM(N81:N92)</f>
        <v>-24586665.999999993</v>
      </c>
      <c r="P93" s="89">
        <f>SUM(P81:P92)</f>
        <v>156917335.41999999</v>
      </c>
    </row>
    <row r="94" spans="1:16">
      <c r="B94" s="52"/>
      <c r="C94" s="52"/>
      <c r="D94" s="52"/>
      <c r="E94" s="52"/>
      <c r="F94" s="52"/>
      <c r="G94" s="52"/>
      <c r="H94" s="52"/>
      <c r="I94" s="52"/>
      <c r="J94" s="52"/>
      <c r="K94" s="52"/>
      <c r="L94" s="52"/>
    </row>
    <row r="95" spans="1:16">
      <c r="B95" s="182"/>
      <c r="C95" s="182"/>
      <c r="D95" s="182"/>
      <c r="E95" s="182"/>
      <c r="F95" s="182"/>
      <c r="G95" s="182"/>
      <c r="H95" s="182"/>
      <c r="I95" s="182"/>
      <c r="J95" s="182"/>
      <c r="K95" s="182"/>
      <c r="L95" s="182"/>
    </row>
    <row r="96" spans="1:16">
      <c r="A96" s="3" t="s">
        <v>202</v>
      </c>
      <c r="B96" s="88">
        <f>B93+B78+B64+B52+B47+B36+B27</f>
        <v>2255662051.6299996</v>
      </c>
      <c r="C96" s="52"/>
      <c r="D96" s="88">
        <f>D93+D78+D64+D52+D47+D36+D27</f>
        <v>45695390.370000005</v>
      </c>
      <c r="E96" s="52"/>
      <c r="F96" s="88">
        <f>F93+F78+F64+F52+F47+F36+F27</f>
        <v>-3273037.56</v>
      </c>
      <c r="G96" s="52"/>
      <c r="H96" s="88">
        <f>H93+H78+H64+H52+H47+H36+H27</f>
        <v>21903.139999999981</v>
      </c>
      <c r="I96" s="52"/>
      <c r="J96" s="88">
        <f>J93+J78+J64+J52+J47+J36+J27</f>
        <v>42444255.949999996</v>
      </c>
      <c r="K96" s="52"/>
      <c r="L96" s="88">
        <f>L93+L78+L64+L52+L47+L36+L27</f>
        <v>2298106307.5799999</v>
      </c>
      <c r="N96" s="88">
        <f>N93+N78+N64+N52+N47+N36+N27</f>
        <v>-340503462.55999994</v>
      </c>
      <c r="P96" s="88">
        <f>P93+P78+P64+P52+P47+P36+P27</f>
        <v>1957602845.0200002</v>
      </c>
    </row>
    <row r="97" spans="2:16">
      <c r="B97" s="182"/>
      <c r="C97" s="182"/>
      <c r="D97" s="182"/>
      <c r="E97" s="182"/>
      <c r="F97" s="182"/>
      <c r="G97" s="182"/>
      <c r="H97" s="182"/>
      <c r="I97" s="182"/>
      <c r="J97" s="182"/>
      <c r="K97" s="182"/>
      <c r="L97" s="182"/>
      <c r="P97" s="89"/>
    </row>
    <row r="98" spans="2:16">
      <c r="B98" s="52"/>
      <c r="C98" s="182"/>
      <c r="D98" s="52"/>
      <c r="E98" s="182"/>
      <c r="F98" s="52"/>
      <c r="G98" s="182"/>
      <c r="H98" s="52"/>
      <c r="I98" s="182"/>
      <c r="J98" s="52"/>
      <c r="K98" s="52"/>
      <c r="L98" s="52"/>
    </row>
    <row r="99" spans="2:16">
      <c r="B99" s="182"/>
      <c r="C99" s="182"/>
      <c r="D99" s="182"/>
      <c r="E99" s="182"/>
      <c r="F99" s="182"/>
      <c r="G99" s="182"/>
      <c r="H99" s="182"/>
      <c r="I99" s="182"/>
      <c r="J99" s="182"/>
      <c r="K99" s="182"/>
      <c r="L99" s="182"/>
    </row>
    <row r="100" spans="2:16">
      <c r="B100" s="182"/>
      <c r="C100" s="182"/>
      <c r="D100" s="182"/>
      <c r="E100" s="182"/>
      <c r="F100" s="182"/>
      <c r="G100" s="182"/>
      <c r="H100" s="182"/>
      <c r="I100" s="182"/>
      <c r="J100" s="182"/>
      <c r="K100" s="182"/>
      <c r="L100" s="182"/>
    </row>
    <row r="101" spans="2:16">
      <c r="B101" s="182"/>
      <c r="C101" s="182"/>
      <c r="D101" s="182"/>
      <c r="E101" s="182"/>
      <c r="F101" s="182"/>
      <c r="G101" s="182"/>
      <c r="H101" s="182"/>
      <c r="I101" s="182"/>
      <c r="J101" s="182"/>
      <c r="K101" s="182"/>
      <c r="L101" s="182"/>
    </row>
    <row r="102" spans="2:16">
      <c r="B102" s="4"/>
      <c r="C102" s="4"/>
      <c r="D102" s="4"/>
      <c r="E102" s="4"/>
      <c r="F102" s="4"/>
      <c r="G102" s="4"/>
      <c r="H102" s="4"/>
      <c r="I102" s="4"/>
      <c r="J102" s="4"/>
      <c r="K102" s="4"/>
      <c r="L102" s="4"/>
    </row>
    <row r="103" spans="2:16">
      <c r="B103" s="4"/>
      <c r="C103" s="4"/>
      <c r="D103" s="4"/>
      <c r="E103" s="4"/>
      <c r="F103" s="4"/>
      <c r="G103" s="4"/>
      <c r="H103" s="4"/>
      <c r="I103" s="4"/>
      <c r="J103" s="4"/>
      <c r="K103" s="4"/>
      <c r="L103" s="4"/>
    </row>
    <row r="104" spans="2:16">
      <c r="B104" s="4"/>
      <c r="C104" s="4"/>
      <c r="D104" s="4"/>
      <c r="E104" s="4"/>
      <c r="F104" s="4"/>
      <c r="G104" s="4"/>
      <c r="H104" s="4"/>
      <c r="I104" s="4"/>
      <c r="J104" s="4"/>
      <c r="K104" s="4"/>
      <c r="L104" s="4"/>
    </row>
    <row r="105" spans="2:16">
      <c r="B105" s="4"/>
      <c r="C105" s="4"/>
      <c r="D105" s="4"/>
      <c r="E105" s="4"/>
      <c r="F105" s="4"/>
      <c r="G105" s="4"/>
      <c r="H105" s="4"/>
      <c r="I105" s="4"/>
      <c r="J105" s="4"/>
      <c r="K105" s="4"/>
      <c r="L105" s="4"/>
    </row>
    <row r="106" spans="2:16">
      <c r="B106" s="4"/>
      <c r="C106" s="4"/>
      <c r="D106" s="4"/>
      <c r="E106" s="4"/>
      <c r="F106" s="4"/>
      <c r="G106" s="4"/>
      <c r="H106" s="4"/>
      <c r="I106" s="4"/>
      <c r="J106" s="4"/>
      <c r="K106" s="4"/>
      <c r="L106" s="4"/>
    </row>
    <row r="107" spans="2:16">
      <c r="B107" s="4"/>
      <c r="C107" s="4"/>
      <c r="D107" s="4"/>
      <c r="E107" s="4"/>
      <c r="F107" s="4"/>
      <c r="G107" s="4"/>
      <c r="H107" s="4"/>
      <c r="I107" s="4"/>
      <c r="J107" s="4"/>
      <c r="K107" s="4"/>
      <c r="L107" s="4"/>
    </row>
    <row r="108" spans="2:16">
      <c r="B108" s="4"/>
      <c r="C108" s="4"/>
      <c r="D108" s="4"/>
      <c r="E108" s="4"/>
      <c r="F108" s="4"/>
      <c r="G108" s="4"/>
      <c r="H108" s="4"/>
      <c r="I108" s="4"/>
      <c r="J108" s="4"/>
      <c r="K108" s="4"/>
      <c r="L108" s="4"/>
    </row>
    <row r="109" spans="2:16">
      <c r="B109" s="4"/>
      <c r="C109" s="4"/>
      <c r="D109" s="4"/>
      <c r="E109" s="4"/>
      <c r="F109" s="4"/>
      <c r="G109" s="4"/>
      <c r="H109" s="4"/>
      <c r="I109" s="4"/>
      <c r="J109" s="4"/>
      <c r="K109" s="4"/>
      <c r="L109" s="4"/>
    </row>
    <row r="110" spans="2:16">
      <c r="B110" s="4"/>
      <c r="C110" s="4"/>
      <c r="D110" s="4"/>
      <c r="E110" s="4"/>
      <c r="F110" s="4"/>
      <c r="G110" s="4"/>
      <c r="H110" s="4"/>
      <c r="I110" s="4"/>
      <c r="J110" s="4"/>
      <c r="K110" s="4"/>
      <c r="L110" s="4"/>
    </row>
    <row r="111" spans="2:16">
      <c r="B111" s="4"/>
      <c r="C111" s="4"/>
      <c r="D111" s="4"/>
      <c r="E111" s="4"/>
      <c r="F111" s="4"/>
      <c r="G111" s="4"/>
      <c r="H111" s="4"/>
      <c r="I111" s="4"/>
      <c r="J111" s="4"/>
      <c r="K111" s="4"/>
      <c r="L111" s="4"/>
    </row>
    <row r="112" spans="2:16">
      <c r="B112" s="4"/>
      <c r="C112" s="4"/>
      <c r="D112" s="4"/>
      <c r="E112" s="4"/>
      <c r="F112" s="4"/>
      <c r="G112" s="4"/>
      <c r="H112" s="4"/>
      <c r="I112" s="4"/>
      <c r="J112" s="4"/>
      <c r="K112" s="4"/>
      <c r="L112" s="4"/>
    </row>
    <row r="113" spans="2:12">
      <c r="B113" s="4"/>
      <c r="C113" s="4"/>
      <c r="D113" s="4"/>
      <c r="E113" s="4"/>
      <c r="F113" s="4"/>
      <c r="G113" s="4"/>
      <c r="H113" s="4"/>
      <c r="I113" s="4"/>
      <c r="J113" s="4"/>
      <c r="K113" s="4"/>
      <c r="L113" s="4"/>
    </row>
    <row r="114" spans="2:12">
      <c r="B114" s="4"/>
      <c r="C114" s="4"/>
      <c r="D114" s="4"/>
      <c r="E114" s="4"/>
      <c r="F114" s="4"/>
      <c r="G114" s="4"/>
      <c r="H114" s="4"/>
      <c r="I114" s="4"/>
      <c r="J114" s="4"/>
      <c r="K114" s="4"/>
      <c r="L114" s="4"/>
    </row>
    <row r="115" spans="2:12">
      <c r="B115" s="4"/>
      <c r="C115" s="4"/>
      <c r="D115" s="4"/>
      <c r="E115" s="4"/>
      <c r="F115" s="4"/>
      <c r="G115" s="4"/>
      <c r="H115" s="4"/>
      <c r="I115" s="4"/>
      <c r="J115" s="4"/>
      <c r="K115" s="4"/>
      <c r="L115" s="4"/>
    </row>
    <row r="116" spans="2:12">
      <c r="B116" s="4"/>
      <c r="C116" s="4"/>
      <c r="D116" s="4"/>
      <c r="E116" s="4"/>
      <c r="F116" s="4"/>
      <c r="G116" s="4"/>
      <c r="H116" s="4"/>
      <c r="I116" s="4"/>
      <c r="J116" s="4"/>
      <c r="K116" s="4"/>
      <c r="L116" s="4"/>
    </row>
    <row r="117" spans="2:12">
      <c r="B117" s="4"/>
      <c r="C117" s="4"/>
      <c r="D117" s="4"/>
      <c r="E117" s="4"/>
      <c r="F117" s="4"/>
      <c r="G117" s="4"/>
      <c r="H117" s="4"/>
      <c r="I117" s="4"/>
      <c r="J117" s="4"/>
      <c r="K117" s="4"/>
      <c r="L117" s="4"/>
    </row>
    <row r="118" spans="2:12">
      <c r="B118" s="4"/>
      <c r="C118" s="4"/>
      <c r="D118" s="4"/>
      <c r="E118" s="4"/>
      <c r="F118" s="4"/>
      <c r="G118" s="4"/>
      <c r="H118" s="4"/>
      <c r="I118" s="4"/>
      <c r="J118" s="4"/>
      <c r="K118" s="4"/>
      <c r="L118" s="4"/>
    </row>
    <row r="119" spans="2:12">
      <c r="B119" s="4"/>
      <c r="C119" s="4"/>
      <c r="D119" s="4"/>
      <c r="E119" s="4"/>
      <c r="F119" s="4"/>
      <c r="G119" s="4"/>
      <c r="H119" s="4"/>
      <c r="I119" s="4"/>
      <c r="J119" s="4"/>
      <c r="K119" s="4"/>
      <c r="L119" s="4"/>
    </row>
    <row r="120" spans="2:12">
      <c r="B120" s="4"/>
      <c r="C120" s="4"/>
      <c r="D120" s="4"/>
      <c r="E120" s="4"/>
      <c r="F120" s="4"/>
      <c r="G120" s="4"/>
      <c r="H120" s="4"/>
      <c r="I120" s="4"/>
      <c r="J120" s="4"/>
      <c r="K120" s="4"/>
      <c r="L120" s="4"/>
    </row>
    <row r="121" spans="2:12">
      <c r="B121" s="4"/>
      <c r="C121" s="4"/>
      <c r="D121" s="4"/>
      <c r="E121" s="4"/>
      <c r="F121" s="4"/>
      <c r="G121" s="4"/>
      <c r="H121" s="4"/>
      <c r="I121" s="4"/>
      <c r="J121" s="4"/>
      <c r="K121" s="4"/>
      <c r="L121" s="4"/>
    </row>
    <row r="122" spans="2:12">
      <c r="B122" s="4"/>
      <c r="C122" s="4"/>
      <c r="D122" s="4"/>
      <c r="E122" s="4"/>
      <c r="F122" s="4"/>
      <c r="G122" s="4"/>
      <c r="H122" s="4"/>
      <c r="I122" s="4"/>
      <c r="J122" s="4"/>
      <c r="K122" s="4"/>
      <c r="L122" s="4"/>
    </row>
    <row r="123" spans="2:12">
      <c r="B123" s="4"/>
      <c r="C123" s="4"/>
      <c r="D123" s="4"/>
      <c r="E123" s="4"/>
      <c r="F123" s="4"/>
      <c r="G123" s="4"/>
      <c r="H123" s="4"/>
      <c r="I123" s="4"/>
      <c r="J123" s="4"/>
      <c r="K123" s="4"/>
      <c r="L123" s="4"/>
    </row>
    <row r="124" spans="2:12">
      <c r="B124" s="4"/>
      <c r="C124" s="4"/>
      <c r="D124" s="4"/>
      <c r="E124" s="4"/>
      <c r="F124" s="4"/>
      <c r="G124" s="4"/>
      <c r="H124" s="4"/>
      <c r="I124" s="4"/>
      <c r="J124" s="4"/>
      <c r="K124" s="4"/>
      <c r="L124" s="4"/>
    </row>
    <row r="125" spans="2:12">
      <c r="B125" s="4"/>
      <c r="C125" s="4"/>
      <c r="D125" s="4"/>
      <c r="E125" s="4"/>
      <c r="F125" s="4"/>
      <c r="G125" s="4"/>
      <c r="H125" s="4"/>
      <c r="I125" s="4"/>
      <c r="J125" s="4"/>
      <c r="K125" s="4"/>
      <c r="L125" s="4"/>
    </row>
    <row r="126" spans="2:12">
      <c r="B126" s="4"/>
      <c r="C126" s="4"/>
      <c r="D126" s="4"/>
      <c r="E126" s="4"/>
      <c r="F126" s="4"/>
      <c r="G126" s="4"/>
      <c r="H126" s="4"/>
      <c r="I126" s="4"/>
      <c r="J126" s="4"/>
      <c r="K126" s="4"/>
      <c r="L126" s="4"/>
    </row>
    <row r="127" spans="2:12">
      <c r="B127" s="4"/>
      <c r="C127" s="4"/>
      <c r="D127" s="4"/>
      <c r="E127" s="4"/>
      <c r="F127" s="4"/>
      <c r="G127" s="4"/>
      <c r="H127" s="4"/>
      <c r="I127" s="4"/>
      <c r="J127" s="4"/>
      <c r="K127" s="4"/>
      <c r="L127" s="4"/>
    </row>
    <row r="128" spans="2:12">
      <c r="B128" s="4"/>
      <c r="C128" s="4"/>
      <c r="D128" s="4"/>
      <c r="E128" s="4"/>
      <c r="F128" s="4"/>
      <c r="G128" s="4"/>
      <c r="H128" s="4"/>
      <c r="I128" s="4"/>
      <c r="J128" s="4"/>
      <c r="K128" s="4"/>
      <c r="L128" s="4"/>
    </row>
    <row r="129" spans="2:12">
      <c r="B129" s="4"/>
      <c r="C129" s="4"/>
      <c r="D129" s="4"/>
      <c r="E129" s="4"/>
      <c r="F129" s="4"/>
      <c r="G129" s="4"/>
      <c r="H129" s="4"/>
      <c r="I129" s="4"/>
      <c r="J129" s="4"/>
      <c r="K129" s="4"/>
      <c r="L129" s="4"/>
    </row>
    <row r="130" spans="2:12">
      <c r="B130" s="4"/>
      <c r="C130" s="4"/>
      <c r="D130" s="4"/>
      <c r="E130" s="4"/>
      <c r="F130" s="4"/>
      <c r="G130" s="4"/>
      <c r="H130" s="4"/>
      <c r="I130" s="4"/>
      <c r="J130" s="4"/>
      <c r="K130" s="4"/>
      <c r="L130" s="4"/>
    </row>
  </sheetData>
  <sortState ref="A25:P26">
    <sortCondition ref="A25"/>
  </sortState>
  <mergeCells count="3">
    <mergeCell ref="A1:P1"/>
    <mergeCell ref="A2:P2"/>
    <mergeCell ref="A3:P3"/>
  </mergeCells>
  <pageMargins left="0.75" right="0.75" top="1" bottom="1" header="0.5" footer="0.5"/>
  <pageSetup scale="57" fitToHeight="2" orientation="landscape" r:id="rId1"/>
  <headerFooter alignWithMargins="0">
    <oddFooter>&amp;L&amp;Z
&amp;F&amp;C&amp;A&amp;R11.&amp;P</oddFooter>
  </headerFooter>
  <rowBreaks count="1" manualBreakCount="1">
    <brk id="65" max="16383" man="1"/>
  </rowBreaks>
</worksheet>
</file>

<file path=xl/worksheets/sheet64.xml><?xml version="1.0" encoding="utf-8"?>
<worksheet xmlns="http://schemas.openxmlformats.org/spreadsheetml/2006/main" xmlns:r="http://schemas.openxmlformats.org/officeDocument/2006/relationships">
  <sheetPr codeName="Sheet101"/>
  <dimension ref="A1:M158"/>
  <sheetViews>
    <sheetView zoomScaleNormal="100" workbookViewId="0">
      <selection sqref="A1:P1"/>
    </sheetView>
  </sheetViews>
  <sheetFormatPr defaultRowHeight="12.75"/>
  <cols>
    <col min="1" max="1" width="50.85546875" bestFit="1" customWidth="1"/>
    <col min="2" max="2" width="17.7109375" customWidth="1"/>
    <col min="3" max="3" width="1.7109375" customWidth="1"/>
    <col min="4" max="4" width="17.7109375" customWidth="1"/>
    <col min="5" max="5" width="1.7109375" customWidth="1"/>
    <col min="6" max="6" width="17.7109375" customWidth="1"/>
    <col min="7" max="7" width="1.7109375" customWidth="1"/>
    <col min="8" max="8" width="17.7109375" customWidth="1"/>
    <col min="9" max="9" width="1.7109375" customWidth="1"/>
    <col min="10" max="10" width="17.7109375" customWidth="1"/>
    <col min="11" max="11" width="1.5703125" customWidth="1"/>
    <col min="12" max="12" width="17.7109375" customWidth="1"/>
    <col min="13" max="13" width="1.7109375" customWidth="1"/>
  </cols>
  <sheetData>
    <row r="1" spans="1:13" s="38" customFormat="1" ht="15.75">
      <c r="A1" s="366" t="s">
        <v>134</v>
      </c>
      <c r="B1" s="366"/>
      <c r="C1" s="366"/>
      <c r="D1" s="366"/>
      <c r="E1" s="366"/>
      <c r="F1" s="366"/>
      <c r="G1" s="366"/>
      <c r="H1" s="366"/>
      <c r="I1" s="366"/>
      <c r="J1" s="366"/>
      <c r="K1" s="366"/>
      <c r="L1" s="366"/>
      <c r="M1" s="366"/>
    </row>
    <row r="2" spans="1:13" s="38" customFormat="1" ht="15.75">
      <c r="A2" s="367" t="s">
        <v>1190</v>
      </c>
      <c r="B2" s="366"/>
      <c r="C2" s="366"/>
      <c r="D2" s="366"/>
      <c r="E2" s="366"/>
      <c r="F2" s="366"/>
      <c r="G2" s="366"/>
      <c r="H2" s="366"/>
      <c r="I2" s="366"/>
      <c r="J2" s="366"/>
      <c r="K2" s="366"/>
      <c r="L2" s="366"/>
      <c r="M2" s="366"/>
    </row>
    <row r="3" spans="1:13">
      <c r="A3" s="357" t="str">
        <f>'Summary - Cost - PG 1 (Tot)'!A3:N3</f>
        <v>MARCH 2012</v>
      </c>
      <c r="B3" s="357"/>
      <c r="C3" s="357"/>
      <c r="D3" s="357"/>
      <c r="E3" s="357"/>
      <c r="F3" s="357"/>
      <c r="G3" s="357"/>
      <c r="H3" s="357"/>
      <c r="I3" s="357"/>
      <c r="J3" s="357"/>
      <c r="K3" s="357"/>
      <c r="L3" s="357"/>
      <c r="M3" s="357"/>
    </row>
    <row r="4" spans="1:13">
      <c r="A4" s="190"/>
      <c r="B4" s="190"/>
      <c r="C4" s="190"/>
      <c r="D4" s="190"/>
      <c r="E4" s="190"/>
      <c r="F4" s="190"/>
      <c r="G4" s="190"/>
      <c r="H4" s="190"/>
      <c r="I4" s="190"/>
      <c r="J4" s="190"/>
      <c r="K4" s="190"/>
      <c r="L4" s="190"/>
    </row>
    <row r="6" spans="1:13">
      <c r="B6" s="41" t="s">
        <v>25</v>
      </c>
      <c r="D6" s="182"/>
      <c r="F6" s="182"/>
      <c r="H6" s="41" t="s">
        <v>612</v>
      </c>
      <c r="J6" s="41" t="s">
        <v>147</v>
      </c>
      <c r="K6" s="182"/>
      <c r="L6" s="41" t="s">
        <v>26</v>
      </c>
    </row>
    <row r="7" spans="1:13" s="10" customFormat="1">
      <c r="A7" s="12" t="s">
        <v>371</v>
      </c>
      <c r="B7" s="42" t="s">
        <v>27</v>
      </c>
      <c r="C7"/>
      <c r="D7" s="42" t="s">
        <v>107</v>
      </c>
      <c r="E7"/>
      <c r="F7" s="42" t="s">
        <v>108</v>
      </c>
      <c r="G7"/>
      <c r="H7" s="42" t="s">
        <v>613</v>
      </c>
      <c r="I7"/>
      <c r="J7" s="42" t="s">
        <v>109</v>
      </c>
      <c r="K7" s="54"/>
      <c r="L7" s="42" t="s">
        <v>27</v>
      </c>
    </row>
    <row r="8" spans="1:13" s="10" customFormat="1">
      <c r="A8" s="12" t="s">
        <v>205</v>
      </c>
      <c r="B8" s="54"/>
      <c r="C8"/>
      <c r="D8" s="54"/>
      <c r="E8"/>
      <c r="F8" s="54"/>
      <c r="G8"/>
      <c r="H8" s="54"/>
      <c r="I8"/>
      <c r="J8" s="54"/>
      <c r="K8" s="54"/>
      <c r="L8" s="54"/>
    </row>
    <row r="9" spans="1:13" s="10" customFormat="1">
      <c r="A9" s="12" t="s">
        <v>420</v>
      </c>
      <c r="B9"/>
      <c r="C9"/>
      <c r="D9"/>
      <c r="E9"/>
      <c r="F9"/>
      <c r="G9"/>
      <c r="H9"/>
      <c r="I9"/>
      <c r="J9"/>
      <c r="K9"/>
      <c r="L9"/>
    </row>
    <row r="10" spans="1:13" s="10" customFormat="1">
      <c r="A10" s="12" t="s">
        <v>691</v>
      </c>
      <c r="B10"/>
      <c r="C10"/>
      <c r="D10"/>
      <c r="E10"/>
      <c r="F10"/>
      <c r="G10"/>
      <c r="H10"/>
      <c r="I10"/>
      <c r="J10"/>
      <c r="K10"/>
      <c r="L10"/>
    </row>
    <row r="11" spans="1:13">
      <c r="A11" t="s">
        <v>274</v>
      </c>
      <c r="B11" s="182">
        <f>'KY_Cost Plant Acct-Elec-P14(Tot'!B11</f>
        <v>4110848.6500000004</v>
      </c>
      <c r="C11" s="182"/>
      <c r="D11" s="182">
        <f>'KY_Cost Plant Acct-Elec-P14(Tot'!D11</f>
        <v>1215889.1399999999</v>
      </c>
      <c r="E11" s="182"/>
      <c r="F11" s="182">
        <f>'KY_Cost Plant Acct-Elec-P14(Tot'!F11</f>
        <v>0</v>
      </c>
      <c r="G11" s="182"/>
      <c r="H11" s="182">
        <f>'KY_Cost Plant Acct-Elec-P14(Tot'!H11</f>
        <v>21926.880000000001</v>
      </c>
      <c r="I11" s="182"/>
      <c r="J11" s="182">
        <f t="shared" ref="J11:J24" si="0">H11+F11+D11</f>
        <v>1237816.0199999998</v>
      </c>
      <c r="K11" s="182"/>
      <c r="L11" s="182">
        <f t="shared" ref="L11:L24" si="1">B11+J11</f>
        <v>5348664.67</v>
      </c>
    </row>
    <row r="12" spans="1:13">
      <c r="A12" t="s">
        <v>275</v>
      </c>
      <c r="B12" s="182">
        <f>'KY_Cost Plant Acct-Elec-P14(Tot'!B12</f>
        <v>2813202</v>
      </c>
      <c r="C12" s="182"/>
      <c r="D12" s="182">
        <f>'KY_Cost Plant Acct-Elec-P14(Tot'!D12</f>
        <v>0</v>
      </c>
      <c r="E12" s="182"/>
      <c r="F12" s="182">
        <f>'KY_Cost Plant Acct-Elec-P14(Tot'!F12</f>
        <v>-110.72000000000003</v>
      </c>
      <c r="G12" s="182"/>
      <c r="H12" s="182">
        <f>'KY_Cost Plant Acct-Elec-P14(Tot'!H12</f>
        <v>0</v>
      </c>
      <c r="I12" s="182"/>
      <c r="J12" s="182">
        <f t="shared" si="0"/>
        <v>-110.72000000000003</v>
      </c>
      <c r="K12" s="182"/>
      <c r="L12" s="182">
        <f t="shared" si="1"/>
        <v>2813091.28</v>
      </c>
    </row>
    <row r="13" spans="1:13">
      <c r="A13" t="s">
        <v>12</v>
      </c>
      <c r="B13" s="182">
        <f>'KY_Cost Plant Acct-Elec-P14(Tot'!B13</f>
        <v>64429514.649999999</v>
      </c>
      <c r="C13" s="182"/>
      <c r="D13" s="182">
        <f>'KY_Cost Plant Acct-Elec-P14(Tot'!D13</f>
        <v>653212.38</v>
      </c>
      <c r="E13" s="182"/>
      <c r="F13" s="182">
        <f>'KY_Cost Plant Acct-Elec-P14(Tot'!F13</f>
        <v>-13979.320000000007</v>
      </c>
      <c r="G13" s="182"/>
      <c r="H13" s="182">
        <f>'KY_Cost Plant Acct-Elec-P14(Tot'!H13</f>
        <v>0</v>
      </c>
      <c r="I13" s="182"/>
      <c r="J13" s="182">
        <f t="shared" si="0"/>
        <v>639233.06000000006</v>
      </c>
      <c r="K13" s="182"/>
      <c r="L13" s="182">
        <f t="shared" si="1"/>
        <v>65068747.710000001</v>
      </c>
    </row>
    <row r="14" spans="1:13">
      <c r="A14" t="s">
        <v>276</v>
      </c>
      <c r="B14" s="182">
        <f>'KY_Cost Plant Acct-Elec-P14(Tot'!B14</f>
        <v>121721092.16</v>
      </c>
      <c r="C14" s="182"/>
      <c r="D14" s="182">
        <f>'KY_Cost Plant Acct-Elec-P14(Tot'!D14</f>
        <v>2957787.7199999997</v>
      </c>
      <c r="E14" s="182"/>
      <c r="F14" s="182">
        <f>'KY_Cost Plant Acct-Elec-P14(Tot'!F14</f>
        <v>-286956.17000000004</v>
      </c>
      <c r="G14" s="182"/>
      <c r="H14" s="182">
        <f>'KY_Cost Plant Acct-Elec-P14(Tot'!H14</f>
        <v>0</v>
      </c>
      <c r="I14" s="182"/>
      <c r="J14" s="182">
        <f t="shared" si="0"/>
        <v>2670831.5499999998</v>
      </c>
      <c r="K14" s="182"/>
      <c r="L14" s="182">
        <f t="shared" si="1"/>
        <v>124391923.70999999</v>
      </c>
    </row>
    <row r="15" spans="1:13">
      <c r="A15" t="s">
        <v>277</v>
      </c>
      <c r="B15" s="182">
        <f>'KY_Cost Plant Acct-Elec-P14(Tot'!B15</f>
        <v>175622567.79999998</v>
      </c>
      <c r="C15" s="182"/>
      <c r="D15" s="182">
        <f>'KY_Cost Plant Acct-Elec-P14(Tot'!D15</f>
        <v>7148949.8299999991</v>
      </c>
      <c r="E15" s="182"/>
      <c r="F15" s="182">
        <f>'KY_Cost Plant Acct-Elec-P14(Tot'!F15</f>
        <v>-503284.64</v>
      </c>
      <c r="G15" s="182"/>
      <c r="H15" s="182">
        <f>'KY_Cost Plant Acct-Elec-P14(Tot'!H15</f>
        <v>0</v>
      </c>
      <c r="I15" s="182"/>
      <c r="J15" s="182">
        <f t="shared" si="0"/>
        <v>6645665.1899999995</v>
      </c>
      <c r="K15" s="182"/>
      <c r="L15" s="182">
        <f t="shared" si="1"/>
        <v>182268232.98999998</v>
      </c>
    </row>
    <row r="16" spans="1:13">
      <c r="A16" t="s">
        <v>278</v>
      </c>
      <c r="B16" s="182">
        <f>'KY_Cost Plant Acct-Elec-P14(Tot'!B16</f>
        <v>44323809.770000003</v>
      </c>
      <c r="C16" s="182"/>
      <c r="D16" s="182">
        <f>'KY_Cost Plant Acct-Elec-P14(Tot'!D16</f>
        <v>124398.61</v>
      </c>
      <c r="E16" s="182"/>
      <c r="F16" s="182">
        <f>'KY_Cost Plant Acct-Elec-P14(Tot'!F16</f>
        <v>-795.21000000000095</v>
      </c>
      <c r="G16" s="182"/>
      <c r="H16" s="182">
        <f>'KY_Cost Plant Acct-Elec-P14(Tot'!H16</f>
        <v>0</v>
      </c>
      <c r="I16" s="182"/>
      <c r="J16" s="182">
        <f t="shared" si="0"/>
        <v>123603.4</v>
      </c>
      <c r="K16" s="182"/>
      <c r="L16" s="182">
        <f t="shared" si="1"/>
        <v>44447413.170000002</v>
      </c>
    </row>
    <row r="17" spans="1:12">
      <c r="A17" t="s">
        <v>279</v>
      </c>
      <c r="B17" s="182">
        <f>'KY_Cost Plant Acct-Elec-P14(Tot'!B17</f>
        <v>105077522.18999998</v>
      </c>
      <c r="C17" s="182"/>
      <c r="D17" s="182">
        <f>'KY_Cost Plant Acct-Elec-P14(Tot'!D17</f>
        <v>3548235.89</v>
      </c>
      <c r="E17" s="182"/>
      <c r="F17" s="182">
        <f>'KY_Cost Plant Acct-Elec-P14(Tot'!F17</f>
        <v>-249153.31</v>
      </c>
      <c r="G17" s="182"/>
      <c r="H17" s="182">
        <f>'KY_Cost Plant Acct-Elec-P14(Tot'!H17</f>
        <v>0</v>
      </c>
      <c r="I17" s="182"/>
      <c r="J17" s="182">
        <f t="shared" si="0"/>
        <v>3299082.58</v>
      </c>
      <c r="K17" s="182"/>
      <c r="L17" s="182">
        <f t="shared" si="1"/>
        <v>108376604.76999998</v>
      </c>
    </row>
    <row r="18" spans="1:12">
      <c r="A18" t="s">
        <v>280</v>
      </c>
      <c r="B18" s="182">
        <f>'KY_Cost Plant Acct-Elec-P14(Tot'!B18</f>
        <v>83087668.479999989</v>
      </c>
      <c r="C18" s="182"/>
      <c r="D18" s="182">
        <f>'KY_Cost Plant Acct-Elec-P14(Tot'!D18</f>
        <v>1026379.35</v>
      </c>
      <c r="E18" s="182"/>
      <c r="F18" s="182">
        <f>'KY_Cost Plant Acct-Elec-P14(Tot'!F18</f>
        <v>-44155.97</v>
      </c>
      <c r="G18" s="182"/>
      <c r="H18" s="182">
        <f>'KY_Cost Plant Acct-Elec-P14(Tot'!H18</f>
        <v>0</v>
      </c>
      <c r="I18" s="182"/>
      <c r="J18" s="182">
        <f t="shared" si="0"/>
        <v>982223.38</v>
      </c>
      <c r="K18" s="182"/>
      <c r="L18" s="182">
        <f t="shared" si="1"/>
        <v>84069891.859999985</v>
      </c>
    </row>
    <row r="19" spans="1:12">
      <c r="A19" t="s">
        <v>308</v>
      </c>
      <c r="B19" s="182">
        <f>'KY_Cost Plant Acct-Elec-P14(Tot'!B19</f>
        <v>4022628.8200000003</v>
      </c>
      <c r="C19" s="182"/>
      <c r="D19" s="182">
        <f>'KY_Cost Plant Acct-Elec-P14(Tot'!D19</f>
        <v>1406.1800000000003</v>
      </c>
      <c r="E19" s="182"/>
      <c r="F19" s="182">
        <f>'KY_Cost Plant Acct-Elec-P14(Tot'!F19</f>
        <v>-678.65000000000146</v>
      </c>
      <c r="G19" s="182"/>
      <c r="H19" s="182">
        <f>'KY_Cost Plant Acct-Elec-P14(Tot'!H19</f>
        <v>0</v>
      </c>
      <c r="I19" s="182"/>
      <c r="J19" s="182">
        <f t="shared" si="0"/>
        <v>727.52999999999884</v>
      </c>
      <c r="K19" s="182"/>
      <c r="L19" s="182">
        <f t="shared" si="1"/>
        <v>4023356.35</v>
      </c>
    </row>
    <row r="20" spans="1:12">
      <c r="A20" t="s">
        <v>309</v>
      </c>
      <c r="B20" s="182">
        <f>'KY_Cost Plant Acct-Elec-P14(Tot'!B20</f>
        <v>14226877.890000004</v>
      </c>
      <c r="C20" s="182"/>
      <c r="D20" s="182">
        <f>'KY_Cost Plant Acct-Elec-P14(Tot'!D20</f>
        <v>1247192.02</v>
      </c>
      <c r="E20" s="182"/>
      <c r="F20" s="182">
        <f>'KY_Cost Plant Acct-Elec-P14(Tot'!F20</f>
        <v>-13155.990000000002</v>
      </c>
      <c r="G20" s="182"/>
      <c r="H20" s="182">
        <f>'KY_Cost Plant Acct-Elec-P14(Tot'!H20</f>
        <v>0</v>
      </c>
      <c r="I20" s="182"/>
      <c r="J20" s="182">
        <f t="shared" si="0"/>
        <v>1234036.03</v>
      </c>
      <c r="K20" s="182"/>
      <c r="L20" s="182">
        <f t="shared" si="1"/>
        <v>15460913.920000004</v>
      </c>
    </row>
    <row r="21" spans="1:12">
      <c r="A21" t="s">
        <v>310</v>
      </c>
      <c r="B21" s="182">
        <f>'KY_Cost Plant Acct-Elec-P14(Tot'!B21</f>
        <v>21718762.280000001</v>
      </c>
      <c r="C21" s="182"/>
      <c r="D21" s="182">
        <f>'KY_Cost Plant Acct-Elec-P14(Tot'!D21</f>
        <v>469473.26</v>
      </c>
      <c r="E21" s="182"/>
      <c r="F21" s="182">
        <f>'KY_Cost Plant Acct-Elec-P14(Tot'!F21</f>
        <v>0</v>
      </c>
      <c r="G21" s="182"/>
      <c r="H21" s="182">
        <f>'KY_Cost Plant Acct-Elec-P14(Tot'!H21</f>
        <v>0</v>
      </c>
      <c r="I21" s="182"/>
      <c r="J21" s="182">
        <f t="shared" si="0"/>
        <v>469473.26</v>
      </c>
      <c r="K21" s="182"/>
      <c r="L21" s="182">
        <f t="shared" si="1"/>
        <v>22188235.540000003</v>
      </c>
    </row>
    <row r="22" spans="1:12">
      <c r="A22" t="s">
        <v>311</v>
      </c>
      <c r="B22" s="182">
        <f>'KY_Cost Plant Acct-Elec-P14(Tot'!B22</f>
        <v>21425670.039999999</v>
      </c>
      <c r="C22" s="182"/>
      <c r="D22" s="182">
        <f>'KY_Cost Plant Acct-Elec-P14(Tot'!D22</f>
        <v>1055204.0399999998</v>
      </c>
      <c r="E22" s="182"/>
      <c r="F22" s="182">
        <f>'KY_Cost Plant Acct-Elec-P14(Tot'!F22</f>
        <v>-72435.399999999994</v>
      </c>
      <c r="G22" s="182"/>
      <c r="H22" s="182">
        <f>'KY_Cost Plant Acct-Elec-P14(Tot'!H22</f>
        <v>0</v>
      </c>
      <c r="I22" s="182"/>
      <c r="J22" s="182">
        <f t="shared" si="0"/>
        <v>982768.63999999978</v>
      </c>
      <c r="K22" s="182"/>
      <c r="L22" s="182">
        <f t="shared" si="1"/>
        <v>22408438.68</v>
      </c>
    </row>
    <row r="23" spans="1:12">
      <c r="A23" t="s">
        <v>312</v>
      </c>
      <c r="B23" s="182">
        <f>'KY_Cost Plant Acct-Elec-P14(Tot'!B23</f>
        <v>29826377.390000004</v>
      </c>
      <c r="C23" s="182"/>
      <c r="D23" s="182">
        <f>'KY_Cost Plant Acct-Elec-P14(Tot'!D23</f>
        <v>759888.79999999993</v>
      </c>
      <c r="E23" s="182"/>
      <c r="F23" s="182">
        <f>'KY_Cost Plant Acct-Elec-P14(Tot'!F23</f>
        <v>-27448.55000000001</v>
      </c>
      <c r="G23" s="182"/>
      <c r="H23" s="182">
        <f>'KY_Cost Plant Acct-Elec-P14(Tot'!H23</f>
        <v>0</v>
      </c>
      <c r="I23" s="182"/>
      <c r="J23" s="182">
        <f t="shared" si="0"/>
        <v>732440.24999999988</v>
      </c>
      <c r="K23" s="182"/>
      <c r="L23" s="182">
        <f t="shared" si="1"/>
        <v>30558817.640000004</v>
      </c>
    </row>
    <row r="24" spans="1:12">
      <c r="A24" t="s">
        <v>313</v>
      </c>
      <c r="B24" s="182">
        <f>'KY_Cost Plant Acct-Elec-P14(Tot'!B24</f>
        <v>0</v>
      </c>
      <c r="C24" s="182"/>
      <c r="D24" s="182">
        <f>'KY_Cost Plant Acct-Elec-P14(Tot'!D24</f>
        <v>0</v>
      </c>
      <c r="E24" s="182"/>
      <c r="F24" s="182">
        <f>'KY_Cost Plant Acct-Elec-P14(Tot'!F24</f>
        <v>0</v>
      </c>
      <c r="G24" s="182"/>
      <c r="H24" s="182">
        <f>'KY_Cost Plant Acct-Elec-P14(Tot'!H24</f>
        <v>0</v>
      </c>
      <c r="I24" s="182"/>
      <c r="J24" s="182">
        <f t="shared" si="0"/>
        <v>0</v>
      </c>
      <c r="K24" s="182"/>
      <c r="L24" s="182">
        <f t="shared" si="1"/>
        <v>0</v>
      </c>
    </row>
    <row r="25" spans="1:12">
      <c r="A25" t="s">
        <v>314</v>
      </c>
      <c r="B25" s="325">
        <f>'KY_Cost Plant Acct-Elec-P14(Tot'!B25</f>
        <v>481206.24000000005</v>
      </c>
      <c r="C25" s="326"/>
      <c r="D25" s="325">
        <f>'KY_Cost Plant Acct-Elec-P14(Tot'!D25</f>
        <v>0</v>
      </c>
      <c r="E25" s="326"/>
      <c r="F25" s="325">
        <f>'KY_Cost Plant Acct-Elec-P14(Tot'!F25</f>
        <v>0</v>
      </c>
      <c r="G25" s="325"/>
      <c r="H25" s="325">
        <f>'KY_Cost Plant Acct-Elec-P14(Tot'!H25</f>
        <v>0</v>
      </c>
      <c r="I25" s="325"/>
      <c r="J25" s="325">
        <f>H25+F25+D25</f>
        <v>0</v>
      </c>
      <c r="K25" s="326"/>
      <c r="L25" s="325">
        <f>B25+J25</f>
        <v>481206.24000000005</v>
      </c>
    </row>
    <row r="26" spans="1:12">
      <c r="A26" s="331" t="s">
        <v>1449</v>
      </c>
      <c r="B26" s="327">
        <f>'KY_Cost Plant Acct-Elec-P14(Tot'!B26</f>
        <v>145332.98000000001</v>
      </c>
      <c r="C26" s="325"/>
      <c r="D26" s="327">
        <f>'KY_Cost Plant Acct-Elec-P14(Tot'!D26</f>
        <v>0</v>
      </c>
      <c r="E26" s="325"/>
      <c r="F26" s="327">
        <f>'KY_Cost Plant Acct-Elec-P14(Tot'!F26</f>
        <v>0</v>
      </c>
      <c r="G26" s="182"/>
      <c r="H26" s="327">
        <f>'KY_Cost Plant Acct-Elec-P14(Tot'!H26</f>
        <v>-23.740000000019791</v>
      </c>
      <c r="I26" s="182"/>
      <c r="J26" s="327">
        <f>H26+F26+D26</f>
        <v>-23.740000000019791</v>
      </c>
      <c r="K26" s="325"/>
      <c r="L26" s="327">
        <f>B26+J26</f>
        <v>145309.24</v>
      </c>
    </row>
    <row r="27" spans="1:12">
      <c r="B27" s="52">
        <f>SUM(B11:B26)</f>
        <v>693033081.33999991</v>
      </c>
      <c r="C27" s="52"/>
      <c r="D27" s="52">
        <f>SUM(D11:D26)</f>
        <v>20208017.220000003</v>
      </c>
      <c r="E27" s="52"/>
      <c r="F27" s="52">
        <f>SUM(F11:F26)</f>
        <v>-1212153.93</v>
      </c>
      <c r="G27" s="52"/>
      <c r="H27" s="52">
        <f>SUM(H11:H26)</f>
        <v>21903.139999999981</v>
      </c>
      <c r="I27" s="52"/>
      <c r="J27" s="52">
        <f>SUM(J11:J26)</f>
        <v>19017766.430000003</v>
      </c>
      <c r="K27" s="52"/>
      <c r="L27" s="52">
        <f>SUM(L11:L26)</f>
        <v>712050847.76999986</v>
      </c>
    </row>
    <row r="28" spans="1:12">
      <c r="B28" s="52"/>
      <c r="C28" s="52"/>
      <c r="D28" s="52"/>
      <c r="E28" s="52"/>
      <c r="F28" s="52"/>
      <c r="G28" s="52"/>
      <c r="H28" s="52"/>
      <c r="I28" s="52"/>
      <c r="J28" s="52"/>
      <c r="K28" s="52"/>
      <c r="L28" s="52"/>
    </row>
    <row r="29" spans="1:12">
      <c r="A29" s="12" t="s">
        <v>808</v>
      </c>
      <c r="B29" s="52"/>
      <c r="C29" s="52"/>
      <c r="D29" s="52"/>
      <c r="E29" s="52"/>
      <c r="F29" s="52"/>
      <c r="G29" s="52"/>
      <c r="H29" s="52"/>
      <c r="I29" s="52"/>
      <c r="J29" s="52"/>
      <c r="K29" s="52"/>
      <c r="L29" s="52"/>
    </row>
    <row r="30" spans="1:12">
      <c r="A30" t="s">
        <v>315</v>
      </c>
      <c r="B30" s="52">
        <f>'KY_Cost Plant Acct-Elec-P14(Tot'!B30</f>
        <v>1202710.8499999996</v>
      </c>
      <c r="C30" s="52"/>
      <c r="D30" s="52">
        <f>'KY_Cost Plant Acct-Elec-P14(Tot'!D30</f>
        <v>118725.14</v>
      </c>
      <c r="E30" s="52"/>
      <c r="F30" s="52">
        <f>'KY_Cost Plant Acct-Elec-P14(Tot'!F30</f>
        <v>0</v>
      </c>
      <c r="G30" s="52"/>
      <c r="H30" s="52">
        <f>'KY_Cost Plant Acct-Elec-P14(Tot'!H30</f>
        <v>0</v>
      </c>
      <c r="I30" s="52"/>
      <c r="J30" s="52">
        <f t="shared" ref="J30:J35" si="2">H30+F30+D30</f>
        <v>118725.14</v>
      </c>
      <c r="K30" s="52"/>
      <c r="L30" s="182">
        <f t="shared" ref="L30:L35" si="3">B30+J30</f>
        <v>1321435.9899999995</v>
      </c>
    </row>
    <row r="31" spans="1:12">
      <c r="A31" t="s">
        <v>316</v>
      </c>
      <c r="B31" s="52">
        <f>'KY_Cost Plant Acct-Elec-P14(Tot'!B31</f>
        <v>353637.27</v>
      </c>
      <c r="C31" s="52"/>
      <c r="D31" s="52">
        <f>'KY_Cost Plant Acct-Elec-P14(Tot'!D31</f>
        <v>11695.62</v>
      </c>
      <c r="E31" s="52"/>
      <c r="F31" s="52">
        <f>'KY_Cost Plant Acct-Elec-P14(Tot'!F31</f>
        <v>0</v>
      </c>
      <c r="G31" s="52"/>
      <c r="H31" s="52">
        <f>'KY_Cost Plant Acct-Elec-P14(Tot'!H31</f>
        <v>0</v>
      </c>
      <c r="I31" s="52"/>
      <c r="J31" s="52">
        <f t="shared" si="2"/>
        <v>11695.62</v>
      </c>
      <c r="K31" s="52"/>
      <c r="L31" s="182">
        <f t="shared" si="3"/>
        <v>365332.89</v>
      </c>
    </row>
    <row r="32" spans="1:12">
      <c r="A32" t="s">
        <v>317</v>
      </c>
      <c r="B32" s="52">
        <f>'KY_Cost Plant Acct-Elec-P14(Tot'!B32</f>
        <v>3211947.06</v>
      </c>
      <c r="C32" s="52"/>
      <c r="D32" s="52">
        <f>'KY_Cost Plant Acct-Elec-P14(Tot'!D32</f>
        <v>48831.4</v>
      </c>
      <c r="E32" s="52"/>
      <c r="F32" s="52">
        <f>'KY_Cost Plant Acct-Elec-P14(Tot'!F32</f>
        <v>0</v>
      </c>
      <c r="G32" s="52"/>
      <c r="H32" s="52">
        <f>'KY_Cost Plant Acct-Elec-P14(Tot'!H32</f>
        <v>0</v>
      </c>
      <c r="I32" s="52"/>
      <c r="J32" s="52">
        <f t="shared" si="2"/>
        <v>48831.4</v>
      </c>
      <c r="K32" s="52"/>
      <c r="L32" s="182">
        <f t="shared" si="3"/>
        <v>3260778.46</v>
      </c>
    </row>
    <row r="33" spans="1:12">
      <c r="A33" t="s">
        <v>318</v>
      </c>
      <c r="B33" s="52">
        <f>'KY_Cost Plant Acct-Elec-P14(Tot'!B33</f>
        <v>-21504.75</v>
      </c>
      <c r="C33" s="52"/>
      <c r="D33" s="52">
        <f>'KY_Cost Plant Acct-Elec-P14(Tot'!D33</f>
        <v>0</v>
      </c>
      <c r="E33" s="52"/>
      <c r="F33" s="52">
        <f>'KY_Cost Plant Acct-Elec-P14(Tot'!F33</f>
        <v>0</v>
      </c>
      <c r="G33" s="52"/>
      <c r="H33" s="52">
        <f>'KY_Cost Plant Acct-Elec-P14(Tot'!H33</f>
        <v>0</v>
      </c>
      <c r="I33" s="52"/>
      <c r="J33" s="52">
        <f t="shared" si="2"/>
        <v>0</v>
      </c>
      <c r="K33" s="52"/>
      <c r="L33" s="182">
        <f t="shared" si="3"/>
        <v>-21504.75</v>
      </c>
    </row>
    <row r="34" spans="1:12">
      <c r="A34" t="s">
        <v>319</v>
      </c>
      <c r="B34" s="52">
        <f>'KY_Cost Plant Acct-Elec-P14(Tot'!B34</f>
        <v>246472.25999999978</v>
      </c>
      <c r="C34" s="52"/>
      <c r="D34" s="52">
        <f>'KY_Cost Plant Acct-Elec-P14(Tot'!D34</f>
        <v>0</v>
      </c>
      <c r="E34" s="52"/>
      <c r="F34" s="52">
        <f>'KY_Cost Plant Acct-Elec-P14(Tot'!F34</f>
        <v>0</v>
      </c>
      <c r="G34" s="52"/>
      <c r="H34" s="52">
        <f>'KY_Cost Plant Acct-Elec-P14(Tot'!H34</f>
        <v>0</v>
      </c>
      <c r="I34" s="52"/>
      <c r="J34" s="52">
        <f t="shared" si="2"/>
        <v>0</v>
      </c>
      <c r="K34" s="52"/>
      <c r="L34" s="182">
        <f t="shared" si="3"/>
        <v>246472.25999999978</v>
      </c>
    </row>
    <row r="35" spans="1:12">
      <c r="A35" t="s">
        <v>320</v>
      </c>
      <c r="B35" s="48">
        <f>'KY_Cost Plant Acct-Elec-P14(Tot'!B35</f>
        <v>124576.10999999999</v>
      </c>
      <c r="C35" s="52"/>
      <c r="D35" s="48">
        <f>'KY_Cost Plant Acct-Elec-P14(Tot'!D35</f>
        <v>0</v>
      </c>
      <c r="E35" s="52"/>
      <c r="F35" s="48">
        <f>'KY_Cost Plant Acct-Elec-P14(Tot'!F35</f>
        <v>0</v>
      </c>
      <c r="G35" s="52"/>
      <c r="H35" s="48">
        <f>'KY_Cost Plant Acct-Elec-P14(Tot'!H35</f>
        <v>0</v>
      </c>
      <c r="I35" s="52"/>
      <c r="J35" s="48">
        <f t="shared" si="2"/>
        <v>0</v>
      </c>
      <c r="K35" s="52"/>
      <c r="L35" s="48">
        <f t="shared" si="3"/>
        <v>124576.10999999999</v>
      </c>
    </row>
    <row r="36" spans="1:12">
      <c r="B36" s="52">
        <f>SUM(B30:B35)</f>
        <v>5117838.8</v>
      </c>
      <c r="C36" s="52"/>
      <c r="D36" s="52">
        <f>SUM(D30:D35)</f>
        <v>179252.16</v>
      </c>
      <c r="E36" s="52"/>
      <c r="F36" s="52">
        <f>SUM(F30:F35)</f>
        <v>0</v>
      </c>
      <c r="G36" s="52"/>
      <c r="H36" s="52">
        <f>SUM(H30:H35)</f>
        <v>0</v>
      </c>
      <c r="I36" s="52"/>
      <c r="J36" s="52">
        <f>SUM(J30:J35)</f>
        <v>179252.16</v>
      </c>
      <c r="K36" s="52"/>
      <c r="L36" s="52">
        <f>SUM(L30:L35)</f>
        <v>5297090.96</v>
      </c>
    </row>
    <row r="37" spans="1:12">
      <c r="B37" s="52"/>
      <c r="C37" s="52"/>
      <c r="D37" s="52"/>
      <c r="E37" s="52"/>
      <c r="F37" s="52"/>
      <c r="G37" s="52"/>
      <c r="H37" s="52"/>
      <c r="I37" s="52"/>
      <c r="J37" s="52"/>
      <c r="K37" s="52"/>
      <c r="L37" s="52"/>
    </row>
    <row r="38" spans="1:12">
      <c r="A38" s="12" t="s">
        <v>809</v>
      </c>
      <c r="B38" s="52"/>
      <c r="C38" s="52"/>
      <c r="D38" s="52"/>
      <c r="E38" s="52"/>
      <c r="F38" s="52"/>
      <c r="G38" s="52"/>
      <c r="H38" s="52"/>
      <c r="I38" s="52"/>
      <c r="J38" s="52"/>
      <c r="K38" s="52"/>
      <c r="L38" s="52"/>
    </row>
    <row r="39" spans="1:12">
      <c r="A39" t="s">
        <v>321</v>
      </c>
      <c r="B39" s="52">
        <f>'KY_Cost Plant Acct-Elec-P14(Tot'!B39</f>
        <v>6.5</v>
      </c>
      <c r="C39" s="52"/>
      <c r="D39" s="52">
        <f>'KY_Cost Plant Acct-Elec-P14(Tot'!D39</f>
        <v>0</v>
      </c>
      <c r="E39" s="52"/>
      <c r="F39" s="52">
        <f>'KY_Cost Plant Acct-Elec-P14(Tot'!F39</f>
        <v>0</v>
      </c>
      <c r="G39" s="52"/>
      <c r="H39" s="52">
        <f>'KY_Cost Plant Acct-Elec-P14(Tot'!H39</f>
        <v>0</v>
      </c>
      <c r="I39" s="52"/>
      <c r="J39" s="52">
        <f t="shared" ref="J39:J46" si="4">H39+F39+D39</f>
        <v>0</v>
      </c>
      <c r="K39" s="52"/>
      <c r="L39" s="182">
        <f t="shared" ref="L39:L46" si="5">B39+J39</f>
        <v>6.5</v>
      </c>
    </row>
    <row r="40" spans="1:12">
      <c r="A40" t="s">
        <v>574</v>
      </c>
      <c r="B40" s="52">
        <f>'KY_Cost Plant Acct-Elec-P14(Tot'!B40</f>
        <v>494840.1099999994</v>
      </c>
      <c r="C40" s="52"/>
      <c r="D40" s="52">
        <f>'KY_Cost Plant Acct-Elec-P14(Tot'!D40</f>
        <v>16456.36</v>
      </c>
      <c r="E40" s="52"/>
      <c r="F40" s="52">
        <f>'KY_Cost Plant Acct-Elec-P14(Tot'!F40</f>
        <v>18.109999999999957</v>
      </c>
      <c r="G40" s="52"/>
      <c r="H40" s="52">
        <f>'KY_Cost Plant Acct-Elec-P14(Tot'!H40</f>
        <v>0</v>
      </c>
      <c r="I40" s="52"/>
      <c r="J40" s="52">
        <f t="shared" si="4"/>
        <v>16474.47</v>
      </c>
      <c r="K40" s="52"/>
      <c r="L40" s="182">
        <f t="shared" si="5"/>
        <v>511314.57999999938</v>
      </c>
    </row>
    <row r="41" spans="1:12">
      <c r="A41" t="s">
        <v>575</v>
      </c>
      <c r="B41" s="65">
        <f>'KY_Cost Plant Acct-Elec-P14(Tot'!B41</f>
        <v>10408984.73</v>
      </c>
      <c r="C41" s="52"/>
      <c r="D41" s="65">
        <f>'KY_Cost Plant Acct-Elec-P14(Tot'!D41</f>
        <v>0</v>
      </c>
      <c r="E41" s="52"/>
      <c r="F41" s="65">
        <f>'KY_Cost Plant Acct-Elec-P14(Tot'!F41</f>
        <v>0</v>
      </c>
      <c r="G41" s="52"/>
      <c r="H41" s="65">
        <f>'KY_Cost Plant Acct-Elec-P14(Tot'!H41</f>
        <v>0</v>
      </c>
      <c r="I41" s="52"/>
      <c r="J41" s="52">
        <f t="shared" si="4"/>
        <v>0</v>
      </c>
      <c r="K41" s="52"/>
      <c r="L41" s="182">
        <f t="shared" si="5"/>
        <v>10408984.73</v>
      </c>
    </row>
    <row r="42" spans="1:12">
      <c r="A42" t="s">
        <v>576</v>
      </c>
      <c r="B42" s="65">
        <f>'KY_Cost Plant Acct-Elec-P14(Tot'!B42</f>
        <v>17930347.479999997</v>
      </c>
      <c r="C42" s="52"/>
      <c r="D42" s="65">
        <f>'KY_Cost Plant Acct-Elec-P14(Tot'!D42</f>
        <v>0</v>
      </c>
      <c r="E42" s="52"/>
      <c r="F42" s="65">
        <f>'KY_Cost Plant Acct-Elec-P14(Tot'!F42</f>
        <v>0</v>
      </c>
      <c r="G42" s="52"/>
      <c r="H42" s="65">
        <f>'KY_Cost Plant Acct-Elec-P14(Tot'!H42</f>
        <v>0</v>
      </c>
      <c r="I42" s="52"/>
      <c r="J42" s="52">
        <f t="shared" si="4"/>
        <v>0</v>
      </c>
      <c r="K42" s="52"/>
      <c r="L42" s="182">
        <f t="shared" si="5"/>
        <v>17930347.479999997</v>
      </c>
    </row>
    <row r="43" spans="1:12">
      <c r="A43" t="s">
        <v>577</v>
      </c>
      <c r="B43" s="65">
        <f>'KY_Cost Plant Acct-Elec-P14(Tot'!B43</f>
        <v>3853196.0599999996</v>
      </c>
      <c r="C43" s="52"/>
      <c r="D43" s="65">
        <f>'KY_Cost Plant Acct-Elec-P14(Tot'!D43</f>
        <v>0</v>
      </c>
      <c r="E43" s="52"/>
      <c r="F43" s="65">
        <f>'KY_Cost Plant Acct-Elec-P14(Tot'!F43</f>
        <v>0</v>
      </c>
      <c r="G43" s="52"/>
      <c r="H43" s="65">
        <f>'KY_Cost Plant Acct-Elec-P14(Tot'!H43</f>
        <v>0</v>
      </c>
      <c r="I43" s="52"/>
      <c r="J43" s="52">
        <f t="shared" si="4"/>
        <v>0</v>
      </c>
      <c r="K43" s="52"/>
      <c r="L43" s="182">
        <f t="shared" si="5"/>
        <v>3853196.0599999996</v>
      </c>
    </row>
    <row r="44" spans="1:12">
      <c r="A44" t="s">
        <v>281</v>
      </c>
      <c r="B44" s="52">
        <f>'KY_Cost Plant Acct-Elec-P14(Tot'!B44</f>
        <v>268453.92000000004</v>
      </c>
      <c r="C44" s="52"/>
      <c r="D44" s="52">
        <f>'KY_Cost Plant Acct-Elec-P14(Tot'!D44</f>
        <v>0</v>
      </c>
      <c r="E44" s="52"/>
      <c r="F44" s="52">
        <f>'KY_Cost Plant Acct-Elec-P14(Tot'!F44</f>
        <v>0</v>
      </c>
      <c r="G44" s="52"/>
      <c r="H44" s="52">
        <f>'KY_Cost Plant Acct-Elec-P14(Tot'!H44</f>
        <v>0</v>
      </c>
      <c r="I44" s="52"/>
      <c r="J44" s="52">
        <f t="shared" si="4"/>
        <v>0</v>
      </c>
      <c r="K44" s="52"/>
      <c r="L44" s="182">
        <f t="shared" si="5"/>
        <v>268453.92000000004</v>
      </c>
    </row>
    <row r="45" spans="1:12">
      <c r="A45" t="s">
        <v>282</v>
      </c>
      <c r="B45" s="52">
        <f>'KY_Cost Plant Acct-Elec-P14(Tot'!B45</f>
        <v>-44756.130000000005</v>
      </c>
      <c r="C45" s="52"/>
      <c r="D45" s="52">
        <f>'KY_Cost Plant Acct-Elec-P14(Tot'!D45</f>
        <v>0</v>
      </c>
      <c r="E45" s="52"/>
      <c r="F45" s="52">
        <f>'KY_Cost Plant Acct-Elec-P14(Tot'!F45</f>
        <v>0</v>
      </c>
      <c r="G45" s="52"/>
      <c r="H45" s="52">
        <f>'KY_Cost Plant Acct-Elec-P14(Tot'!H45</f>
        <v>0</v>
      </c>
      <c r="I45" s="52"/>
      <c r="J45" s="52">
        <f t="shared" si="4"/>
        <v>0</v>
      </c>
      <c r="K45" s="52"/>
      <c r="L45" s="182">
        <f t="shared" si="5"/>
        <v>-44756.130000000005</v>
      </c>
    </row>
    <row r="46" spans="1:12">
      <c r="A46" t="s">
        <v>283</v>
      </c>
      <c r="B46" s="48">
        <f>'KY_Cost Plant Acct-Elec-P14(Tot'!B46</f>
        <v>103528.98</v>
      </c>
      <c r="C46" s="52"/>
      <c r="D46" s="48">
        <f>'KY_Cost Plant Acct-Elec-P14(Tot'!D46</f>
        <v>0</v>
      </c>
      <c r="E46" s="52"/>
      <c r="F46" s="48">
        <f>'KY_Cost Plant Acct-Elec-P14(Tot'!F46</f>
        <v>0</v>
      </c>
      <c r="G46" s="52"/>
      <c r="H46" s="48">
        <f>'KY_Cost Plant Acct-Elec-P14(Tot'!H46</f>
        <v>0</v>
      </c>
      <c r="I46" s="52"/>
      <c r="J46" s="48">
        <f t="shared" si="4"/>
        <v>0</v>
      </c>
      <c r="K46" s="52"/>
      <c r="L46" s="48">
        <f t="shared" si="5"/>
        <v>103528.98</v>
      </c>
    </row>
    <row r="47" spans="1:12">
      <c r="B47" s="52">
        <f>SUM(B39:B46)</f>
        <v>33014601.649999999</v>
      </c>
      <c r="C47" s="52"/>
      <c r="D47" s="52">
        <f>SUM(D39:D46)</f>
        <v>16456.36</v>
      </c>
      <c r="E47" s="52"/>
      <c r="F47" s="52">
        <f>SUM(F39:F46)</f>
        <v>18.109999999999957</v>
      </c>
      <c r="G47" s="52"/>
      <c r="H47" s="52">
        <f>SUM(H39:H46)</f>
        <v>0</v>
      </c>
      <c r="I47" s="52"/>
      <c r="J47" s="52">
        <f>SUM(J39:J46)</f>
        <v>16474.47</v>
      </c>
      <c r="K47" s="52"/>
      <c r="L47" s="52">
        <f>SUM(L39:L46)</f>
        <v>33031076.120000001</v>
      </c>
    </row>
    <row r="48" spans="1:12">
      <c r="B48" s="52"/>
      <c r="C48" s="52"/>
      <c r="D48" s="52"/>
      <c r="E48" s="52"/>
      <c r="F48" s="52"/>
      <c r="G48" s="52"/>
      <c r="H48" s="52"/>
      <c r="I48" s="52"/>
      <c r="J48" s="52"/>
      <c r="K48" s="52"/>
      <c r="L48" s="52"/>
    </row>
    <row r="49" spans="1:12">
      <c r="A49" s="3" t="s">
        <v>810</v>
      </c>
      <c r="B49" s="52"/>
      <c r="C49" s="52"/>
      <c r="D49" s="52"/>
      <c r="E49" s="52"/>
      <c r="F49" s="52"/>
      <c r="G49" s="52"/>
      <c r="H49" s="52"/>
      <c r="I49" s="52"/>
      <c r="J49" s="52"/>
      <c r="K49" s="52"/>
      <c r="L49" s="52"/>
    </row>
    <row r="50" spans="1:12">
      <c r="A50" t="s">
        <v>284</v>
      </c>
      <c r="B50" s="52">
        <f>'KY_Cost Plant Acct-Elec-P14(Tot'!B50</f>
        <v>2240.29</v>
      </c>
      <c r="C50" s="52"/>
      <c r="D50" s="52">
        <f>'KY_Cost Plant Acct-Elec-P14(Tot'!D50</f>
        <v>0</v>
      </c>
      <c r="E50" s="52"/>
      <c r="F50" s="52">
        <f>'KY_Cost Plant Acct-Elec-P14(Tot'!F50</f>
        <v>0</v>
      </c>
      <c r="G50" s="52"/>
      <c r="H50" s="52">
        <f>'KY_Cost Plant Acct-Elec-P14(Tot'!H50</f>
        <v>0</v>
      </c>
      <c r="I50" s="52"/>
      <c r="J50" s="52">
        <f>H50+F50+D50</f>
        <v>0</v>
      </c>
      <c r="K50" s="52"/>
      <c r="L50" s="182">
        <f>B50+J50</f>
        <v>2240.29</v>
      </c>
    </row>
    <row r="51" spans="1:12">
      <c r="A51" t="s">
        <v>285</v>
      </c>
      <c r="B51" s="48">
        <f>'KY_Cost Plant Acct-Elec-P14(Tot'!B51</f>
        <v>0</v>
      </c>
      <c r="C51" s="52"/>
      <c r="D51" s="48">
        <f>'KY_Cost Plant Acct-Elec-P14(Tot'!D51</f>
        <v>0</v>
      </c>
      <c r="E51" s="52"/>
      <c r="F51" s="48">
        <f>'KY_Cost Plant Acct-Elec-P14(Tot'!F51</f>
        <v>0</v>
      </c>
      <c r="G51" s="52"/>
      <c r="H51" s="48">
        <f>'KY_Cost Plant Acct-Elec-P14(Tot'!H51</f>
        <v>0</v>
      </c>
      <c r="I51" s="52"/>
      <c r="J51" s="48">
        <f>H51+F51+D51</f>
        <v>0</v>
      </c>
      <c r="K51" s="52"/>
      <c r="L51" s="48">
        <f>B51+J51</f>
        <v>0</v>
      </c>
    </row>
    <row r="52" spans="1:12">
      <c r="B52" s="52">
        <f>SUM(B50:B51)</f>
        <v>2240.29</v>
      </c>
      <c r="C52" s="52"/>
      <c r="D52" s="52">
        <f>SUM(D50:D51)</f>
        <v>0</v>
      </c>
      <c r="E52" s="52"/>
      <c r="F52" s="52">
        <f>SUM(F50:F51)</f>
        <v>0</v>
      </c>
      <c r="G52" s="52"/>
      <c r="H52" s="52">
        <f>SUM(H50:H51)</f>
        <v>0</v>
      </c>
      <c r="I52" s="52"/>
      <c r="J52" s="52">
        <f>SUM(J50:J51)</f>
        <v>0</v>
      </c>
      <c r="K52" s="52"/>
      <c r="L52" s="52">
        <f>SUM(L50:L51)</f>
        <v>2240.29</v>
      </c>
    </row>
    <row r="53" spans="1:12">
      <c r="B53" s="52"/>
      <c r="C53" s="52"/>
      <c r="D53" s="52"/>
      <c r="E53" s="52"/>
      <c r="F53" s="52"/>
      <c r="G53" s="52"/>
      <c r="H53" s="52"/>
      <c r="I53" s="52"/>
      <c r="J53" s="52"/>
      <c r="K53" s="52"/>
      <c r="L53" s="52"/>
    </row>
    <row r="54" spans="1:12">
      <c r="A54" s="3" t="s">
        <v>811</v>
      </c>
      <c r="B54" s="182"/>
      <c r="C54" s="182"/>
      <c r="D54" s="182"/>
      <c r="E54" s="182"/>
      <c r="F54" s="182"/>
      <c r="G54" s="182"/>
      <c r="H54" s="182"/>
      <c r="I54" s="182"/>
      <c r="J54" s="182"/>
      <c r="K54" s="182"/>
      <c r="L54" s="182"/>
    </row>
    <row r="55" spans="1:12">
      <c r="A55" t="s">
        <v>286</v>
      </c>
      <c r="B55" s="182">
        <f>'KY_Cost Plant Acct-Elec-P14(Tot'!B55</f>
        <v>8132.93</v>
      </c>
      <c r="C55" s="182"/>
      <c r="D55" s="182">
        <f>'KY_Cost Plant Acct-Elec-P14(Tot'!D55</f>
        <v>0</v>
      </c>
      <c r="E55" s="182"/>
      <c r="F55" s="182">
        <f>'KY_Cost Plant Acct-Elec-P14(Tot'!F55</f>
        <v>0</v>
      </c>
      <c r="G55" s="182"/>
      <c r="H55" s="182">
        <f>'KY_Cost Plant Acct-Elec-P14(Tot'!H55</f>
        <v>0</v>
      </c>
      <c r="I55" s="182"/>
      <c r="J55" s="182">
        <f t="shared" ref="J55:J63" si="6">H55+F55+D55</f>
        <v>0</v>
      </c>
      <c r="K55" s="182"/>
      <c r="L55" s="182">
        <f t="shared" ref="L55:L63" si="7">B55+J55</f>
        <v>8132.93</v>
      </c>
    </row>
    <row r="56" spans="1:12">
      <c r="A56" t="s">
        <v>287</v>
      </c>
      <c r="B56" s="182">
        <f>'KY_Cost Plant Acct-Elec-P14(Tot'!B56</f>
        <v>11285341.879999999</v>
      </c>
      <c r="C56" s="182"/>
      <c r="D56" s="182">
        <f>'KY_Cost Plant Acct-Elec-P14(Tot'!D56</f>
        <v>0</v>
      </c>
      <c r="E56" s="182"/>
      <c r="F56" s="182">
        <f>'KY_Cost Plant Acct-Elec-P14(Tot'!F56</f>
        <v>0</v>
      </c>
      <c r="G56" s="182"/>
      <c r="H56" s="182">
        <f>'KY_Cost Plant Acct-Elec-P14(Tot'!H56</f>
        <v>0</v>
      </c>
      <c r="I56" s="182"/>
      <c r="J56" s="182">
        <f t="shared" si="6"/>
        <v>0</v>
      </c>
      <c r="K56" s="182"/>
      <c r="L56" s="182">
        <f t="shared" si="7"/>
        <v>11285341.879999999</v>
      </c>
    </row>
    <row r="57" spans="1:12">
      <c r="A57" t="s">
        <v>288</v>
      </c>
      <c r="B57" s="182">
        <f>'KY_Cost Plant Acct-Elec-P14(Tot'!B57</f>
        <v>5689996.6100000013</v>
      </c>
      <c r="C57" s="182"/>
      <c r="D57" s="182">
        <f>'KY_Cost Plant Acct-Elec-P14(Tot'!D57</f>
        <v>0</v>
      </c>
      <c r="E57" s="182"/>
      <c r="F57" s="182">
        <f>'KY_Cost Plant Acct-Elec-P14(Tot'!F57</f>
        <v>0</v>
      </c>
      <c r="G57" s="182"/>
      <c r="H57" s="182">
        <f>'KY_Cost Plant Acct-Elec-P14(Tot'!H57</f>
        <v>0</v>
      </c>
      <c r="I57" s="182"/>
      <c r="J57" s="182">
        <f t="shared" si="6"/>
        <v>0</v>
      </c>
      <c r="K57" s="182"/>
      <c r="L57" s="182">
        <f t="shared" si="7"/>
        <v>5689996.6100000013</v>
      </c>
    </row>
    <row r="58" spans="1:12">
      <c r="A58" t="s">
        <v>289</v>
      </c>
      <c r="B58" s="182">
        <f>'KY_Cost Plant Acct-Elec-P14(Tot'!B58</f>
        <v>122066226.08999997</v>
      </c>
      <c r="C58" s="182"/>
      <c r="D58" s="182">
        <f>'KY_Cost Plant Acct-Elec-P14(Tot'!D58</f>
        <v>3496324.74</v>
      </c>
      <c r="E58" s="182"/>
      <c r="F58" s="182">
        <f>'KY_Cost Plant Acct-Elec-P14(Tot'!F58</f>
        <v>-482249.92000000004</v>
      </c>
      <c r="G58" s="182"/>
      <c r="H58" s="182">
        <f>'KY_Cost Plant Acct-Elec-P14(Tot'!H58</f>
        <v>0</v>
      </c>
      <c r="I58" s="182"/>
      <c r="J58" s="182">
        <f t="shared" si="6"/>
        <v>3014074.8200000003</v>
      </c>
      <c r="K58" s="182"/>
      <c r="L58" s="182">
        <f t="shared" si="7"/>
        <v>125080300.90999997</v>
      </c>
    </row>
    <row r="59" spans="1:12">
      <c r="A59" t="s">
        <v>290</v>
      </c>
      <c r="B59" s="182">
        <f>'KY_Cost Plant Acct-Elec-P14(Tot'!B59</f>
        <v>18459754.829999998</v>
      </c>
      <c r="C59" s="182"/>
      <c r="D59" s="182">
        <f>'KY_Cost Plant Acct-Elec-P14(Tot'!D59</f>
        <v>0</v>
      </c>
      <c r="E59" s="182"/>
      <c r="F59" s="182">
        <f>'KY_Cost Plant Acct-Elec-P14(Tot'!F59</f>
        <v>0</v>
      </c>
      <c r="G59" s="182"/>
      <c r="H59" s="182">
        <f>'KY_Cost Plant Acct-Elec-P14(Tot'!H59</f>
        <v>0</v>
      </c>
      <c r="I59" s="182"/>
      <c r="J59" s="182">
        <f t="shared" si="6"/>
        <v>0</v>
      </c>
      <c r="K59" s="182"/>
      <c r="L59" s="182">
        <f t="shared" si="7"/>
        <v>18459754.829999998</v>
      </c>
    </row>
    <row r="60" spans="1:12">
      <c r="A60" t="s">
        <v>291</v>
      </c>
      <c r="B60" s="182">
        <f>'KY_Cost Plant Acct-Elec-P14(Tot'!B60</f>
        <v>15404984.049999997</v>
      </c>
      <c r="C60" s="182"/>
      <c r="D60" s="182">
        <f>'KY_Cost Plant Acct-Elec-P14(Tot'!D60</f>
        <v>17830.12</v>
      </c>
      <c r="E60" s="182"/>
      <c r="F60" s="182">
        <f>'KY_Cost Plant Acct-Elec-P14(Tot'!F60</f>
        <v>0</v>
      </c>
      <c r="G60" s="182"/>
      <c r="H60" s="182">
        <f>'KY_Cost Plant Acct-Elec-P14(Tot'!H60</f>
        <v>0</v>
      </c>
      <c r="I60" s="182"/>
      <c r="J60" s="182">
        <f t="shared" si="6"/>
        <v>17830.12</v>
      </c>
      <c r="K60" s="182"/>
      <c r="L60" s="182">
        <f t="shared" si="7"/>
        <v>15422814.169999996</v>
      </c>
    </row>
    <row r="61" spans="1:12">
      <c r="A61" t="s">
        <v>292</v>
      </c>
      <c r="B61" s="182">
        <f>'KY_Cost Plant Acct-Elec-P14(Tot'!B61</f>
        <v>2649667.5600000005</v>
      </c>
      <c r="C61" s="182"/>
      <c r="D61" s="182">
        <f>'KY_Cost Plant Acct-Elec-P14(Tot'!D61</f>
        <v>0</v>
      </c>
      <c r="E61" s="182"/>
      <c r="F61" s="182">
        <f>'KY_Cost Plant Acct-Elec-P14(Tot'!F61</f>
        <v>0</v>
      </c>
      <c r="G61" s="182"/>
      <c r="H61" s="182">
        <f>'KY_Cost Plant Acct-Elec-P14(Tot'!H61</f>
        <v>0</v>
      </c>
      <c r="I61" s="182"/>
      <c r="J61" s="182">
        <f t="shared" si="6"/>
        <v>0</v>
      </c>
      <c r="K61" s="182"/>
      <c r="L61" s="182">
        <f t="shared" si="7"/>
        <v>2649667.5600000005</v>
      </c>
    </row>
    <row r="62" spans="1:12">
      <c r="A62" t="s">
        <v>293</v>
      </c>
      <c r="B62" s="182">
        <f>'KY_Cost Plant Acct-Elec-P14(Tot'!B62</f>
        <v>38429.14</v>
      </c>
      <c r="C62" s="182"/>
      <c r="D62" s="182">
        <f>'KY_Cost Plant Acct-Elec-P14(Tot'!D62</f>
        <v>0</v>
      </c>
      <c r="E62" s="182"/>
      <c r="F62" s="182">
        <f>'KY_Cost Plant Acct-Elec-P14(Tot'!F62</f>
        <v>0</v>
      </c>
      <c r="G62" s="182"/>
      <c r="H62" s="182">
        <f>'KY_Cost Plant Acct-Elec-P14(Tot'!H62</f>
        <v>0</v>
      </c>
      <c r="I62" s="182"/>
      <c r="J62" s="182">
        <f t="shared" si="6"/>
        <v>0</v>
      </c>
      <c r="K62" s="182"/>
      <c r="L62" s="182">
        <f t="shared" si="7"/>
        <v>38429.14</v>
      </c>
    </row>
    <row r="63" spans="1:12">
      <c r="A63" t="s">
        <v>294</v>
      </c>
      <c r="B63" s="48">
        <f>'KY_Cost Plant Acct-Elec-P14(Tot'!B63</f>
        <v>0</v>
      </c>
      <c r="C63" s="182"/>
      <c r="D63" s="48">
        <f>'KY_Cost Plant Acct-Elec-P14(Tot'!D63</f>
        <v>0</v>
      </c>
      <c r="E63" s="182"/>
      <c r="F63" s="48">
        <f>'KY_Cost Plant Acct-Elec-P14(Tot'!F63</f>
        <v>0</v>
      </c>
      <c r="G63" s="182"/>
      <c r="H63" s="48">
        <f>'KY_Cost Plant Acct-Elec-P14(Tot'!H63</f>
        <v>0</v>
      </c>
      <c r="I63" s="182"/>
      <c r="J63" s="48">
        <f t="shared" si="6"/>
        <v>0</v>
      </c>
      <c r="K63" s="52"/>
      <c r="L63" s="48">
        <f t="shared" si="7"/>
        <v>0</v>
      </c>
    </row>
    <row r="64" spans="1:12">
      <c r="B64" s="52">
        <f>SUM(B55:B63)</f>
        <v>175602533.08999997</v>
      </c>
      <c r="C64" s="52"/>
      <c r="D64" s="52">
        <f>SUM(D55:D63)</f>
        <v>3514154.8600000003</v>
      </c>
      <c r="E64" s="52"/>
      <c r="F64" s="52">
        <f>SUM(F55:F63)</f>
        <v>-482249.92000000004</v>
      </c>
      <c r="G64" s="52"/>
      <c r="H64" s="52">
        <f>SUM(H55:H63)</f>
        <v>0</v>
      </c>
      <c r="I64" s="52"/>
      <c r="J64" s="52">
        <f>SUM(J55:J63)</f>
        <v>3031904.9400000004</v>
      </c>
      <c r="K64" s="52"/>
      <c r="L64" s="52">
        <f>SUM(L55:L63)</f>
        <v>178634438.02999994</v>
      </c>
    </row>
    <row r="65" spans="1:12">
      <c r="B65" s="52"/>
      <c r="C65" s="52"/>
      <c r="D65" s="52"/>
      <c r="E65" s="52"/>
      <c r="F65" s="52"/>
      <c r="G65" s="52"/>
      <c r="H65" s="52"/>
      <c r="I65" s="52"/>
      <c r="J65" s="52"/>
      <c r="K65" s="52"/>
      <c r="L65" s="52"/>
    </row>
    <row r="66" spans="1:12">
      <c r="A66" s="3" t="s">
        <v>812</v>
      </c>
      <c r="B66" s="65"/>
      <c r="C66" s="52"/>
      <c r="D66" s="52"/>
      <c r="E66" s="52"/>
      <c r="F66" s="52"/>
      <c r="G66" s="52"/>
      <c r="H66" s="52"/>
      <c r="I66" s="52"/>
      <c r="J66" s="52"/>
      <c r="K66" s="52"/>
      <c r="L66" s="52"/>
    </row>
    <row r="67" spans="1:12">
      <c r="A67" t="s">
        <v>295</v>
      </c>
      <c r="B67" s="65">
        <f>'KY_Cost Plant Acct-Elec-P14(Tot'!B67</f>
        <v>6193327.3699999992</v>
      </c>
      <c r="C67" s="52"/>
      <c r="D67" s="65">
        <f>'KY_Cost Plant Acct-Elec-P14(Tot'!D67</f>
        <v>0</v>
      </c>
      <c r="E67" s="52"/>
      <c r="F67" s="65">
        <f>'KY_Cost Plant Acct-Elec-P14(Tot'!F67</f>
        <v>0</v>
      </c>
      <c r="G67" s="52"/>
      <c r="H67" s="65">
        <f>'KY_Cost Plant Acct-Elec-P14(Tot'!H67</f>
        <v>0</v>
      </c>
      <c r="I67" s="52"/>
      <c r="J67" s="52">
        <f t="shared" ref="J67:J77" si="8">H67+F67+D67</f>
        <v>0</v>
      </c>
      <c r="K67" s="52"/>
      <c r="L67" s="182">
        <f t="shared" ref="L67:L77" si="9">B67+J67</f>
        <v>6193327.3699999992</v>
      </c>
    </row>
    <row r="68" spans="1:12">
      <c r="A68" t="s">
        <v>1431</v>
      </c>
      <c r="B68" s="65">
        <f>'KY_Cost Plant Acct-Elec-P14(Tot'!B68</f>
        <v>100000</v>
      </c>
      <c r="C68" s="52"/>
      <c r="D68" s="65">
        <f>'KY_Cost Plant Acct-Elec-P14(Tot'!D68</f>
        <v>0</v>
      </c>
      <c r="E68" s="52"/>
      <c r="F68" s="65">
        <f>'KY_Cost Plant Acct-Elec-P14(Tot'!F68</f>
        <v>0</v>
      </c>
      <c r="G68" s="52"/>
      <c r="H68" s="65">
        <f>'KY_Cost Plant Acct-Elec-P14(Tot'!H68</f>
        <v>0</v>
      </c>
      <c r="I68" s="52"/>
      <c r="J68" s="52">
        <f t="shared" ref="J68" si="10">H68+F68+D68</f>
        <v>0</v>
      </c>
      <c r="K68" s="52"/>
      <c r="L68" s="182">
        <f t="shared" ref="L68" si="11">B68+J68</f>
        <v>100000</v>
      </c>
    </row>
    <row r="69" spans="1:12">
      <c r="A69" t="s">
        <v>832</v>
      </c>
      <c r="B69" s="65">
        <f>'KY_Cost Plant Acct-Elec-P14(Tot'!B69+'Capital Leased Prop P25 (Tot)'!B10</f>
        <v>112552812.02000001</v>
      </c>
      <c r="C69" s="52"/>
      <c r="D69" s="65">
        <f>'KY_Cost Plant Acct-Elec-P14(Tot'!D69+'Capital Leased Prop P25 (Tot)'!D10</f>
        <v>1231614.57</v>
      </c>
      <c r="E69" s="52"/>
      <c r="F69" s="65">
        <f>'KY_Cost Plant Acct-Elec-P14(Tot'!F69+'Capital Leased Prop P25 (Tot)'!F10</f>
        <v>-5357.2900000000009</v>
      </c>
      <c r="G69" s="52"/>
      <c r="H69" s="65">
        <f>'KY_Cost Plant Acct-Elec-P14(Tot'!H69+'Capital Leased Prop P25 (Tot)'!H10</f>
        <v>0</v>
      </c>
      <c r="I69" s="52"/>
      <c r="J69" s="52">
        <f t="shared" si="8"/>
        <v>1226257.28</v>
      </c>
      <c r="K69" s="52"/>
      <c r="L69" s="182">
        <f t="shared" si="9"/>
        <v>113779069.30000001</v>
      </c>
    </row>
    <row r="70" spans="1:12">
      <c r="A70" t="s">
        <v>833</v>
      </c>
      <c r="B70" s="65">
        <f>'KY_Cost Plant Acct-Elec-P14(Tot'!B70</f>
        <v>7541080.9500000002</v>
      </c>
      <c r="C70" s="52"/>
      <c r="D70" s="65">
        <f>'KY_Cost Plant Acct-Elec-P14(Tot'!D70</f>
        <v>0</v>
      </c>
      <c r="E70" s="52"/>
      <c r="F70" s="65">
        <f>'KY_Cost Plant Acct-Elec-P14(Tot'!F70</f>
        <v>0</v>
      </c>
      <c r="G70" s="52"/>
      <c r="H70" s="65">
        <f>'KY_Cost Plant Acct-Elec-P14(Tot'!H70</f>
        <v>0</v>
      </c>
      <c r="I70" s="52"/>
      <c r="J70" s="52">
        <f t="shared" si="8"/>
        <v>0</v>
      </c>
      <c r="K70" s="52"/>
      <c r="L70" s="182">
        <f t="shared" si="9"/>
        <v>7541080.9500000002</v>
      </c>
    </row>
    <row r="71" spans="1:12">
      <c r="A71" t="s">
        <v>834</v>
      </c>
      <c r="B71" s="65">
        <f>'KY_Cost Plant Acct-Elec-P14(Tot'!B71</f>
        <v>779224772.6099999</v>
      </c>
      <c r="C71" s="52"/>
      <c r="D71" s="65">
        <f>'KY_Cost Plant Acct-Elec-P14(Tot'!D71</f>
        <v>10153601.859999999</v>
      </c>
      <c r="E71" s="52"/>
      <c r="F71" s="65">
        <f>'KY_Cost Plant Acct-Elec-P14(Tot'!F71</f>
        <v>-1058503.4900000002</v>
      </c>
      <c r="G71" s="52"/>
      <c r="H71" s="65">
        <f>'KY_Cost Plant Acct-Elec-P14(Tot'!H71</f>
        <v>0</v>
      </c>
      <c r="I71" s="52"/>
      <c r="J71" s="52">
        <f t="shared" si="8"/>
        <v>9095098.3699999992</v>
      </c>
      <c r="K71" s="52"/>
      <c r="L71" s="182">
        <f t="shared" si="9"/>
        <v>788319870.9799999</v>
      </c>
    </row>
    <row r="72" spans="1:12">
      <c r="A72" t="s">
        <v>835</v>
      </c>
      <c r="B72" s="65">
        <f>'KY_Cost Plant Acct-Elec-P14(Tot'!B72</f>
        <v>70264.270000000019</v>
      </c>
      <c r="C72" s="52"/>
      <c r="D72" s="65">
        <f>'KY_Cost Plant Acct-Elec-P14(Tot'!D72</f>
        <v>0</v>
      </c>
      <c r="E72" s="52"/>
      <c r="F72" s="65">
        <f>'KY_Cost Plant Acct-Elec-P14(Tot'!F72</f>
        <v>0</v>
      </c>
      <c r="G72" s="52"/>
      <c r="H72" s="65">
        <f>'KY_Cost Plant Acct-Elec-P14(Tot'!H72</f>
        <v>0</v>
      </c>
      <c r="I72" s="52"/>
      <c r="J72" s="52">
        <f t="shared" si="8"/>
        <v>0</v>
      </c>
      <c r="K72" s="52"/>
      <c r="L72" s="182">
        <f t="shared" si="9"/>
        <v>70264.270000000019</v>
      </c>
    </row>
    <row r="73" spans="1:12">
      <c r="A73" t="s">
        <v>836</v>
      </c>
      <c r="B73" s="52">
        <f>'KY_Cost Plant Acct-Elec-P14(Tot'!B73</f>
        <v>95728209.38000001</v>
      </c>
      <c r="C73" s="52"/>
      <c r="D73" s="52">
        <f>'KY_Cost Plant Acct-Elec-P14(Tot'!D73</f>
        <v>3147675.25</v>
      </c>
      <c r="E73" s="52"/>
      <c r="F73" s="52">
        <f>'KY_Cost Plant Acct-Elec-P14(Tot'!F73</f>
        <v>-56344.619999999937</v>
      </c>
      <c r="G73" s="52"/>
      <c r="H73" s="52">
        <f>'KY_Cost Plant Acct-Elec-P14(Tot'!H73</f>
        <v>0</v>
      </c>
      <c r="I73" s="52"/>
      <c r="J73" s="52">
        <f t="shared" si="8"/>
        <v>3091330.63</v>
      </c>
      <c r="K73" s="52"/>
      <c r="L73" s="182">
        <f t="shared" si="9"/>
        <v>98819540.010000005</v>
      </c>
    </row>
    <row r="74" spans="1:12">
      <c r="A74" t="s">
        <v>837</v>
      </c>
      <c r="B74" s="52">
        <f>'KY_Cost Plant Acct-Elec-P14(Tot'!B74</f>
        <v>66008825.239999965</v>
      </c>
      <c r="C74" s="52"/>
      <c r="D74" s="52">
        <f>'KY_Cost Plant Acct-Elec-P14(Tot'!D74</f>
        <v>2317439.0499999998</v>
      </c>
      <c r="E74" s="52"/>
      <c r="F74" s="52">
        <f>'KY_Cost Plant Acct-Elec-P14(Tot'!F74</f>
        <v>-1728.0900000000111</v>
      </c>
      <c r="G74" s="52"/>
      <c r="H74" s="52">
        <f>'KY_Cost Plant Acct-Elec-P14(Tot'!H74</f>
        <v>0</v>
      </c>
      <c r="I74" s="52"/>
      <c r="J74" s="52">
        <f t="shared" si="8"/>
        <v>2315710.96</v>
      </c>
      <c r="K74" s="52"/>
      <c r="L74" s="182">
        <f t="shared" si="9"/>
        <v>68324536.199999958</v>
      </c>
    </row>
    <row r="75" spans="1:12">
      <c r="A75" t="s">
        <v>1024</v>
      </c>
      <c r="B75" s="52">
        <f>'KY_Cost Plant Acct-Elec-P14(Tot'!B75</f>
        <v>0</v>
      </c>
      <c r="C75" s="52"/>
      <c r="D75" s="52">
        <f>'KY_Cost Plant Acct-Elec-P14(Tot'!D75</f>
        <v>0</v>
      </c>
      <c r="E75" s="52"/>
      <c r="F75" s="52">
        <f>'KY_Cost Plant Acct-Elec-P14(Tot'!F75</f>
        <v>0</v>
      </c>
      <c r="G75" s="52"/>
      <c r="H75" s="52">
        <f>'KY_Cost Plant Acct-Elec-P14(Tot'!H75</f>
        <v>0</v>
      </c>
      <c r="I75" s="52"/>
      <c r="J75" s="52">
        <f t="shared" si="8"/>
        <v>0</v>
      </c>
      <c r="K75" s="52"/>
      <c r="L75" s="182">
        <f t="shared" si="9"/>
        <v>0</v>
      </c>
    </row>
    <row r="76" spans="1:12">
      <c r="A76" t="s">
        <v>838</v>
      </c>
      <c r="B76" s="52">
        <f>'KY_Cost Plant Acct-Elec-P14(Tot'!B76</f>
        <v>10972886.610000001</v>
      </c>
      <c r="C76" s="52"/>
      <c r="D76" s="52">
        <f>'KY_Cost Plant Acct-Elec-P14(Tot'!D76</f>
        <v>6743.06</v>
      </c>
      <c r="E76" s="52"/>
      <c r="F76" s="52">
        <f>'KY_Cost Plant Acct-Elec-P14(Tot'!F76</f>
        <v>0</v>
      </c>
      <c r="G76" s="52"/>
      <c r="H76" s="52">
        <f>'KY_Cost Plant Acct-Elec-P14(Tot'!H76</f>
        <v>0</v>
      </c>
      <c r="I76" s="52"/>
      <c r="J76" s="52">
        <f t="shared" si="8"/>
        <v>6743.06</v>
      </c>
      <c r="K76" s="52"/>
      <c r="L76" s="182">
        <f t="shared" si="9"/>
        <v>10979629.670000002</v>
      </c>
    </row>
    <row r="77" spans="1:12">
      <c r="A77" t="s">
        <v>839</v>
      </c>
      <c r="B77" s="48">
        <f>'KY_Cost Plant Acct-Elec-P14(Tot'!B77</f>
        <v>27798267.339999996</v>
      </c>
      <c r="C77" s="52"/>
      <c r="D77" s="48">
        <f>'KY_Cost Plant Acct-Elec-P14(Tot'!D77</f>
        <v>0</v>
      </c>
      <c r="E77" s="52"/>
      <c r="F77" s="48">
        <f>'KY_Cost Plant Acct-Elec-P14(Tot'!F77</f>
        <v>0</v>
      </c>
      <c r="G77" s="52"/>
      <c r="H77" s="48">
        <f>'KY_Cost Plant Acct-Elec-P14(Tot'!H77</f>
        <v>0</v>
      </c>
      <c r="I77" s="52"/>
      <c r="J77" s="48">
        <f t="shared" si="8"/>
        <v>0</v>
      </c>
      <c r="K77" s="52"/>
      <c r="L77" s="48">
        <f t="shared" si="9"/>
        <v>27798267.339999996</v>
      </c>
    </row>
    <row r="78" spans="1:12">
      <c r="B78" s="52">
        <f>SUM(B67:B77)</f>
        <v>1106190445.7899997</v>
      </c>
      <c r="C78" s="52"/>
      <c r="D78" s="52">
        <f>SUM(D67:D77)</f>
        <v>16857073.789999999</v>
      </c>
      <c r="E78" s="52"/>
      <c r="F78" s="52">
        <f>SUM(F67:F77)</f>
        <v>-1121933.4900000002</v>
      </c>
      <c r="G78" s="52"/>
      <c r="H78" s="52">
        <f>SUM(H67:H77)</f>
        <v>0</v>
      </c>
      <c r="I78" s="52"/>
      <c r="J78" s="52">
        <f>SUM(J67:J77)</f>
        <v>15735140.299999999</v>
      </c>
      <c r="K78" s="52"/>
      <c r="L78" s="52">
        <f>SUM(L67:L77)</f>
        <v>1121925586.0899999</v>
      </c>
    </row>
    <row r="79" spans="1:12">
      <c r="B79" s="52"/>
      <c r="C79" s="52"/>
      <c r="D79" s="52"/>
      <c r="E79" s="52"/>
      <c r="F79" s="52"/>
      <c r="G79" s="52"/>
      <c r="H79" s="52"/>
      <c r="I79" s="52"/>
      <c r="J79" s="52"/>
      <c r="K79" s="52"/>
      <c r="L79" s="52"/>
    </row>
    <row r="80" spans="1:12">
      <c r="A80" s="3" t="s">
        <v>119</v>
      </c>
      <c r="B80" s="52"/>
      <c r="C80" s="52"/>
      <c r="D80" s="52"/>
      <c r="E80" s="52"/>
      <c r="F80" s="52"/>
      <c r="G80" s="52"/>
      <c r="H80" s="52"/>
      <c r="I80" s="52"/>
      <c r="J80" s="52"/>
      <c r="K80" s="52"/>
      <c r="L80" s="52"/>
    </row>
    <row r="81" spans="1:12">
      <c r="A81" t="s">
        <v>5</v>
      </c>
      <c r="B81" s="52">
        <f>'KY_Cost Plant Acct-Elec-P14(Tot'!B81+'IN_Cost Plant Acct-Elec-P16(Tot'!B11</f>
        <v>5865364.5899999999</v>
      </c>
      <c r="C81" s="52"/>
      <c r="D81" s="52">
        <f>'KY_Cost Plant Acct-Elec-P14(Tot'!D81+'IN_Cost Plant Acct-Elec-P16(Tot'!D11</f>
        <v>10100</v>
      </c>
      <c r="E81" s="52"/>
      <c r="F81" s="52">
        <f>'KY_Cost Plant Acct-Elec-P14(Tot'!F81+'IN_Cost Plant Acct-Elec-P16(Tot'!F11</f>
        <v>0</v>
      </c>
      <c r="G81" s="52"/>
      <c r="H81" s="52">
        <f>'KY_Cost Plant Acct-Elec-P14(Tot'!H81+'IN_Cost Plant Acct-Elec-P16(Tot'!H11</f>
        <v>0</v>
      </c>
      <c r="I81" s="52"/>
      <c r="J81" s="52">
        <f t="shared" ref="J81:J92" si="12">H81+F81+D81</f>
        <v>10100</v>
      </c>
      <c r="K81" s="52"/>
      <c r="L81" s="182">
        <f t="shared" ref="L81:L92" si="13">B81+J81</f>
        <v>5875464.5899999999</v>
      </c>
    </row>
    <row r="82" spans="1:12">
      <c r="A82" t="s">
        <v>6</v>
      </c>
      <c r="B82" s="52">
        <f>'KY_Cost Plant Acct-Elec-P14(Tot'!B82+'IN_Cost Plant Acct-Elec-P16(Tot'!B12</f>
        <v>1573048.99</v>
      </c>
      <c r="C82" s="52"/>
      <c r="D82" s="52">
        <f>'KY_Cost Plant Acct-Elec-P14(Tot'!D82+'IN_Cost Plant Acct-Elec-P16(Tot'!D12</f>
        <v>0</v>
      </c>
      <c r="E82" s="52"/>
      <c r="F82" s="52">
        <f>'KY_Cost Plant Acct-Elec-P14(Tot'!F82+'IN_Cost Plant Acct-Elec-P16(Tot'!F12</f>
        <v>0</v>
      </c>
      <c r="G82" s="52"/>
      <c r="H82" s="52">
        <f>'KY_Cost Plant Acct-Elec-P14(Tot'!H82+'IN_Cost Plant Acct-Elec-P16(Tot'!H12</f>
        <v>0</v>
      </c>
      <c r="I82" s="52"/>
      <c r="J82" s="52">
        <f t="shared" si="12"/>
        <v>0</v>
      </c>
      <c r="K82" s="52"/>
      <c r="L82" s="182">
        <f t="shared" si="13"/>
        <v>1573048.99</v>
      </c>
    </row>
    <row r="83" spans="1:12">
      <c r="A83" t="s">
        <v>7</v>
      </c>
      <c r="B83" s="52">
        <f>'KY_Cost Plant Acct-Elec-P14(Tot'!B83+'IN_Cost Plant Acct-Elec-P16(Tot'!B13</f>
        <v>5213491.790000001</v>
      </c>
      <c r="C83" s="52"/>
      <c r="D83" s="52">
        <f>'KY_Cost Plant Acct-Elec-P14(Tot'!D83+'IN_Cost Plant Acct-Elec-P16(Tot'!D13</f>
        <v>16561.57</v>
      </c>
      <c r="E83" s="52"/>
      <c r="F83" s="52">
        <f>'KY_Cost Plant Acct-Elec-P14(Tot'!F83+'IN_Cost Plant Acct-Elec-P16(Tot'!F13</f>
        <v>0</v>
      </c>
      <c r="G83" s="52"/>
      <c r="H83" s="52">
        <f>'KY_Cost Plant Acct-Elec-P14(Tot'!H83+'IN_Cost Plant Acct-Elec-P16(Tot'!H13</f>
        <v>0</v>
      </c>
      <c r="I83" s="52"/>
      <c r="J83" s="52">
        <f t="shared" si="12"/>
        <v>16561.57</v>
      </c>
      <c r="K83" s="52"/>
      <c r="L83" s="182">
        <f t="shared" si="13"/>
        <v>5230053.3600000013</v>
      </c>
    </row>
    <row r="84" spans="1:12">
      <c r="A84" t="s">
        <v>8</v>
      </c>
      <c r="B84" s="52">
        <f>'KY_Cost Plant Acct-Elec-P14(Tot'!B84+'IN_Cost Plant Acct-Elec-P16(Tot'!B14</f>
        <v>52106080.039999992</v>
      </c>
      <c r="C84" s="52"/>
      <c r="D84" s="52">
        <f>'KY_Cost Plant Acct-Elec-P14(Tot'!D84+'IN_Cost Plant Acct-Elec-P16(Tot'!D14</f>
        <v>2435219.75</v>
      </c>
      <c r="E84" s="52"/>
      <c r="F84" s="52">
        <f>'KY_Cost Plant Acct-Elec-P14(Tot'!F84+'IN_Cost Plant Acct-Elec-P16(Tot'!F14</f>
        <v>-282409.46999999997</v>
      </c>
      <c r="G84" s="52"/>
      <c r="H84" s="52">
        <f>'KY_Cost Plant Acct-Elec-P14(Tot'!H84+'IN_Cost Plant Acct-Elec-P16(Tot'!H14</f>
        <v>0</v>
      </c>
      <c r="I84" s="52"/>
      <c r="J84" s="52">
        <f t="shared" si="12"/>
        <v>2152810.2800000003</v>
      </c>
      <c r="K84" s="52"/>
      <c r="L84" s="182">
        <f t="shared" si="13"/>
        <v>54258890.319999993</v>
      </c>
    </row>
    <row r="85" spans="1:12">
      <c r="A85" t="s">
        <v>840</v>
      </c>
      <c r="B85" s="52">
        <f>'KY_Cost Plant Acct-Elec-P14(Tot'!B85</f>
        <v>-5748.1100000000006</v>
      </c>
      <c r="C85" s="52"/>
      <c r="D85" s="52">
        <f>'KY_Cost Plant Acct-Elec-P14(Tot'!D85</f>
        <v>0</v>
      </c>
      <c r="E85" s="52"/>
      <c r="F85" s="52">
        <f>'KY_Cost Plant Acct-Elec-P14(Tot'!F85</f>
        <v>0</v>
      </c>
      <c r="G85" s="52"/>
      <c r="H85" s="52">
        <f>'KY_Cost Plant Acct-Elec-P14(Tot'!H85</f>
        <v>0</v>
      </c>
      <c r="I85" s="52"/>
      <c r="J85" s="52">
        <f t="shared" si="12"/>
        <v>0</v>
      </c>
      <c r="K85" s="52"/>
      <c r="L85" s="182">
        <f t="shared" si="13"/>
        <v>-5748.1100000000006</v>
      </c>
    </row>
    <row r="86" spans="1:12">
      <c r="A86" t="s">
        <v>9</v>
      </c>
      <c r="B86" s="52">
        <f>'KY_Cost Plant Acct-Elec-P14(Tot'!B86+'IN_Cost Plant Acct-Elec-P16(Tot'!B15</f>
        <v>10238065.929999996</v>
      </c>
      <c r="C86" s="52"/>
      <c r="D86" s="52">
        <f>'KY_Cost Plant Acct-Elec-P14(Tot'!D86+'IN_Cost Plant Acct-Elec-P16(Tot'!D15</f>
        <v>0</v>
      </c>
      <c r="E86" s="52"/>
      <c r="F86" s="52">
        <f>'KY_Cost Plant Acct-Elec-P14(Tot'!F86+'IN_Cost Plant Acct-Elec-P16(Tot'!F15</f>
        <v>-46984.17</v>
      </c>
      <c r="G86" s="52"/>
      <c r="H86" s="52">
        <f>'KY_Cost Plant Acct-Elec-P14(Tot'!H86+'IN_Cost Plant Acct-Elec-P16(Tot'!H15</f>
        <v>0</v>
      </c>
      <c r="I86" s="52"/>
      <c r="J86" s="52">
        <f t="shared" si="12"/>
        <v>-46984.17</v>
      </c>
      <c r="K86" s="52"/>
      <c r="L86" s="182">
        <f t="shared" si="13"/>
        <v>10191081.759999996</v>
      </c>
    </row>
    <row r="87" spans="1:12">
      <c r="A87" t="s">
        <v>10</v>
      </c>
      <c r="B87" s="52">
        <f>'KY_Cost Plant Acct-Elec-P14(Tot'!B87+'IN_Cost Plant Acct-Elec-P16(Tot'!B16</f>
        <v>30839204.769999996</v>
      </c>
      <c r="C87" s="52"/>
      <c r="D87" s="52">
        <f>'KY_Cost Plant Acct-Elec-P14(Tot'!D87+'IN_Cost Plant Acct-Elec-P16(Tot'!D16</f>
        <v>877252.25</v>
      </c>
      <c r="E87" s="52"/>
      <c r="F87" s="52">
        <f>'KY_Cost Plant Acct-Elec-P14(Tot'!F87+'IN_Cost Plant Acct-Elec-P16(Tot'!F16</f>
        <v>-34999.94</v>
      </c>
      <c r="G87" s="52"/>
      <c r="H87" s="52">
        <f>'KY_Cost Plant Acct-Elec-P14(Tot'!H87+'IN_Cost Plant Acct-Elec-P16(Tot'!H16</f>
        <v>0</v>
      </c>
      <c r="I87" s="52"/>
      <c r="J87" s="52">
        <f t="shared" si="12"/>
        <v>842252.31</v>
      </c>
      <c r="K87" s="52"/>
      <c r="L87" s="182">
        <f t="shared" si="13"/>
        <v>31681457.079999994</v>
      </c>
    </row>
    <row r="88" spans="1:12">
      <c r="A88" t="s">
        <v>11</v>
      </c>
      <c r="B88" s="52">
        <f>'KY_Cost Plant Acct-Elec-P14(Tot'!B88+'IN_Cost Plant Acct-Elec-P16(Tot'!B17</f>
        <v>25576492.870000005</v>
      </c>
      <c r="C88" s="52"/>
      <c r="D88" s="52">
        <f>'KY_Cost Plant Acct-Elec-P14(Tot'!D88+'IN_Cost Plant Acct-Elec-P16(Tot'!D17</f>
        <v>314875.17</v>
      </c>
      <c r="E88" s="52"/>
      <c r="F88" s="52">
        <f>'KY_Cost Plant Acct-Elec-P14(Tot'!F88+'IN_Cost Plant Acct-Elec-P16(Tot'!F17</f>
        <v>-13658.170000000006</v>
      </c>
      <c r="G88" s="52"/>
      <c r="H88" s="52">
        <f>'KY_Cost Plant Acct-Elec-P14(Tot'!H88+'IN_Cost Plant Acct-Elec-P16(Tot'!H17</f>
        <v>0</v>
      </c>
      <c r="I88" s="52"/>
      <c r="J88" s="52">
        <f t="shared" si="12"/>
        <v>301217</v>
      </c>
      <c r="K88" s="52"/>
      <c r="L88" s="182">
        <f t="shared" si="13"/>
        <v>25877709.870000005</v>
      </c>
    </row>
    <row r="89" spans="1:12">
      <c r="A89" t="s">
        <v>841</v>
      </c>
      <c r="B89" s="52">
        <f>'KY_Cost Plant Acct-Elec-P14(Tot'!B89</f>
        <v>1871055.4299999997</v>
      </c>
      <c r="C89" s="52"/>
      <c r="D89" s="52">
        <f>'KY_Cost Plant Acct-Elec-P14(Tot'!D89</f>
        <v>8406.41</v>
      </c>
      <c r="E89" s="52"/>
      <c r="F89" s="52">
        <f>'KY_Cost Plant Acct-Elec-P14(Tot'!F89</f>
        <v>-28654.369999999995</v>
      </c>
      <c r="G89" s="52"/>
      <c r="H89" s="52">
        <f>'KY_Cost Plant Acct-Elec-P14(Tot'!H89</f>
        <v>0</v>
      </c>
      <c r="I89" s="52"/>
      <c r="J89" s="52">
        <f t="shared" si="12"/>
        <v>-20247.959999999995</v>
      </c>
      <c r="K89" s="52"/>
      <c r="L89" s="182">
        <f t="shared" si="13"/>
        <v>1850807.4699999997</v>
      </c>
    </row>
    <row r="90" spans="1:12">
      <c r="A90" t="s">
        <v>842</v>
      </c>
      <c r="B90" s="52">
        <f>'KY_Cost Plant Acct-Elec-P14(Tot'!B90</f>
        <v>3688471.82</v>
      </c>
      <c r="C90" s="52"/>
      <c r="D90" s="52">
        <f>'KY_Cost Plant Acct-Elec-P14(Tot'!D90</f>
        <v>2004868.88</v>
      </c>
      <c r="E90" s="52"/>
      <c r="F90" s="52">
        <f>'KY_Cost Plant Acct-Elec-P14(Tot'!F90</f>
        <v>-50012.210000000021</v>
      </c>
      <c r="G90" s="52"/>
      <c r="H90" s="52">
        <f>'KY_Cost Plant Acct-Elec-P14(Tot'!H90</f>
        <v>0</v>
      </c>
      <c r="I90" s="52"/>
      <c r="J90" s="52">
        <f t="shared" si="12"/>
        <v>1954856.67</v>
      </c>
      <c r="K90" s="52"/>
      <c r="L90" s="182">
        <f t="shared" si="13"/>
        <v>5643328.4900000002</v>
      </c>
    </row>
    <row r="91" spans="1:12">
      <c r="A91" t="s">
        <v>843</v>
      </c>
      <c r="B91" s="52">
        <f>'KY_Cost Plant Acct-Elec-P14(Tot'!B91</f>
        <v>13760.73</v>
      </c>
      <c r="C91" s="52"/>
      <c r="D91" s="52">
        <f>'KY_Cost Plant Acct-Elec-P14(Tot'!D91</f>
        <v>0</v>
      </c>
      <c r="E91" s="52"/>
      <c r="F91" s="52">
        <f>'KY_Cost Plant Acct-Elec-P14(Tot'!F91</f>
        <v>0</v>
      </c>
      <c r="G91" s="52"/>
      <c r="H91" s="52">
        <f>'KY_Cost Plant Acct-Elec-P14(Tot'!H91</f>
        <v>0</v>
      </c>
      <c r="I91" s="52"/>
      <c r="J91" s="52">
        <f t="shared" si="12"/>
        <v>0</v>
      </c>
      <c r="K91" s="52"/>
      <c r="L91" s="182">
        <f t="shared" si="13"/>
        <v>13760.73</v>
      </c>
    </row>
    <row r="92" spans="1:12">
      <c r="A92" t="s">
        <v>844</v>
      </c>
      <c r="B92" s="48">
        <f>'KY_Cost Plant Acct-Elec-P14(Tot'!B92</f>
        <v>238693.59</v>
      </c>
      <c r="C92" s="52"/>
      <c r="D92" s="48">
        <f>'KY_Cost Plant Acct-Elec-P14(Tot'!D92</f>
        <v>0</v>
      </c>
      <c r="E92" s="52"/>
      <c r="F92" s="48">
        <f>'KY_Cost Plant Acct-Elec-P14(Tot'!F92</f>
        <v>0</v>
      </c>
      <c r="G92" s="52"/>
      <c r="H92" s="48">
        <f>'KY_Cost Plant Acct-Elec-P14(Tot'!H92</f>
        <v>0</v>
      </c>
      <c r="I92" s="52"/>
      <c r="J92" s="48">
        <f t="shared" si="12"/>
        <v>0</v>
      </c>
      <c r="K92" s="52"/>
      <c r="L92" s="48">
        <f t="shared" si="13"/>
        <v>238693.59</v>
      </c>
    </row>
    <row r="93" spans="1:12">
      <c r="B93" s="52">
        <f>SUM(B81:B92)</f>
        <v>137217982.43999997</v>
      </c>
      <c r="C93" s="52"/>
      <c r="D93" s="52">
        <f>SUM(D81:D92)</f>
        <v>5667284.0299999993</v>
      </c>
      <c r="E93" s="52"/>
      <c r="F93" s="52">
        <f>SUM(F81:F92)</f>
        <v>-456718.32999999996</v>
      </c>
      <c r="G93" s="52"/>
      <c r="H93" s="52">
        <f>SUM(H81:H92)</f>
        <v>0</v>
      </c>
      <c r="I93" s="52"/>
      <c r="J93" s="52">
        <f>SUM(J81:J92)</f>
        <v>5210565.7</v>
      </c>
      <c r="K93" s="52"/>
      <c r="L93" s="52">
        <f>SUM(L81:L92)</f>
        <v>142428548.13999999</v>
      </c>
    </row>
    <row r="94" spans="1:12">
      <c r="B94" s="52"/>
      <c r="C94" s="52"/>
      <c r="D94" s="52"/>
      <c r="E94" s="52"/>
      <c r="F94" s="52"/>
      <c r="G94" s="52"/>
      <c r="H94" s="52"/>
      <c r="I94" s="52"/>
      <c r="J94" s="52"/>
      <c r="K94" s="52"/>
      <c r="L94" s="52"/>
    </row>
    <row r="95" spans="1:12">
      <c r="B95" s="182"/>
      <c r="C95" s="182"/>
      <c r="D95" s="182"/>
      <c r="E95" s="182"/>
      <c r="F95" s="182"/>
      <c r="G95" s="182"/>
      <c r="H95" s="182"/>
      <c r="I95" s="182"/>
      <c r="J95" s="182"/>
      <c r="K95" s="182"/>
      <c r="L95" s="182"/>
    </row>
    <row r="96" spans="1:12">
      <c r="A96" s="3" t="s">
        <v>824</v>
      </c>
      <c r="B96" s="88">
        <f>B93+B78+B64+B52+B47+B36+B27</f>
        <v>2150178723.3999996</v>
      </c>
      <c r="C96" s="52"/>
      <c r="D96" s="88">
        <f>D93+D78+D64+D52+D47+D36+D27</f>
        <v>46442238.420000002</v>
      </c>
      <c r="E96" s="52"/>
      <c r="F96" s="88">
        <f>F93+F78+F64+F52+F47+F36+F27</f>
        <v>-3273037.56</v>
      </c>
      <c r="G96" s="52"/>
      <c r="H96" s="88">
        <f>H93+H78+H64+H52+H47+H36+H27</f>
        <v>21903.139999999981</v>
      </c>
      <c r="I96" s="52"/>
      <c r="J96" s="88">
        <f>J93+J78+J64+J52+J47+J36+J27</f>
        <v>43191104</v>
      </c>
      <c r="K96" s="52"/>
      <c r="L96" s="88">
        <f>L93+L78+L64+L52+L47+L36+L27</f>
        <v>2193369827.3999996</v>
      </c>
    </row>
    <row r="97" spans="1:13">
      <c r="B97" s="182"/>
      <c r="C97" s="182"/>
      <c r="D97" s="182"/>
      <c r="E97" s="182"/>
      <c r="F97" s="182"/>
      <c r="G97" s="182"/>
      <c r="H97" s="182"/>
      <c r="I97" s="182"/>
      <c r="J97" s="182"/>
      <c r="K97" s="182"/>
      <c r="L97" s="182"/>
    </row>
    <row r="98" spans="1:13">
      <c r="B98" s="52"/>
      <c r="C98" s="182"/>
      <c r="D98" s="52"/>
      <c r="E98" s="182"/>
      <c r="F98" s="52"/>
      <c r="G98" s="182"/>
      <c r="H98" s="52"/>
      <c r="I98" s="182"/>
      <c r="J98" s="52"/>
      <c r="K98" s="52"/>
      <c r="L98" s="52"/>
    </row>
    <row r="99" spans="1:13">
      <c r="A99" s="3" t="s">
        <v>689</v>
      </c>
      <c r="B99" s="33"/>
      <c r="C99" s="33"/>
      <c r="D99" s="33"/>
      <c r="E99" s="33"/>
      <c r="F99" s="33"/>
      <c r="G99" s="33"/>
      <c r="H99" s="33"/>
      <c r="I99" s="33"/>
      <c r="J99" s="33"/>
      <c r="K99" s="33"/>
      <c r="L99" s="33"/>
    </row>
    <row r="100" spans="1:13">
      <c r="A100" s="3" t="s">
        <v>691</v>
      </c>
      <c r="B100" s="33"/>
      <c r="C100" s="33"/>
      <c r="D100" s="33"/>
      <c r="E100" s="33"/>
      <c r="F100" s="33"/>
      <c r="G100" s="33"/>
      <c r="H100" s="33"/>
      <c r="I100" s="33"/>
      <c r="J100" s="33"/>
      <c r="K100" s="33"/>
      <c r="L100" s="33"/>
    </row>
    <row r="101" spans="1:13">
      <c r="A101" t="s">
        <v>275</v>
      </c>
      <c r="B101" s="33">
        <f>'KY_Cost Plant Acct-Elec-P14(Tot'!B100</f>
        <v>0</v>
      </c>
      <c r="C101" s="33"/>
      <c r="D101" s="33">
        <f>'KY_Cost Plant Acct-Elec-P14(Tot'!D100</f>
        <v>630992.79</v>
      </c>
      <c r="E101" s="33"/>
      <c r="F101" s="33">
        <f>'KY_Cost Plant Acct-Elec-P14(Tot'!F100</f>
        <v>0</v>
      </c>
      <c r="G101" s="33"/>
      <c r="H101" s="33">
        <f>'KY_Cost Plant Acct-Elec-P14(Tot'!H100</f>
        <v>0</v>
      </c>
      <c r="I101" s="33"/>
      <c r="J101" s="33">
        <f>D101+F101+H101</f>
        <v>630992.79</v>
      </c>
      <c r="K101" s="33"/>
      <c r="L101" s="33">
        <f>J101+B101</f>
        <v>630992.79</v>
      </c>
    </row>
    <row r="102" spans="1:13">
      <c r="A102" t="s">
        <v>12</v>
      </c>
      <c r="B102" s="33">
        <f>'KY_Cost Plant Acct-Elec-P14(Tot'!B101+'IN_Cost Plant Acct-Elec-P16(Tot'!B26</f>
        <v>8371690.5</v>
      </c>
      <c r="C102" s="33"/>
      <c r="D102" s="33">
        <f>'KY_Cost Plant Acct-Elec-P14(Tot'!D101+'IN_Cost Plant Acct-Elec-P16(Tot'!D26</f>
        <v>7924335.0900000008</v>
      </c>
      <c r="E102" s="33"/>
      <c r="F102" s="33">
        <f>'KY_Cost Plant Acct-Elec-P14(Tot'!F101</f>
        <v>0</v>
      </c>
      <c r="G102" s="33"/>
      <c r="H102" s="33">
        <f>'KY_Cost Plant Acct-Elec-P14(Tot'!H101</f>
        <v>0</v>
      </c>
      <c r="I102" s="33"/>
      <c r="J102" s="33">
        <f t="shared" ref="J102:J111" si="14">D102+F102+H102</f>
        <v>7924335.0900000008</v>
      </c>
      <c r="K102" s="33"/>
      <c r="L102" s="33">
        <f t="shared" ref="L102:L111" si="15">J102+B102</f>
        <v>16296025.59</v>
      </c>
    </row>
    <row r="103" spans="1:13">
      <c r="A103" t="s">
        <v>276</v>
      </c>
      <c r="B103" s="33">
        <f>'KY_Cost Plant Acct-Elec-P14(Tot'!B102</f>
        <v>2387594.7400000002</v>
      </c>
      <c r="C103" s="33"/>
      <c r="D103" s="33">
        <f>'KY_Cost Plant Acct-Elec-P14(Tot'!D102</f>
        <v>2257875.67</v>
      </c>
      <c r="E103" s="33"/>
      <c r="F103" s="33">
        <f>'KY_Cost Plant Acct-Elec-P14(Tot'!F102</f>
        <v>0</v>
      </c>
      <c r="G103" s="33"/>
      <c r="H103" s="33">
        <f>'KY_Cost Plant Acct-Elec-P14(Tot'!H102</f>
        <v>0</v>
      </c>
      <c r="I103" s="33"/>
      <c r="J103" s="33">
        <f t="shared" si="14"/>
        <v>2257875.67</v>
      </c>
      <c r="K103" s="33"/>
      <c r="L103" s="33">
        <f t="shared" si="15"/>
        <v>4645470.41</v>
      </c>
    </row>
    <row r="104" spans="1:13">
      <c r="A104" t="s">
        <v>277</v>
      </c>
      <c r="B104" s="33">
        <f>'KY_Cost Plant Acct-Elec-P14(Tot'!B103</f>
        <v>4648505.72</v>
      </c>
      <c r="C104" s="33"/>
      <c r="D104" s="33">
        <f>'KY_Cost Plant Acct-Elec-P14(Tot'!D103</f>
        <v>1015817.96</v>
      </c>
      <c r="E104" s="33"/>
      <c r="F104" s="33">
        <f>'KY_Cost Plant Acct-Elec-P14(Tot'!F103</f>
        <v>0</v>
      </c>
      <c r="G104" s="33"/>
      <c r="H104" s="33">
        <f>'KY_Cost Plant Acct-Elec-P14(Tot'!H103</f>
        <v>0</v>
      </c>
      <c r="I104" s="33"/>
      <c r="J104" s="33">
        <f t="shared" si="14"/>
        <v>1015817.96</v>
      </c>
      <c r="K104" s="33"/>
      <c r="L104" s="33">
        <f t="shared" si="15"/>
        <v>5664323.6799999997</v>
      </c>
    </row>
    <row r="105" spans="1:13">
      <c r="A105" t="s">
        <v>278</v>
      </c>
      <c r="B105" s="33">
        <f>'KY_Cost Plant Acct-Elec-P14(Tot'!B104</f>
        <v>1218416.31</v>
      </c>
      <c r="C105" s="33"/>
      <c r="D105" s="33">
        <f>'KY_Cost Plant Acct-Elec-P14(Tot'!D104</f>
        <v>-607202.66000000015</v>
      </c>
      <c r="E105" s="33"/>
      <c r="F105" s="33">
        <f>'KY_Cost Plant Acct-Elec-P14(Tot'!F104</f>
        <v>0</v>
      </c>
      <c r="G105" s="33"/>
      <c r="H105" s="33">
        <f>'KY_Cost Plant Acct-Elec-P14(Tot'!H104</f>
        <v>0</v>
      </c>
      <c r="I105" s="33"/>
      <c r="J105" s="33">
        <f t="shared" si="14"/>
        <v>-607202.66000000015</v>
      </c>
      <c r="K105" s="33"/>
      <c r="L105" s="33">
        <f t="shared" si="15"/>
        <v>611213.64999999991</v>
      </c>
    </row>
    <row r="106" spans="1:13">
      <c r="A106" t="s">
        <v>279</v>
      </c>
      <c r="B106" s="33">
        <f>'KY_Cost Plant Acct-Elec-P14(Tot'!B105</f>
        <v>4214137.7299999977</v>
      </c>
      <c r="C106" s="33"/>
      <c r="D106" s="33">
        <f>'KY_Cost Plant Acct-Elec-P14(Tot'!D105</f>
        <v>685443.83000000019</v>
      </c>
      <c r="E106" s="33"/>
      <c r="F106" s="33">
        <f>'KY_Cost Plant Acct-Elec-P14(Tot'!F105</f>
        <v>0</v>
      </c>
      <c r="G106" s="33"/>
      <c r="H106" s="33">
        <f>'KY_Cost Plant Acct-Elec-P14(Tot'!H105</f>
        <v>0</v>
      </c>
      <c r="I106" s="33"/>
      <c r="J106" s="33">
        <f t="shared" si="14"/>
        <v>685443.83000000019</v>
      </c>
      <c r="K106" s="33"/>
      <c r="L106" s="33">
        <f t="shared" si="15"/>
        <v>4899581.5599999977</v>
      </c>
    </row>
    <row r="107" spans="1:13">
      <c r="A107" t="s">
        <v>280</v>
      </c>
      <c r="B107" s="33">
        <f>'KY_Cost Plant Acct-Elec-P14(Tot'!B106</f>
        <v>1810122.48</v>
      </c>
      <c r="C107" s="33"/>
      <c r="D107" s="33">
        <f>'KY_Cost Plant Acct-Elec-P14(Tot'!D106</f>
        <v>-311140.33</v>
      </c>
      <c r="E107" s="33"/>
      <c r="F107" s="33">
        <f>'KY_Cost Plant Acct-Elec-P14(Tot'!F106</f>
        <v>0</v>
      </c>
      <c r="G107" s="33"/>
      <c r="H107" s="33">
        <f>'KY_Cost Plant Acct-Elec-P14(Tot'!H106</f>
        <v>0</v>
      </c>
      <c r="I107" s="33"/>
      <c r="J107" s="33">
        <f t="shared" si="14"/>
        <v>-311140.33</v>
      </c>
      <c r="K107" s="33"/>
      <c r="L107" s="33">
        <f t="shared" si="15"/>
        <v>1498982.15</v>
      </c>
    </row>
    <row r="108" spans="1:13">
      <c r="A108" t="s">
        <v>308</v>
      </c>
      <c r="B108" s="33">
        <f>'KY_Cost Plant Acct-Elec-P14(Tot'!B107</f>
        <v>180215.29000000021</v>
      </c>
      <c r="C108" s="33"/>
      <c r="D108" s="33">
        <f>'KY_Cost Plant Acct-Elec-P14(Tot'!D107</f>
        <v>-66252.38</v>
      </c>
      <c r="E108" s="33"/>
      <c r="F108" s="33">
        <f>'KY_Cost Plant Acct-Elec-P14(Tot'!F107</f>
        <v>0</v>
      </c>
      <c r="G108" s="33"/>
      <c r="H108" s="33">
        <f>'KY_Cost Plant Acct-Elec-P14(Tot'!H107</f>
        <v>0</v>
      </c>
      <c r="I108" s="33"/>
      <c r="J108" s="33">
        <f t="shared" si="14"/>
        <v>-66252.38</v>
      </c>
      <c r="K108" s="33"/>
      <c r="L108" s="33">
        <f t="shared" si="15"/>
        <v>113962.91000000021</v>
      </c>
    </row>
    <row r="109" spans="1:13">
      <c r="A109" t="s">
        <v>310</v>
      </c>
      <c r="B109" s="33">
        <v>0</v>
      </c>
      <c r="C109" s="33"/>
      <c r="D109" s="33">
        <f>'KY_Cost Plant Acct-Elec-P14(Tot'!D108</f>
        <v>0</v>
      </c>
      <c r="E109" s="33"/>
      <c r="F109" s="33">
        <f>'KY_Cost Plant Acct-Elec-P14(Tot'!F108</f>
        <v>0</v>
      </c>
      <c r="G109" s="33"/>
      <c r="H109" s="33">
        <f>'KY_Cost Plant Acct-Elec-P14(Tot'!H108</f>
        <v>0</v>
      </c>
      <c r="I109" s="33"/>
      <c r="J109" s="33">
        <f t="shared" si="14"/>
        <v>0</v>
      </c>
      <c r="K109" s="33"/>
      <c r="L109" s="33">
        <f t="shared" si="15"/>
        <v>0</v>
      </c>
    </row>
    <row r="110" spans="1:13">
      <c r="A110" t="s">
        <v>311</v>
      </c>
      <c r="B110" s="33">
        <f>'KY_Cost Plant Acct-Elec-P14(Tot'!B109</f>
        <v>284807.73000000027</v>
      </c>
      <c r="C110" s="33"/>
      <c r="D110" s="33">
        <f>'KY_Cost Plant Acct-Elec-P14(Tot'!D109</f>
        <v>291154.35000000003</v>
      </c>
      <c r="E110" s="33"/>
      <c r="F110" s="33">
        <f>'KY_Cost Plant Acct-Elec-P14(Tot'!F109</f>
        <v>0</v>
      </c>
      <c r="G110" s="33"/>
      <c r="H110" s="33">
        <f>'KY_Cost Plant Acct-Elec-P14(Tot'!H109</f>
        <v>0</v>
      </c>
      <c r="I110" s="33"/>
      <c r="J110" s="33">
        <f t="shared" si="14"/>
        <v>291154.35000000003</v>
      </c>
      <c r="K110" s="33"/>
      <c r="L110" s="33">
        <f t="shared" si="15"/>
        <v>575962.08000000031</v>
      </c>
    </row>
    <row r="111" spans="1:13">
      <c r="A111" t="s">
        <v>312</v>
      </c>
      <c r="B111" s="35">
        <f>'KY_Cost Plant Acct-Elec-P14(Tot'!B110</f>
        <v>78607.870000000214</v>
      </c>
      <c r="C111" s="37"/>
      <c r="D111" s="35">
        <f>'KY_Cost Plant Acct-Elec-P14(Tot'!D110</f>
        <v>34512.650000000009</v>
      </c>
      <c r="E111" s="37"/>
      <c r="F111" s="35">
        <f>'KY_Cost Plant Acct-Elec-P14(Tot'!F110</f>
        <v>0</v>
      </c>
      <c r="G111" s="37"/>
      <c r="H111" s="35">
        <f>'KY_Cost Plant Acct-Elec-P14(Tot'!H110</f>
        <v>0</v>
      </c>
      <c r="I111" s="37"/>
      <c r="J111" s="35">
        <f t="shared" si="14"/>
        <v>34512.650000000009</v>
      </c>
      <c r="K111" s="37"/>
      <c r="L111" s="35">
        <f t="shared" si="15"/>
        <v>113120.52000000022</v>
      </c>
      <c r="M111" s="7"/>
    </row>
    <row r="112" spans="1:13">
      <c r="B112" s="37">
        <f>SUM(B101:B111)</f>
        <v>23194098.370000001</v>
      </c>
      <c r="C112" s="37"/>
      <c r="D112" s="37">
        <f>SUM(D101:D111)</f>
        <v>11855536.970000001</v>
      </c>
      <c r="E112" s="37"/>
      <c r="F112" s="37">
        <f>SUM(F101:F111)</f>
        <v>0</v>
      </c>
      <c r="G112" s="37"/>
      <c r="H112" s="37">
        <f>SUM(H101:H111)</f>
        <v>0</v>
      </c>
      <c r="I112" s="37"/>
      <c r="J112" s="37">
        <f>SUM(J101:J111)</f>
        <v>11855536.970000001</v>
      </c>
      <c r="K112" s="37"/>
      <c r="L112" s="37">
        <f>SUM(L101:L111)</f>
        <v>35049635.340000004</v>
      </c>
      <c r="M112" s="7"/>
    </row>
    <row r="113" spans="1:13">
      <c r="B113" s="37"/>
      <c r="C113" s="37"/>
      <c r="D113" s="37"/>
      <c r="E113" s="37"/>
      <c r="F113" s="37"/>
      <c r="G113" s="37"/>
      <c r="H113" s="37"/>
      <c r="I113" s="37"/>
      <c r="J113" s="37"/>
      <c r="K113" s="37"/>
      <c r="L113" s="37"/>
      <c r="M113" s="7"/>
    </row>
    <row r="114" spans="1:13">
      <c r="A114" s="3" t="s">
        <v>813</v>
      </c>
      <c r="B114" s="37"/>
      <c r="C114" s="37"/>
      <c r="D114" s="37"/>
      <c r="E114" s="37"/>
      <c r="F114" s="37"/>
      <c r="G114" s="37"/>
      <c r="H114" s="37"/>
      <c r="I114" s="37"/>
      <c r="J114" s="37"/>
      <c r="K114" s="37"/>
      <c r="L114" s="37"/>
      <c r="M114" s="7"/>
    </row>
    <row r="115" spans="1:13">
      <c r="A115" t="s">
        <v>316</v>
      </c>
      <c r="B115" s="37">
        <f>'KY_Cost Plant Acct-Elec-P14(Tot'!B114</f>
        <v>0</v>
      </c>
      <c r="C115" s="37"/>
      <c r="D115" s="37">
        <f>'KY_Cost Plant Acct-Elec-P14(Tot'!D114</f>
        <v>63825.04</v>
      </c>
      <c r="E115" s="37"/>
      <c r="F115" s="37">
        <f>'KY_Cost Plant Acct-Elec-P14(Tot'!F114</f>
        <v>0</v>
      </c>
      <c r="G115" s="37"/>
      <c r="H115" s="37">
        <f>'KY_Cost Plant Acct-Elec-P14(Tot'!H114</f>
        <v>0</v>
      </c>
      <c r="I115" s="37"/>
      <c r="J115" s="37">
        <f>D115+F115+H115</f>
        <v>63825.04</v>
      </c>
      <c r="K115" s="37"/>
      <c r="L115" s="37">
        <f>J115+B115</f>
        <v>63825.04</v>
      </c>
      <c r="M115" s="7"/>
    </row>
    <row r="116" spans="1:13">
      <c r="A116" t="s">
        <v>973</v>
      </c>
      <c r="B116" s="37">
        <f>'KY_Cost Plant Acct-Elec-P14(Tot'!B115</f>
        <v>6763.2200000000084</v>
      </c>
      <c r="C116" s="37"/>
      <c r="D116" s="37">
        <f>'KY_Cost Plant Acct-Elec-P14(Tot'!D115</f>
        <v>0</v>
      </c>
      <c r="E116" s="37"/>
      <c r="F116" s="37">
        <f>'KY_Cost Plant Acct-Elec-P14(Tot'!F115</f>
        <v>0</v>
      </c>
      <c r="G116" s="37"/>
      <c r="H116" s="37">
        <f>'KY_Cost Plant Acct-Elec-P14(Tot'!H115</f>
        <v>0</v>
      </c>
      <c r="I116" s="37"/>
      <c r="J116" s="37">
        <f>D116+F116+H116</f>
        <v>0</v>
      </c>
      <c r="K116" s="37"/>
      <c r="L116" s="37">
        <f>J116+B116</f>
        <v>6763.2200000000084</v>
      </c>
      <c r="M116" s="7"/>
    </row>
    <row r="117" spans="1:13">
      <c r="A117" t="s">
        <v>320</v>
      </c>
      <c r="B117" s="35">
        <f>'KY_Cost Plant Acct-Elec-P14(Tot'!B116</f>
        <v>0</v>
      </c>
      <c r="C117" s="37"/>
      <c r="D117" s="35">
        <f>'KY_Cost Plant Acct-Elec-P14(Tot'!D116</f>
        <v>0</v>
      </c>
      <c r="E117" s="37"/>
      <c r="F117" s="35">
        <f>'KY_Cost Plant Acct-Elec-P14(Tot'!F116</f>
        <v>0</v>
      </c>
      <c r="G117" s="37"/>
      <c r="H117" s="35">
        <f>'KY_Cost Plant Acct-Elec-P14(Tot'!H116</f>
        <v>0</v>
      </c>
      <c r="I117" s="37"/>
      <c r="J117" s="35">
        <f>D117+F117+H117</f>
        <v>0</v>
      </c>
      <c r="K117" s="37"/>
      <c r="L117" s="35">
        <f>J117+B117</f>
        <v>0</v>
      </c>
      <c r="M117" s="7"/>
    </row>
    <row r="118" spans="1:13">
      <c r="B118" s="37">
        <f>SUM(B115:B117)</f>
        <v>6763.2200000000084</v>
      </c>
      <c r="C118" s="37"/>
      <c r="D118" s="37">
        <f>SUM(D115:D117)</f>
        <v>63825.04</v>
      </c>
      <c r="E118" s="37"/>
      <c r="F118" s="37">
        <f>SUM(F115:F117)</f>
        <v>0</v>
      </c>
      <c r="G118" s="37"/>
      <c r="H118" s="37">
        <f>SUM(H115:H117)</f>
        <v>0</v>
      </c>
      <c r="I118" s="37"/>
      <c r="J118" s="37">
        <f>SUM(J115:J117)</f>
        <v>63825.04</v>
      </c>
      <c r="K118" s="37"/>
      <c r="L118" s="37">
        <f>SUM(L115:L117)</f>
        <v>70588.260000000009</v>
      </c>
      <c r="M118" s="7"/>
    </row>
    <row r="119" spans="1:13">
      <c r="B119" s="37"/>
      <c r="C119" s="37"/>
      <c r="D119" s="37"/>
      <c r="E119" s="37"/>
      <c r="F119" s="37"/>
      <c r="G119" s="37"/>
      <c r="H119" s="37"/>
      <c r="I119" s="37"/>
      <c r="J119" s="37"/>
      <c r="K119" s="37"/>
      <c r="L119" s="37"/>
      <c r="M119" s="7"/>
    </row>
    <row r="120" spans="1:13">
      <c r="A120" s="3" t="s">
        <v>809</v>
      </c>
      <c r="B120" s="37"/>
      <c r="C120" s="37"/>
      <c r="D120" s="37"/>
      <c r="E120" s="37"/>
      <c r="F120" s="37"/>
      <c r="G120" s="37"/>
      <c r="H120" s="37"/>
      <c r="I120" s="37"/>
      <c r="J120" s="37"/>
      <c r="K120" s="37"/>
      <c r="L120" s="37"/>
      <c r="M120" s="7"/>
    </row>
    <row r="121" spans="1:13">
      <c r="A121" t="s">
        <v>574</v>
      </c>
      <c r="B121" s="37">
        <f>'KY_Cost Plant Acct-Elec-P14(Tot'!B120</f>
        <v>16456.36</v>
      </c>
      <c r="C121" s="37"/>
      <c r="D121" s="37">
        <f>'KY_Cost Plant Acct-Elec-P14(Tot'!D120</f>
        <v>-16456.36</v>
      </c>
      <c r="E121" s="37"/>
      <c r="F121" s="37">
        <f>'KY_Cost Plant Acct-Elec-P14(Tot'!F120</f>
        <v>0</v>
      </c>
      <c r="G121" s="37"/>
      <c r="H121" s="37">
        <f>'KY_Cost Plant Acct-Elec-P14(Tot'!H120</f>
        <v>0</v>
      </c>
      <c r="I121" s="37"/>
      <c r="J121" s="37">
        <f>D121+F121+H121</f>
        <v>-16456.36</v>
      </c>
      <c r="K121" s="37"/>
      <c r="L121" s="37">
        <f>J121+B121</f>
        <v>0</v>
      </c>
      <c r="M121" s="7"/>
    </row>
    <row r="122" spans="1:13">
      <c r="A122" t="s">
        <v>575</v>
      </c>
      <c r="B122" s="37">
        <f>'KY_Cost Plant Acct-Elec-P14(Tot'!B121</f>
        <v>0</v>
      </c>
      <c r="C122" s="37"/>
      <c r="D122" s="37">
        <f>'KY_Cost Plant Acct-Elec-P14(Tot'!D121</f>
        <v>0</v>
      </c>
      <c r="E122" s="37"/>
      <c r="F122" s="37">
        <f>'KY_Cost Plant Acct-Elec-P14(Tot'!F121</f>
        <v>0</v>
      </c>
      <c r="G122" s="37"/>
      <c r="H122" s="37">
        <f>'KY_Cost Plant Acct-Elec-P14(Tot'!H121</f>
        <v>0</v>
      </c>
      <c r="I122" s="37"/>
      <c r="J122" s="37">
        <f>D122+F122+H122</f>
        <v>0</v>
      </c>
      <c r="K122" s="37"/>
      <c r="L122" s="37">
        <f>J122+B122</f>
        <v>0</v>
      </c>
      <c r="M122" s="7"/>
    </row>
    <row r="123" spans="1:13">
      <c r="A123" t="s">
        <v>576</v>
      </c>
      <c r="B123" s="37">
        <f>'KY_Cost Plant Acct-Elec-P14(Tot'!B122</f>
        <v>0</v>
      </c>
      <c r="C123" s="37"/>
      <c r="D123" s="37">
        <f>'KY_Cost Plant Acct-Elec-P14(Tot'!D122</f>
        <v>0</v>
      </c>
      <c r="E123" s="37"/>
      <c r="F123" s="37">
        <f>'KY_Cost Plant Acct-Elec-P14(Tot'!F122</f>
        <v>0</v>
      </c>
      <c r="G123" s="37"/>
      <c r="H123" s="37">
        <f>'KY_Cost Plant Acct-Elec-P14(Tot'!H122</f>
        <v>0</v>
      </c>
      <c r="I123" s="37"/>
      <c r="J123" s="37">
        <f>D123+F123+H123</f>
        <v>0</v>
      </c>
      <c r="K123" s="37"/>
      <c r="L123" s="37">
        <f>J123+B123</f>
        <v>0</v>
      </c>
      <c r="M123" s="7"/>
    </row>
    <row r="124" spans="1:13" s="7" customFormat="1">
      <c r="A124" s="7" t="s">
        <v>577</v>
      </c>
      <c r="B124" s="37">
        <f>'KY_Cost Plant Acct-Elec-P14(Tot'!B123</f>
        <v>0</v>
      </c>
      <c r="C124" s="37"/>
      <c r="D124" s="37">
        <f>'KY_Cost Plant Acct-Elec-P14(Tot'!D123</f>
        <v>0</v>
      </c>
      <c r="E124" s="37"/>
      <c r="F124" s="37">
        <f>'KY_Cost Plant Acct-Elec-P14(Tot'!F122</f>
        <v>0</v>
      </c>
      <c r="G124" s="37"/>
      <c r="H124" s="37">
        <f>'KY_Cost Plant Acct-Elec-P14(Tot'!H123</f>
        <v>0</v>
      </c>
      <c r="I124" s="37"/>
      <c r="J124" s="37">
        <f>D124+F124+H124</f>
        <v>0</v>
      </c>
      <c r="K124" s="37"/>
      <c r="L124" s="37">
        <f>J124+B124</f>
        <v>0</v>
      </c>
    </row>
    <row r="125" spans="1:13">
      <c r="A125" t="s">
        <v>23</v>
      </c>
      <c r="B125" s="35">
        <v>0</v>
      </c>
      <c r="C125" s="37"/>
      <c r="D125" s="35">
        <f>'KY_Cost Plant Acct-Elec-P14(Tot'!D124</f>
        <v>0</v>
      </c>
      <c r="E125" s="37"/>
      <c r="F125" s="35">
        <f>'KY_Cost Plant Acct-Elec-P14(Tot'!F123</f>
        <v>0</v>
      </c>
      <c r="G125" s="37"/>
      <c r="H125" s="35">
        <v>0</v>
      </c>
      <c r="I125" s="37"/>
      <c r="J125" s="35">
        <f>D125+F125+H125</f>
        <v>0</v>
      </c>
      <c r="K125" s="37"/>
      <c r="L125" s="35">
        <f>J125+B125</f>
        <v>0</v>
      </c>
      <c r="M125" s="7"/>
    </row>
    <row r="126" spans="1:13">
      <c r="B126" s="37">
        <f>SUM(B121:B125)</f>
        <v>16456.36</v>
      </c>
      <c r="C126" s="37"/>
      <c r="D126" s="37">
        <f>SUM(D121:D125)</f>
        <v>-16456.36</v>
      </c>
      <c r="E126" s="37"/>
      <c r="F126" s="37">
        <f>SUM(F121:F125)</f>
        <v>0</v>
      </c>
      <c r="G126" s="37"/>
      <c r="H126" s="37">
        <f>SUM(H121:H125)</f>
        <v>0</v>
      </c>
      <c r="I126" s="37"/>
      <c r="J126" s="37">
        <f>SUM(J121:J125)</f>
        <v>-16456.36</v>
      </c>
      <c r="K126" s="37"/>
      <c r="L126" s="37">
        <f>SUM(L121:L125)</f>
        <v>0</v>
      </c>
      <c r="M126" s="7"/>
    </row>
    <row r="127" spans="1:13">
      <c r="B127" s="37"/>
      <c r="C127" s="37"/>
      <c r="D127" s="37"/>
      <c r="E127" s="37"/>
      <c r="F127" s="37"/>
      <c r="G127" s="37"/>
      <c r="H127" s="37"/>
      <c r="I127" s="37"/>
      <c r="J127" s="37"/>
      <c r="K127" s="37"/>
      <c r="L127" s="37"/>
      <c r="M127" s="7"/>
    </row>
    <row r="128" spans="1:13">
      <c r="A128" s="3" t="s">
        <v>811</v>
      </c>
      <c r="B128" s="37"/>
      <c r="C128" s="37"/>
      <c r="D128" s="37"/>
      <c r="E128" s="37"/>
      <c r="F128" s="37"/>
      <c r="G128" s="37"/>
      <c r="H128" s="37"/>
      <c r="I128" s="37"/>
      <c r="J128" s="37"/>
      <c r="K128" s="37"/>
      <c r="L128" s="37"/>
      <c r="M128" s="7"/>
    </row>
    <row r="129" spans="1:13">
      <c r="A129" t="s">
        <v>288</v>
      </c>
      <c r="B129" s="37">
        <v>0</v>
      </c>
      <c r="C129" s="37"/>
      <c r="D129" s="37">
        <f>'KY_Cost Plant Acct-Elec-P14(Tot'!D128</f>
        <v>0</v>
      </c>
      <c r="E129" s="37"/>
      <c r="F129" s="37">
        <v>0</v>
      </c>
      <c r="G129" s="37"/>
      <c r="H129" s="37">
        <v>0</v>
      </c>
      <c r="I129" s="37"/>
      <c r="J129" s="37">
        <f>D129+F129+H129</f>
        <v>0</v>
      </c>
      <c r="K129" s="37"/>
      <c r="L129" s="37">
        <f>J129+B129</f>
        <v>0</v>
      </c>
      <c r="M129" s="7"/>
    </row>
    <row r="130" spans="1:13">
      <c r="A130" t="s">
        <v>289</v>
      </c>
      <c r="B130" s="37">
        <f>'KY_Cost Plant Acct-Elec-P14(Tot'!B129</f>
        <v>3518129.62</v>
      </c>
      <c r="C130" s="37"/>
      <c r="D130" s="37">
        <f>'KY_Cost Plant Acct-Elec-P14(Tot'!D129</f>
        <v>-3067054.75</v>
      </c>
      <c r="E130" s="37"/>
      <c r="F130" s="37">
        <f>'KY_Cost Plant Acct-Elec-P14(Tot'!F129</f>
        <v>0</v>
      </c>
      <c r="G130" s="37"/>
      <c r="H130" s="37">
        <f>'KY_Cost Plant Acct-Elec-P14(Tot'!H129</f>
        <v>0</v>
      </c>
      <c r="I130" s="37"/>
      <c r="J130" s="37">
        <f>D130+F130+H130</f>
        <v>-3067054.75</v>
      </c>
      <c r="K130" s="37"/>
      <c r="L130" s="37">
        <f>J130+B130</f>
        <v>451074.87000000011</v>
      </c>
      <c r="M130" s="7"/>
    </row>
    <row r="131" spans="1:13">
      <c r="A131" t="s">
        <v>290</v>
      </c>
      <c r="B131" s="37">
        <f>'KY_Cost Plant Acct-Elec-P14(Tot'!B130</f>
        <v>0</v>
      </c>
      <c r="C131" s="37"/>
      <c r="D131" s="37">
        <f>'KY_Cost Plant Acct-Elec-P14(Tot'!D130</f>
        <v>0</v>
      </c>
      <c r="E131" s="37"/>
      <c r="F131" s="37">
        <f>'KY_Cost Plant Acct-Elec-P14(Tot'!F130</f>
        <v>0</v>
      </c>
      <c r="G131" s="37"/>
      <c r="H131" s="37">
        <f>'KY_Cost Plant Acct-Elec-P14(Tot'!H130</f>
        <v>0</v>
      </c>
      <c r="I131" s="37"/>
      <c r="J131" s="37">
        <f>D131+F131+H131</f>
        <v>0</v>
      </c>
      <c r="K131" s="37"/>
      <c r="L131" s="37">
        <f>J131+B131</f>
        <v>0</v>
      </c>
      <c r="M131" s="7"/>
    </row>
    <row r="132" spans="1:13">
      <c r="A132" t="s">
        <v>975</v>
      </c>
      <c r="B132" s="37">
        <v>0</v>
      </c>
      <c r="C132" s="37"/>
      <c r="D132" s="37">
        <f>'KY_Cost Plant Acct-Elec-P14(Tot'!D131</f>
        <v>136309.91</v>
      </c>
      <c r="E132" s="37"/>
      <c r="F132" s="37">
        <f>'KY_Cost Plant Acct-Elec-P14(Tot'!F130</f>
        <v>0</v>
      </c>
      <c r="G132" s="37"/>
      <c r="H132" s="37">
        <f>'KY_Cost Plant Acct-Elec-P14(Tot'!H130</f>
        <v>0</v>
      </c>
      <c r="I132" s="37"/>
      <c r="J132" s="37">
        <f>D132+F132+H132</f>
        <v>136309.91</v>
      </c>
      <c r="K132" s="37"/>
      <c r="L132" s="37">
        <f>J132+B132</f>
        <v>136309.91</v>
      </c>
      <c r="M132" s="7"/>
    </row>
    <row r="133" spans="1:13">
      <c r="A133" t="s">
        <v>82</v>
      </c>
      <c r="B133" s="35">
        <f>'KY_Cost Plant Acct-Elec-P14(Tot'!B131</f>
        <v>17830.119999999908</v>
      </c>
      <c r="C133" s="37"/>
      <c r="D133" s="35">
        <f>'KY_Cost Plant Acct-Elec-P14(Tot'!D132</f>
        <v>0</v>
      </c>
      <c r="E133" s="37"/>
      <c r="F133" s="35">
        <f>'KY_Cost Plant Acct-Elec-P14(Tot'!F131</f>
        <v>0</v>
      </c>
      <c r="G133" s="37"/>
      <c r="H133" s="35">
        <f>'KY_Cost Plant Acct-Elec-P14(Tot'!H131</f>
        <v>0</v>
      </c>
      <c r="I133" s="37"/>
      <c r="J133" s="35">
        <f>D133+F133+H133</f>
        <v>0</v>
      </c>
      <c r="K133" s="37"/>
      <c r="L133" s="35">
        <f>J133+B133</f>
        <v>17830.119999999908</v>
      </c>
      <c r="M133" s="7"/>
    </row>
    <row r="134" spans="1:13">
      <c r="B134" s="37">
        <f>SUM(B129:B133)</f>
        <v>3535959.74</v>
      </c>
      <c r="C134" s="37"/>
      <c r="D134" s="37">
        <f>SUM(D129:D133)</f>
        <v>-2930744.84</v>
      </c>
      <c r="E134" s="37"/>
      <c r="F134" s="37">
        <f>SUM(F129:F133)</f>
        <v>0</v>
      </c>
      <c r="G134" s="37"/>
      <c r="H134" s="37">
        <f>SUM(H129:H133)</f>
        <v>0</v>
      </c>
      <c r="I134" s="37"/>
      <c r="J134" s="37">
        <f>SUM(J129:J133)</f>
        <v>-2930744.84</v>
      </c>
      <c r="K134" s="37"/>
      <c r="L134" s="37">
        <f>SUM(L129:L133)</f>
        <v>605214.9</v>
      </c>
      <c r="M134" s="7"/>
    </row>
    <row r="135" spans="1:13">
      <c r="A135" s="3" t="s">
        <v>812</v>
      </c>
      <c r="B135" s="37"/>
      <c r="C135" s="37"/>
      <c r="D135" s="37"/>
      <c r="E135" s="37"/>
      <c r="F135" s="37"/>
      <c r="G135" s="37"/>
      <c r="H135" s="37"/>
      <c r="I135" s="37"/>
      <c r="J135" s="37"/>
      <c r="K135" s="37"/>
      <c r="L135" s="37"/>
      <c r="M135" s="7"/>
    </row>
    <row r="136" spans="1:13">
      <c r="A136" t="s">
        <v>832</v>
      </c>
      <c r="B136" s="37">
        <f>'KY_Cost Plant Acct-Elec-P14(Tot'!B135</f>
        <v>1432534.8899999997</v>
      </c>
      <c r="C136" s="37"/>
      <c r="D136" s="37">
        <f>'KY_Cost Plant Acct-Elec-P14(Tot'!D135</f>
        <v>-237023.64</v>
      </c>
      <c r="E136" s="37"/>
      <c r="F136" s="37">
        <f>'KY_Cost Plant Acct-Elec-P14(Tot'!F135</f>
        <v>0</v>
      </c>
      <c r="G136" s="37"/>
      <c r="H136" s="37">
        <f>'KY_Cost Plant Acct-Elec-P14(Tot'!H135</f>
        <v>0</v>
      </c>
      <c r="I136" s="37"/>
      <c r="J136" s="37">
        <f t="shared" ref="J136:J141" si="16">D136+F136+H136</f>
        <v>-237023.64</v>
      </c>
      <c r="K136" s="37"/>
      <c r="L136" s="37">
        <f t="shared" ref="L136:L141" si="17">J136+B136</f>
        <v>1195511.2499999995</v>
      </c>
      <c r="M136" s="7"/>
    </row>
    <row r="137" spans="1:13">
      <c r="A137" t="s">
        <v>1454</v>
      </c>
      <c r="B137" s="37">
        <f>'KY_Cost Plant Acct-Elec-P14(Tot'!B136</f>
        <v>11254466.49</v>
      </c>
      <c r="C137" s="37"/>
      <c r="D137" s="37">
        <f>'KY_Cost Plant Acct-Elec-P14(Tot'!D136</f>
        <v>0</v>
      </c>
      <c r="E137" s="37"/>
      <c r="F137" s="37">
        <f>'KY_Cost Plant Acct-Elec-P14(Tot'!F136</f>
        <v>0</v>
      </c>
      <c r="G137" s="37"/>
      <c r="H137" s="37">
        <f>'KY_Cost Plant Acct-Elec-P14(Tot'!H136</f>
        <v>0</v>
      </c>
      <c r="I137" s="37"/>
      <c r="J137" s="37">
        <f t="shared" si="16"/>
        <v>0</v>
      </c>
      <c r="K137" s="37"/>
      <c r="L137" s="37">
        <f t="shared" si="17"/>
        <v>11254466.49</v>
      </c>
      <c r="M137" s="7"/>
    </row>
    <row r="138" spans="1:13">
      <c r="A138" t="s">
        <v>834</v>
      </c>
      <c r="B138" s="37">
        <f>'KY_Cost Plant Acct-Elec-P14(Tot'!B137</f>
        <v>20263901.56000001</v>
      </c>
      <c r="C138" s="37"/>
      <c r="D138" s="37">
        <f>'KY_Cost Plant Acct-Elec-P14(Tot'!D137</f>
        <v>-6120002.8899999997</v>
      </c>
      <c r="E138" s="37"/>
      <c r="F138" s="37">
        <f>'KY_Cost Plant Acct-Elec-P14(Tot'!F137</f>
        <v>0</v>
      </c>
      <c r="G138" s="37"/>
      <c r="H138" s="37">
        <f>'KY_Cost Plant Acct-Elec-P14(Tot'!H137</f>
        <v>0</v>
      </c>
      <c r="I138" s="37"/>
      <c r="J138" s="37">
        <f t="shared" si="16"/>
        <v>-6120002.8899999997</v>
      </c>
      <c r="K138" s="37"/>
      <c r="L138" s="37">
        <f t="shared" si="17"/>
        <v>14143898.670000009</v>
      </c>
      <c r="M138" s="7"/>
    </row>
    <row r="139" spans="1:13">
      <c r="A139" t="s">
        <v>836</v>
      </c>
      <c r="B139" s="37">
        <f>'KY_Cost Plant Acct-Elec-P14(Tot'!B138</f>
        <v>5880853.620000001</v>
      </c>
      <c r="C139" s="37"/>
      <c r="D139" s="37">
        <f>'KY_Cost Plant Acct-Elec-P14(Tot'!D138</f>
        <v>-2900324.8</v>
      </c>
      <c r="E139" s="37"/>
      <c r="F139" s="37">
        <f>'KY_Cost Plant Acct-Elec-P14(Tot'!F138</f>
        <v>0</v>
      </c>
      <c r="G139" s="37"/>
      <c r="H139" s="37">
        <f>'KY_Cost Plant Acct-Elec-P14(Tot'!H138</f>
        <v>0</v>
      </c>
      <c r="I139" s="37"/>
      <c r="J139" s="37">
        <f t="shared" si="16"/>
        <v>-2900324.8</v>
      </c>
      <c r="K139" s="37"/>
      <c r="L139" s="37">
        <f t="shared" si="17"/>
        <v>2980528.8200000012</v>
      </c>
      <c r="M139" s="7"/>
    </row>
    <row r="140" spans="1:13">
      <c r="A140" t="s">
        <v>837</v>
      </c>
      <c r="B140" s="37">
        <f>'KY_Cost Plant Acct-Elec-P14(Tot'!B139</f>
        <v>2305213.4399999985</v>
      </c>
      <c r="C140" s="37"/>
      <c r="D140" s="37">
        <f>'KY_Cost Plant Acct-Elec-P14(Tot'!D139</f>
        <v>-2114255.4799999995</v>
      </c>
      <c r="E140" s="37"/>
      <c r="F140" s="37">
        <f>'KY_Cost Plant Acct-Elec-P14(Tot'!F139</f>
        <v>0</v>
      </c>
      <c r="G140" s="37"/>
      <c r="H140" s="37">
        <f>'KY_Cost Plant Acct-Elec-P14(Tot'!H139</f>
        <v>0</v>
      </c>
      <c r="I140" s="37"/>
      <c r="J140" s="37">
        <f t="shared" si="16"/>
        <v>-2114255.4799999995</v>
      </c>
      <c r="K140" s="37"/>
      <c r="L140" s="37">
        <f t="shared" si="17"/>
        <v>190957.95999999903</v>
      </c>
      <c r="M140" s="7"/>
    </row>
    <row r="141" spans="1:13">
      <c r="A141" t="s">
        <v>838</v>
      </c>
      <c r="B141" s="35">
        <f>'KY_Cost Plant Acct-Elec-P14(Tot'!B140</f>
        <v>69853.190000000177</v>
      </c>
      <c r="C141" s="37"/>
      <c r="D141" s="35">
        <f>'KY_Cost Plant Acct-Elec-P14(Tot'!D140</f>
        <v>100372.01999999999</v>
      </c>
      <c r="E141" s="37"/>
      <c r="F141" s="35">
        <f>'KY_Cost Plant Acct-Elec-P14(Tot'!F140</f>
        <v>0</v>
      </c>
      <c r="G141" s="37"/>
      <c r="H141" s="35">
        <f>'KY_Cost Plant Acct-Elec-P14(Tot'!H140</f>
        <v>0</v>
      </c>
      <c r="I141" s="37"/>
      <c r="J141" s="35">
        <f t="shared" si="16"/>
        <v>100372.01999999999</v>
      </c>
      <c r="K141" s="37"/>
      <c r="L141" s="35">
        <f t="shared" si="17"/>
        <v>170225.21000000017</v>
      </c>
      <c r="M141" s="7"/>
    </row>
    <row r="142" spans="1:13">
      <c r="B142" s="37">
        <f>SUM(B136:B141)</f>
        <v>41206823.190000005</v>
      </c>
      <c r="C142" s="37"/>
      <c r="D142" s="37">
        <f>SUM(D136:D141)</f>
        <v>-11271234.789999999</v>
      </c>
      <c r="E142" s="37"/>
      <c r="F142" s="37">
        <f>SUM(F136:F141)</f>
        <v>0</v>
      </c>
      <c r="G142" s="37"/>
      <c r="H142" s="37">
        <f>SUM(H136:H141)</f>
        <v>0</v>
      </c>
      <c r="I142" s="37"/>
      <c r="J142" s="37">
        <f>SUM(J136:J141)</f>
        <v>-11271234.789999999</v>
      </c>
      <c r="K142" s="37"/>
      <c r="L142" s="37">
        <f>SUM(L136:L141)</f>
        <v>29935588.400000013</v>
      </c>
      <c r="M142" s="7"/>
    </row>
    <row r="143" spans="1:13">
      <c r="B143" s="37"/>
      <c r="C143" s="37"/>
      <c r="D143" s="37"/>
      <c r="E143" s="37"/>
      <c r="F143" s="37"/>
      <c r="G143" s="37"/>
      <c r="H143" s="37"/>
      <c r="I143" s="37"/>
      <c r="J143" s="37"/>
      <c r="K143" s="37"/>
      <c r="L143" s="37"/>
      <c r="M143" s="7"/>
    </row>
    <row r="144" spans="1:13">
      <c r="A144" s="3" t="s">
        <v>814</v>
      </c>
      <c r="B144" s="37"/>
      <c r="C144" s="37"/>
      <c r="D144" s="37"/>
      <c r="E144" s="37"/>
      <c r="F144" s="37"/>
      <c r="G144" s="37"/>
      <c r="H144" s="37"/>
      <c r="I144" s="37"/>
      <c r="J144" s="37"/>
      <c r="K144" s="37"/>
      <c r="L144" s="37"/>
      <c r="M144" s="7"/>
    </row>
    <row r="145" spans="1:13">
      <c r="A145" t="s">
        <v>6</v>
      </c>
      <c r="B145" s="37">
        <f>'KY_Cost Plant Acct-Elec-P14(Tot'!B144</f>
        <v>0</v>
      </c>
      <c r="C145" s="37"/>
      <c r="D145" s="37">
        <f>'KY_Cost Plant Acct-Elec-P14(Tot'!D144</f>
        <v>0</v>
      </c>
      <c r="E145" s="37"/>
      <c r="F145" s="37">
        <f>'KY_Cost Plant Acct-Elec-P14(Tot'!F144</f>
        <v>0</v>
      </c>
      <c r="G145" s="37"/>
      <c r="H145" s="37">
        <f>'KY_Cost Plant Acct-Elec-P14(Tot'!H144</f>
        <v>0</v>
      </c>
      <c r="I145" s="37"/>
      <c r="J145" s="37">
        <f t="shared" ref="J145:J150" si="18">D145+F145+H145</f>
        <v>0</v>
      </c>
      <c r="K145" s="37"/>
      <c r="L145" s="37">
        <f t="shared" ref="L145:L150" si="19">J145+B145</f>
        <v>0</v>
      </c>
      <c r="M145" s="7"/>
    </row>
    <row r="146" spans="1:13">
      <c r="A146" t="s">
        <v>7</v>
      </c>
      <c r="B146" s="37">
        <f>'KY_Cost Plant Acct-Elec-P14(Tot'!B145</f>
        <v>1716.5</v>
      </c>
      <c r="C146" s="37"/>
      <c r="D146" s="37">
        <f>'KY_Cost Plant Acct-Elec-P14(Tot'!D145</f>
        <v>-1716.5</v>
      </c>
      <c r="E146" s="37"/>
      <c r="F146" s="37">
        <f>'KY_Cost Plant Acct-Elec-P14(Tot'!F145</f>
        <v>0</v>
      </c>
      <c r="G146" s="37"/>
      <c r="H146" s="37">
        <f>'KY_Cost Plant Acct-Elec-P14(Tot'!H145</f>
        <v>0</v>
      </c>
      <c r="I146" s="37"/>
      <c r="J146" s="37">
        <f t="shared" si="18"/>
        <v>-1716.5</v>
      </c>
      <c r="K146" s="37"/>
      <c r="L146" s="37">
        <f t="shared" si="19"/>
        <v>0</v>
      </c>
      <c r="M146" s="7"/>
    </row>
    <row r="147" spans="1:13">
      <c r="A147" t="s">
        <v>8</v>
      </c>
      <c r="B147" s="37">
        <f>'KY_Cost Plant Acct-Elec-P14(Tot'!B146+'IN_Cost Plant Acct-Elec-P16(Tot'!B30</f>
        <v>6368745.2899999991</v>
      </c>
      <c r="C147" s="37"/>
      <c r="D147" s="37">
        <f>'KY_Cost Plant Acct-Elec-P14(Tot'!D146+'IN_Cost Plant Acct-Elec-P16(Tot'!D30</f>
        <v>-1308523.53</v>
      </c>
      <c r="E147" s="37"/>
      <c r="F147" s="37">
        <f>'KY_Cost Plant Acct-Elec-P14(Tot'!F146+'IN_Cost Plant Acct-Elec-P16(Tot'!F30</f>
        <v>0</v>
      </c>
      <c r="G147" s="37"/>
      <c r="H147" s="37">
        <f>'KY_Cost Plant Acct-Elec-P14(Tot'!H146+'IN_Cost Plant Acct-Elec-P16(Tot'!H30</f>
        <v>0</v>
      </c>
      <c r="I147" s="37"/>
      <c r="J147" s="37">
        <f t="shared" si="18"/>
        <v>-1308523.53</v>
      </c>
      <c r="K147" s="37"/>
      <c r="L147" s="37">
        <f t="shared" si="19"/>
        <v>5060221.7599999988</v>
      </c>
      <c r="M147" s="7"/>
    </row>
    <row r="148" spans="1:13">
      <c r="A148" t="s">
        <v>9</v>
      </c>
      <c r="B148" s="37">
        <f>'IN_Cost Plant Acct-Elec-P16(Tot'!B31+'KY_Cost Plant Acct-Elec-P14(Tot'!B147</f>
        <v>15469679.58</v>
      </c>
      <c r="C148" s="37"/>
      <c r="D148" s="37">
        <f>'IN_Cost Plant Acct-Elec-P16(Tot'!D31+'KY_Cost Plant Acct-Elec-P14(Tot'!D147</f>
        <v>3194592.1100000003</v>
      </c>
      <c r="E148" s="37"/>
      <c r="F148" s="37">
        <f>'IN_Cost Plant Acct-Elec-P16(Tot'!F31</f>
        <v>0</v>
      </c>
      <c r="G148" s="37"/>
      <c r="H148" s="37">
        <f>'KY_Cost Plant Acct-Elec-P14(Tot'!H147</f>
        <v>0</v>
      </c>
      <c r="I148" s="37"/>
      <c r="J148" s="37">
        <f t="shared" si="18"/>
        <v>3194592.1100000003</v>
      </c>
      <c r="K148" s="37"/>
      <c r="L148" s="37">
        <f t="shared" si="19"/>
        <v>18664271.690000001</v>
      </c>
      <c r="M148" s="7"/>
    </row>
    <row r="149" spans="1:13">
      <c r="A149" t="s">
        <v>10</v>
      </c>
      <c r="B149" s="37">
        <f>'KY_Cost Plant Acct-Elec-P14(Tot'!B148+'IN_Cost Plant Acct-Elec-P16(Tot'!B32</f>
        <v>9485620.9399999976</v>
      </c>
      <c r="C149" s="37"/>
      <c r="D149" s="37">
        <f>'KY_Cost Plant Acct-Elec-P14(Tot'!D148+'IN_Cost Plant Acct-Elec-P16(Tot'!D32</f>
        <v>-354711.22</v>
      </c>
      <c r="E149" s="37"/>
      <c r="F149" s="37">
        <f>'KY_Cost Plant Acct-Elec-P14(Tot'!F148+'IN_Cost Plant Acct-Elec-P16(Tot'!F32</f>
        <v>0</v>
      </c>
      <c r="G149" s="37"/>
      <c r="H149" s="37">
        <f>'KY_Cost Plant Acct-Elec-P14(Tot'!H148+'IN_Cost Plant Acct-Elec-P16(Tot'!H32</f>
        <v>0</v>
      </c>
      <c r="I149" s="37"/>
      <c r="J149" s="37">
        <f t="shared" si="18"/>
        <v>-354711.22</v>
      </c>
      <c r="K149" s="37"/>
      <c r="L149" s="37">
        <f t="shared" si="19"/>
        <v>9130909.7199999969</v>
      </c>
      <c r="M149" s="7"/>
    </row>
    <row r="150" spans="1:13">
      <c r="A150" t="s">
        <v>11</v>
      </c>
      <c r="B150" s="35">
        <f>'KY_Cost Plant Acct-Elec-P14(Tot'!B149+'IN_Cost Plant Acct-Elec-P16(Tot'!B33</f>
        <v>6197465.04</v>
      </c>
      <c r="C150" s="37"/>
      <c r="D150" s="35">
        <f>'KY_Cost Plant Acct-Elec-P14(Tot'!D149+'IN_Cost Plant Acct-Elec-P16(Tot'!D33</f>
        <v>22585.070000000003</v>
      </c>
      <c r="E150" s="37"/>
      <c r="F150" s="35">
        <f>'KY_Cost Plant Acct-Elec-P14(Tot'!F149+'IN_Cost Plant Acct-Elec-P16(Tot'!F33</f>
        <v>0</v>
      </c>
      <c r="G150" s="37"/>
      <c r="H150" s="35">
        <f>'KY_Cost Plant Acct-Elec-P14(Tot'!H149+'IN_Cost Plant Acct-Elec-P16(Tot'!H33</f>
        <v>0</v>
      </c>
      <c r="I150" s="37"/>
      <c r="J150" s="35">
        <f t="shared" si="18"/>
        <v>22585.070000000003</v>
      </c>
      <c r="K150" s="37"/>
      <c r="L150" s="35">
        <f t="shared" si="19"/>
        <v>6220050.1100000003</v>
      </c>
      <c r="M150" s="7"/>
    </row>
    <row r="151" spans="1:13">
      <c r="B151" s="37">
        <f>SUM(B145:B150)</f>
        <v>37523227.349999994</v>
      </c>
      <c r="C151" s="37"/>
      <c r="D151" s="37">
        <f>SUM(D145:D150)</f>
        <v>1552225.9300000004</v>
      </c>
      <c r="E151" s="37"/>
      <c r="F151" s="37">
        <f>SUM(F147:F150)</f>
        <v>0</v>
      </c>
      <c r="G151" s="37"/>
      <c r="H151" s="37">
        <f>SUM(H147:H150)</f>
        <v>0</v>
      </c>
      <c r="I151" s="37"/>
      <c r="J151" s="37">
        <f>SUM(J145:J150)</f>
        <v>1552225.9300000004</v>
      </c>
      <c r="K151" s="37"/>
      <c r="L151" s="37">
        <f>SUM(L145:L150)</f>
        <v>39075453.279999994</v>
      </c>
      <c r="M151" s="7"/>
    </row>
    <row r="152" spans="1:13">
      <c r="B152" s="37"/>
      <c r="C152" s="37"/>
      <c r="D152" s="37"/>
      <c r="E152" s="37"/>
      <c r="F152" s="37"/>
      <c r="G152" s="37"/>
      <c r="H152" s="37"/>
      <c r="I152" s="37"/>
      <c r="J152" s="37"/>
      <c r="K152" s="37"/>
      <c r="L152" s="37"/>
      <c r="M152" s="7"/>
    </row>
    <row r="153" spans="1:13">
      <c r="B153" s="33"/>
      <c r="C153" s="33"/>
      <c r="D153" s="33"/>
      <c r="E153" s="33"/>
      <c r="F153" s="33"/>
      <c r="G153" s="33"/>
      <c r="H153" s="33"/>
      <c r="I153" s="33"/>
      <c r="J153" s="33"/>
      <c r="K153" s="33"/>
      <c r="L153" s="33"/>
    </row>
    <row r="154" spans="1:13">
      <c r="A154" s="3" t="s">
        <v>690</v>
      </c>
      <c r="B154" s="34">
        <f>B151+B142+B118+B112+B134+B126</f>
        <v>105483328.22999999</v>
      </c>
      <c r="C154" s="37"/>
      <c r="D154" s="34">
        <f>D151+D142+D118+D112+D134+D126</f>
        <v>-746848.04999999946</v>
      </c>
      <c r="E154" s="37"/>
      <c r="F154" s="34">
        <f>F151+F142+F118+F112+F134+F126</f>
        <v>0</v>
      </c>
      <c r="G154" s="37"/>
      <c r="H154" s="34">
        <f>H151+H142+H118+H112+H134+H126</f>
        <v>0</v>
      </c>
      <c r="I154" s="37"/>
      <c r="J154" s="34">
        <f>J151+J142+J118+J112+J134+J126</f>
        <v>-746848.04999999946</v>
      </c>
      <c r="K154" s="37"/>
      <c r="L154" s="34">
        <f>L151+L142+L118+L112+L134+L126</f>
        <v>104736480.18000002</v>
      </c>
    </row>
    <row r="156" spans="1:13" ht="13.5" thickBot="1">
      <c r="A156" s="3" t="s">
        <v>825</v>
      </c>
      <c r="B156" s="92">
        <f>B154+B96</f>
        <v>2255662051.6299996</v>
      </c>
      <c r="D156" s="92">
        <f>D154+D96</f>
        <v>45695390.370000005</v>
      </c>
      <c r="F156" s="92">
        <f>F154+F96</f>
        <v>-3273037.56</v>
      </c>
      <c r="H156" s="92">
        <f>H154+H96</f>
        <v>21903.139999999981</v>
      </c>
      <c r="J156" s="92">
        <f>J154+J96</f>
        <v>42444255.950000003</v>
      </c>
      <c r="L156" s="92">
        <f>L154+L96</f>
        <v>2298106307.5799994</v>
      </c>
    </row>
    <row r="157" spans="1:13" ht="13.5" thickTop="1"/>
    <row r="158" spans="1:13">
      <c r="L158" s="89"/>
    </row>
  </sheetData>
  <sortState ref="A25:M26">
    <sortCondition ref="A25"/>
  </sortState>
  <mergeCells count="3">
    <mergeCell ref="A1:M1"/>
    <mergeCell ref="A2:M2"/>
    <mergeCell ref="A3:M3"/>
  </mergeCells>
  <pageMargins left="0.75" right="0.75" top="1" bottom="1" header="0.5" footer="0.5"/>
  <pageSetup scale="64" fitToHeight="3" orientation="landscape" r:id="rId1"/>
  <headerFooter alignWithMargins="0">
    <oddFooter>&amp;L&amp;Z
&amp;F&amp;C&amp;A&amp;R12.&amp;P</oddFooter>
  </headerFooter>
  <rowBreaks count="1" manualBreakCount="1">
    <brk id="107" max="16383" man="1"/>
  </rowBreaks>
</worksheet>
</file>

<file path=xl/worksheets/sheet65.xml><?xml version="1.0" encoding="utf-8"?>
<worksheet xmlns="http://schemas.openxmlformats.org/spreadsheetml/2006/main" xmlns:r="http://schemas.openxmlformats.org/officeDocument/2006/relationships">
  <sheetPr codeName="Sheet102">
    <pageSetUpPr fitToPage="1"/>
  </sheetPr>
  <dimension ref="A1:P130"/>
  <sheetViews>
    <sheetView zoomScale="90" zoomScaleNormal="90" workbookViewId="0">
      <pane xSplit="1" ySplit="10" topLeftCell="B11" activePane="bottomRight" state="frozen"/>
      <selection sqref="A1:P1"/>
      <selection pane="topRight" sqref="A1:P1"/>
      <selection pane="bottomLeft" sqref="A1:P1"/>
      <selection pane="bottomRight" sqref="A1:P1"/>
    </sheetView>
  </sheetViews>
  <sheetFormatPr defaultRowHeight="12.75"/>
  <cols>
    <col min="1" max="1" width="41" bestFit="1" customWidth="1"/>
    <col min="2" max="2" width="17.7109375" customWidth="1"/>
    <col min="3" max="3" width="1.7109375" customWidth="1"/>
    <col min="4" max="4" width="17.7109375" customWidth="1"/>
    <col min="5" max="5" width="1.7109375" customWidth="1"/>
    <col min="6" max="6" width="17.7109375" customWidth="1"/>
    <col min="7" max="7" width="1.7109375" customWidth="1"/>
    <col min="8" max="8" width="18.42578125" bestFit="1" customWidth="1"/>
    <col min="9" max="9" width="1.7109375" customWidth="1"/>
    <col min="10" max="10" width="18.42578125" bestFit="1" customWidth="1"/>
    <col min="11" max="11" width="1.5703125" customWidth="1"/>
    <col min="12" max="12" width="17.7109375" customWidth="1"/>
    <col min="13" max="13" width="1.7109375" customWidth="1"/>
    <col min="14" max="14" width="21.85546875" customWidth="1"/>
    <col min="15" max="15" width="2.7109375" customWidth="1"/>
    <col min="16" max="16" width="23.140625" bestFit="1" customWidth="1"/>
  </cols>
  <sheetData>
    <row r="1" spans="1:16" s="38" customFormat="1" ht="15.75">
      <c r="A1" s="366" t="s">
        <v>134</v>
      </c>
      <c r="B1" s="366"/>
      <c r="C1" s="366"/>
      <c r="D1" s="366"/>
      <c r="E1" s="366"/>
      <c r="F1" s="366"/>
      <c r="G1" s="366"/>
      <c r="H1" s="366"/>
      <c r="I1" s="366"/>
      <c r="J1" s="366"/>
      <c r="K1" s="366"/>
      <c r="L1" s="366"/>
      <c r="M1" s="366"/>
      <c r="N1" s="366"/>
      <c r="O1" s="366"/>
      <c r="P1" s="366"/>
    </row>
    <row r="2" spans="1:16" s="38" customFormat="1" ht="15.75">
      <c r="A2" s="366" t="s">
        <v>1191</v>
      </c>
      <c r="B2" s="366"/>
      <c r="C2" s="366"/>
      <c r="D2" s="366"/>
      <c r="E2" s="366"/>
      <c r="F2" s="366"/>
      <c r="G2" s="366"/>
      <c r="H2" s="366"/>
      <c r="I2" s="366"/>
      <c r="J2" s="366"/>
      <c r="K2" s="366"/>
      <c r="L2" s="366"/>
      <c r="M2" s="366"/>
      <c r="N2" s="366"/>
      <c r="O2" s="366"/>
      <c r="P2" s="366"/>
    </row>
    <row r="3" spans="1:16">
      <c r="A3" s="357" t="str">
        <f>'Summary - Cost - PG 1 (Tot)'!A3:N3</f>
        <v>MARCH 2012</v>
      </c>
      <c r="B3" s="357"/>
      <c r="C3" s="357"/>
      <c r="D3" s="357"/>
      <c r="E3" s="357"/>
      <c r="F3" s="357"/>
      <c r="G3" s="357"/>
      <c r="H3" s="357"/>
      <c r="I3" s="357"/>
      <c r="J3" s="357"/>
      <c r="K3" s="357"/>
      <c r="L3" s="357"/>
      <c r="M3" s="357"/>
      <c r="N3" s="357"/>
      <c r="O3" s="357"/>
      <c r="P3" s="357"/>
    </row>
    <row r="4" spans="1:16">
      <c r="A4" s="190"/>
      <c r="B4" s="190"/>
      <c r="C4" s="190"/>
      <c r="D4" s="190"/>
      <c r="E4" s="190"/>
      <c r="F4" s="190"/>
      <c r="G4" s="190"/>
      <c r="H4" s="190"/>
      <c r="I4" s="190"/>
      <c r="J4" s="190"/>
      <c r="K4" s="190"/>
      <c r="L4" s="190"/>
    </row>
    <row r="6" spans="1:16">
      <c r="B6" s="41" t="s">
        <v>25</v>
      </c>
      <c r="D6" s="182"/>
      <c r="F6" s="182"/>
      <c r="H6" s="41" t="s">
        <v>612</v>
      </c>
      <c r="J6" s="41" t="s">
        <v>147</v>
      </c>
      <c r="K6" s="182"/>
      <c r="L6" s="41" t="s">
        <v>26</v>
      </c>
      <c r="P6" s="29" t="s">
        <v>422</v>
      </c>
    </row>
    <row r="7" spans="1:16" s="10" customFormat="1">
      <c r="B7" s="42" t="s">
        <v>27</v>
      </c>
      <c r="C7"/>
      <c r="D7" s="42" t="s">
        <v>107</v>
      </c>
      <c r="E7"/>
      <c r="F7" s="42" t="s">
        <v>108</v>
      </c>
      <c r="G7"/>
      <c r="H7" s="42" t="s">
        <v>613</v>
      </c>
      <c r="I7"/>
      <c r="J7" s="42" t="s">
        <v>109</v>
      </c>
      <c r="K7" s="54"/>
      <c r="L7" s="42" t="s">
        <v>27</v>
      </c>
      <c r="N7" s="42" t="s">
        <v>46</v>
      </c>
      <c r="P7" s="42" t="s">
        <v>419</v>
      </c>
    </row>
    <row r="8" spans="1:16" s="10" customFormat="1">
      <c r="A8" s="12" t="s">
        <v>296</v>
      </c>
      <c r="B8" s="54"/>
      <c r="C8"/>
      <c r="D8" s="54"/>
      <c r="E8"/>
      <c r="F8" s="54"/>
      <c r="G8"/>
      <c r="H8" s="54"/>
      <c r="I8"/>
      <c r="J8" s="54"/>
      <c r="K8" s="54"/>
      <c r="L8" s="54"/>
    </row>
    <row r="9" spans="1:16" s="10" customFormat="1">
      <c r="A9" s="12" t="s">
        <v>420</v>
      </c>
      <c r="B9"/>
      <c r="C9"/>
      <c r="D9"/>
      <c r="E9"/>
      <c r="F9"/>
      <c r="G9"/>
      <c r="H9"/>
      <c r="I9"/>
      <c r="J9"/>
      <c r="K9"/>
      <c r="L9"/>
    </row>
    <row r="10" spans="1:16" s="10" customFormat="1">
      <c r="A10" s="12" t="s">
        <v>691</v>
      </c>
      <c r="B10"/>
      <c r="C10"/>
      <c r="D10"/>
      <c r="E10"/>
      <c r="F10"/>
      <c r="G10"/>
      <c r="H10"/>
      <c r="I10"/>
      <c r="J10"/>
      <c r="K10"/>
      <c r="L10"/>
    </row>
    <row r="11" spans="1:16">
      <c r="A11" t="s">
        <v>274</v>
      </c>
      <c r="B11" s="182">
        <f>'KY_Cost Plant Acct-Elec-P14(Tot'!B11</f>
        <v>4110848.6500000004</v>
      </c>
      <c r="C11" s="182"/>
      <c r="D11" s="182">
        <f>'KY_Cost Plant Acct-Elec-P14(Tot'!D11</f>
        <v>1215889.1399999999</v>
      </c>
      <c r="E11" s="182"/>
      <c r="F11" s="182">
        <f>'KY_Cost Plant Acct-Elec-P14(Tot'!F11</f>
        <v>0</v>
      </c>
      <c r="G11" s="182"/>
      <c r="H11" s="182">
        <f>'KY_Cost Plant Acct-Elec-P14(Tot'!H11</f>
        <v>21926.880000000001</v>
      </c>
      <c r="I11" s="182"/>
      <c r="J11" s="182">
        <f>H11+F11+D11</f>
        <v>1237816.0199999998</v>
      </c>
      <c r="K11" s="182"/>
      <c r="L11" s="182">
        <f>B11+J11</f>
        <v>5348664.67</v>
      </c>
      <c r="N11" s="89">
        <v>0</v>
      </c>
      <c r="P11" s="89">
        <f>L11+N11</f>
        <v>5348664.67</v>
      </c>
    </row>
    <row r="12" spans="1:16">
      <c r="A12" t="s">
        <v>275</v>
      </c>
      <c r="B12" s="182">
        <f>'KY_Cost Plant Acct-Elec-P14(Tot'!B12+'KY_Cost Plant Acct-Elec-P14(Tot'!B100</f>
        <v>2813202</v>
      </c>
      <c r="C12" s="182"/>
      <c r="D12" s="182">
        <f>'KY_Cost Plant Acct-Elec-P14(Tot'!D12+'KY_Cost Plant Acct-Elec-P14(Tot'!D100</f>
        <v>630992.79</v>
      </c>
      <c r="E12" s="182"/>
      <c r="F12" s="182">
        <f>'KY_Cost Plant Acct-Elec-P14(Tot'!F12</f>
        <v>-110.72000000000003</v>
      </c>
      <c r="G12" s="182"/>
      <c r="H12" s="182">
        <f>'KY_Cost Plant Acct-Elec-P14(Tot'!H12</f>
        <v>0</v>
      </c>
      <c r="I12" s="182"/>
      <c r="J12" s="182">
        <f t="shared" ref="J12:J26" si="0">H12+F12+D12</f>
        <v>630882.07000000007</v>
      </c>
      <c r="K12" s="182"/>
      <c r="L12" s="182">
        <f t="shared" ref="L12:L24" si="1">B12+J12</f>
        <v>3444084.0700000003</v>
      </c>
      <c r="N12" s="89">
        <f>'KY_Res by Plant Acct-P29 (Tot)'!R12</f>
        <v>-501984.49000000017</v>
      </c>
      <c r="P12" s="89">
        <f t="shared" ref="P12:P24" si="2">L12+N12</f>
        <v>2942099.58</v>
      </c>
    </row>
    <row r="13" spans="1:16">
      <c r="A13" t="s">
        <v>12</v>
      </c>
      <c r="B13" s="182">
        <f>'KY_Cost Plant Acct-Elec-P14(Tot'!B13+'KY_Cost Plant Acct-Elec-P14(Tot'!B101</f>
        <v>72801205.150000006</v>
      </c>
      <c r="C13" s="182"/>
      <c r="D13" s="182">
        <f>'KY_Cost Plant Acct-Elec-P14(Tot'!D13+'KY_Cost Plant Acct-Elec-P14(Tot'!D101</f>
        <v>8577547.4700000007</v>
      </c>
      <c r="E13" s="182"/>
      <c r="F13" s="182">
        <f>'KY_Cost Plant Acct-Elec-P14(Tot'!F13</f>
        <v>-13979.320000000007</v>
      </c>
      <c r="G13" s="182"/>
      <c r="H13" s="182">
        <f>'KY_Cost Plant Acct-Elec-P14(Tot'!H13+'KY_Cost Plant Acct-Elec-P14(Tot'!H101</f>
        <v>0</v>
      </c>
      <c r="I13" s="182"/>
      <c r="J13" s="182">
        <f t="shared" si="0"/>
        <v>8563568.1500000004</v>
      </c>
      <c r="K13" s="182"/>
      <c r="L13" s="182">
        <f t="shared" si="1"/>
        <v>81364773.300000012</v>
      </c>
      <c r="N13" s="89">
        <f>'KY_Res by Plant Acct-P29 (Tot)'!R13</f>
        <v>-4280669.0600000015</v>
      </c>
      <c r="P13" s="89">
        <f t="shared" si="2"/>
        <v>77084104.24000001</v>
      </c>
    </row>
    <row r="14" spans="1:16">
      <c r="A14" t="s">
        <v>276</v>
      </c>
      <c r="B14" s="182">
        <f>'KY_Cost Plant Acct-Elec-P14(Tot'!B14+'KY_Cost Plant Acct-Elec-P14(Tot'!B102</f>
        <v>124108686.89999999</v>
      </c>
      <c r="C14" s="182"/>
      <c r="D14" s="182">
        <f>'KY_Cost Plant Acct-Elec-P14(Tot'!D14+'KY_Cost Plant Acct-Elec-P14(Tot'!D102</f>
        <v>5215663.3899999997</v>
      </c>
      <c r="E14" s="182"/>
      <c r="F14" s="182">
        <f>'KY_Cost Plant Acct-Elec-P14(Tot'!F14</f>
        <v>-286956.17000000004</v>
      </c>
      <c r="G14" s="182"/>
      <c r="H14" s="182">
        <f>'KY_Cost Plant Acct-Elec-P14(Tot'!H14+'KY_Cost Plant Acct-Elec-P14(Tot'!H102</f>
        <v>0</v>
      </c>
      <c r="I14" s="182"/>
      <c r="J14" s="182">
        <f t="shared" si="0"/>
        <v>4928707.22</v>
      </c>
      <c r="K14" s="182"/>
      <c r="L14" s="182">
        <f t="shared" si="1"/>
        <v>129037394.11999999</v>
      </c>
      <c r="N14" s="89">
        <f>'KY_Res by Plant Acct-P29 (Tot)'!R15</f>
        <v>-57161710.689999998</v>
      </c>
      <c r="P14" s="89">
        <f t="shared" si="2"/>
        <v>71875683.429999992</v>
      </c>
    </row>
    <row r="15" spans="1:16">
      <c r="A15" t="s">
        <v>277</v>
      </c>
      <c r="B15" s="182">
        <f>'KY_Cost Plant Acct-Elec-P14(Tot'!B15+'KY_Cost Plant Acct-Elec-P14(Tot'!B103</f>
        <v>180271073.51999998</v>
      </c>
      <c r="C15" s="182"/>
      <c r="D15" s="182">
        <f>'KY_Cost Plant Acct-Elec-P14(Tot'!D15+'KY_Cost Plant Acct-Elec-P14(Tot'!D103</f>
        <v>8164767.7899999991</v>
      </c>
      <c r="E15" s="182"/>
      <c r="F15" s="182">
        <f>'KY_Cost Plant Acct-Elec-P14(Tot'!F15</f>
        <v>-503284.64</v>
      </c>
      <c r="G15" s="182"/>
      <c r="H15" s="182">
        <f>'KY_Cost Plant Acct-Elec-P14(Tot'!H15+'KY_Cost Plant Acct-Elec-P14(Tot'!H103</f>
        <v>0</v>
      </c>
      <c r="I15" s="182"/>
      <c r="J15" s="182">
        <f t="shared" si="0"/>
        <v>7661483.1499999994</v>
      </c>
      <c r="K15" s="182"/>
      <c r="L15" s="182">
        <f t="shared" si="1"/>
        <v>187932556.66999999</v>
      </c>
      <c r="N15" s="89">
        <f>'KY_Res by Plant Acct-P29 (Tot)'!R16</f>
        <v>-43585606.320000015</v>
      </c>
      <c r="P15" s="89">
        <f t="shared" si="2"/>
        <v>144346950.34999996</v>
      </c>
    </row>
    <row r="16" spans="1:16">
      <c r="A16" t="s">
        <v>278</v>
      </c>
      <c r="B16" s="182">
        <f>'KY_Cost Plant Acct-Elec-P14(Tot'!B16+'KY_Cost Plant Acct-Elec-P14(Tot'!B104</f>
        <v>45542226.080000006</v>
      </c>
      <c r="C16" s="182"/>
      <c r="D16" s="182">
        <f>'KY_Cost Plant Acct-Elec-P14(Tot'!D16+'KY_Cost Plant Acct-Elec-P14(Tot'!D104</f>
        <v>-482804.05000000016</v>
      </c>
      <c r="E16" s="182"/>
      <c r="F16" s="182">
        <f>'KY_Cost Plant Acct-Elec-P14(Tot'!F16</f>
        <v>-795.21000000000095</v>
      </c>
      <c r="G16" s="182"/>
      <c r="H16" s="182">
        <f>'KY_Cost Plant Acct-Elec-P14(Tot'!H16+'KY_Cost Plant Acct-Elec-P14(Tot'!H104</f>
        <v>0</v>
      </c>
      <c r="I16" s="182"/>
      <c r="J16" s="182">
        <f t="shared" si="0"/>
        <v>-483599.26000000018</v>
      </c>
      <c r="K16" s="182"/>
      <c r="L16" s="182">
        <f t="shared" si="1"/>
        <v>45058626.820000008</v>
      </c>
      <c r="N16" s="89">
        <f>'KY_Res by Plant Acct-P29 (Tot)'!R17</f>
        <v>-2526165.7900000014</v>
      </c>
      <c r="P16" s="89">
        <f t="shared" si="2"/>
        <v>42532461.030000009</v>
      </c>
    </row>
    <row r="17" spans="1:16">
      <c r="A17" t="s">
        <v>279</v>
      </c>
      <c r="B17" s="182">
        <f>'KY_Cost Plant Acct-Elec-P14(Tot'!B17+'KY_Cost Plant Acct-Elec-P14(Tot'!B105</f>
        <v>109291659.91999999</v>
      </c>
      <c r="C17" s="182"/>
      <c r="D17" s="182">
        <f>'KY_Cost Plant Acct-Elec-P14(Tot'!D17+'KY_Cost Plant Acct-Elec-P14(Tot'!D105</f>
        <v>4233679.7200000007</v>
      </c>
      <c r="E17" s="182"/>
      <c r="F17" s="182">
        <f>'KY_Cost Plant Acct-Elec-P14(Tot'!F17</f>
        <v>-249153.31</v>
      </c>
      <c r="G17" s="182"/>
      <c r="H17" s="182">
        <f>'KY_Cost Plant Acct-Elec-P14(Tot'!H17+'KY_Cost Plant Acct-Elec-P14(Tot'!H105</f>
        <v>0</v>
      </c>
      <c r="I17" s="182"/>
      <c r="J17" s="182">
        <f t="shared" si="0"/>
        <v>3984526.4100000006</v>
      </c>
      <c r="K17" s="182"/>
      <c r="L17" s="182">
        <f t="shared" si="1"/>
        <v>113276186.32999998</v>
      </c>
      <c r="N17" s="89">
        <f>'KY_Res by Plant Acct-P29 (Tot)'!R18</f>
        <v>-12343140.639999986</v>
      </c>
      <c r="P17" s="89">
        <f t="shared" si="2"/>
        <v>100933045.69</v>
      </c>
    </row>
    <row r="18" spans="1:16">
      <c r="A18" t="s">
        <v>280</v>
      </c>
      <c r="B18" s="182">
        <f>'KY_Cost Plant Acct-Elec-P14(Tot'!B18+'KY_Cost Plant Acct-Elec-P14(Tot'!B106</f>
        <v>84897790.959999993</v>
      </c>
      <c r="C18" s="182"/>
      <c r="D18" s="182">
        <f>'KY_Cost Plant Acct-Elec-P14(Tot'!D18+'KY_Cost Plant Acct-Elec-P14(Tot'!D106</f>
        <v>715239.02</v>
      </c>
      <c r="E18" s="182"/>
      <c r="F18" s="182">
        <f>'KY_Cost Plant Acct-Elec-P14(Tot'!F18</f>
        <v>-44155.97</v>
      </c>
      <c r="G18" s="182"/>
      <c r="H18" s="182">
        <f>'KY_Cost Plant Acct-Elec-P14(Tot'!H18+'KY_Cost Plant Acct-Elec-P14(Tot'!H106</f>
        <v>0</v>
      </c>
      <c r="I18" s="182"/>
      <c r="J18" s="182">
        <f t="shared" si="0"/>
        <v>671083.05000000005</v>
      </c>
      <c r="K18" s="182"/>
      <c r="L18" s="182">
        <f t="shared" si="1"/>
        <v>85568874.00999999</v>
      </c>
      <c r="N18" s="89">
        <f>'KY_Res by Plant Acct-P29 (Tot)'!R19</f>
        <v>-8403789.3899999931</v>
      </c>
      <c r="P18" s="89">
        <f t="shared" si="2"/>
        <v>77165084.620000005</v>
      </c>
    </row>
    <row r="19" spans="1:16">
      <c r="A19" t="s">
        <v>308</v>
      </c>
      <c r="B19" s="182">
        <f>'KY_Cost Plant Acct-Elec-P14(Tot'!B19+'KY_Cost Plant Acct-Elec-P14(Tot'!B107</f>
        <v>4202844.1100000003</v>
      </c>
      <c r="C19" s="182"/>
      <c r="D19" s="182">
        <f>'KY_Cost Plant Acct-Elec-P14(Tot'!D19+'KY_Cost Plant Acct-Elec-P14(Tot'!D107</f>
        <v>-64846.200000000004</v>
      </c>
      <c r="E19" s="182"/>
      <c r="F19" s="182">
        <f>'KY_Cost Plant Acct-Elec-P14(Tot'!F19</f>
        <v>-678.65000000000146</v>
      </c>
      <c r="G19" s="182"/>
      <c r="H19" s="182">
        <f>'KY_Cost Plant Acct-Elec-P14(Tot'!H19+'KY_Cost Plant Acct-Elec-P14(Tot'!H107</f>
        <v>0</v>
      </c>
      <c r="I19" s="182"/>
      <c r="J19" s="182">
        <f t="shared" si="0"/>
        <v>-65524.850000000006</v>
      </c>
      <c r="K19" s="182"/>
      <c r="L19" s="182">
        <f t="shared" si="1"/>
        <v>4137319.2600000002</v>
      </c>
      <c r="N19" s="89">
        <f>'KY_Res by Plant Acct-P29 (Tot)'!R20</f>
        <v>728181.42000000039</v>
      </c>
      <c r="P19" s="89">
        <f t="shared" si="2"/>
        <v>4865500.6800000006</v>
      </c>
    </row>
    <row r="20" spans="1:16">
      <c r="A20" t="s">
        <v>309</v>
      </c>
      <c r="B20" s="182">
        <f>'KY_Cost Plant Acct-Elec-P14(Tot'!B20</f>
        <v>14226877.890000004</v>
      </c>
      <c r="C20" s="182"/>
      <c r="D20" s="182">
        <f>'KY_Cost Plant Acct-Elec-P14(Tot'!D20</f>
        <v>1247192.02</v>
      </c>
      <c r="E20" s="182"/>
      <c r="F20" s="182">
        <f>'KY_Cost Plant Acct-Elec-P14(Tot'!F20</f>
        <v>-13155.990000000002</v>
      </c>
      <c r="G20" s="182"/>
      <c r="H20" s="182">
        <f>'KY_Cost Plant Acct-Elec-P14(Tot'!H20</f>
        <v>0</v>
      </c>
      <c r="I20" s="182"/>
      <c r="J20" s="182">
        <f t="shared" si="0"/>
        <v>1234036.03</v>
      </c>
      <c r="K20" s="182"/>
      <c r="L20" s="182">
        <f t="shared" si="1"/>
        <v>15460913.920000004</v>
      </c>
      <c r="N20" s="89">
        <f>'KY_Res by Plant Acct-P29 (Tot)'!R21</f>
        <v>-12780805.120000007</v>
      </c>
      <c r="P20" s="89">
        <f t="shared" si="2"/>
        <v>2680108.799999997</v>
      </c>
    </row>
    <row r="21" spans="1:16">
      <c r="A21" t="s">
        <v>310</v>
      </c>
      <c r="B21" s="182">
        <f>'KY_Cost Plant Acct-Elec-P14(Tot'!B21</f>
        <v>21718762.280000001</v>
      </c>
      <c r="C21" s="182"/>
      <c r="D21" s="182">
        <f>'KY_Cost Plant Acct-Elec-P14(Tot'!D21+'KY_Cost Plant Acct-Elec-P14(Tot'!D108</f>
        <v>469473.26</v>
      </c>
      <c r="E21" s="182"/>
      <c r="F21" s="182">
        <f>'KY_Cost Plant Acct-Elec-P14(Tot'!F21</f>
        <v>0</v>
      </c>
      <c r="G21" s="182"/>
      <c r="H21" s="182">
        <f>'KY_Cost Plant Acct-Elec-P14(Tot'!H21</f>
        <v>0</v>
      </c>
      <c r="I21" s="182"/>
      <c r="J21" s="182">
        <f t="shared" si="0"/>
        <v>469473.26</v>
      </c>
      <c r="K21" s="182"/>
      <c r="L21" s="182">
        <f t="shared" si="1"/>
        <v>22188235.540000003</v>
      </c>
      <c r="N21" s="89">
        <f>'KY_Res by Plant Acct-P29 (Tot)'!R22</f>
        <v>-4329645.4899999956</v>
      </c>
      <c r="P21" s="89">
        <f t="shared" si="2"/>
        <v>17858590.050000008</v>
      </c>
    </row>
    <row r="22" spans="1:16">
      <c r="A22" t="s">
        <v>311</v>
      </c>
      <c r="B22" s="182">
        <f>'KY_Cost Plant Acct-Elec-P14(Tot'!B22+'KY_Cost Plant Acct-Elec-P14(Tot'!B109</f>
        <v>21710477.77</v>
      </c>
      <c r="C22" s="182"/>
      <c r="D22" s="182">
        <f>'KY_Cost Plant Acct-Elec-P14(Tot'!D109+'KY_Cost Plant Acct-Elec-P14(Tot'!D22</f>
        <v>1346358.39</v>
      </c>
      <c r="E22" s="182"/>
      <c r="F22" s="182">
        <f>'KY_Cost Plant Acct-Elec-P14(Tot'!F22</f>
        <v>-72435.399999999994</v>
      </c>
      <c r="G22" s="182"/>
      <c r="H22" s="182">
        <f>'KY_Cost Plant Acct-Elec-P14(Tot'!H22+'KY_Cost Plant Acct-Elec-P14(Tot'!H109</f>
        <v>0</v>
      </c>
      <c r="I22" s="182"/>
      <c r="J22" s="182">
        <f t="shared" si="0"/>
        <v>1273922.99</v>
      </c>
      <c r="K22" s="182"/>
      <c r="L22" s="182">
        <f t="shared" si="1"/>
        <v>22984400.759999998</v>
      </c>
      <c r="N22" s="89">
        <f>'KY_Res by Plant Acct-P29 (Tot)'!R23</f>
        <v>-137473.69000000623</v>
      </c>
      <c r="P22" s="89">
        <f t="shared" si="2"/>
        <v>22846927.069999993</v>
      </c>
    </row>
    <row r="23" spans="1:16">
      <c r="A23" t="s">
        <v>312</v>
      </c>
      <c r="B23" s="182">
        <f>'KY_Cost Plant Acct-Elec-P14(Tot'!B23+'KY_Cost Plant Acct-Elec-P14(Tot'!B110</f>
        <v>29904985.260000005</v>
      </c>
      <c r="C23" s="182"/>
      <c r="D23" s="182">
        <f>'KY_Cost Plant Acct-Elec-P14(Tot'!D23+'KY_Cost Plant Acct-Elec-P14(Tot'!D110</f>
        <v>794401.45</v>
      </c>
      <c r="E23" s="182"/>
      <c r="F23" s="182">
        <f>'KY_Cost Plant Acct-Elec-P14(Tot'!F23</f>
        <v>-27448.55000000001</v>
      </c>
      <c r="G23" s="182"/>
      <c r="H23" s="182">
        <f>'KY_Cost Plant Acct-Elec-P14(Tot'!H23+'KY_Cost Plant Acct-Elec-P14(Tot'!H110</f>
        <v>0</v>
      </c>
      <c r="I23" s="182"/>
      <c r="J23" s="182">
        <f t="shared" si="0"/>
        <v>766952.89999999991</v>
      </c>
      <c r="K23" s="182"/>
      <c r="L23" s="182">
        <f t="shared" si="1"/>
        <v>30671938.160000004</v>
      </c>
      <c r="N23" s="89">
        <f>'KY_Res by Plant Acct-P29 (Tot)'!R24</f>
        <v>-3379546.3799999976</v>
      </c>
      <c r="P23" s="89">
        <f t="shared" si="2"/>
        <v>27292391.780000005</v>
      </c>
    </row>
    <row r="24" spans="1:16">
      <c r="A24" t="s">
        <v>313</v>
      </c>
      <c r="B24" s="182">
        <f>'KY_Cost Plant Acct-Elec-P14(Tot'!B24</f>
        <v>0</v>
      </c>
      <c r="C24" s="182"/>
      <c r="D24" s="182">
        <f>'KY_Cost Plant Acct-Elec-P14(Tot'!D24</f>
        <v>0</v>
      </c>
      <c r="E24" s="182"/>
      <c r="F24" s="182">
        <f>'KY_Cost Plant Acct-Elec-P14(Tot'!F24</f>
        <v>0</v>
      </c>
      <c r="G24" s="182"/>
      <c r="H24" s="182">
        <f>'KY_Cost Plant Acct-Elec-P14(Tot'!H24</f>
        <v>0</v>
      </c>
      <c r="I24" s="182"/>
      <c r="J24" s="182">
        <f t="shared" si="0"/>
        <v>0</v>
      </c>
      <c r="K24" s="182"/>
      <c r="L24" s="182">
        <f t="shared" si="1"/>
        <v>0</v>
      </c>
      <c r="N24" s="89">
        <f>'KY_Res by Plant Acct-P29 (Tot)'!R25</f>
        <v>-96556.53</v>
      </c>
      <c r="P24" s="89">
        <f t="shared" si="2"/>
        <v>-96556.53</v>
      </c>
    </row>
    <row r="25" spans="1:16">
      <c r="A25" t="s">
        <v>314</v>
      </c>
      <c r="B25" s="325">
        <f>'KY_Cost Plant Acct-Elec-P14(Tot'!B25</f>
        <v>481206.24000000005</v>
      </c>
      <c r="C25" s="326"/>
      <c r="D25" s="325">
        <f>'KY_Cost Plant Acct-Elec-P14(Tot'!D25</f>
        <v>0</v>
      </c>
      <c r="E25" s="326"/>
      <c r="F25" s="325">
        <f>'KY_Cost Plant Acct-Elec-P14(Tot'!F25</f>
        <v>0</v>
      </c>
      <c r="G25" s="325"/>
      <c r="H25" s="325">
        <f>'KY_Cost Plant Acct-Elec-P14(Tot'!H25</f>
        <v>0</v>
      </c>
      <c r="I25" s="325"/>
      <c r="J25" s="325">
        <f t="shared" si="0"/>
        <v>0</v>
      </c>
      <c r="K25" s="326"/>
      <c r="L25" s="325">
        <f>B25+J25</f>
        <v>481206.24000000005</v>
      </c>
      <c r="N25" s="89">
        <f>'KY_Res by Plant Acct-P29 (Tot)'!R26</f>
        <v>-8798.8600000000679</v>
      </c>
      <c r="P25" s="89">
        <f>L25+N25</f>
        <v>472407.38</v>
      </c>
    </row>
    <row r="26" spans="1:16">
      <c r="A26" s="331" t="s">
        <v>1449</v>
      </c>
      <c r="B26" s="327">
        <f>'KY_Cost Plant Acct-Elec-P14(Tot'!B26</f>
        <v>145332.98000000001</v>
      </c>
      <c r="C26" s="325"/>
      <c r="D26" s="327">
        <f>'KY_Cost Plant Acct-Elec-P14(Tot'!D26</f>
        <v>0</v>
      </c>
      <c r="E26" s="325"/>
      <c r="F26" s="327">
        <f>'KY_Cost Plant Acct-Elec-P14(Tot'!F26</f>
        <v>0</v>
      </c>
      <c r="G26" s="182"/>
      <c r="H26" s="327">
        <f>'KY_Cost Plant Acct-Elec-P14(Tot'!H26</f>
        <v>-23.740000000019791</v>
      </c>
      <c r="I26" s="182"/>
      <c r="J26" s="327">
        <f t="shared" si="0"/>
        <v>-23.740000000019791</v>
      </c>
      <c r="K26" s="325"/>
      <c r="L26" s="327">
        <f>B26+J26</f>
        <v>145309.24</v>
      </c>
      <c r="N26" s="90">
        <f>'KY_Res by Plant Acct-P29 (Tot)'!R27</f>
        <v>-1564.88</v>
      </c>
      <c r="P26" s="90">
        <f>L26+N26</f>
        <v>143744.35999999999</v>
      </c>
    </row>
    <row r="27" spans="1:16">
      <c r="B27" s="52">
        <f>SUM(B11:B26)</f>
        <v>716227179.70999992</v>
      </c>
      <c r="C27" s="52"/>
      <c r="D27" s="52">
        <f>SUM(D11:D26)</f>
        <v>32063554.190000001</v>
      </c>
      <c r="E27" s="52"/>
      <c r="F27" s="52">
        <f>SUM(F11:F26)</f>
        <v>-1212153.93</v>
      </c>
      <c r="G27" s="52"/>
      <c r="H27" s="52">
        <f>SUM(H11:H26)</f>
        <v>21903.139999999981</v>
      </c>
      <c r="I27" s="52"/>
      <c r="J27" s="52">
        <f>SUM(J11:J26)</f>
        <v>30873303.399999999</v>
      </c>
      <c r="K27" s="52"/>
      <c r="L27" s="52">
        <f>SUM(L11:L26)</f>
        <v>747100483.1099999</v>
      </c>
      <c r="N27" s="52">
        <f>SUM(N11:N26)</f>
        <v>-148809275.91000003</v>
      </c>
      <c r="P27" s="52">
        <f>SUM(P11:P26)</f>
        <v>598291207.20000005</v>
      </c>
    </row>
    <row r="28" spans="1:16">
      <c r="B28" s="52"/>
      <c r="C28" s="52"/>
      <c r="D28" s="52"/>
      <c r="E28" s="52"/>
      <c r="F28" s="52"/>
      <c r="G28" s="52"/>
      <c r="H28" s="52"/>
      <c r="I28" s="52"/>
      <c r="J28" s="52"/>
      <c r="K28" s="52"/>
      <c r="L28" s="52"/>
    </row>
    <row r="29" spans="1:16">
      <c r="A29" s="12" t="s">
        <v>808</v>
      </c>
      <c r="B29" s="52"/>
      <c r="C29" s="52"/>
      <c r="D29" s="52"/>
      <c r="E29" s="52"/>
      <c r="F29" s="52"/>
      <c r="G29" s="52"/>
      <c r="H29" s="52"/>
      <c r="I29" s="52"/>
      <c r="J29" s="52"/>
      <c r="K29" s="52"/>
      <c r="L29" s="52"/>
    </row>
    <row r="30" spans="1:16">
      <c r="A30" t="s">
        <v>315</v>
      </c>
      <c r="B30" s="52">
        <f>'KY_Cost Plant Acct-Elec-P14(Tot'!B30</f>
        <v>1202710.8499999996</v>
      </c>
      <c r="C30" s="52"/>
      <c r="D30" s="52">
        <f>'KY_Cost Plant Acct-Elec-P14(Tot'!D30</f>
        <v>118725.14</v>
      </c>
      <c r="E30" s="52"/>
      <c r="F30" s="52">
        <f>'KY_Cost Plant Acct-Elec-P14(Tot'!F30</f>
        <v>0</v>
      </c>
      <c r="G30" s="52"/>
      <c r="H30" s="52">
        <f>'KY_Cost Plant Acct-Elec-P14(Tot'!H30</f>
        <v>0</v>
      </c>
      <c r="I30" s="52"/>
      <c r="J30" s="52">
        <f t="shared" ref="J30:J35" si="3">H30+F30+D30</f>
        <v>118725.14</v>
      </c>
      <c r="K30" s="52"/>
      <c r="L30" s="182">
        <f>B30+J30</f>
        <v>1321435.9899999995</v>
      </c>
      <c r="N30" s="89">
        <f>'KY_Res by Plant Acct-P29 (Tot)'!R31</f>
        <v>-234383.6400000024</v>
      </c>
      <c r="P30" s="89">
        <f t="shared" ref="P30:P35" si="4">L30+N30</f>
        <v>1087052.3499999971</v>
      </c>
    </row>
    <row r="31" spans="1:16">
      <c r="A31" t="s">
        <v>316</v>
      </c>
      <c r="B31" s="52">
        <f>'KY_Cost Plant Acct-Elec-P14(Tot'!B31+'KY_Cost Plant Acct-Elec-P14(Tot'!B114</f>
        <v>353637.27</v>
      </c>
      <c r="C31" s="52"/>
      <c r="D31" s="52">
        <f>'KY_Cost Plant Acct-Elec-P14(Tot'!D31+'KY_Cost Plant Acct-Elec-P14(Tot'!D114</f>
        <v>75520.66</v>
      </c>
      <c r="E31" s="52"/>
      <c r="F31" s="52">
        <f>'KY_Cost Plant Acct-Elec-P14(Tot'!F31</f>
        <v>0</v>
      </c>
      <c r="G31" s="52"/>
      <c r="H31" s="52">
        <f>'KY_Cost Plant Acct-Elec-P14(Tot'!H31</f>
        <v>0</v>
      </c>
      <c r="I31" s="52"/>
      <c r="J31" s="52">
        <f t="shared" si="3"/>
        <v>75520.66</v>
      </c>
      <c r="K31" s="52"/>
      <c r="L31" s="182">
        <f t="shared" ref="L31:L35" si="5">B31+J31</f>
        <v>429157.93000000005</v>
      </c>
      <c r="N31" s="89">
        <f>'KY_Res by Plant Acct-P29 (Tot)'!R32</f>
        <v>-9550.4099999999962</v>
      </c>
      <c r="P31" s="89">
        <f t="shared" si="4"/>
        <v>419607.52000000008</v>
      </c>
    </row>
    <row r="32" spans="1:16">
      <c r="A32" t="s">
        <v>317</v>
      </c>
      <c r="B32" s="52">
        <f>'KY_Cost Plant Acct-Elec-P14(Tot'!B32+'KY_Cost Plant Acct-Elec-P14(Tot'!B115</f>
        <v>3218710.2800000003</v>
      </c>
      <c r="C32" s="52"/>
      <c r="D32" s="52">
        <f>'KY_Cost Plant Acct-Elec-P14(Tot'!D32+'KY_Cost Plant Acct-Elec-P14(Tot'!D115</f>
        <v>48831.4</v>
      </c>
      <c r="E32" s="52"/>
      <c r="F32" s="52">
        <f>'KY_Cost Plant Acct-Elec-P14(Tot'!F32</f>
        <v>0</v>
      </c>
      <c r="G32" s="52"/>
      <c r="H32" s="52">
        <f>'KY_Cost Plant Acct-Elec-P14(Tot'!H32</f>
        <v>0</v>
      </c>
      <c r="I32" s="52"/>
      <c r="J32" s="52">
        <f t="shared" si="3"/>
        <v>48831.4</v>
      </c>
      <c r="K32" s="52"/>
      <c r="L32" s="182">
        <f t="shared" si="5"/>
        <v>3267541.68</v>
      </c>
      <c r="N32" s="89">
        <f>'KY_Res by Plant Acct-P29 (Tot)'!R33</f>
        <v>-173659.17999999991</v>
      </c>
      <c r="P32" s="89">
        <f t="shared" si="4"/>
        <v>3093882.5000000005</v>
      </c>
    </row>
    <row r="33" spans="1:16">
      <c r="A33" t="s">
        <v>318</v>
      </c>
      <c r="B33" s="52">
        <f>'KY_Cost Plant Acct-Elec-P14(Tot'!B33</f>
        <v>-21504.75</v>
      </c>
      <c r="C33" s="52"/>
      <c r="D33" s="52">
        <f>'KY_Cost Plant Acct-Elec-P14(Tot'!D33</f>
        <v>0</v>
      </c>
      <c r="E33" s="52"/>
      <c r="F33" s="52">
        <f>'KY_Cost Plant Acct-Elec-P14(Tot'!F33</f>
        <v>0</v>
      </c>
      <c r="G33" s="52"/>
      <c r="H33" s="52">
        <f>'KY_Cost Plant Acct-Elec-P14(Tot'!H33</f>
        <v>0</v>
      </c>
      <c r="I33" s="52"/>
      <c r="J33" s="52">
        <f t="shared" si="3"/>
        <v>0</v>
      </c>
      <c r="K33" s="52"/>
      <c r="L33" s="182">
        <f t="shared" si="5"/>
        <v>-21504.75</v>
      </c>
      <c r="N33" s="89">
        <f>'KY_Res by Plant Acct-P29 (Tot)'!R34</f>
        <v>21504.750000000131</v>
      </c>
      <c r="P33" s="89">
        <f t="shared" si="4"/>
        <v>1.3096723705530167E-10</v>
      </c>
    </row>
    <row r="34" spans="1:16">
      <c r="A34" t="s">
        <v>319</v>
      </c>
      <c r="B34" s="52">
        <f>'KY_Cost Plant Acct-Elec-P14(Tot'!B34</f>
        <v>246472.25999999978</v>
      </c>
      <c r="C34" s="52"/>
      <c r="D34" s="52">
        <f>'KY_Cost Plant Acct-Elec-P14(Tot'!D34</f>
        <v>0</v>
      </c>
      <c r="E34" s="52"/>
      <c r="F34" s="52">
        <f>'KY_Cost Plant Acct-Elec-P14(Tot'!F34</f>
        <v>0</v>
      </c>
      <c r="G34" s="52"/>
      <c r="H34" s="52">
        <f>'KY_Cost Plant Acct-Elec-P14(Tot'!H34</f>
        <v>0</v>
      </c>
      <c r="I34" s="52"/>
      <c r="J34" s="52">
        <f t="shared" si="3"/>
        <v>0</v>
      </c>
      <c r="K34" s="52"/>
      <c r="L34" s="182">
        <f t="shared" si="5"/>
        <v>246472.25999999978</v>
      </c>
      <c r="N34" s="89">
        <f>'KY_Res by Plant Acct-P29 (Tot)'!R35</f>
        <v>-75628.229999999807</v>
      </c>
      <c r="P34" s="89">
        <f t="shared" si="4"/>
        <v>170844.02999999997</v>
      </c>
    </row>
    <row r="35" spans="1:16">
      <c r="A35" t="s">
        <v>320</v>
      </c>
      <c r="B35" s="48">
        <f>'KY_Cost Plant Acct-Elec-P14(Tot'!B35+'KY_Cost Plant Acct-Elec-P14(Tot'!B116</f>
        <v>124576.10999999999</v>
      </c>
      <c r="C35" s="52"/>
      <c r="D35" s="48">
        <f>'KY_Cost Plant Acct-Elec-P14(Tot'!D35+'KY_Cost Plant Acct-Elec-P14(Tot'!D116</f>
        <v>0</v>
      </c>
      <c r="E35" s="52"/>
      <c r="F35" s="48">
        <f>'KY_Cost Plant Acct-Elec-P14(Tot'!F35+'KY_Cost Plant Acct-Elec-P14(Tot'!F116</f>
        <v>0</v>
      </c>
      <c r="G35" s="52"/>
      <c r="H35" s="48">
        <f>'KY_Cost Plant Acct-Elec-P14(Tot'!H35+'KY_Cost Plant Acct-Elec-P14(Tot'!H116</f>
        <v>0</v>
      </c>
      <c r="I35" s="52"/>
      <c r="J35" s="48">
        <f t="shared" si="3"/>
        <v>0</v>
      </c>
      <c r="K35" s="52"/>
      <c r="L35" s="48">
        <f t="shared" si="5"/>
        <v>124576.10999999999</v>
      </c>
      <c r="N35" s="90">
        <f>'KY_Res by Plant Acct-P29 (Tot)'!R36</f>
        <v>-1634.8399999999961</v>
      </c>
      <c r="P35" s="90">
        <f t="shared" si="4"/>
        <v>122941.26999999999</v>
      </c>
    </row>
    <row r="36" spans="1:16">
      <c r="B36" s="52">
        <f>SUM(B30:B35)</f>
        <v>5124602.0200000005</v>
      </c>
      <c r="C36" s="52"/>
      <c r="D36" s="52">
        <f>SUM(D30:D35)</f>
        <v>243077.19999999998</v>
      </c>
      <c r="E36" s="52"/>
      <c r="F36" s="52">
        <f>SUM(F30:F35)</f>
        <v>0</v>
      </c>
      <c r="G36" s="52"/>
      <c r="H36" s="52">
        <f>SUM(H30:H35)</f>
        <v>0</v>
      </c>
      <c r="I36" s="52"/>
      <c r="J36" s="52">
        <f>SUM(J30:J35)</f>
        <v>243077.19999999998</v>
      </c>
      <c r="K36" s="52"/>
      <c r="L36" s="52">
        <f>SUM(L30:L35)</f>
        <v>5367679.22</v>
      </c>
      <c r="N36" s="52">
        <f>SUM(N30:N35)</f>
        <v>-473351.55000000197</v>
      </c>
      <c r="P36" s="52">
        <f>SUM(P30:P35)</f>
        <v>4894327.6699999971</v>
      </c>
    </row>
    <row r="37" spans="1:16">
      <c r="B37" s="52"/>
      <c r="C37" s="52"/>
      <c r="D37" s="52"/>
      <c r="E37" s="52"/>
      <c r="F37" s="52"/>
      <c r="G37" s="52"/>
      <c r="H37" s="52"/>
      <c r="I37" s="52"/>
      <c r="J37" s="52"/>
      <c r="K37" s="52"/>
      <c r="L37" s="52"/>
    </row>
    <row r="38" spans="1:16">
      <c r="A38" s="12" t="s">
        <v>809</v>
      </c>
      <c r="B38" s="52"/>
      <c r="C38" s="52"/>
      <c r="D38" s="52"/>
      <c r="E38" s="52"/>
      <c r="F38" s="52"/>
      <c r="G38" s="52"/>
      <c r="H38" s="52"/>
      <c r="I38" s="52"/>
      <c r="J38" s="52"/>
      <c r="K38" s="52"/>
      <c r="L38" s="52"/>
    </row>
    <row r="39" spans="1:16">
      <c r="A39" t="s">
        <v>321</v>
      </c>
      <c r="B39" s="52">
        <f>'KY_Cost Plant Acct-Elec-P14(Tot'!B39</f>
        <v>6.5</v>
      </c>
      <c r="C39" s="52"/>
      <c r="D39" s="52">
        <f>'KY_Cost Plant Acct-Elec-P14(Tot'!D39</f>
        <v>0</v>
      </c>
      <c r="E39" s="52"/>
      <c r="F39" s="52">
        <f>'KY_Cost Plant Acct-Elec-P14(Tot'!F39</f>
        <v>0</v>
      </c>
      <c r="G39" s="52"/>
      <c r="H39" s="52">
        <f>'KY_Cost Plant Acct-Elec-P14(Tot'!H39</f>
        <v>0</v>
      </c>
      <c r="I39" s="52"/>
      <c r="J39" s="52">
        <f t="shared" ref="J39:J46" si="6">H39+F39+D39</f>
        <v>0</v>
      </c>
      <c r="K39" s="52"/>
      <c r="L39" s="182">
        <f t="shared" ref="L39:L46" si="7">B39+J39</f>
        <v>6.5</v>
      </c>
      <c r="N39" s="89">
        <v>0</v>
      </c>
      <c r="P39" s="89">
        <f t="shared" ref="P39:P46" si="8">L39+N39</f>
        <v>6.5</v>
      </c>
    </row>
    <row r="40" spans="1:16">
      <c r="A40" t="s">
        <v>574</v>
      </c>
      <c r="B40" s="52">
        <f>'KY_Cost Plant Acct-Elec-P14(Tot'!B40+'KY_Cost Plant Acct-Elec-P14(Tot'!B120</f>
        <v>511296.46999999939</v>
      </c>
      <c r="C40" s="52"/>
      <c r="D40" s="52">
        <f>'KY_Cost Plant Acct-Elec-P14(Tot'!D40+'KY_Cost Plant Acct-Elec-P14(Tot'!D120</f>
        <v>0</v>
      </c>
      <c r="E40" s="52"/>
      <c r="F40" s="52">
        <f>'KY_Cost Plant Acct-Elec-P14(Tot'!F40</f>
        <v>18.109999999999957</v>
      </c>
      <c r="G40" s="52"/>
      <c r="H40" s="52">
        <f>'KY_Cost Plant Acct-Elec-P14(Tot'!H40+'KY_Cost Plant Acct-Elec-P14(Tot'!H120</f>
        <v>0</v>
      </c>
      <c r="I40" s="52"/>
      <c r="J40" s="52">
        <f t="shared" si="6"/>
        <v>18.109999999999957</v>
      </c>
      <c r="K40" s="52"/>
      <c r="L40" s="182">
        <f t="shared" si="7"/>
        <v>511314.57999999938</v>
      </c>
      <c r="N40" s="89">
        <f>'KY_Res by Plant Acct-P29 (Tot)'!R42+'KY_Res by Plant Acct-P29 (Tot)'!R43</f>
        <v>145441.74999999991</v>
      </c>
      <c r="P40" s="89">
        <f t="shared" si="8"/>
        <v>656756.32999999926</v>
      </c>
    </row>
    <row r="41" spans="1:16">
      <c r="A41" t="s">
        <v>575</v>
      </c>
      <c r="B41" s="52">
        <f>'KY_Cost Plant Acct-Elec-P14(Tot'!B41+'KY_Cost Plant Acct-Elec-P14(Tot'!B121</f>
        <v>10408984.73</v>
      </c>
      <c r="C41" s="52"/>
      <c r="D41" s="52">
        <f>'KY_Cost Plant Acct-Elec-P14(Tot'!D41+'KY_Cost Plant Acct-Elec-P14(Tot'!D121</f>
        <v>0</v>
      </c>
      <c r="E41" s="52"/>
      <c r="F41" s="52">
        <f>'KY_Cost Plant Acct-Elec-P14(Tot'!F41</f>
        <v>0</v>
      </c>
      <c r="G41" s="52"/>
      <c r="H41" s="52">
        <f>'KY_Cost Plant Acct-Elec-P14(Tot'!H41+'KY_Cost Plant Acct-Elec-P14(Tot'!H121</f>
        <v>0</v>
      </c>
      <c r="I41" s="52"/>
      <c r="J41" s="52">
        <f t="shared" si="6"/>
        <v>0</v>
      </c>
      <c r="K41" s="52"/>
      <c r="L41" s="182">
        <f t="shared" si="7"/>
        <v>10408984.73</v>
      </c>
      <c r="N41" s="89">
        <f>'KY_Res by Plant Acct-P29 (Tot)'!R44</f>
        <v>-520137.84</v>
      </c>
      <c r="P41" s="89">
        <f t="shared" si="8"/>
        <v>9888846.8900000006</v>
      </c>
    </row>
    <row r="42" spans="1:16">
      <c r="A42" t="s">
        <v>576</v>
      </c>
      <c r="B42" s="52">
        <f>'KY_Cost Plant Acct-Elec-P14(Tot'!B42+'KY_Cost Plant Acct-Elec-P14(Tot'!B122</f>
        <v>17930347.479999997</v>
      </c>
      <c r="C42" s="52"/>
      <c r="D42" s="52">
        <f>'KY_Cost Plant Acct-Elec-P14(Tot'!D42+'KY_Cost Plant Acct-Elec-P14(Tot'!D122</f>
        <v>0</v>
      </c>
      <c r="E42" s="52"/>
      <c r="F42" s="52">
        <f>'KY_Cost Plant Acct-Elec-P14(Tot'!F42</f>
        <v>0</v>
      </c>
      <c r="G42" s="52"/>
      <c r="H42" s="52">
        <f>'KY_Cost Plant Acct-Elec-P14(Tot'!H42+'KY_Cost Plant Acct-Elec-P14(Tot'!H122</f>
        <v>0</v>
      </c>
      <c r="I42" s="52"/>
      <c r="J42" s="52">
        <f t="shared" si="6"/>
        <v>0</v>
      </c>
      <c r="K42" s="52"/>
      <c r="L42" s="182">
        <f t="shared" si="7"/>
        <v>17930347.479999997</v>
      </c>
      <c r="N42" s="89">
        <f>'KY_Res by Plant Acct-P29 (Tot)'!R45</f>
        <v>1086251.8500000001</v>
      </c>
      <c r="P42" s="89">
        <f t="shared" si="8"/>
        <v>19016599.329999998</v>
      </c>
    </row>
    <row r="43" spans="1:16">
      <c r="A43" t="s">
        <v>577</v>
      </c>
      <c r="B43" s="52">
        <f>'KY_Cost Plant Acct-Elec-P14(Tot'!B43+'KY_Cost Plant Acct-Elec-P14(Tot'!B123</f>
        <v>3853196.0599999996</v>
      </c>
      <c r="C43" s="52"/>
      <c r="D43" s="52">
        <f>'KY_Cost Plant Acct-Elec-P14(Tot'!D43+'KY_Cost Plant Acct-Elec-P14(Tot'!D123</f>
        <v>0</v>
      </c>
      <c r="E43" s="52"/>
      <c r="F43" s="52">
        <f>'KY_Cost Plant Acct-Elec-P14(Tot'!F43</f>
        <v>0</v>
      </c>
      <c r="G43" s="52"/>
      <c r="H43" s="52">
        <f>'KY_Cost Plant Acct-Elec-P14(Tot'!H43+'KY_Cost Plant Acct-Elec-P14(Tot'!H123</f>
        <v>0</v>
      </c>
      <c r="I43" s="52"/>
      <c r="J43" s="52">
        <f t="shared" si="6"/>
        <v>0</v>
      </c>
      <c r="K43" s="52"/>
      <c r="L43" s="182">
        <f t="shared" si="7"/>
        <v>3853196.0599999996</v>
      </c>
      <c r="N43" s="89">
        <f>'KY_Res by Plant Acct-P29 (Tot)'!R46</f>
        <v>-325635.9599999999</v>
      </c>
      <c r="P43" s="89">
        <f t="shared" si="8"/>
        <v>3527560.0999999996</v>
      </c>
    </row>
    <row r="44" spans="1:16">
      <c r="A44" t="s">
        <v>281</v>
      </c>
      <c r="B44" s="52">
        <f>'KY_Cost Plant Acct-Elec-P14(Tot'!B44</f>
        <v>268453.92000000004</v>
      </c>
      <c r="C44" s="52"/>
      <c r="D44" s="52">
        <f>'KY_Cost Plant Acct-Elec-P14(Tot'!D44+'KY_Cost Plant Acct-Elec-P14(Tot'!D124</f>
        <v>0</v>
      </c>
      <c r="E44" s="52"/>
      <c r="F44" s="52">
        <f>'KY_Cost Plant Acct-Elec-P14(Tot'!F44</f>
        <v>0</v>
      </c>
      <c r="G44" s="52"/>
      <c r="H44" s="52">
        <f>'KY_Cost Plant Acct-Elec-P14(Tot'!H44</f>
        <v>0</v>
      </c>
      <c r="I44" s="52"/>
      <c r="J44" s="52">
        <f t="shared" si="6"/>
        <v>0</v>
      </c>
      <c r="K44" s="52"/>
      <c r="L44" s="182">
        <f t="shared" si="7"/>
        <v>268453.92000000004</v>
      </c>
      <c r="N44" s="89">
        <f>'KY_Res by Plant Acct-P29 (Tot)'!R48+'KY_Res by Plant Acct-P29 (Tot)'!R47</f>
        <v>-15579.679999999986</v>
      </c>
      <c r="P44" s="89">
        <f t="shared" si="8"/>
        <v>252874.24000000005</v>
      </c>
    </row>
    <row r="45" spans="1:16">
      <c r="A45" t="s">
        <v>282</v>
      </c>
      <c r="B45" s="52">
        <f>'KY_Cost Plant Acct-Elec-P14(Tot'!B45</f>
        <v>-44756.130000000005</v>
      </c>
      <c r="C45" s="52"/>
      <c r="D45" s="52">
        <f>'KY_Cost Plant Acct-Elec-P14(Tot'!D45</f>
        <v>0</v>
      </c>
      <c r="E45" s="52"/>
      <c r="F45" s="52">
        <f>'KY_Cost Plant Acct-Elec-P14(Tot'!F45</f>
        <v>0</v>
      </c>
      <c r="G45" s="52"/>
      <c r="H45" s="52">
        <f>'KY_Cost Plant Acct-Elec-P14(Tot'!H45</f>
        <v>0</v>
      </c>
      <c r="I45" s="52"/>
      <c r="J45" s="52">
        <f t="shared" si="6"/>
        <v>0</v>
      </c>
      <c r="K45" s="52"/>
      <c r="L45" s="182">
        <f t="shared" si="7"/>
        <v>-44756.130000000005</v>
      </c>
      <c r="N45" s="89">
        <f>'KY_Res by Plant Acct-P29 (Tot)'!R49+'KY_Res by Plant Acct-P29 (Tot)'!R50</f>
        <v>56880.53</v>
      </c>
      <c r="P45" s="89">
        <f t="shared" si="8"/>
        <v>12124.399999999994</v>
      </c>
    </row>
    <row r="46" spans="1:16">
      <c r="A46" t="s">
        <v>283</v>
      </c>
      <c r="B46" s="48">
        <f>'KY_Cost Plant Acct-Elec-P14(Tot'!B46</f>
        <v>103528.98</v>
      </c>
      <c r="C46" s="52"/>
      <c r="D46" s="48">
        <f>'KY_Cost Plant Acct-Elec-P14(Tot'!D46</f>
        <v>0</v>
      </c>
      <c r="E46" s="52"/>
      <c r="F46" s="48">
        <f>'KY_Cost Plant Acct-Elec-P14(Tot'!F46</f>
        <v>0</v>
      </c>
      <c r="G46" s="52"/>
      <c r="H46" s="48">
        <f>'KY_Cost Plant Acct-Elec-P14(Tot'!H46</f>
        <v>0</v>
      </c>
      <c r="I46" s="52"/>
      <c r="J46" s="48">
        <f t="shared" si="6"/>
        <v>0</v>
      </c>
      <c r="K46" s="52"/>
      <c r="L46" s="48">
        <f t="shared" si="7"/>
        <v>103528.98</v>
      </c>
      <c r="N46" s="90">
        <f>'KY_Res by Plant Acct-P29 (Tot)'!R51</f>
        <v>-2549.75000000001</v>
      </c>
      <c r="P46" s="90">
        <f t="shared" si="8"/>
        <v>100979.22999999998</v>
      </c>
    </row>
    <row r="47" spans="1:16">
      <c r="B47" s="52">
        <f>SUM(B39:B46)</f>
        <v>33031058.009999998</v>
      </c>
      <c r="C47" s="52"/>
      <c r="D47" s="52">
        <f>SUM(D39:D46)</f>
        <v>0</v>
      </c>
      <c r="E47" s="52"/>
      <c r="F47" s="52">
        <f>SUM(F39:F46)</f>
        <v>18.109999999999957</v>
      </c>
      <c r="G47" s="52"/>
      <c r="H47" s="52">
        <f>SUM(H39:H46)</f>
        <v>0</v>
      </c>
      <c r="I47" s="52"/>
      <c r="J47" s="52">
        <f>SUM(J39:J46)</f>
        <v>18.109999999999957</v>
      </c>
      <c r="K47" s="52"/>
      <c r="L47" s="52">
        <f>SUM(L39:L46)</f>
        <v>33031076.120000001</v>
      </c>
      <c r="N47" s="89">
        <f>SUM(N39:N46)</f>
        <v>424670.90000000014</v>
      </c>
      <c r="P47" s="89">
        <f>SUM(P39:P46)</f>
        <v>33455747.019999996</v>
      </c>
    </row>
    <row r="48" spans="1:16">
      <c r="B48" s="52"/>
      <c r="C48" s="52"/>
      <c r="D48" s="52"/>
      <c r="E48" s="52"/>
      <c r="F48" s="52"/>
      <c r="G48" s="52"/>
      <c r="H48" s="52"/>
      <c r="I48" s="52"/>
      <c r="J48" s="52"/>
      <c r="K48" s="52"/>
      <c r="L48" s="52"/>
    </row>
    <row r="49" spans="1:16">
      <c r="A49" s="3" t="s">
        <v>810</v>
      </c>
      <c r="B49" s="52"/>
      <c r="C49" s="52"/>
      <c r="D49" s="52"/>
      <c r="E49" s="52"/>
      <c r="F49" s="52"/>
      <c r="G49" s="52"/>
      <c r="H49" s="52"/>
      <c r="I49" s="52"/>
      <c r="J49" s="52"/>
      <c r="K49" s="52"/>
      <c r="L49" s="52"/>
    </row>
    <row r="50" spans="1:16">
      <c r="A50" t="s">
        <v>284</v>
      </c>
      <c r="B50" s="182">
        <f>'KY_Cost Plant Acct-Elec-P14(Tot'!B50</f>
        <v>2240.29</v>
      </c>
      <c r="C50" s="52"/>
      <c r="D50" s="52">
        <f>+'KY_Cost Plant Acct-Elec-P14(Tot'!D50</f>
        <v>0</v>
      </c>
      <c r="E50" s="52"/>
      <c r="F50" s="52">
        <f>+'KY_Cost Plant Acct-Elec-P14(Tot'!F50</f>
        <v>0</v>
      </c>
      <c r="G50" s="52"/>
      <c r="H50" s="52">
        <f>+'KY_Cost Plant Acct-Elec-P14(Tot'!H50</f>
        <v>0</v>
      </c>
      <c r="I50" s="52"/>
      <c r="J50" s="52">
        <f>H50+F50+D50</f>
        <v>0</v>
      </c>
      <c r="K50" s="52"/>
      <c r="L50" s="182">
        <f>B50+J50</f>
        <v>2240.29</v>
      </c>
      <c r="N50" s="89">
        <f>'KY_Res by Plant Acct-P29 (Tot)'!R329</f>
        <v>0</v>
      </c>
      <c r="P50" s="89">
        <f>L50+N50</f>
        <v>2240.29</v>
      </c>
    </row>
    <row r="51" spans="1:16">
      <c r="A51" t="s">
        <v>285</v>
      </c>
      <c r="B51" s="48">
        <f>'KY_Cost Plant Acct-Elec-P14(Tot'!B51</f>
        <v>0</v>
      </c>
      <c r="C51" s="52"/>
      <c r="D51" s="48">
        <f>+'KY_Cost Plant Acct-Elec-P14(Tot'!D51</f>
        <v>0</v>
      </c>
      <c r="E51" s="52"/>
      <c r="F51" s="48">
        <f>+'KY_Cost Plant Acct-Elec-P14(Tot'!F51</f>
        <v>0</v>
      </c>
      <c r="G51" s="52"/>
      <c r="H51" s="48">
        <f>+'KY_Cost Plant Acct-Elec-P14(Tot'!H51</f>
        <v>0</v>
      </c>
      <c r="I51" s="52"/>
      <c r="J51" s="48">
        <f>H51+F51+D51</f>
        <v>0</v>
      </c>
      <c r="K51" s="52"/>
      <c r="L51" s="48">
        <f>B51+J51</f>
        <v>0</v>
      </c>
      <c r="N51" s="90">
        <f>'KY_Res by Plant Acct-P29 (Tot)'!R330</f>
        <v>0</v>
      </c>
      <c r="P51" s="90">
        <f>L51+N51</f>
        <v>0</v>
      </c>
    </row>
    <row r="52" spans="1:16">
      <c r="B52" s="52">
        <f>SUM(B50:B51)</f>
        <v>2240.29</v>
      </c>
      <c r="C52" s="52"/>
      <c r="D52" s="52">
        <f>SUM(D50:D51)</f>
        <v>0</v>
      </c>
      <c r="E52" s="52"/>
      <c r="F52" s="52">
        <f>SUM(F50:F51)</f>
        <v>0</v>
      </c>
      <c r="G52" s="52"/>
      <c r="H52" s="52">
        <f>SUM(H50:H51)</f>
        <v>0</v>
      </c>
      <c r="I52" s="52"/>
      <c r="J52" s="52">
        <f>SUM(J50:J51)</f>
        <v>0</v>
      </c>
      <c r="K52" s="52"/>
      <c r="L52" s="52">
        <f>SUM(L50:L51)</f>
        <v>2240.29</v>
      </c>
      <c r="N52" s="89">
        <f>SUM(N50:N51)</f>
        <v>0</v>
      </c>
      <c r="P52" s="89">
        <f>SUM(P50:P51)</f>
        <v>2240.29</v>
      </c>
    </row>
    <row r="53" spans="1:16">
      <c r="B53" s="52"/>
      <c r="C53" s="52"/>
      <c r="D53" s="52"/>
      <c r="E53" s="52"/>
      <c r="F53" s="52"/>
      <c r="G53" s="52"/>
      <c r="H53" s="52"/>
      <c r="I53" s="52"/>
      <c r="J53" s="52"/>
      <c r="K53" s="52"/>
      <c r="L53" s="52"/>
    </row>
    <row r="54" spans="1:16">
      <c r="A54" s="3" t="s">
        <v>811</v>
      </c>
      <c r="B54" s="182"/>
      <c r="C54" s="182"/>
      <c r="D54" s="182"/>
      <c r="E54" s="182"/>
      <c r="F54" s="182"/>
      <c r="G54" s="182"/>
      <c r="H54" s="182"/>
      <c r="I54" s="182"/>
      <c r="J54" s="182"/>
      <c r="K54" s="182"/>
      <c r="L54" s="182"/>
    </row>
    <row r="55" spans="1:16">
      <c r="A55" t="s">
        <v>286</v>
      </c>
      <c r="B55" s="182">
        <f>'KY_Cost Plant Acct-Elec-P14(Tot'!B55</f>
        <v>8132.93</v>
      </c>
      <c r="C55" s="182"/>
      <c r="D55" s="182">
        <f>'KY_Cost Plant Acct-Elec-P14(Tot'!D55</f>
        <v>0</v>
      </c>
      <c r="E55" s="182"/>
      <c r="F55" s="182">
        <f>'KY_Cost Plant Acct-Elec-P14(Tot'!F55</f>
        <v>0</v>
      </c>
      <c r="G55" s="182"/>
      <c r="H55" s="182">
        <f>'KY_Cost Plant Acct-Elec-P14(Tot'!H55</f>
        <v>0</v>
      </c>
      <c r="I55" s="182"/>
      <c r="J55" s="182">
        <f t="shared" ref="J55:J63" si="9">H55+F55+D55</f>
        <v>0</v>
      </c>
      <c r="K55" s="182"/>
      <c r="L55" s="182">
        <f t="shared" ref="L55:L63" si="10">B55+J55</f>
        <v>8132.93</v>
      </c>
      <c r="N55" s="89">
        <f>'KY_Res by Plant Acct-P29 (Tot)'!R55+'KY_Res by Plant Acct-P29 (Tot)'!R56</f>
        <v>0</v>
      </c>
      <c r="P55" s="89">
        <f t="shared" ref="P55:P63" si="11">L55+N55</f>
        <v>8132.93</v>
      </c>
    </row>
    <row r="56" spans="1:16">
      <c r="A56" t="s">
        <v>287</v>
      </c>
      <c r="B56" s="182">
        <f>'KY_Cost Plant Acct-Elec-P14(Tot'!B56</f>
        <v>11285341.879999999</v>
      </c>
      <c r="C56" s="182"/>
      <c r="D56" s="182">
        <f>'KY_Cost Plant Acct-Elec-P14(Tot'!D56</f>
        <v>0</v>
      </c>
      <c r="E56" s="182"/>
      <c r="F56" s="182">
        <f>'KY_Cost Plant Acct-Elec-P14(Tot'!F56</f>
        <v>0</v>
      </c>
      <c r="G56" s="182"/>
      <c r="H56" s="182">
        <f>'KY_Cost Plant Acct-Elec-P14(Tot'!H56</f>
        <v>0</v>
      </c>
      <c r="I56" s="182"/>
      <c r="J56" s="182">
        <f t="shared" si="9"/>
        <v>0</v>
      </c>
      <c r="K56" s="182"/>
      <c r="L56" s="182">
        <f t="shared" si="10"/>
        <v>11285341.879999999</v>
      </c>
      <c r="N56" s="89">
        <f>'KY_Res by Plant Acct-P29 (Tot)'!R71</f>
        <v>-722454.29</v>
      </c>
      <c r="P56" s="89">
        <f t="shared" si="11"/>
        <v>10562887.59</v>
      </c>
    </row>
    <row r="57" spans="1:16">
      <c r="A57" t="s">
        <v>288</v>
      </c>
      <c r="B57" s="182">
        <f>'KY_Cost Plant Acct-Elec-P14(Tot'!B57</f>
        <v>5689996.6100000013</v>
      </c>
      <c r="C57" s="182"/>
      <c r="D57" s="182">
        <f>'KY_Cost Plant Acct-Elec-P14(Tot'!D57+'KY_Cost Plant Acct-Elec-P14(Tot'!D128</f>
        <v>0</v>
      </c>
      <c r="E57" s="182"/>
      <c r="F57" s="182">
        <f>'KY_Cost Plant Acct-Elec-P14(Tot'!F57</f>
        <v>0</v>
      </c>
      <c r="G57" s="182"/>
      <c r="H57" s="182">
        <f>'KY_Cost Plant Acct-Elec-P14(Tot'!H57</f>
        <v>0</v>
      </c>
      <c r="I57" s="182"/>
      <c r="J57" s="182">
        <f t="shared" si="9"/>
        <v>0</v>
      </c>
      <c r="K57" s="182"/>
      <c r="L57" s="182">
        <f t="shared" si="10"/>
        <v>5689996.6100000013</v>
      </c>
      <c r="N57" s="89">
        <f>'KY_Res by Plant Acct-P29 (Tot)'!R88</f>
        <v>-289651.45000000007</v>
      </c>
      <c r="P57" s="89">
        <f t="shared" si="11"/>
        <v>5400345.1600000011</v>
      </c>
    </row>
    <row r="58" spans="1:16">
      <c r="A58" t="s">
        <v>289</v>
      </c>
      <c r="B58" s="182">
        <f>'KY_Cost Plant Acct-Elec-P14(Tot'!B58+'KY_Cost Plant Acct-Elec-P14(Tot'!B129</f>
        <v>125584355.70999998</v>
      </c>
      <c r="C58" s="182"/>
      <c r="D58" s="182">
        <f>'KY_Cost Plant Acct-Elec-P14(Tot'!D58+'KY_Cost Plant Acct-Elec-P14(Tot'!D129</f>
        <v>429269.99000000022</v>
      </c>
      <c r="E58" s="182"/>
      <c r="F58" s="182">
        <f>'KY_Cost Plant Acct-Elec-P14(Tot'!F58</f>
        <v>-482249.92000000004</v>
      </c>
      <c r="G58" s="182"/>
      <c r="H58" s="182">
        <f>'KY_Cost Plant Acct-Elec-P14(Tot'!H58</f>
        <v>0</v>
      </c>
      <c r="I58" s="182"/>
      <c r="J58" s="182">
        <f t="shared" si="9"/>
        <v>-52979.929999999818</v>
      </c>
      <c r="K58" s="182"/>
      <c r="L58" s="182">
        <f t="shared" si="10"/>
        <v>125531375.77999997</v>
      </c>
      <c r="N58" s="89">
        <f>'KY_Res by Plant Acct-P29 (Tot)'!R100</f>
        <v>-8605170.6100000031</v>
      </c>
      <c r="P58" s="89">
        <f t="shared" si="11"/>
        <v>116926205.16999997</v>
      </c>
    </row>
    <row r="59" spans="1:16">
      <c r="A59" t="s">
        <v>290</v>
      </c>
      <c r="B59" s="182">
        <f>'KY_Cost Plant Acct-Elec-P14(Tot'!B59+'KY_Cost Plant Acct-Elec-P14(Tot'!B130</f>
        <v>18459754.829999998</v>
      </c>
      <c r="C59" s="182"/>
      <c r="D59" s="182">
        <f>'KY_Cost Plant Acct-Elec-P14(Tot'!D59+'KY_Cost Plant Acct-Elec-P14(Tot'!D130</f>
        <v>0</v>
      </c>
      <c r="E59" s="182"/>
      <c r="F59" s="182">
        <f>'KY_Cost Plant Acct-Elec-P14(Tot'!F59</f>
        <v>0</v>
      </c>
      <c r="G59" s="182"/>
      <c r="H59" s="182">
        <f>'KY_Cost Plant Acct-Elec-P14(Tot'!H59</f>
        <v>0</v>
      </c>
      <c r="I59" s="182"/>
      <c r="J59" s="182">
        <f t="shared" si="9"/>
        <v>0</v>
      </c>
      <c r="K59" s="182"/>
      <c r="L59" s="182">
        <f t="shared" si="10"/>
        <v>18459754.829999998</v>
      </c>
      <c r="N59" s="89">
        <f>'KY_Res by Plant Acct-P29 (Tot)'!R116</f>
        <v>-2164054.56</v>
      </c>
      <c r="P59" s="89">
        <f t="shared" si="11"/>
        <v>16295700.269999998</v>
      </c>
    </row>
    <row r="60" spans="1:16">
      <c r="A60" t="s">
        <v>291</v>
      </c>
      <c r="B60" s="182">
        <f>'KY_Cost Plant Acct-Elec-P14(Tot'!B60+'KY_Cost Plant Acct-Elec-P14(Tot'!B131</f>
        <v>15422814.169999996</v>
      </c>
      <c r="C60" s="182"/>
      <c r="D60" s="182">
        <f>'KY_Cost Plant Acct-Elec-P14(Tot'!D60+'KY_Cost Plant Acct-Elec-P14(Tot'!D131</f>
        <v>154140.03</v>
      </c>
      <c r="E60" s="182"/>
      <c r="F60" s="182">
        <f>'KY_Cost Plant Acct-Elec-P14(Tot'!F60</f>
        <v>0</v>
      </c>
      <c r="G60" s="182"/>
      <c r="H60" s="182">
        <f>'KY_Cost Plant Acct-Elec-P14(Tot'!H60</f>
        <v>0</v>
      </c>
      <c r="I60" s="182"/>
      <c r="J60" s="182">
        <f t="shared" si="9"/>
        <v>154140.03</v>
      </c>
      <c r="K60" s="182"/>
      <c r="L60" s="182">
        <f t="shared" si="10"/>
        <v>15576954.199999996</v>
      </c>
      <c r="N60" s="89">
        <f>'KY_Res by Plant Acct-P29 (Tot)'!R132</f>
        <v>-971789.91999999958</v>
      </c>
      <c r="P60" s="89">
        <f t="shared" si="11"/>
        <v>14605164.279999996</v>
      </c>
    </row>
    <row r="61" spans="1:16">
      <c r="A61" t="s">
        <v>292</v>
      </c>
      <c r="B61" s="182">
        <f>'KY_Cost Plant Acct-Elec-P14(Tot'!B61</f>
        <v>2649667.5600000005</v>
      </c>
      <c r="C61" s="182"/>
      <c r="D61" s="182">
        <f>'KY_Cost Plant Acct-Elec-P14(Tot'!D61+'KY_Cost Plant Acct-Elec-P14(Tot'!D132</f>
        <v>0</v>
      </c>
      <c r="E61" s="182"/>
      <c r="F61" s="182">
        <f>'KY_Cost Plant Acct-Elec-P14(Tot'!F61</f>
        <v>0</v>
      </c>
      <c r="G61" s="182"/>
      <c r="H61" s="182">
        <f>'KY_Cost Plant Acct-Elec-P14(Tot'!H61</f>
        <v>0</v>
      </c>
      <c r="I61" s="182"/>
      <c r="J61" s="182">
        <f t="shared" si="9"/>
        <v>0</v>
      </c>
      <c r="K61" s="182"/>
      <c r="L61" s="182">
        <f t="shared" si="10"/>
        <v>2649667.5600000005</v>
      </c>
      <c r="N61" s="89">
        <f>'KY_Res by Plant Acct-P29 (Tot)'!R146</f>
        <v>-157481.17999999996</v>
      </c>
      <c r="P61" s="89">
        <f t="shared" si="11"/>
        <v>2492186.3800000004</v>
      </c>
    </row>
    <row r="62" spans="1:16">
      <c r="A62" t="s">
        <v>293</v>
      </c>
      <c r="B62" s="182">
        <f>'KY_Cost Plant Acct-Elec-P14(Tot'!B62</f>
        <v>38429.14</v>
      </c>
      <c r="C62" s="182"/>
      <c r="D62" s="182">
        <f>'KY_Cost Plant Acct-Elec-P14(Tot'!D62</f>
        <v>0</v>
      </c>
      <c r="E62" s="182"/>
      <c r="F62" s="182">
        <f>'KY_Cost Plant Acct-Elec-P14(Tot'!F62</f>
        <v>0</v>
      </c>
      <c r="G62" s="182"/>
      <c r="H62" s="182">
        <f>'KY_Cost Plant Acct-Elec-P14(Tot'!H62</f>
        <v>0</v>
      </c>
      <c r="I62" s="182"/>
      <c r="J62" s="182">
        <f t="shared" si="9"/>
        <v>0</v>
      </c>
      <c r="K62" s="182"/>
      <c r="L62" s="182">
        <f t="shared" si="10"/>
        <v>38429.14</v>
      </c>
      <c r="N62" s="89">
        <f>'KY_Res by Plant Acct-P29 (Tot)'!R147</f>
        <v>-1592.4999999999975</v>
      </c>
      <c r="P62" s="89">
        <f t="shared" si="11"/>
        <v>36836.639999999999</v>
      </c>
    </row>
    <row r="63" spans="1:16">
      <c r="A63" t="s">
        <v>294</v>
      </c>
      <c r="B63" s="48">
        <f>'KY_Cost Plant Acct-Elec-P14(Tot'!B63</f>
        <v>0</v>
      </c>
      <c r="C63" s="182"/>
      <c r="D63" s="48">
        <f>'KY_Cost Plant Acct-Elec-P14(Tot'!D63</f>
        <v>0</v>
      </c>
      <c r="E63" s="182"/>
      <c r="F63" s="48">
        <f>'KY_Cost Plant Acct-Elec-P14(Tot'!F63</f>
        <v>0</v>
      </c>
      <c r="G63" s="182"/>
      <c r="H63" s="48">
        <f>'KY_Cost Plant Acct-Elec-P14(Tot'!H63</f>
        <v>0</v>
      </c>
      <c r="I63" s="182"/>
      <c r="J63" s="48">
        <f t="shared" si="9"/>
        <v>0</v>
      </c>
      <c r="K63" s="52"/>
      <c r="L63" s="48">
        <f t="shared" si="10"/>
        <v>0</v>
      </c>
      <c r="N63" s="90">
        <f>'KY_Res by Plant Acct-P29 (Tot)'!R148</f>
        <v>-2.3283064365386963E-10</v>
      </c>
      <c r="P63" s="90">
        <f t="shared" si="11"/>
        <v>-2.3283064365386963E-10</v>
      </c>
    </row>
    <row r="64" spans="1:16">
      <c r="B64" s="52">
        <f>SUM(B55:B63)</f>
        <v>179138492.82999995</v>
      </c>
      <c r="C64" s="52"/>
      <c r="D64" s="52">
        <f>SUM(D55:D63)</f>
        <v>583410.02000000025</v>
      </c>
      <c r="E64" s="52"/>
      <c r="F64" s="52">
        <f>SUM(F55:F63)</f>
        <v>-482249.92000000004</v>
      </c>
      <c r="G64" s="52"/>
      <c r="H64" s="52">
        <f>SUM(H55:H63)</f>
        <v>0</v>
      </c>
      <c r="I64" s="52"/>
      <c r="J64" s="52">
        <f>SUM(J55:J63)</f>
        <v>101160.10000000018</v>
      </c>
      <c r="K64" s="52"/>
      <c r="L64" s="52">
        <f>SUM(L55:L63)</f>
        <v>179239652.92999995</v>
      </c>
      <c r="N64" s="89">
        <f>SUM(N55:N63)</f>
        <v>-12912194.510000004</v>
      </c>
      <c r="P64" s="89">
        <f>SUM(P55:P63)</f>
        <v>166327458.41999996</v>
      </c>
    </row>
    <row r="65" spans="1:16">
      <c r="B65" s="52"/>
      <c r="C65" s="52"/>
      <c r="D65" s="52"/>
      <c r="E65" s="52"/>
      <c r="F65" s="52"/>
      <c r="G65" s="52"/>
      <c r="H65" s="52"/>
      <c r="I65" s="52"/>
      <c r="J65" s="52"/>
      <c r="K65" s="52"/>
      <c r="L65" s="52"/>
    </row>
    <row r="66" spans="1:16">
      <c r="A66" s="3" t="s">
        <v>812</v>
      </c>
      <c r="B66" s="52"/>
      <c r="C66" s="52"/>
      <c r="D66" s="52"/>
      <c r="E66" s="52"/>
      <c r="F66" s="52"/>
      <c r="G66" s="52"/>
      <c r="H66" s="52"/>
      <c r="I66" s="52"/>
      <c r="J66" s="52"/>
      <c r="K66" s="52"/>
      <c r="L66" s="52"/>
    </row>
    <row r="67" spans="1:16">
      <c r="A67" t="s">
        <v>295</v>
      </c>
      <c r="B67" s="52">
        <f>'KY_Cost Plant Acct-Elec-P14(Tot'!B67</f>
        <v>6193327.3699999992</v>
      </c>
      <c r="C67" s="52"/>
      <c r="D67" s="52">
        <f>'KY_Cost Plant Acct-Elec-P14(Tot'!D67</f>
        <v>0</v>
      </c>
      <c r="E67" s="52"/>
      <c r="F67" s="52">
        <f>'KY_Cost Plant Acct-Elec-P14(Tot'!F67</f>
        <v>0</v>
      </c>
      <c r="G67" s="52"/>
      <c r="H67" s="52">
        <f>'KY_Cost Plant Acct-Elec-P14(Tot'!H67</f>
        <v>0</v>
      </c>
      <c r="I67" s="52"/>
      <c r="J67" s="52">
        <f t="shared" ref="J67:J77" si="12">H67+F67+D67</f>
        <v>0</v>
      </c>
      <c r="K67" s="52"/>
      <c r="L67" s="182">
        <f t="shared" ref="L67:L77" si="13">B67+J67</f>
        <v>6193327.3699999992</v>
      </c>
      <c r="N67" s="89">
        <f>'KY_Res by Plant Acct-P29 (Tot)'!R152</f>
        <v>0</v>
      </c>
      <c r="P67" s="89">
        <f t="shared" ref="P67:P77" si="14">L67+N67</f>
        <v>6193327.3699999992</v>
      </c>
    </row>
    <row r="68" spans="1:16">
      <c r="A68" t="s">
        <v>1431</v>
      </c>
      <c r="B68" s="52">
        <f>'KY_Cost Plant Acct-Elec-P14(Tot'!B68</f>
        <v>100000</v>
      </c>
      <c r="C68" s="52"/>
      <c r="D68" s="52">
        <f>'KY_Cost Plant Acct-Elec-P14(Tot'!D68</f>
        <v>0</v>
      </c>
      <c r="E68" s="52"/>
      <c r="F68" s="52">
        <f>'KY_Cost Plant Acct-Elec-P14(Tot'!F68</f>
        <v>0</v>
      </c>
      <c r="G68" s="52"/>
      <c r="H68" s="52">
        <f>'KY_Cost Plant Acct-Elec-P14(Tot'!H68</f>
        <v>0</v>
      </c>
      <c r="I68" s="52"/>
      <c r="J68" s="52">
        <f t="shared" ref="J68" si="15">H68+F68+D68</f>
        <v>0</v>
      </c>
      <c r="K68" s="52"/>
      <c r="L68" s="182">
        <f t="shared" ref="L68" si="16">B68+J68</f>
        <v>100000</v>
      </c>
      <c r="N68" s="89">
        <f>'KY_Res by Plant Acct-P29 (Tot)'!R153</f>
        <v>0</v>
      </c>
      <c r="P68" s="89">
        <f t="shared" ref="P68" si="17">L68+N68</f>
        <v>100000</v>
      </c>
    </row>
    <row r="69" spans="1:16">
      <c r="A69" t="s">
        <v>832</v>
      </c>
      <c r="B69" s="65">
        <f>'KY_Cost Plant Acct-Elec-P14(Tot'!B69+'KY_Cost Plant Acct-Elec-P14(Tot'!B135+'Capital Leased Prop P25 (Tot)'!B10</f>
        <v>113985346.91000001</v>
      </c>
      <c r="C69" s="65"/>
      <c r="D69" s="65">
        <f>'KY_Cost Plant Acct-Elec-P14(Tot'!D69+'KY_Cost Plant Acct-Elec-P14(Tot'!D135</f>
        <v>994590.93</v>
      </c>
      <c r="E69" s="65"/>
      <c r="F69" s="65">
        <f>'KY_Cost Plant Acct-Elec-P14(Tot'!F69</f>
        <v>-5357.2900000000009</v>
      </c>
      <c r="G69" s="65"/>
      <c r="H69" s="65">
        <f>'KY_Cost Plant Acct-Elec-P14(Tot'!H69+'KY_Cost Plant Acct-Elec-P14(Tot'!H135+'Capital Leased Prop P25 (Tot)'!H10</f>
        <v>0</v>
      </c>
      <c r="I69" s="52"/>
      <c r="J69" s="52">
        <f t="shared" si="12"/>
        <v>989233.64</v>
      </c>
      <c r="K69" s="52"/>
      <c r="L69" s="182">
        <f t="shared" si="13"/>
        <v>114974580.55000001</v>
      </c>
      <c r="N69" s="89">
        <f>'KY_Res by Plant Acct-P29 (Tot)'!R181+'KY_Res by Plant Acct-P29 (Tot)'!R192</f>
        <v>-15473870.890000002</v>
      </c>
      <c r="P69" s="89">
        <f t="shared" si="14"/>
        <v>99500709.660000011</v>
      </c>
    </row>
    <row r="70" spans="1:16">
      <c r="A70" t="s">
        <v>833</v>
      </c>
      <c r="B70" s="324">
        <f>'KY_Cost Plant Acct-Elec-P14(Tot'!B70+'KY_Cost Plant Acct-Elec-P14(Tot'!B136</f>
        <v>18795547.440000001</v>
      </c>
      <c r="C70" s="65"/>
      <c r="D70" s="324">
        <f>'KY_Cost Plant Acct-Elec-P14(Tot'!D70+'KY_Cost Plant Acct-Elec-P14(Tot'!D136</f>
        <v>0</v>
      </c>
      <c r="E70" s="65"/>
      <c r="F70" s="324">
        <f>'KY_Cost Plant Acct-Elec-P14(Tot'!F70+'KY_Cost Plant Acct-Elec-P14(Tot'!F136</f>
        <v>0</v>
      </c>
      <c r="G70" s="65"/>
      <c r="H70" s="324">
        <f>'KY_Cost Plant Acct-Elec-P14(Tot'!H70+'KY_Cost Plant Acct-Elec-P14(Tot'!H136</f>
        <v>0</v>
      </c>
      <c r="I70" s="52"/>
      <c r="J70" s="52">
        <f t="shared" si="12"/>
        <v>0</v>
      </c>
      <c r="K70" s="52"/>
      <c r="L70" s="182">
        <f t="shared" si="13"/>
        <v>18795547.440000001</v>
      </c>
      <c r="N70" s="89">
        <f>'KY_Res by Plant Acct-P29 (Tot)'!R189</f>
        <v>-586044.17000000004</v>
      </c>
      <c r="P70" s="89">
        <f t="shared" si="14"/>
        <v>18209503.27</v>
      </c>
    </row>
    <row r="71" spans="1:16">
      <c r="A71" t="s">
        <v>834</v>
      </c>
      <c r="B71" s="65">
        <f>'KY_Cost Plant Acct-Elec-P14(Tot'!B71+'KY_Cost Plant Acct-Elec-P14(Tot'!B137</f>
        <v>799488674.16999996</v>
      </c>
      <c r="C71" s="65"/>
      <c r="D71" s="65">
        <f>'KY_Cost Plant Acct-Elec-P14(Tot'!D71+'KY_Cost Plant Acct-Elec-P14(Tot'!D137</f>
        <v>4033598.9699999997</v>
      </c>
      <c r="E71" s="65"/>
      <c r="F71" s="65">
        <f>'KY_Cost Plant Acct-Elec-P14(Tot'!F71</f>
        <v>-1058503.4900000002</v>
      </c>
      <c r="G71" s="65"/>
      <c r="H71" s="65">
        <f>'KY_Cost Plant Acct-Elec-P14(Tot'!H71+'KY_Cost Plant Acct-Elec-P14(Tot'!H137</f>
        <v>0</v>
      </c>
      <c r="I71" s="52"/>
      <c r="J71" s="52">
        <f t="shared" si="12"/>
        <v>2975095.4799999995</v>
      </c>
      <c r="K71" s="52"/>
      <c r="L71" s="182">
        <f t="shared" si="13"/>
        <v>802463769.64999998</v>
      </c>
      <c r="N71" s="89">
        <f>'KY_Res by Plant Acct-P29 (Tot)'!R235</f>
        <v>-109635106.81999996</v>
      </c>
      <c r="P71" s="89">
        <f t="shared" si="14"/>
        <v>692828662.83000004</v>
      </c>
    </row>
    <row r="72" spans="1:16">
      <c r="A72" t="s">
        <v>835</v>
      </c>
      <c r="B72" s="65">
        <f>'KY_Cost Plant Acct-Elec-P14(Tot'!B72</f>
        <v>70264.270000000019</v>
      </c>
      <c r="C72" s="65"/>
      <c r="D72" s="65">
        <f>'KY_Cost Plant Acct-Elec-P14(Tot'!D72</f>
        <v>0</v>
      </c>
      <c r="E72" s="65"/>
      <c r="F72" s="65">
        <f>'KY_Cost Plant Acct-Elec-P14(Tot'!F72</f>
        <v>0</v>
      </c>
      <c r="G72" s="65"/>
      <c r="H72" s="65">
        <f>'KY_Cost Plant Acct-Elec-P14(Tot'!H72</f>
        <v>0</v>
      </c>
      <c r="I72" s="52"/>
      <c r="J72" s="52">
        <f t="shared" si="12"/>
        <v>0</v>
      </c>
      <c r="K72" s="52"/>
      <c r="L72" s="182">
        <f t="shared" si="13"/>
        <v>70264.270000000019</v>
      </c>
      <c r="N72" s="89">
        <f>'KY_Res by Plant Acct-P29 (Tot)'!R238</f>
        <v>-26334.530000000006</v>
      </c>
      <c r="P72" s="89">
        <f t="shared" si="14"/>
        <v>43929.740000000013</v>
      </c>
    </row>
    <row r="73" spans="1:16">
      <c r="A73" t="s">
        <v>836</v>
      </c>
      <c r="B73" s="65">
        <f>'KY_Cost Plant Acct-Elec-P14(Tot'!B73+'KY_Cost Plant Acct-Elec-P14(Tot'!B138</f>
        <v>101609063.00000001</v>
      </c>
      <c r="C73" s="65"/>
      <c r="D73" s="65">
        <f>'KY_Cost Plant Acct-Elec-P14(Tot'!D73+'KY_Cost Plant Acct-Elec-P14(Tot'!D138</f>
        <v>247350.45000000019</v>
      </c>
      <c r="E73" s="65"/>
      <c r="F73" s="65">
        <f>'KY_Cost Plant Acct-Elec-P14(Tot'!F73</f>
        <v>-56344.619999999937</v>
      </c>
      <c r="G73" s="65"/>
      <c r="H73" s="65">
        <f>'KY_Cost Plant Acct-Elec-P14(Tot'!H73+'KY_Cost Plant Acct-Elec-P14(Tot'!H138</f>
        <v>0</v>
      </c>
      <c r="I73" s="52"/>
      <c r="J73" s="52">
        <f t="shared" si="12"/>
        <v>191005.83000000025</v>
      </c>
      <c r="K73" s="52"/>
      <c r="L73" s="182">
        <f t="shared" si="13"/>
        <v>101800068.83000001</v>
      </c>
      <c r="N73" s="89">
        <f>'KY_Res by Plant Acct-P29 (Tot)'!R252</f>
        <v>-12931253.160000004</v>
      </c>
      <c r="P73" s="89">
        <f t="shared" si="14"/>
        <v>88868815.670000017</v>
      </c>
    </row>
    <row r="74" spans="1:16">
      <c r="A74" t="s">
        <v>837</v>
      </c>
      <c r="B74" s="65">
        <f>'KY_Cost Plant Acct-Elec-P14(Tot'!B74+'KY_Cost Plant Acct-Elec-P14(Tot'!B139</f>
        <v>68314038.679999962</v>
      </c>
      <c r="C74" s="65"/>
      <c r="D74" s="65">
        <f>'KY_Cost Plant Acct-Elec-P14(Tot'!D74+'KY_Cost Plant Acct-Elec-P14(Tot'!D139</f>
        <v>203183.5700000003</v>
      </c>
      <c r="E74" s="65"/>
      <c r="F74" s="65">
        <f>'KY_Cost Plant Acct-Elec-P14(Tot'!F74</f>
        <v>-1728.0900000000111</v>
      </c>
      <c r="G74" s="65"/>
      <c r="H74" s="65">
        <f>'KY_Cost Plant Acct-Elec-P14(Tot'!H74+'KY_Cost Plant Acct-Elec-P14(Tot'!H139</f>
        <v>0</v>
      </c>
      <c r="I74" s="52"/>
      <c r="J74" s="52">
        <f t="shared" si="12"/>
        <v>201455.48000000027</v>
      </c>
      <c r="K74" s="52"/>
      <c r="L74" s="182">
        <f t="shared" si="13"/>
        <v>68515494.159999967</v>
      </c>
      <c r="N74" s="89">
        <f>'KY_Res by Plant Acct-P29 (Tot)'!R275</f>
        <v>-12385609.639999999</v>
      </c>
      <c r="P74" s="89">
        <f t="shared" si="14"/>
        <v>56129884.519999966</v>
      </c>
    </row>
    <row r="75" spans="1:16">
      <c r="A75" t="s">
        <v>1024</v>
      </c>
      <c r="B75" s="52">
        <f>'KY_Cost Plant Acct-Elec-P14(Tot'!B75</f>
        <v>0</v>
      </c>
      <c r="C75" s="52"/>
      <c r="D75" s="52">
        <f>'KY_Cost Plant Acct-Elec-P14(Tot'!D75</f>
        <v>0</v>
      </c>
      <c r="E75" s="52"/>
      <c r="F75" s="52">
        <f>'KY_Cost Plant Acct-Elec-P14(Tot'!F75</f>
        <v>0</v>
      </c>
      <c r="G75" s="52"/>
      <c r="H75" s="52">
        <f>'KY_Cost Plant Acct-Elec-P14(Tot'!H75</f>
        <v>0</v>
      </c>
      <c r="I75" s="52"/>
      <c r="J75" s="52">
        <f t="shared" si="12"/>
        <v>0</v>
      </c>
      <c r="K75" s="52"/>
      <c r="L75" s="182">
        <f t="shared" si="13"/>
        <v>0</v>
      </c>
      <c r="N75" s="89">
        <f>'KY_Res by Plant Acct-P29 (Tot)'!R284</f>
        <v>2.2351741811588166E-10</v>
      </c>
      <c r="P75" s="89">
        <f t="shared" si="14"/>
        <v>2.2351741811588166E-10</v>
      </c>
    </row>
    <row r="76" spans="1:16">
      <c r="A76" t="s">
        <v>838</v>
      </c>
      <c r="B76" s="52">
        <f>'KY_Cost Plant Acct-Elec-P14(Tot'!B76+'KY_Cost Plant Acct-Elec-P14(Tot'!B140</f>
        <v>11042739.800000001</v>
      </c>
      <c r="C76" s="52"/>
      <c r="D76" s="52">
        <f>'KY_Cost Plant Acct-Elec-P14(Tot'!D76+'KY_Cost Plant Acct-Elec-P14(Tot'!D140</f>
        <v>107115.07999999999</v>
      </c>
      <c r="E76" s="52"/>
      <c r="F76" s="52">
        <f>'KY_Cost Plant Acct-Elec-P14(Tot'!F76</f>
        <v>0</v>
      </c>
      <c r="G76" s="52"/>
      <c r="H76" s="52">
        <f>'KY_Cost Plant Acct-Elec-P14(Tot'!H76+'KY_Cost Plant Acct-Elec-P14(Tot'!H140</f>
        <v>0</v>
      </c>
      <c r="I76" s="52"/>
      <c r="J76" s="52">
        <f t="shared" si="12"/>
        <v>107115.07999999999</v>
      </c>
      <c r="K76" s="52"/>
      <c r="L76" s="182">
        <f t="shared" si="13"/>
        <v>11149854.880000001</v>
      </c>
      <c r="N76" s="89">
        <f>'KY_Res by Plant Acct-P29 (Tot)'!R300</f>
        <v>-1258142.3100000003</v>
      </c>
      <c r="P76" s="89">
        <f t="shared" si="14"/>
        <v>9891712.5700000003</v>
      </c>
    </row>
    <row r="77" spans="1:16">
      <c r="A77" t="s">
        <v>839</v>
      </c>
      <c r="B77" s="48">
        <f>'KY_Cost Plant Acct-Elec-P14(Tot'!B77</f>
        <v>27798267.339999996</v>
      </c>
      <c r="C77" s="52"/>
      <c r="D77" s="48">
        <f>'KY_Cost Plant Acct-Elec-P14(Tot'!D77</f>
        <v>0</v>
      </c>
      <c r="E77" s="52"/>
      <c r="F77" s="48">
        <f>'KY_Cost Plant Acct-Elec-P14(Tot'!F77</f>
        <v>0</v>
      </c>
      <c r="G77" s="52"/>
      <c r="H77" s="48">
        <f>'KY_Cost Plant Acct-Elec-P14(Tot'!H77</f>
        <v>0</v>
      </c>
      <c r="I77" s="52"/>
      <c r="J77" s="48">
        <f t="shared" si="12"/>
        <v>0</v>
      </c>
      <c r="K77" s="52"/>
      <c r="L77" s="48">
        <f t="shared" si="13"/>
        <v>27798267.339999996</v>
      </c>
      <c r="N77" s="90">
        <f>'KY_Res by Plant Acct-P29 (Tot)'!R301</f>
        <v>-1850283.9699999997</v>
      </c>
      <c r="P77" s="90">
        <f t="shared" si="14"/>
        <v>25947983.369999997</v>
      </c>
    </row>
    <row r="78" spans="1:16">
      <c r="B78" s="52">
        <f>SUM(B67:B77)</f>
        <v>1147397268.9799998</v>
      </c>
      <c r="C78" s="52"/>
      <c r="D78" s="52">
        <f>SUM(D67:D77)</f>
        <v>5585839</v>
      </c>
      <c r="E78" s="52"/>
      <c r="F78" s="52">
        <f>SUM(F67:F77)</f>
        <v>-1121933.4900000002</v>
      </c>
      <c r="G78" s="52"/>
      <c r="H78" s="52">
        <f>SUM(H67:H77)</f>
        <v>0</v>
      </c>
      <c r="I78" s="52"/>
      <c r="J78" s="52">
        <f>SUM(J67:J77)</f>
        <v>4463905.51</v>
      </c>
      <c r="K78" s="52"/>
      <c r="L78" s="52">
        <f>SUM(L67:L77)</f>
        <v>1151861174.49</v>
      </c>
      <c r="N78" s="89">
        <f>SUM(N67:N77)</f>
        <v>-154146645.48999995</v>
      </c>
      <c r="P78" s="89">
        <f>SUM(P67:P77)</f>
        <v>997714529.00000024</v>
      </c>
    </row>
    <row r="79" spans="1:16">
      <c r="B79" s="52"/>
      <c r="C79" s="52"/>
      <c r="D79" s="52"/>
      <c r="E79" s="52"/>
      <c r="F79" s="52"/>
      <c r="G79" s="52"/>
      <c r="H79" s="52"/>
      <c r="I79" s="52"/>
      <c r="J79" s="52"/>
      <c r="K79" s="52"/>
      <c r="L79" s="52"/>
    </row>
    <row r="80" spans="1:16">
      <c r="A80" s="3" t="s">
        <v>119</v>
      </c>
      <c r="B80" s="52"/>
      <c r="C80" s="52"/>
      <c r="D80" s="52"/>
      <c r="E80" s="52"/>
      <c r="F80" s="52"/>
      <c r="G80" s="52"/>
      <c r="H80" s="52"/>
      <c r="I80" s="52"/>
      <c r="J80" s="52"/>
      <c r="K80" s="52"/>
      <c r="L80" s="52"/>
    </row>
    <row r="81" spans="1:16">
      <c r="A81" t="s">
        <v>5</v>
      </c>
      <c r="B81" s="52">
        <f>'KY_Cost Plant Acct-Elec-P14(Tot'!B81</f>
        <v>5658646.9799999995</v>
      </c>
      <c r="C81" s="52"/>
      <c r="D81" s="52">
        <f>'KY_Cost Plant Acct-Elec-P14(Tot'!D81</f>
        <v>10100</v>
      </c>
      <c r="E81" s="52"/>
      <c r="F81" s="52">
        <f>'KY_Cost Plant Acct-Elec-P14(Tot'!F81</f>
        <v>0</v>
      </c>
      <c r="G81" s="52"/>
      <c r="H81" s="52">
        <f>'KY_Cost Plant Acct-Elec-P14(Tot'!H81</f>
        <v>0</v>
      </c>
      <c r="I81" s="52"/>
      <c r="J81" s="52">
        <f t="shared" ref="J81:J92" si="18">H81+F81+D81</f>
        <v>10100</v>
      </c>
      <c r="K81" s="52"/>
      <c r="L81" s="182">
        <f t="shared" ref="L81:L92" si="19">B81+J81</f>
        <v>5668746.9799999995</v>
      </c>
      <c r="N81" s="89">
        <f>'KY_Res by Plant Acct-P29 (Tot)'!R305</f>
        <v>-406315.68000000028</v>
      </c>
      <c r="P81" s="89">
        <f t="shared" ref="P81:P92" si="20">L81+N81</f>
        <v>5262431.2999999989</v>
      </c>
    </row>
    <row r="82" spans="1:16">
      <c r="A82" t="s">
        <v>6</v>
      </c>
      <c r="B82" s="52">
        <f>'KY_Cost Plant Acct-Elec-P14(Tot'!B82</f>
        <v>1429627.28</v>
      </c>
      <c r="C82" s="52"/>
      <c r="D82" s="52">
        <f>'KY_Cost Plant Acct-Elec-P14(Tot'!D82</f>
        <v>0</v>
      </c>
      <c r="E82" s="52"/>
      <c r="F82" s="52">
        <f>'KY_Cost Plant Acct-Elec-P14(Tot'!F82</f>
        <v>0</v>
      </c>
      <c r="G82" s="52"/>
      <c r="H82" s="52">
        <f>'KY_Cost Plant Acct-Elec-P14(Tot'!H82</f>
        <v>0</v>
      </c>
      <c r="I82" s="52"/>
      <c r="J82" s="52">
        <f t="shared" si="18"/>
        <v>0</v>
      </c>
      <c r="K82" s="52"/>
      <c r="L82" s="182">
        <f t="shared" si="19"/>
        <v>1429627.28</v>
      </c>
      <c r="N82" s="89">
        <f>'KY_Res by Plant Acct-P29 (Tot)'!R306</f>
        <v>0</v>
      </c>
      <c r="P82" s="89">
        <f t="shared" si="20"/>
        <v>1429627.28</v>
      </c>
    </row>
    <row r="83" spans="1:16">
      <c r="A83" t="s">
        <v>7</v>
      </c>
      <c r="B83" s="52">
        <f>'KY_Cost Plant Acct-Elec-P14(Tot'!B83+'KY_Cost Plant Acct-Elec-P14(Tot'!B145</f>
        <v>5072122.9200000009</v>
      </c>
      <c r="C83" s="52"/>
      <c r="D83" s="52">
        <f>'KY_Cost Plant Acct-Elec-P14(Tot'!D83+'KY_Cost Plant Acct-Elec-P14(Tot'!D145</f>
        <v>14845.07</v>
      </c>
      <c r="E83" s="52"/>
      <c r="F83" s="52">
        <f>'KY_Cost Plant Acct-Elec-P14(Tot'!F83</f>
        <v>0</v>
      </c>
      <c r="G83" s="52"/>
      <c r="H83" s="52">
        <f>'KY_Cost Plant Acct-Elec-P14(Tot'!H83</f>
        <v>0</v>
      </c>
      <c r="I83" s="52"/>
      <c r="J83" s="52">
        <f t="shared" si="18"/>
        <v>14845.07</v>
      </c>
      <c r="K83" s="52"/>
      <c r="L83" s="182">
        <f t="shared" si="19"/>
        <v>5086967.9900000012</v>
      </c>
      <c r="N83" s="89">
        <f>'KY_Res by Plant Acct-P29 (Tot)'!R307+'KY_Res by Plant Acct-P29 (Tot)'!R308+'KY_Res by Plant Acct-P29 (Tot)'!R309</f>
        <v>-249082.2</v>
      </c>
      <c r="P83" s="89">
        <f t="shared" si="20"/>
        <v>4837885.790000001</v>
      </c>
    </row>
    <row r="84" spans="1:16">
      <c r="A84" t="s">
        <v>8</v>
      </c>
      <c r="B84" s="52">
        <f>'KY_Cost Plant Acct-Elec-P14(Tot'!B84+'KY_Cost Plant Acct-Elec-P14(Tot'!B146</f>
        <v>54472890.079999998</v>
      </c>
      <c r="C84" s="52"/>
      <c r="D84" s="52">
        <f>'KY_Cost Plant Acct-Elec-P14(Tot'!D84+'KY_Cost Plant Acct-Elec-P14(Tot'!D146</f>
        <v>1126207.45</v>
      </c>
      <c r="E84" s="52"/>
      <c r="F84" s="52">
        <f>'KY_Cost Plant Acct-Elec-P14(Tot'!F84</f>
        <v>-282409.46999999997</v>
      </c>
      <c r="G84" s="52"/>
      <c r="H84" s="52">
        <f>'KY_Cost Plant Acct-Elec-P14(Tot'!H84+'KY_Cost Plant Acct-Elec-P14(Tot'!H146</f>
        <v>0</v>
      </c>
      <c r="I84" s="52"/>
      <c r="J84" s="52">
        <f t="shared" si="18"/>
        <v>843797.98</v>
      </c>
      <c r="K84" s="52"/>
      <c r="L84" s="182">
        <f t="shared" si="19"/>
        <v>55316688.059999995</v>
      </c>
      <c r="N84" s="89">
        <f>'KY_Res by Plant Acct-P29 (Tot)'!R310+'KY_Res by Plant Acct-P29 (Tot)'!R311+'KY_Res by Plant Acct-P29 (Tot)'!R312</f>
        <v>-215195.14999999385</v>
      </c>
      <c r="P84" s="89">
        <f t="shared" si="20"/>
        <v>55101492.910000004</v>
      </c>
    </row>
    <row r="85" spans="1:16">
      <c r="A85" t="s">
        <v>840</v>
      </c>
      <c r="B85" s="52">
        <f>'KY_Cost Plant Acct-Elec-P14(Tot'!B85</f>
        <v>-5748.1100000000006</v>
      </c>
      <c r="C85" s="52"/>
      <c r="D85" s="52">
        <f>'KY_Cost Plant Acct-Elec-P14(Tot'!D85</f>
        <v>0</v>
      </c>
      <c r="E85" s="52"/>
      <c r="F85" s="52">
        <f>'KY_Cost Plant Acct-Elec-P14(Tot'!F85</f>
        <v>0</v>
      </c>
      <c r="G85" s="52"/>
      <c r="H85" s="52">
        <f>'KY_Cost Plant Acct-Elec-P14(Tot'!H85</f>
        <v>0</v>
      </c>
      <c r="I85" s="52"/>
      <c r="J85" s="52">
        <f t="shared" si="18"/>
        <v>0</v>
      </c>
      <c r="K85" s="52"/>
      <c r="L85" s="182">
        <f t="shared" si="19"/>
        <v>-5748.1100000000006</v>
      </c>
      <c r="N85" s="89">
        <f>'KY_Res by Plant Acct-P29 (Tot)'!R313+'KY_Res by Plant Acct-P29 (Tot)'!R314</f>
        <v>-6767.7600000003576</v>
      </c>
      <c r="P85" s="89">
        <f t="shared" si="20"/>
        <v>-12515.870000000359</v>
      </c>
    </row>
    <row r="86" spans="1:16">
      <c r="A86" t="s">
        <v>9</v>
      </c>
      <c r="B86" s="52">
        <f>'KY_Cost Plant Acct-Elec-P14(Tot'!B86+'KY_Cost Plant Acct-Elec-P14(Tot'!B147</f>
        <v>22549115.299999997</v>
      </c>
      <c r="C86" s="52"/>
      <c r="D86" s="52">
        <f>'KY_Cost Plant Acct-Elec-P14(Tot'!D86+'KY_Cost Plant Acct-Elec-P14(Tot'!D147</f>
        <v>3194592.1100000003</v>
      </c>
      <c r="E86" s="52"/>
      <c r="F86" s="52">
        <f>'KY_Cost Plant Acct-Elec-P14(Tot'!F86</f>
        <v>-46984.17</v>
      </c>
      <c r="G86" s="52"/>
      <c r="H86" s="52">
        <f>'KY_Cost Plant Acct-Elec-P14(Tot'!H86+'KY_Cost Plant Acct-Elec-P14(Tot'!H147</f>
        <v>0</v>
      </c>
      <c r="I86" s="52"/>
      <c r="J86" s="52">
        <f t="shared" si="18"/>
        <v>3147607.9400000004</v>
      </c>
      <c r="K86" s="52"/>
      <c r="L86" s="182">
        <f t="shared" si="19"/>
        <v>25696723.239999998</v>
      </c>
      <c r="N86" s="89">
        <f>'KY_Res by Plant Acct-P29 (Tot)'!R315</f>
        <v>-6593583.1800000025</v>
      </c>
      <c r="P86" s="89">
        <f t="shared" si="20"/>
        <v>19103140.059999995</v>
      </c>
    </row>
    <row r="87" spans="1:16">
      <c r="A87" t="s">
        <v>10</v>
      </c>
      <c r="B87" s="52">
        <f>'KY_Cost Plant Acct-Elec-P14(Tot'!B87+'KY_Cost Plant Acct-Elec-P14(Tot'!B148</f>
        <v>38977675.709999993</v>
      </c>
      <c r="C87" s="52"/>
      <c r="D87" s="52">
        <f>'KY_Cost Plant Acct-Elec-P14(Tot'!D87+'KY_Cost Plant Acct-Elec-P14(Tot'!D148</f>
        <v>522541.03</v>
      </c>
      <c r="E87" s="52"/>
      <c r="F87" s="52">
        <f>'KY_Cost Plant Acct-Elec-P14(Tot'!F87</f>
        <v>-34999.94</v>
      </c>
      <c r="G87" s="52"/>
      <c r="H87" s="52">
        <f>'KY_Cost Plant Acct-Elec-P14(Tot'!H87+'KY_Cost Plant Acct-Elec-P14(Tot'!H148</f>
        <v>0</v>
      </c>
      <c r="I87" s="52"/>
      <c r="J87" s="52">
        <f t="shared" si="18"/>
        <v>487541.09</v>
      </c>
      <c r="K87" s="52"/>
      <c r="L87" s="182">
        <f t="shared" si="19"/>
        <v>39465216.799999997</v>
      </c>
      <c r="N87" s="89">
        <f>'KY_Res by Plant Acct-P29 (Tot)'!R316</f>
        <v>-5045822.8200000031</v>
      </c>
      <c r="P87" s="89">
        <f t="shared" si="20"/>
        <v>34419393.979999997</v>
      </c>
    </row>
    <row r="88" spans="1:16">
      <c r="A88" t="s">
        <v>11</v>
      </c>
      <c r="B88" s="52">
        <f>'KY_Cost Plant Acct-Elec-P14(Tot'!B88+'KY_Cost Plant Acct-Elec-P14(Tot'!B149</f>
        <v>29851368.230000004</v>
      </c>
      <c r="C88" s="52"/>
      <c r="D88" s="52">
        <f>'KY_Cost Plant Acct-Elec-P14(Tot'!D88+'KY_Cost Plant Acct-Elec-P14(Tot'!D149</f>
        <v>337460.24</v>
      </c>
      <c r="E88" s="52"/>
      <c r="F88" s="52">
        <f>'KY_Cost Plant Acct-Elec-P14(Tot'!F88</f>
        <v>-13658.170000000006</v>
      </c>
      <c r="G88" s="52"/>
      <c r="H88" s="52">
        <f>'KY_Cost Plant Acct-Elec-P14(Tot'!H88+'KY_Cost Plant Acct-Elec-P14(Tot'!H149</f>
        <v>0</v>
      </c>
      <c r="I88" s="52"/>
      <c r="J88" s="52">
        <f t="shared" si="18"/>
        <v>323802.07</v>
      </c>
      <c r="K88" s="52"/>
      <c r="L88" s="182">
        <f t="shared" si="19"/>
        <v>30175170.300000004</v>
      </c>
      <c r="N88" s="89">
        <f>'KY_Res by Plant Acct-P29 (Tot)'!R317</f>
        <v>-7904020.2999999952</v>
      </c>
      <c r="P88" s="89">
        <f t="shared" si="20"/>
        <v>22271150.000000007</v>
      </c>
    </row>
    <row r="89" spans="1:16">
      <c r="A89" t="s">
        <v>841</v>
      </c>
      <c r="B89" s="52">
        <f>'KY_Cost Plant Acct-Elec-P14(Tot'!B89</f>
        <v>1871055.4299999997</v>
      </c>
      <c r="C89" s="52"/>
      <c r="D89" s="52">
        <f>'KY_Cost Plant Acct-Elec-P14(Tot'!D89</f>
        <v>8406.41</v>
      </c>
      <c r="E89" s="52"/>
      <c r="F89" s="52">
        <f>'KY_Cost Plant Acct-Elec-P14(Tot'!F89</f>
        <v>-28654.369999999995</v>
      </c>
      <c r="G89" s="52"/>
      <c r="H89" s="52">
        <f>'KY_Cost Plant Acct-Elec-P14(Tot'!H89</f>
        <v>0</v>
      </c>
      <c r="I89" s="52"/>
      <c r="J89" s="52">
        <f t="shared" si="18"/>
        <v>-20247.959999999995</v>
      </c>
      <c r="K89" s="52"/>
      <c r="L89" s="182">
        <f t="shared" si="19"/>
        <v>1850807.4699999997</v>
      </c>
      <c r="N89" s="89">
        <f>'KY_Res by Plant Acct-P29 (Tot)'!R318</f>
        <v>-74035.33000000006</v>
      </c>
      <c r="P89" s="89">
        <f t="shared" si="20"/>
        <v>1776772.1399999997</v>
      </c>
    </row>
    <row r="90" spans="1:16">
      <c r="A90" t="s">
        <v>842</v>
      </c>
      <c r="B90" s="52">
        <f>'KY_Cost Plant Acct-Elec-P14(Tot'!B90</f>
        <v>3688471.82</v>
      </c>
      <c r="C90" s="52"/>
      <c r="D90" s="52">
        <f>'KY_Cost Plant Acct-Elec-P14(Tot'!D90</f>
        <v>2004868.88</v>
      </c>
      <c r="E90" s="52"/>
      <c r="F90" s="52">
        <f>'KY_Cost Plant Acct-Elec-P14(Tot'!F90</f>
        <v>-50012.210000000021</v>
      </c>
      <c r="G90" s="52"/>
      <c r="H90" s="52">
        <f>'KY_Cost Plant Acct-Elec-P14(Tot'!H90</f>
        <v>0</v>
      </c>
      <c r="I90" s="52"/>
      <c r="J90" s="52">
        <f t="shared" si="18"/>
        <v>1954856.67</v>
      </c>
      <c r="K90" s="52"/>
      <c r="L90" s="182">
        <f t="shared" si="19"/>
        <v>5643328.4900000002</v>
      </c>
      <c r="N90" s="89">
        <f>'KY_Res by Plant Acct-P29 (Tot)'!R319</f>
        <v>-268460.76999999967</v>
      </c>
      <c r="P90" s="89">
        <f t="shared" si="20"/>
        <v>5374867.7200000007</v>
      </c>
    </row>
    <row r="91" spans="1:16">
      <c r="A91" t="s">
        <v>843</v>
      </c>
      <c r="B91" s="52">
        <f>'KY_Cost Plant Acct-Elec-P14(Tot'!B91</f>
        <v>13760.73</v>
      </c>
      <c r="C91" s="52"/>
      <c r="D91" s="52">
        <f>'KY_Cost Plant Acct-Elec-P14(Tot'!D91</f>
        <v>0</v>
      </c>
      <c r="E91" s="52"/>
      <c r="F91" s="52">
        <f>'KY_Cost Plant Acct-Elec-P14(Tot'!F91</f>
        <v>0</v>
      </c>
      <c r="G91" s="52"/>
      <c r="H91" s="52">
        <f>'KY_Cost Plant Acct-Elec-P14(Tot'!H91</f>
        <v>0</v>
      </c>
      <c r="I91" s="52"/>
      <c r="J91" s="52">
        <f t="shared" si="18"/>
        <v>0</v>
      </c>
      <c r="K91" s="52"/>
      <c r="L91" s="182">
        <f t="shared" si="19"/>
        <v>13760.73</v>
      </c>
      <c r="N91" s="89">
        <f>'KY_Res by Plant Acct-P29 (Tot)'!R320</f>
        <v>-289.9499999999997</v>
      </c>
      <c r="P91" s="89">
        <f t="shared" si="20"/>
        <v>13470.78</v>
      </c>
    </row>
    <row r="92" spans="1:16">
      <c r="A92" t="s">
        <v>844</v>
      </c>
      <c r="B92" s="48">
        <f>'KY_Cost Plant Acct-Elec-P14(Tot'!B92</f>
        <v>238693.59</v>
      </c>
      <c r="C92" s="52"/>
      <c r="D92" s="48">
        <f>'KY_Cost Plant Acct-Elec-P14(Tot'!D92</f>
        <v>0</v>
      </c>
      <c r="E92" s="52"/>
      <c r="F92" s="48">
        <f>'KY_Cost Plant Acct-Elec-P14(Tot'!F92</f>
        <v>0</v>
      </c>
      <c r="G92" s="52"/>
      <c r="H92" s="48">
        <f>'KY_Cost Plant Acct-Elec-P14(Tot'!H92</f>
        <v>0</v>
      </c>
      <c r="I92" s="52"/>
      <c r="J92" s="48">
        <f t="shared" si="18"/>
        <v>0</v>
      </c>
      <c r="K92" s="52"/>
      <c r="L92" s="48">
        <f t="shared" si="19"/>
        <v>238693.59</v>
      </c>
      <c r="N92" s="90">
        <f>'KY_Res by Plant Acct-P29 (Tot)'!R321</f>
        <v>-2652.16</v>
      </c>
      <c r="P92" s="90">
        <f t="shared" si="20"/>
        <v>236041.43</v>
      </c>
    </row>
    <row r="93" spans="1:16">
      <c r="B93" s="52">
        <f>SUM(B81:B92)</f>
        <v>163817679.95999998</v>
      </c>
      <c r="C93" s="52"/>
      <c r="D93" s="52">
        <f>SUM(D81:D92)</f>
        <v>7219021.1900000013</v>
      </c>
      <c r="E93" s="52"/>
      <c r="F93" s="52">
        <f>SUM(F81:F92)</f>
        <v>-456718.32999999996</v>
      </c>
      <c r="G93" s="52"/>
      <c r="H93" s="52">
        <f>SUM(H81:H92)</f>
        <v>0</v>
      </c>
      <c r="I93" s="52"/>
      <c r="J93" s="52">
        <f>SUM(J81:J92)</f>
        <v>6762302.8600000003</v>
      </c>
      <c r="K93" s="52"/>
      <c r="L93" s="52">
        <f>SUM(L81:L92)</f>
        <v>170579982.81999999</v>
      </c>
      <c r="N93" s="52">
        <f>SUM(N81:N92)</f>
        <v>-20766225.299999993</v>
      </c>
      <c r="P93" s="89">
        <f>SUM(P81:P92)</f>
        <v>149813757.51999998</v>
      </c>
    </row>
    <row r="94" spans="1:16">
      <c r="B94" s="52"/>
      <c r="C94" s="52"/>
      <c r="D94" s="52"/>
      <c r="E94" s="52"/>
      <c r="F94" s="52"/>
      <c r="G94" s="52"/>
      <c r="H94" s="52"/>
      <c r="I94" s="52"/>
      <c r="J94" s="52"/>
      <c r="K94" s="52"/>
      <c r="L94" s="52"/>
    </row>
    <row r="95" spans="1:16">
      <c r="B95" s="182"/>
      <c r="C95" s="182"/>
      <c r="D95" s="182"/>
      <c r="E95" s="182"/>
      <c r="F95" s="182"/>
      <c r="G95" s="182"/>
      <c r="H95" s="182"/>
      <c r="I95" s="182"/>
      <c r="J95" s="182"/>
      <c r="K95" s="182"/>
      <c r="L95" s="182"/>
    </row>
    <row r="96" spans="1:16">
      <c r="A96" s="3" t="s">
        <v>421</v>
      </c>
      <c r="B96" s="88">
        <f>B93+B78+B64+B52+B47+B36+B27</f>
        <v>2244738521.7999997</v>
      </c>
      <c r="C96" s="52"/>
      <c r="D96" s="88">
        <f>D93+D78+D64+D52+D47+D36+D27</f>
        <v>45694901.600000001</v>
      </c>
      <c r="E96" s="52"/>
      <c r="F96" s="88">
        <f>F93+F78+F64+F52+F47+F36+F27</f>
        <v>-3273037.56</v>
      </c>
      <c r="G96" s="52"/>
      <c r="H96" s="88">
        <f>H93+H78+H64+H52+H47+H36+H27</f>
        <v>21903.139999999981</v>
      </c>
      <c r="I96" s="52"/>
      <c r="J96" s="88">
        <f>J93+J78+J64+J52+J47+J36+J27</f>
        <v>42443767.18</v>
      </c>
      <c r="K96" s="52"/>
      <c r="L96" s="88">
        <f>L93+L78+L64+L52+L47+L36+L27</f>
        <v>2287182288.9799995</v>
      </c>
      <c r="N96" s="88">
        <f>N93+N78+N64+N52+N47+N36+N27</f>
        <v>-336683021.85999995</v>
      </c>
      <c r="P96" s="88">
        <f>P93+P78+P64+P52+P47+P36+P27</f>
        <v>1950499267.1200001</v>
      </c>
    </row>
    <row r="97" spans="2:12">
      <c r="B97" s="182"/>
      <c r="C97" s="182"/>
      <c r="D97" s="182"/>
      <c r="E97" s="182"/>
      <c r="F97" s="182"/>
      <c r="G97" s="182"/>
      <c r="H97" s="182"/>
      <c r="I97" s="182"/>
      <c r="J97" s="182"/>
      <c r="K97" s="182"/>
      <c r="L97" s="182"/>
    </row>
    <row r="98" spans="2:12">
      <c r="B98" s="52"/>
      <c r="C98" s="182"/>
      <c r="D98" s="52"/>
      <c r="E98" s="182"/>
      <c r="F98" s="52"/>
      <c r="G98" s="182"/>
      <c r="H98" s="52"/>
      <c r="I98" s="182"/>
      <c r="J98" s="52"/>
      <c r="K98" s="52"/>
      <c r="L98" s="52"/>
    </row>
    <row r="99" spans="2:12">
      <c r="B99" s="182"/>
      <c r="C99" s="182"/>
      <c r="D99" s="182"/>
      <c r="E99" s="182"/>
      <c r="F99" s="182"/>
      <c r="G99" s="182"/>
      <c r="H99" s="182"/>
      <c r="I99" s="182"/>
      <c r="J99" s="182"/>
      <c r="K99" s="182"/>
      <c r="L99" s="182"/>
    </row>
    <row r="100" spans="2:12">
      <c r="B100" s="182"/>
      <c r="C100" s="182"/>
      <c r="D100" s="182"/>
      <c r="E100" s="182"/>
      <c r="F100" s="182"/>
      <c r="G100" s="182"/>
      <c r="H100" s="182"/>
      <c r="I100" s="182"/>
      <c r="J100" s="182"/>
      <c r="K100" s="182"/>
      <c r="L100" s="182"/>
    </row>
    <row r="101" spans="2:12">
      <c r="B101" s="182"/>
      <c r="C101" s="182"/>
      <c r="D101" s="182"/>
      <c r="E101" s="182"/>
      <c r="F101" s="182"/>
      <c r="G101" s="182"/>
      <c r="H101" s="182"/>
      <c r="I101" s="182"/>
      <c r="J101" s="182"/>
      <c r="K101" s="182"/>
      <c r="L101" s="182"/>
    </row>
    <row r="102" spans="2:12">
      <c r="B102" s="4"/>
      <c r="C102" s="4"/>
      <c r="D102" s="4"/>
      <c r="E102" s="4"/>
      <c r="F102" s="4"/>
      <c r="G102" s="4"/>
      <c r="H102" s="4"/>
      <c r="I102" s="4"/>
      <c r="J102" s="4"/>
      <c r="K102" s="4"/>
      <c r="L102" s="4"/>
    </row>
    <row r="103" spans="2:12">
      <c r="B103" s="4"/>
      <c r="C103" s="4"/>
      <c r="D103" s="4"/>
      <c r="E103" s="4"/>
      <c r="F103" s="4"/>
      <c r="G103" s="4"/>
      <c r="H103" s="4"/>
      <c r="I103" s="4"/>
      <c r="J103" s="4"/>
      <c r="K103" s="4"/>
      <c r="L103" s="4"/>
    </row>
    <row r="104" spans="2:12">
      <c r="B104" s="4"/>
      <c r="C104" s="4"/>
      <c r="D104" s="4"/>
      <c r="E104" s="4"/>
      <c r="F104" s="4"/>
      <c r="G104" s="4"/>
      <c r="H104" s="4"/>
      <c r="I104" s="4"/>
      <c r="J104" s="4"/>
      <c r="K104" s="4"/>
      <c r="L104" s="4"/>
    </row>
    <row r="105" spans="2:12">
      <c r="B105" s="4"/>
      <c r="C105" s="4"/>
      <c r="D105" s="4"/>
      <c r="E105" s="4"/>
      <c r="F105" s="4"/>
      <c r="G105" s="4"/>
      <c r="H105" s="4"/>
      <c r="I105" s="4"/>
      <c r="J105" s="4"/>
      <c r="K105" s="4"/>
      <c r="L105" s="4"/>
    </row>
    <row r="106" spans="2:12">
      <c r="B106" s="4"/>
      <c r="C106" s="4"/>
      <c r="D106" s="4"/>
      <c r="E106" s="4"/>
      <c r="F106" s="4"/>
      <c r="G106" s="4"/>
      <c r="H106" s="4"/>
      <c r="I106" s="4"/>
      <c r="J106" s="4"/>
      <c r="K106" s="4"/>
      <c r="L106" s="4"/>
    </row>
    <row r="107" spans="2:12">
      <c r="B107" s="4"/>
      <c r="C107" s="4"/>
      <c r="D107" s="4"/>
      <c r="E107" s="4"/>
      <c r="F107" s="4"/>
      <c r="G107" s="4"/>
      <c r="H107" s="4"/>
      <c r="I107" s="4"/>
      <c r="J107" s="4"/>
      <c r="K107" s="4"/>
      <c r="L107" s="4"/>
    </row>
    <row r="108" spans="2:12">
      <c r="B108" s="4"/>
      <c r="C108" s="4"/>
      <c r="D108" s="4"/>
      <c r="E108" s="4"/>
      <c r="F108" s="4"/>
      <c r="G108" s="4"/>
      <c r="H108" s="4"/>
      <c r="I108" s="4"/>
      <c r="J108" s="4"/>
      <c r="K108" s="4"/>
      <c r="L108" s="4"/>
    </row>
    <row r="109" spans="2:12">
      <c r="B109" s="4"/>
      <c r="C109" s="4"/>
      <c r="D109" s="4"/>
      <c r="E109" s="4"/>
      <c r="F109" s="4"/>
      <c r="G109" s="4"/>
      <c r="H109" s="4"/>
      <c r="I109" s="4"/>
      <c r="J109" s="4"/>
      <c r="K109" s="4"/>
      <c r="L109" s="4"/>
    </row>
    <row r="110" spans="2:12">
      <c r="B110" s="4"/>
      <c r="C110" s="4"/>
      <c r="D110" s="4"/>
      <c r="E110" s="4"/>
      <c r="F110" s="4"/>
      <c r="G110" s="4"/>
      <c r="H110" s="4"/>
      <c r="I110" s="4"/>
      <c r="J110" s="4"/>
      <c r="K110" s="4"/>
      <c r="L110" s="4"/>
    </row>
    <row r="111" spans="2:12">
      <c r="B111" s="4"/>
      <c r="C111" s="4"/>
      <c r="D111" s="4"/>
      <c r="E111" s="4"/>
      <c r="F111" s="4"/>
      <c r="G111" s="4"/>
      <c r="H111" s="4"/>
      <c r="I111" s="4"/>
      <c r="J111" s="4"/>
      <c r="K111" s="4"/>
      <c r="L111" s="4"/>
    </row>
    <row r="112" spans="2:12">
      <c r="B112" s="4"/>
      <c r="C112" s="4"/>
      <c r="D112" s="4"/>
      <c r="E112" s="4"/>
      <c r="F112" s="4"/>
      <c r="G112" s="4"/>
      <c r="H112" s="4"/>
      <c r="I112" s="4"/>
      <c r="J112" s="4"/>
      <c r="K112" s="4"/>
      <c r="L112" s="4"/>
    </row>
    <row r="113" spans="2:12">
      <c r="B113" s="4"/>
      <c r="C113" s="4"/>
      <c r="D113" s="4"/>
      <c r="E113" s="4"/>
      <c r="F113" s="4"/>
      <c r="G113" s="4"/>
      <c r="H113" s="4"/>
      <c r="I113" s="4"/>
      <c r="J113" s="4"/>
      <c r="K113" s="4"/>
      <c r="L113" s="4"/>
    </row>
    <row r="114" spans="2:12">
      <c r="B114" s="4"/>
      <c r="C114" s="4"/>
      <c r="D114" s="4"/>
      <c r="E114" s="4"/>
      <c r="F114" s="4"/>
      <c r="G114" s="4"/>
      <c r="H114" s="4"/>
      <c r="I114" s="4"/>
      <c r="J114" s="4"/>
      <c r="K114" s="4"/>
      <c r="L114" s="4"/>
    </row>
    <row r="115" spans="2:12">
      <c r="B115" s="4"/>
      <c r="C115" s="4"/>
      <c r="D115" s="4"/>
      <c r="E115" s="4"/>
      <c r="F115" s="4"/>
      <c r="G115" s="4"/>
      <c r="H115" s="4"/>
      <c r="I115" s="4"/>
      <c r="J115" s="4"/>
      <c r="K115" s="4"/>
      <c r="L115" s="4"/>
    </row>
    <row r="116" spans="2:12">
      <c r="B116" s="4"/>
      <c r="C116" s="4"/>
      <c r="D116" s="4"/>
      <c r="E116" s="4"/>
      <c r="F116" s="4"/>
      <c r="G116" s="4"/>
      <c r="H116" s="4"/>
      <c r="I116" s="4"/>
      <c r="J116" s="4"/>
      <c r="K116" s="4"/>
      <c r="L116" s="4"/>
    </row>
    <row r="117" spans="2:12">
      <c r="B117" s="4"/>
      <c r="C117" s="4"/>
      <c r="D117" s="4"/>
      <c r="E117" s="4"/>
      <c r="F117" s="4"/>
      <c r="G117" s="4"/>
      <c r="H117" s="4"/>
      <c r="I117" s="4"/>
      <c r="J117" s="4"/>
      <c r="K117" s="4"/>
      <c r="L117" s="4"/>
    </row>
    <row r="118" spans="2:12">
      <c r="B118" s="4"/>
      <c r="C118" s="4"/>
      <c r="D118" s="4"/>
      <c r="E118" s="4"/>
      <c r="F118" s="4"/>
      <c r="G118" s="4"/>
      <c r="H118" s="4"/>
      <c r="I118" s="4"/>
      <c r="J118" s="4"/>
      <c r="K118" s="4"/>
      <c r="L118" s="4"/>
    </row>
    <row r="119" spans="2:12">
      <c r="B119" s="4"/>
      <c r="C119" s="4"/>
      <c r="D119" s="4"/>
      <c r="E119" s="4"/>
      <c r="F119" s="4"/>
      <c r="G119" s="4"/>
      <c r="H119" s="4"/>
      <c r="I119" s="4"/>
      <c r="J119" s="4"/>
      <c r="K119" s="4"/>
      <c r="L119" s="4"/>
    </row>
    <row r="120" spans="2:12">
      <c r="B120" s="4"/>
      <c r="C120" s="4"/>
      <c r="D120" s="4"/>
      <c r="E120" s="4"/>
      <c r="F120" s="4"/>
      <c r="G120" s="4"/>
      <c r="H120" s="4"/>
      <c r="I120" s="4"/>
      <c r="J120" s="4"/>
      <c r="K120" s="4"/>
      <c r="L120" s="4"/>
    </row>
    <row r="121" spans="2:12">
      <c r="B121" s="4"/>
      <c r="C121" s="4"/>
      <c r="D121" s="4"/>
      <c r="E121" s="4"/>
      <c r="F121" s="4"/>
      <c r="G121" s="4"/>
      <c r="H121" s="4"/>
      <c r="I121" s="4"/>
      <c r="J121" s="4"/>
      <c r="K121" s="4"/>
      <c r="L121" s="4"/>
    </row>
    <row r="122" spans="2:12">
      <c r="B122" s="4"/>
      <c r="C122" s="4"/>
      <c r="D122" s="4"/>
      <c r="E122" s="4"/>
      <c r="F122" s="4"/>
      <c r="G122" s="4"/>
      <c r="H122" s="4"/>
      <c r="I122" s="4"/>
      <c r="J122" s="4"/>
      <c r="K122" s="4"/>
      <c r="L122" s="4"/>
    </row>
    <row r="123" spans="2:12">
      <c r="B123" s="4"/>
      <c r="C123" s="4"/>
      <c r="D123" s="4"/>
      <c r="E123" s="4"/>
      <c r="F123" s="4"/>
      <c r="G123" s="4"/>
      <c r="H123" s="4"/>
      <c r="I123" s="4"/>
      <c r="J123" s="4"/>
      <c r="K123" s="4"/>
      <c r="L123" s="4"/>
    </row>
    <row r="124" spans="2:12">
      <c r="B124" s="4"/>
      <c r="C124" s="4"/>
      <c r="D124" s="4"/>
      <c r="E124" s="4"/>
      <c r="F124" s="4"/>
      <c r="G124" s="4"/>
      <c r="H124" s="4"/>
      <c r="I124" s="4"/>
      <c r="J124" s="4"/>
      <c r="K124" s="4"/>
      <c r="L124" s="4"/>
    </row>
    <row r="125" spans="2:12">
      <c r="B125" s="4"/>
      <c r="C125" s="4"/>
      <c r="D125" s="4"/>
      <c r="E125" s="4"/>
      <c r="F125" s="4"/>
      <c r="G125" s="4"/>
      <c r="H125" s="4"/>
      <c r="I125" s="4"/>
      <c r="J125" s="4"/>
      <c r="K125" s="4"/>
      <c r="L125" s="4"/>
    </row>
    <row r="126" spans="2:12">
      <c r="B126" s="4"/>
      <c r="C126" s="4"/>
      <c r="D126" s="4"/>
      <c r="E126" s="4"/>
      <c r="F126" s="4"/>
      <c r="G126" s="4"/>
      <c r="H126" s="4"/>
      <c r="I126" s="4"/>
      <c r="J126" s="4"/>
      <c r="K126" s="4"/>
      <c r="L126" s="4"/>
    </row>
    <row r="127" spans="2:12">
      <c r="B127" s="4"/>
      <c r="C127" s="4"/>
      <c r="D127" s="4"/>
      <c r="E127" s="4"/>
      <c r="F127" s="4"/>
      <c r="G127" s="4"/>
      <c r="H127" s="4"/>
      <c r="I127" s="4"/>
      <c r="J127" s="4"/>
      <c r="K127" s="4"/>
      <c r="L127" s="4"/>
    </row>
    <row r="128" spans="2:12">
      <c r="B128" s="4"/>
      <c r="C128" s="4"/>
      <c r="D128" s="4"/>
      <c r="E128" s="4"/>
      <c r="F128" s="4"/>
      <c r="G128" s="4"/>
      <c r="H128" s="4"/>
      <c r="I128" s="4"/>
      <c r="J128" s="4"/>
      <c r="K128" s="4"/>
      <c r="L128" s="4"/>
    </row>
    <row r="129" spans="2:12">
      <c r="B129" s="4"/>
      <c r="C129" s="4"/>
      <c r="D129" s="4"/>
      <c r="E129" s="4"/>
      <c r="F129" s="4"/>
      <c r="G129" s="4"/>
      <c r="H129" s="4"/>
      <c r="I129" s="4"/>
      <c r="J129" s="4"/>
      <c r="K129" s="4"/>
      <c r="L129" s="4"/>
    </row>
    <row r="130" spans="2:12">
      <c r="B130" s="4"/>
      <c r="C130" s="4"/>
      <c r="D130" s="4"/>
      <c r="E130" s="4"/>
      <c r="F130" s="4"/>
      <c r="G130" s="4"/>
      <c r="H130" s="4"/>
      <c r="I130" s="4"/>
      <c r="J130" s="4"/>
      <c r="K130" s="4"/>
      <c r="L130" s="4"/>
    </row>
  </sheetData>
  <sortState ref="A25:P26">
    <sortCondition ref="A25"/>
  </sortState>
  <mergeCells count="3">
    <mergeCell ref="A1:P1"/>
    <mergeCell ref="A2:P2"/>
    <mergeCell ref="A3:P3"/>
  </mergeCells>
  <pageMargins left="0.75" right="0.75" top="1" bottom="1" header="0.5" footer="0.5"/>
  <pageSetup scale="59" fitToHeight="0" orientation="landscape" r:id="rId1"/>
  <headerFooter alignWithMargins="0">
    <oddFooter>&amp;L&amp;Z
&amp;F&amp;C&amp;A&amp;R13.&amp;P</oddFooter>
  </headerFooter>
  <rowBreaks count="1" manualBreakCount="1">
    <brk id="53" max="16383" man="1"/>
  </rowBreaks>
</worksheet>
</file>

<file path=xl/worksheets/sheet66.xml><?xml version="1.0" encoding="utf-8"?>
<worksheet xmlns="http://schemas.openxmlformats.org/spreadsheetml/2006/main" xmlns:r="http://schemas.openxmlformats.org/officeDocument/2006/relationships">
  <sheetPr codeName="Sheet103">
    <tabColor indexed="32"/>
    <pageSetUpPr fitToPage="1"/>
  </sheetPr>
  <dimension ref="A1:N187"/>
  <sheetViews>
    <sheetView zoomScaleNormal="100" workbookViewId="0">
      <pane xSplit="1" ySplit="7" topLeftCell="B8" activePane="bottomRight" state="frozen"/>
      <selection sqref="A1:P1"/>
      <selection pane="topRight" sqref="A1:P1"/>
      <selection pane="bottomLeft" sqref="A1:P1"/>
      <selection pane="bottomRight" sqref="A1:P1"/>
    </sheetView>
  </sheetViews>
  <sheetFormatPr defaultRowHeight="12.75"/>
  <cols>
    <col min="1" max="1" width="50.85546875" bestFit="1" customWidth="1"/>
    <col min="2" max="2" width="17.7109375" customWidth="1"/>
    <col min="3" max="3" width="1.7109375" customWidth="1"/>
    <col min="4" max="4" width="17.7109375" customWidth="1"/>
    <col min="5" max="5" width="1.7109375" customWidth="1"/>
    <col min="6" max="6" width="17.7109375" customWidth="1"/>
    <col min="7" max="7" width="1.7109375" customWidth="1"/>
    <col min="8" max="8" width="17.7109375" customWidth="1"/>
    <col min="9" max="9" width="1.7109375" customWidth="1"/>
    <col min="10" max="10" width="17.7109375" customWidth="1"/>
    <col min="11" max="11" width="1.7109375" customWidth="1"/>
    <col min="12" max="12" width="17.7109375" customWidth="1"/>
    <col min="13" max="13" width="14.5703125" bestFit="1" customWidth="1"/>
    <col min="14" max="14" width="13" customWidth="1"/>
  </cols>
  <sheetData>
    <row r="1" spans="1:12" s="38" customFormat="1" ht="15.75">
      <c r="A1" s="366" t="s">
        <v>134</v>
      </c>
      <c r="B1" s="366"/>
      <c r="C1" s="366"/>
      <c r="D1" s="366"/>
      <c r="E1" s="366"/>
      <c r="F1" s="366"/>
      <c r="G1" s="366"/>
      <c r="H1" s="366"/>
      <c r="I1" s="366"/>
      <c r="J1" s="366"/>
      <c r="K1" s="366"/>
      <c r="L1" s="366"/>
    </row>
    <row r="2" spans="1:12" s="38" customFormat="1" ht="15.75">
      <c r="A2" s="366" t="s">
        <v>1192</v>
      </c>
      <c r="B2" s="366"/>
      <c r="C2" s="366"/>
      <c r="D2" s="366"/>
      <c r="E2" s="366"/>
      <c r="F2" s="366"/>
      <c r="G2" s="366"/>
      <c r="H2" s="366"/>
      <c r="I2" s="366"/>
      <c r="J2" s="366"/>
      <c r="K2" s="366"/>
      <c r="L2" s="366"/>
    </row>
    <row r="3" spans="1:12">
      <c r="A3" s="357" t="str">
        <f>'Summary - Cost - PG 1 (Tot)'!A3:N3</f>
        <v>MARCH 2012</v>
      </c>
      <c r="B3" s="357"/>
      <c r="C3" s="357"/>
      <c r="D3" s="357"/>
      <c r="E3" s="357"/>
      <c r="F3" s="357"/>
      <c r="G3" s="357"/>
      <c r="H3" s="357"/>
      <c r="I3" s="357"/>
      <c r="J3" s="357"/>
      <c r="K3" s="357"/>
      <c r="L3" s="357"/>
    </row>
    <row r="4" spans="1:12">
      <c r="A4" s="190"/>
      <c r="B4" s="190"/>
      <c r="C4" s="190"/>
      <c r="D4" s="190"/>
      <c r="E4" s="190"/>
      <c r="F4" s="190"/>
      <c r="G4" s="190"/>
      <c r="H4" s="190"/>
      <c r="I4" s="190"/>
      <c r="J4" s="190"/>
      <c r="K4" s="190"/>
      <c r="L4" s="190"/>
    </row>
    <row r="6" spans="1:12">
      <c r="B6" s="41" t="s">
        <v>25</v>
      </c>
      <c r="D6" s="33"/>
      <c r="F6" s="33"/>
      <c r="H6" s="41" t="s">
        <v>612</v>
      </c>
      <c r="J6" s="33"/>
      <c r="L6" s="41" t="s">
        <v>26</v>
      </c>
    </row>
    <row r="7" spans="1:12" s="10" customFormat="1">
      <c r="B7" s="42" t="s">
        <v>27</v>
      </c>
      <c r="C7"/>
      <c r="D7" s="42" t="s">
        <v>107</v>
      </c>
      <c r="E7"/>
      <c r="F7" s="42" t="s">
        <v>108</v>
      </c>
      <c r="G7"/>
      <c r="H7" s="42" t="s">
        <v>613</v>
      </c>
      <c r="I7"/>
      <c r="J7" s="42" t="s">
        <v>109</v>
      </c>
      <c r="K7"/>
      <c r="L7" s="42" t="s">
        <v>27</v>
      </c>
    </row>
    <row r="8" spans="1:12" s="10" customFormat="1">
      <c r="B8" s="54"/>
      <c r="C8"/>
      <c r="D8" s="54"/>
      <c r="E8"/>
      <c r="F8" s="54"/>
      <c r="G8"/>
      <c r="H8" s="54"/>
      <c r="I8"/>
      <c r="J8" s="54"/>
      <c r="K8"/>
      <c r="L8" s="54"/>
    </row>
    <row r="9" spans="1:12" s="10" customFormat="1">
      <c r="A9" s="12" t="s">
        <v>572</v>
      </c>
      <c r="B9"/>
      <c r="C9"/>
      <c r="D9"/>
      <c r="E9"/>
      <c r="F9"/>
      <c r="G9"/>
      <c r="H9"/>
      <c r="I9"/>
      <c r="J9"/>
      <c r="K9"/>
      <c r="L9"/>
    </row>
    <row r="10" spans="1:12" s="10" customFormat="1">
      <c r="A10" s="12" t="s">
        <v>691</v>
      </c>
      <c r="B10"/>
      <c r="C10"/>
      <c r="D10"/>
      <c r="E10"/>
      <c r="F10"/>
      <c r="G10"/>
      <c r="H10"/>
      <c r="I10"/>
      <c r="J10"/>
      <c r="K10"/>
      <c r="L10"/>
    </row>
    <row r="11" spans="1:12">
      <c r="A11" t="s">
        <v>274</v>
      </c>
      <c r="B11" s="33">
        <f>+'KY_Cost Plant Acct-Elec-P14(Fin'!B11+'KY_Cost-Plant Acct-Elec-P14(PA)'!B11</f>
        <v>4110848.6500000004</v>
      </c>
      <c r="C11" s="33"/>
      <c r="D11" s="33">
        <f>+'KY_Cost Plant Acct-Elec-P14(Fin'!D11+'KY_Cost-Plant Acct-Elec-P14(PA)'!D11</f>
        <v>1215889.1399999999</v>
      </c>
      <c r="E11" s="33"/>
      <c r="F11" s="33">
        <f>+'KY_Cost Plant Acct-Elec-P14(Fin'!F11+'KY_Cost-Plant Acct-Elec-P14(PA)'!F11</f>
        <v>0</v>
      </c>
      <c r="G11" s="33"/>
      <c r="H11" s="33">
        <f>+'KY_Cost Plant Acct-Elec-P14(Fin'!H11+'KY_Cost-Plant Acct-Elec-P14(PA)'!H11</f>
        <v>21926.880000000001</v>
      </c>
      <c r="I11" s="33"/>
      <c r="J11" s="33">
        <f>H11+F11+D11</f>
        <v>1237816.0199999998</v>
      </c>
      <c r="K11" s="33"/>
      <c r="L11" s="33">
        <f>B11+J11</f>
        <v>5348664.67</v>
      </c>
    </row>
    <row r="12" spans="1:12">
      <c r="A12" t="s">
        <v>275</v>
      </c>
      <c r="B12" s="33">
        <f>+'KY_Cost Plant Acct-Elec-P14(Fin'!B12+'KY_Cost-Plant Acct-Elec-P14(PA)'!B12</f>
        <v>2813202</v>
      </c>
      <c r="C12" s="33"/>
      <c r="D12" s="33">
        <f>+'KY_Cost Plant Acct-Elec-P14(Fin'!D12+'KY_Cost-Plant Acct-Elec-P14(PA)'!D12</f>
        <v>0</v>
      </c>
      <c r="E12" s="33"/>
      <c r="F12" s="33">
        <f>+'KY_Cost Plant Acct-Elec-P14(Fin'!F12+'KY_Cost-Plant Acct-Elec-P14(PA)'!F12</f>
        <v>-110.72000000000003</v>
      </c>
      <c r="G12" s="33"/>
      <c r="H12" s="33">
        <f>+'KY_Cost Plant Acct-Elec-P14(Fin'!H12+'KY_Cost-Plant Acct-Elec-P14(PA)'!H12</f>
        <v>0</v>
      </c>
      <c r="I12" s="33"/>
      <c r="J12" s="33">
        <f t="shared" ref="J12:J92" si="0">H12+F12+D12</f>
        <v>-110.72000000000003</v>
      </c>
      <c r="K12" s="33"/>
      <c r="L12" s="33">
        <f t="shared" ref="L12:L92" si="1">B12+J12</f>
        <v>2813091.28</v>
      </c>
    </row>
    <row r="13" spans="1:12">
      <c r="A13" t="s">
        <v>12</v>
      </c>
      <c r="B13" s="33">
        <f>+'KY_Cost Plant Acct-Elec-P14(Fin'!B13+'KY_Cost-Plant Acct-Elec-P14(PA)'!B13</f>
        <v>64429514.649999999</v>
      </c>
      <c r="C13" s="33"/>
      <c r="D13" s="33">
        <f>+'KY_Cost Plant Acct-Elec-P14(Fin'!D13+'KY_Cost-Plant Acct-Elec-P14(PA)'!D13</f>
        <v>653212.38</v>
      </c>
      <c r="E13" s="33"/>
      <c r="F13" s="33">
        <f>+'KY_Cost Plant Acct-Elec-P14(Fin'!F13+'KY_Cost-Plant Acct-Elec-P14(PA)'!F13</f>
        <v>-13979.320000000007</v>
      </c>
      <c r="G13" s="33"/>
      <c r="H13" s="33">
        <f>+'KY_Cost Plant Acct-Elec-P14(Fin'!H13+'KY_Cost-Plant Acct-Elec-P14(PA)'!H13</f>
        <v>0</v>
      </c>
      <c r="I13" s="33"/>
      <c r="J13" s="33">
        <f t="shared" si="0"/>
        <v>639233.06000000006</v>
      </c>
      <c r="K13" s="33"/>
      <c r="L13" s="33">
        <f t="shared" si="1"/>
        <v>65068747.710000001</v>
      </c>
    </row>
    <row r="14" spans="1:12">
      <c r="A14" t="s">
        <v>276</v>
      </c>
      <c r="B14" s="33">
        <f>+'KY_Cost Plant Acct-Elec-P14(Fin'!B14+'KY_Cost-Plant Acct-Elec-P14(PA)'!B14</f>
        <v>121721092.16</v>
      </c>
      <c r="C14" s="33"/>
      <c r="D14" s="33">
        <f>+'KY_Cost Plant Acct-Elec-P14(Fin'!D14+'KY_Cost-Plant Acct-Elec-P14(PA)'!D14</f>
        <v>2957787.7199999997</v>
      </c>
      <c r="E14" s="33"/>
      <c r="F14" s="33">
        <f>+'KY_Cost Plant Acct-Elec-P14(Fin'!F14+'KY_Cost-Plant Acct-Elec-P14(PA)'!F14</f>
        <v>-286956.17000000004</v>
      </c>
      <c r="G14" s="33"/>
      <c r="H14" s="33">
        <f>+'KY_Cost Plant Acct-Elec-P14(Fin'!H14+'KY_Cost-Plant Acct-Elec-P14(PA)'!H14</f>
        <v>0</v>
      </c>
      <c r="I14" s="33"/>
      <c r="J14" s="33">
        <f t="shared" si="0"/>
        <v>2670831.5499999998</v>
      </c>
      <c r="K14" s="33"/>
      <c r="L14" s="33">
        <f t="shared" si="1"/>
        <v>124391923.70999999</v>
      </c>
    </row>
    <row r="15" spans="1:12">
      <c r="A15" t="s">
        <v>277</v>
      </c>
      <c r="B15" s="33">
        <f>+'KY_Cost Plant Acct-Elec-P14(Fin'!B15+'KY_Cost-Plant Acct-Elec-P14(PA)'!B15</f>
        <v>175622567.79999998</v>
      </c>
      <c r="C15" s="33"/>
      <c r="D15" s="33">
        <f>+'KY_Cost Plant Acct-Elec-P14(Fin'!D15+'KY_Cost-Plant Acct-Elec-P14(PA)'!D15</f>
        <v>7148949.8299999991</v>
      </c>
      <c r="E15" s="33"/>
      <c r="F15" s="33">
        <f>+'KY_Cost Plant Acct-Elec-P14(Fin'!F15+'KY_Cost-Plant Acct-Elec-P14(PA)'!F15</f>
        <v>-503284.64</v>
      </c>
      <c r="G15" s="33"/>
      <c r="H15" s="33">
        <f>+'KY_Cost Plant Acct-Elec-P14(Fin'!H15+'KY_Cost-Plant Acct-Elec-P14(PA)'!H15</f>
        <v>0</v>
      </c>
      <c r="I15" s="33"/>
      <c r="J15" s="33">
        <f t="shared" si="0"/>
        <v>6645665.1899999995</v>
      </c>
      <c r="K15" s="33"/>
      <c r="L15" s="33">
        <f t="shared" si="1"/>
        <v>182268232.98999998</v>
      </c>
    </row>
    <row r="16" spans="1:12">
      <c r="A16" t="s">
        <v>278</v>
      </c>
      <c r="B16" s="33">
        <f>+'KY_Cost Plant Acct-Elec-P14(Fin'!B16+'KY_Cost-Plant Acct-Elec-P14(PA)'!B16</f>
        <v>44323809.770000003</v>
      </c>
      <c r="C16" s="33"/>
      <c r="D16" s="33">
        <f>+'KY_Cost Plant Acct-Elec-P14(Fin'!D16+'KY_Cost-Plant Acct-Elec-P14(PA)'!D16</f>
        <v>124398.61</v>
      </c>
      <c r="E16" s="33"/>
      <c r="F16" s="33">
        <f>+'KY_Cost Plant Acct-Elec-P14(Fin'!F16+'KY_Cost-Plant Acct-Elec-P14(PA)'!F16</f>
        <v>-795.21000000000095</v>
      </c>
      <c r="G16" s="33"/>
      <c r="H16" s="33">
        <f>+'KY_Cost Plant Acct-Elec-P14(Fin'!H16+'KY_Cost-Plant Acct-Elec-P14(PA)'!H16</f>
        <v>0</v>
      </c>
      <c r="I16" s="33"/>
      <c r="J16" s="33">
        <f t="shared" si="0"/>
        <v>123603.4</v>
      </c>
      <c r="K16" s="33"/>
      <c r="L16" s="33">
        <f t="shared" si="1"/>
        <v>44447413.170000002</v>
      </c>
    </row>
    <row r="17" spans="1:13">
      <c r="A17" t="s">
        <v>279</v>
      </c>
      <c r="B17" s="33">
        <f>+'KY_Cost Plant Acct-Elec-P14(Fin'!B17+'KY_Cost-Plant Acct-Elec-P14(PA)'!B17</f>
        <v>105077522.18999998</v>
      </c>
      <c r="C17" s="33"/>
      <c r="D17" s="33">
        <f>+'KY_Cost Plant Acct-Elec-P14(Fin'!D17+'KY_Cost-Plant Acct-Elec-P14(PA)'!D17</f>
        <v>3548235.89</v>
      </c>
      <c r="E17" s="33"/>
      <c r="F17" s="33">
        <f>+'KY_Cost Plant Acct-Elec-P14(Fin'!F17+'KY_Cost-Plant Acct-Elec-P14(PA)'!F17</f>
        <v>-249153.31</v>
      </c>
      <c r="G17" s="33"/>
      <c r="H17" s="33">
        <f>+'KY_Cost Plant Acct-Elec-P14(Fin'!H17+'KY_Cost-Plant Acct-Elec-P14(PA)'!H17</f>
        <v>0</v>
      </c>
      <c r="I17" s="33"/>
      <c r="J17" s="33">
        <f t="shared" si="0"/>
        <v>3299082.58</v>
      </c>
      <c r="K17" s="33"/>
      <c r="L17" s="33">
        <f t="shared" si="1"/>
        <v>108376604.76999998</v>
      </c>
    </row>
    <row r="18" spans="1:13">
      <c r="A18" t="s">
        <v>280</v>
      </c>
      <c r="B18" s="33">
        <f>+'KY_Cost Plant Acct-Elec-P14(Fin'!B18+'KY_Cost-Plant Acct-Elec-P14(PA)'!B18</f>
        <v>83087668.479999989</v>
      </c>
      <c r="C18" s="33"/>
      <c r="D18" s="33">
        <f>+'KY_Cost Plant Acct-Elec-P14(Fin'!D18+'KY_Cost-Plant Acct-Elec-P14(PA)'!D18</f>
        <v>1026379.35</v>
      </c>
      <c r="E18" s="33"/>
      <c r="F18" s="33">
        <f>+'KY_Cost Plant Acct-Elec-P14(Fin'!F18+'KY_Cost-Plant Acct-Elec-P14(PA)'!F18</f>
        <v>-44155.97</v>
      </c>
      <c r="G18" s="33"/>
      <c r="H18" s="33">
        <f>+'KY_Cost Plant Acct-Elec-P14(Fin'!H18+'KY_Cost-Plant Acct-Elec-P14(PA)'!H18</f>
        <v>0</v>
      </c>
      <c r="I18" s="33"/>
      <c r="J18" s="33">
        <f t="shared" si="0"/>
        <v>982223.38</v>
      </c>
      <c r="K18" s="33"/>
      <c r="L18" s="33">
        <f t="shared" si="1"/>
        <v>84069891.859999985</v>
      </c>
    </row>
    <row r="19" spans="1:13">
      <c r="A19" t="s">
        <v>308</v>
      </c>
      <c r="B19" s="33">
        <f>+'KY_Cost Plant Acct-Elec-P14(Fin'!B19+'KY_Cost-Plant Acct-Elec-P14(PA)'!B19</f>
        <v>4022628.8200000003</v>
      </c>
      <c r="C19" s="33"/>
      <c r="D19" s="33">
        <f>+'KY_Cost Plant Acct-Elec-P14(Fin'!D19+'KY_Cost-Plant Acct-Elec-P14(PA)'!D19</f>
        <v>1406.1800000000003</v>
      </c>
      <c r="E19" s="33"/>
      <c r="F19" s="33">
        <f>+'KY_Cost Plant Acct-Elec-P14(Fin'!F19+'KY_Cost-Plant Acct-Elec-P14(PA)'!F19</f>
        <v>-678.65000000000146</v>
      </c>
      <c r="G19" s="33"/>
      <c r="H19" s="33">
        <f>+'KY_Cost Plant Acct-Elec-P14(Fin'!H19+'KY_Cost-Plant Acct-Elec-P14(PA)'!H19</f>
        <v>0</v>
      </c>
      <c r="I19" s="33"/>
      <c r="J19" s="33">
        <f t="shared" si="0"/>
        <v>727.52999999999884</v>
      </c>
      <c r="K19" s="33"/>
      <c r="L19" s="33">
        <f t="shared" si="1"/>
        <v>4023356.35</v>
      </c>
    </row>
    <row r="20" spans="1:13">
      <c r="A20" t="s">
        <v>309</v>
      </c>
      <c r="B20" s="33">
        <f>+'KY_Cost Plant Acct-Elec-P14(Fin'!B20+'KY_Cost-Plant Acct-Elec-P14(PA)'!B20</f>
        <v>14226877.890000004</v>
      </c>
      <c r="C20" s="33"/>
      <c r="D20" s="33">
        <f>+'KY_Cost Plant Acct-Elec-P14(Fin'!D20+'KY_Cost-Plant Acct-Elec-P14(PA)'!D20</f>
        <v>1247192.02</v>
      </c>
      <c r="E20" s="33"/>
      <c r="F20" s="33">
        <f>+'KY_Cost Plant Acct-Elec-P14(Fin'!F20+'KY_Cost-Plant Acct-Elec-P14(PA)'!F20</f>
        <v>-13155.990000000002</v>
      </c>
      <c r="G20" s="33"/>
      <c r="H20" s="33">
        <f>+'KY_Cost Plant Acct-Elec-P14(Fin'!H20+'KY_Cost-Plant Acct-Elec-P14(PA)'!H20</f>
        <v>0</v>
      </c>
      <c r="I20" s="33"/>
      <c r="J20" s="33">
        <f t="shared" si="0"/>
        <v>1234036.03</v>
      </c>
      <c r="K20" s="33"/>
      <c r="L20" s="33">
        <f t="shared" si="1"/>
        <v>15460913.920000004</v>
      </c>
    </row>
    <row r="21" spans="1:13">
      <c r="A21" t="s">
        <v>310</v>
      </c>
      <c r="B21" s="33">
        <f>+'KY_Cost Plant Acct-Elec-P14(Fin'!B21+'KY_Cost-Plant Acct-Elec-P14(PA)'!B21</f>
        <v>21718762.280000001</v>
      </c>
      <c r="C21" s="33"/>
      <c r="D21" s="33">
        <f>+'KY_Cost Plant Acct-Elec-P14(Fin'!D21+'KY_Cost-Plant Acct-Elec-P14(PA)'!D21</f>
        <v>469473.26</v>
      </c>
      <c r="E21" s="33"/>
      <c r="F21" s="33">
        <f>+'KY_Cost Plant Acct-Elec-P14(Fin'!F21+'KY_Cost-Plant Acct-Elec-P14(PA)'!F21</f>
        <v>0</v>
      </c>
      <c r="G21" s="33"/>
      <c r="H21" s="33">
        <f>+'KY_Cost Plant Acct-Elec-P14(Fin'!H21+'KY_Cost-Plant Acct-Elec-P14(PA)'!H21</f>
        <v>0</v>
      </c>
      <c r="I21" s="33"/>
      <c r="J21" s="33">
        <f t="shared" si="0"/>
        <v>469473.26</v>
      </c>
      <c r="K21" s="33"/>
      <c r="L21" s="33">
        <f t="shared" si="1"/>
        <v>22188235.540000003</v>
      </c>
    </row>
    <row r="22" spans="1:13">
      <c r="A22" t="s">
        <v>311</v>
      </c>
      <c r="B22" s="33">
        <f>+'KY_Cost Plant Acct-Elec-P14(Fin'!B22+'KY_Cost-Plant Acct-Elec-P14(PA)'!B22</f>
        <v>21425670.039999999</v>
      </c>
      <c r="C22" s="33"/>
      <c r="D22" s="33">
        <f>+'KY_Cost Plant Acct-Elec-P14(Fin'!D22+'KY_Cost-Plant Acct-Elec-P14(PA)'!D22</f>
        <v>1055204.0399999998</v>
      </c>
      <c r="E22" s="33"/>
      <c r="F22" s="33">
        <f>+'KY_Cost Plant Acct-Elec-P14(Fin'!F22+'KY_Cost-Plant Acct-Elec-P14(PA)'!F22</f>
        <v>-72435.399999999994</v>
      </c>
      <c r="G22" s="33"/>
      <c r="H22" s="33">
        <f>+'KY_Cost Plant Acct-Elec-P14(Fin'!H22+'KY_Cost-Plant Acct-Elec-P14(PA)'!H22</f>
        <v>0</v>
      </c>
      <c r="I22" s="33"/>
      <c r="J22" s="33">
        <f t="shared" si="0"/>
        <v>982768.63999999978</v>
      </c>
      <c r="K22" s="33"/>
      <c r="L22" s="33">
        <f t="shared" si="1"/>
        <v>22408438.68</v>
      </c>
    </row>
    <row r="23" spans="1:13">
      <c r="A23" t="s">
        <v>312</v>
      </c>
      <c r="B23" s="33">
        <f>+'KY_Cost Plant Acct-Elec-P14(Fin'!B23+'KY_Cost-Plant Acct-Elec-P14(PA)'!B23</f>
        <v>29826377.390000004</v>
      </c>
      <c r="C23" s="33"/>
      <c r="D23" s="33">
        <f>+'KY_Cost Plant Acct-Elec-P14(Fin'!D23+'KY_Cost-Plant Acct-Elec-P14(PA)'!D23</f>
        <v>759888.79999999993</v>
      </c>
      <c r="E23" s="33"/>
      <c r="F23" s="33">
        <f>+'KY_Cost Plant Acct-Elec-P14(Fin'!F23+'KY_Cost-Plant Acct-Elec-P14(PA)'!F23</f>
        <v>-27448.55000000001</v>
      </c>
      <c r="G23" s="33"/>
      <c r="H23" s="33">
        <f>+'KY_Cost Plant Acct-Elec-P14(Fin'!H23+'KY_Cost-Plant Acct-Elec-P14(PA)'!H23</f>
        <v>0</v>
      </c>
      <c r="I23" s="33"/>
      <c r="J23" s="33">
        <f t="shared" si="0"/>
        <v>732440.24999999988</v>
      </c>
      <c r="K23" s="33"/>
      <c r="L23" s="33">
        <f t="shared" si="1"/>
        <v>30558817.640000004</v>
      </c>
    </row>
    <row r="24" spans="1:13">
      <c r="A24" t="s">
        <v>313</v>
      </c>
      <c r="B24" s="33">
        <f>+'KY_Cost Plant Acct-Elec-P14(Fin'!B24+'KY_Cost-Plant Acct-Elec-P14(PA)'!B24</f>
        <v>0</v>
      </c>
      <c r="C24" s="33"/>
      <c r="D24" s="33">
        <f>+'KY_Cost Plant Acct-Elec-P14(Fin'!D24+'KY_Cost-Plant Acct-Elec-P14(PA)'!D24</f>
        <v>0</v>
      </c>
      <c r="E24" s="33"/>
      <c r="F24" s="33">
        <f>+'KY_Cost Plant Acct-Elec-P14(Fin'!F24+'KY_Cost-Plant Acct-Elec-P14(PA)'!F24</f>
        <v>0</v>
      </c>
      <c r="G24" s="33"/>
      <c r="H24" s="33">
        <f>+'KY_Cost Plant Acct-Elec-P14(Fin'!H24+'KY_Cost-Plant Acct-Elec-P14(PA)'!H24</f>
        <v>0</v>
      </c>
      <c r="I24" s="33"/>
      <c r="J24" s="33">
        <f t="shared" si="0"/>
        <v>0</v>
      </c>
      <c r="K24" s="33"/>
      <c r="L24" s="33">
        <f t="shared" si="1"/>
        <v>0</v>
      </c>
    </row>
    <row r="25" spans="1:13">
      <c r="A25" t="s">
        <v>314</v>
      </c>
      <c r="B25" s="300">
        <f>+'KY_Cost Plant Acct-Elec-P14(Fin'!B25+'KY_Cost-Plant Acct-Elec-P14(PA)'!B25</f>
        <v>481206.24000000005</v>
      </c>
      <c r="C25" s="37"/>
      <c r="D25" s="300">
        <f>+'KY_Cost Plant Acct-Elec-P14(Fin'!D25+'KY_Cost-Plant Acct-Elec-P14(PA)'!D25</f>
        <v>0</v>
      </c>
      <c r="E25" s="37"/>
      <c r="F25" s="300">
        <f>+'KY_Cost Plant Acct-Elec-P14(Fin'!F25+'KY_Cost-Plant Acct-Elec-P14(PA)'!F25</f>
        <v>0</v>
      </c>
      <c r="G25" s="37"/>
      <c r="H25" s="300">
        <f>+'KY_Cost Plant Acct-Elec-P14(Fin'!H25+'KY_Cost-Plant Acct-Elec-P14(PA)'!H25</f>
        <v>0</v>
      </c>
      <c r="I25" s="37"/>
      <c r="J25" s="300">
        <f t="shared" si="0"/>
        <v>0</v>
      </c>
      <c r="K25" s="37"/>
      <c r="L25" s="300">
        <f>B25+J25</f>
        <v>481206.24000000005</v>
      </c>
    </row>
    <row r="26" spans="1:13">
      <c r="A26" s="331" t="s">
        <v>1449</v>
      </c>
      <c r="B26" s="35">
        <f>+'KY_Cost Plant Acct-Elec-P14(Fin'!B26</f>
        <v>145332.98000000001</v>
      </c>
      <c r="C26" s="300"/>
      <c r="D26" s="35">
        <f>+'KY_Cost Plant Acct-Elec-P14(Fin'!D26</f>
        <v>0</v>
      </c>
      <c r="E26" s="300"/>
      <c r="F26" s="35">
        <f>+'KY_Cost Plant Acct-Elec-P14(Fin'!F26</f>
        <v>0</v>
      </c>
      <c r="G26" s="300"/>
      <c r="H26" s="35">
        <f>+'KY_Cost Plant Acct-Elec-P14(Fin'!H26</f>
        <v>-23.740000000019791</v>
      </c>
      <c r="I26" s="300"/>
      <c r="J26" s="35">
        <f t="shared" si="0"/>
        <v>-23.740000000019791</v>
      </c>
      <c r="K26" s="300"/>
      <c r="L26" s="35">
        <f>B26+J26</f>
        <v>145309.24</v>
      </c>
    </row>
    <row r="27" spans="1:13">
      <c r="B27" s="37">
        <f>SUM(B11:B26)</f>
        <v>693033081.33999991</v>
      </c>
      <c r="C27" s="37"/>
      <c r="D27" s="37">
        <f>SUM(D11:D26)</f>
        <v>20208017.220000003</v>
      </c>
      <c r="E27" s="37"/>
      <c r="F27" s="37">
        <f>SUM(F11:F26)</f>
        <v>-1212153.93</v>
      </c>
      <c r="G27" s="37"/>
      <c r="H27" s="37">
        <f>SUM(H11:H26)</f>
        <v>21903.139999999981</v>
      </c>
      <c r="I27" s="37"/>
      <c r="J27" s="37">
        <f>SUM(J11:J26)</f>
        <v>19017766.430000003</v>
      </c>
      <c r="K27" s="37"/>
      <c r="L27" s="37">
        <f>SUM(L11:L26)</f>
        <v>712050847.76999986</v>
      </c>
      <c r="M27" s="89"/>
    </row>
    <row r="28" spans="1:13">
      <c r="B28" s="37"/>
      <c r="C28" s="37"/>
      <c r="D28" s="37"/>
      <c r="E28" s="37"/>
      <c r="F28" s="37"/>
      <c r="G28" s="37"/>
      <c r="H28" s="37"/>
      <c r="I28" s="37"/>
      <c r="J28" s="37"/>
      <c r="K28" s="37"/>
      <c r="L28" s="37"/>
    </row>
    <row r="29" spans="1:13">
      <c r="A29" s="12" t="s">
        <v>808</v>
      </c>
      <c r="B29" s="37"/>
      <c r="C29" s="37"/>
      <c r="D29" s="37"/>
      <c r="E29" s="37"/>
      <c r="F29" s="37"/>
      <c r="G29" s="37"/>
      <c r="H29" s="37"/>
      <c r="I29" s="37"/>
      <c r="J29" s="37"/>
      <c r="K29" s="37"/>
      <c r="L29" s="37"/>
    </row>
    <row r="30" spans="1:13">
      <c r="A30" t="s">
        <v>315</v>
      </c>
      <c r="B30" s="37">
        <f>+'KY_Cost Plant Acct-Elec-P14(Fin'!B30+'KY_Cost-Plant Acct-Elec-P14(PA)'!B29</f>
        <v>1202710.8499999996</v>
      </c>
      <c r="C30" s="37"/>
      <c r="D30" s="37">
        <f>+'KY_Cost Plant Acct-Elec-P14(Fin'!D30+'KY_Cost-Plant Acct-Elec-P14(PA)'!D29</f>
        <v>118725.14</v>
      </c>
      <c r="E30" s="37"/>
      <c r="F30" s="37">
        <f>+'KY_Cost Plant Acct-Elec-P14(Fin'!F30+'KY_Cost-Plant Acct-Elec-P14(PA)'!F29</f>
        <v>0</v>
      </c>
      <c r="G30" s="37"/>
      <c r="H30" s="37">
        <f>+'KY_Cost Plant Acct-Elec-P14(Fin'!H30+'KY_Cost-Plant Acct-Elec-P14(PA)'!H29</f>
        <v>0</v>
      </c>
      <c r="I30" s="37"/>
      <c r="J30" s="37">
        <f t="shared" si="0"/>
        <v>118725.14</v>
      </c>
      <c r="K30" s="37"/>
      <c r="L30" s="37">
        <f t="shared" si="1"/>
        <v>1321435.9899999995</v>
      </c>
    </row>
    <row r="31" spans="1:13">
      <c r="A31" t="s">
        <v>316</v>
      </c>
      <c r="B31" s="37">
        <f>+'KY_Cost Plant Acct-Elec-P14(Fin'!B31+'KY_Cost-Plant Acct-Elec-P14(PA)'!B30</f>
        <v>353637.27</v>
      </c>
      <c r="C31" s="37"/>
      <c r="D31" s="37">
        <f>+'KY_Cost Plant Acct-Elec-P14(Fin'!D31+'KY_Cost-Plant Acct-Elec-P14(PA)'!D30</f>
        <v>11695.62</v>
      </c>
      <c r="E31" s="37"/>
      <c r="F31" s="37">
        <f>+'KY_Cost Plant Acct-Elec-P14(Fin'!F31+'KY_Cost-Plant Acct-Elec-P14(PA)'!F30</f>
        <v>0</v>
      </c>
      <c r="G31" s="37"/>
      <c r="H31" s="37">
        <f>+'KY_Cost Plant Acct-Elec-P14(Fin'!H31+'KY_Cost-Plant Acct-Elec-P14(PA)'!H30</f>
        <v>0</v>
      </c>
      <c r="I31" s="37"/>
      <c r="J31" s="37">
        <f t="shared" si="0"/>
        <v>11695.62</v>
      </c>
      <c r="K31" s="37"/>
      <c r="L31" s="37">
        <f t="shared" si="1"/>
        <v>365332.89</v>
      </c>
    </row>
    <row r="32" spans="1:13">
      <c r="A32" t="s">
        <v>317</v>
      </c>
      <c r="B32" s="37">
        <f>+'KY_Cost Plant Acct-Elec-P14(Fin'!B32+'KY_Cost-Plant Acct-Elec-P14(PA)'!B31</f>
        <v>3211947.06</v>
      </c>
      <c r="C32" s="37"/>
      <c r="D32" s="37">
        <f>+'KY_Cost Plant Acct-Elec-P14(Fin'!D32+'KY_Cost-Plant Acct-Elec-P14(PA)'!D31</f>
        <v>48831.4</v>
      </c>
      <c r="E32" s="37"/>
      <c r="F32" s="37">
        <f>+'KY_Cost Plant Acct-Elec-P14(Fin'!F32+'KY_Cost-Plant Acct-Elec-P14(PA)'!F31</f>
        <v>0</v>
      </c>
      <c r="G32" s="37"/>
      <c r="H32" s="37">
        <f>+'KY_Cost Plant Acct-Elec-P14(Fin'!H32+'KY_Cost-Plant Acct-Elec-P14(PA)'!H31</f>
        <v>0</v>
      </c>
      <c r="I32" s="37"/>
      <c r="J32" s="37">
        <f t="shared" si="0"/>
        <v>48831.4</v>
      </c>
      <c r="K32" s="37"/>
      <c r="L32" s="37">
        <f t="shared" si="1"/>
        <v>3260778.46</v>
      </c>
    </row>
    <row r="33" spans="1:13">
      <c r="A33" t="s">
        <v>318</v>
      </c>
      <c r="B33" s="37">
        <f>+'KY_Cost Plant Acct-Elec-P14(Fin'!B33+'KY_Cost-Plant Acct-Elec-P14(PA)'!B32</f>
        <v>-21504.75</v>
      </c>
      <c r="C33" s="37"/>
      <c r="D33" s="37">
        <f>+'KY_Cost Plant Acct-Elec-P14(Fin'!D33+'KY_Cost-Plant Acct-Elec-P14(PA)'!D32</f>
        <v>0</v>
      </c>
      <c r="E33" s="37"/>
      <c r="F33" s="37">
        <f>+'KY_Cost Plant Acct-Elec-P14(Fin'!F33+'KY_Cost-Plant Acct-Elec-P14(PA)'!F32</f>
        <v>0</v>
      </c>
      <c r="G33" s="37"/>
      <c r="H33" s="37">
        <f>+'KY_Cost Plant Acct-Elec-P14(Fin'!H33+'KY_Cost-Plant Acct-Elec-P14(PA)'!H32</f>
        <v>0</v>
      </c>
      <c r="I33" s="37"/>
      <c r="J33" s="37">
        <f t="shared" si="0"/>
        <v>0</v>
      </c>
      <c r="K33" s="37"/>
      <c r="L33" s="37">
        <f t="shared" si="1"/>
        <v>-21504.75</v>
      </c>
    </row>
    <row r="34" spans="1:13">
      <c r="A34" t="s">
        <v>319</v>
      </c>
      <c r="B34" s="37">
        <f>+'KY_Cost Plant Acct-Elec-P14(Fin'!B34+'KY_Cost-Plant Acct-Elec-P14(PA)'!B33</f>
        <v>246472.25999999978</v>
      </c>
      <c r="C34" s="37"/>
      <c r="D34" s="37">
        <f>+'KY_Cost Plant Acct-Elec-P14(Fin'!D34+'KY_Cost-Plant Acct-Elec-P14(PA)'!D33</f>
        <v>0</v>
      </c>
      <c r="E34" s="37"/>
      <c r="F34" s="37">
        <f>+'KY_Cost Plant Acct-Elec-P14(Fin'!F34+'KY_Cost-Plant Acct-Elec-P14(PA)'!F33</f>
        <v>0</v>
      </c>
      <c r="G34" s="37"/>
      <c r="H34" s="37">
        <f>+'KY_Cost Plant Acct-Elec-P14(Fin'!H34+'KY_Cost-Plant Acct-Elec-P14(PA)'!H33</f>
        <v>0</v>
      </c>
      <c r="I34" s="37"/>
      <c r="J34" s="37">
        <f t="shared" si="0"/>
        <v>0</v>
      </c>
      <c r="K34" s="37"/>
      <c r="L34" s="37">
        <f t="shared" si="1"/>
        <v>246472.25999999978</v>
      </c>
    </row>
    <row r="35" spans="1:13">
      <c r="A35" t="s">
        <v>320</v>
      </c>
      <c r="B35" s="35">
        <f>+'KY_Cost Plant Acct-Elec-P14(Fin'!B35+'KY_Cost-Plant Acct-Elec-P14(PA)'!B34</f>
        <v>124576.10999999999</v>
      </c>
      <c r="C35" s="37"/>
      <c r="D35" s="35">
        <f>+'KY_Cost Plant Acct-Elec-P14(Fin'!D35+'KY_Cost-Plant Acct-Elec-P14(PA)'!D34</f>
        <v>0</v>
      </c>
      <c r="E35" s="37"/>
      <c r="F35" s="35">
        <f>+'KY_Cost Plant Acct-Elec-P14(Fin'!F35+'KY_Cost-Plant Acct-Elec-P14(PA)'!F34</f>
        <v>0</v>
      </c>
      <c r="G35" s="37"/>
      <c r="H35" s="35">
        <f>+'KY_Cost Plant Acct-Elec-P14(Fin'!H35+'KY_Cost-Plant Acct-Elec-P14(PA)'!H34</f>
        <v>0</v>
      </c>
      <c r="I35" s="37"/>
      <c r="J35" s="35">
        <f t="shared" si="0"/>
        <v>0</v>
      </c>
      <c r="K35" s="37"/>
      <c r="L35" s="35">
        <f t="shared" si="1"/>
        <v>124576.10999999999</v>
      </c>
    </row>
    <row r="36" spans="1:13">
      <c r="B36" s="37">
        <f>SUM(B30:B35)</f>
        <v>5117838.8</v>
      </c>
      <c r="C36" s="37"/>
      <c r="D36" s="37">
        <f>SUM(D30:D35)</f>
        <v>179252.16</v>
      </c>
      <c r="E36" s="37"/>
      <c r="F36" s="37">
        <f>SUM(F30:F35)</f>
        <v>0</v>
      </c>
      <c r="G36" s="37"/>
      <c r="H36" s="37">
        <f>SUM(H30:H35)</f>
        <v>0</v>
      </c>
      <c r="I36" s="37"/>
      <c r="J36" s="37">
        <f>SUM(J30:J35)</f>
        <v>179252.16</v>
      </c>
      <c r="K36" s="37"/>
      <c r="L36" s="37">
        <f>SUM(L30:L35)</f>
        <v>5297090.96</v>
      </c>
      <c r="M36" s="89"/>
    </row>
    <row r="37" spans="1:13">
      <c r="B37" s="37"/>
      <c r="C37" s="37"/>
      <c r="D37" s="37"/>
      <c r="E37" s="37"/>
      <c r="F37" s="37"/>
      <c r="G37" s="37"/>
      <c r="H37" s="37"/>
      <c r="I37" s="37"/>
      <c r="J37" s="37"/>
      <c r="K37" s="37"/>
      <c r="L37" s="37"/>
    </row>
    <row r="38" spans="1:13">
      <c r="A38" s="12" t="s">
        <v>809</v>
      </c>
      <c r="B38" s="37"/>
      <c r="C38" s="37"/>
      <c r="D38" s="37"/>
      <c r="E38" s="37"/>
      <c r="F38" s="37"/>
      <c r="G38" s="37"/>
      <c r="H38" s="37"/>
      <c r="I38" s="37"/>
      <c r="J38" s="37"/>
      <c r="K38" s="37"/>
      <c r="L38" s="37"/>
    </row>
    <row r="39" spans="1:13">
      <c r="A39" t="s">
        <v>321</v>
      </c>
      <c r="B39" s="37">
        <f>+'KY_Cost Plant Acct-Elec-P14(Fin'!B39+'KY_Cost-Plant Acct-Elec-P14(PA)'!B38</f>
        <v>6.5</v>
      </c>
      <c r="C39" s="37"/>
      <c r="D39" s="37">
        <f>+'KY_Cost Plant Acct-Elec-P14(Fin'!D39+'KY_Cost-Plant Acct-Elec-P14(PA)'!D38</f>
        <v>0</v>
      </c>
      <c r="E39" s="37"/>
      <c r="F39" s="37">
        <f>+'KY_Cost Plant Acct-Elec-P14(Fin'!F39+'KY_Cost-Plant Acct-Elec-P14(PA)'!F38</f>
        <v>0</v>
      </c>
      <c r="G39" s="37"/>
      <c r="H39" s="37">
        <f>+'KY_Cost Plant Acct-Elec-P14(Fin'!H39+'KY_Cost-Plant Acct-Elec-P14(PA)'!H38</f>
        <v>0</v>
      </c>
      <c r="I39" s="37"/>
      <c r="J39" s="37">
        <f t="shared" si="0"/>
        <v>0</v>
      </c>
      <c r="K39" s="37"/>
      <c r="L39" s="37">
        <f t="shared" si="1"/>
        <v>6.5</v>
      </c>
    </row>
    <row r="40" spans="1:13">
      <c r="A40" t="s">
        <v>574</v>
      </c>
      <c r="B40" s="37">
        <f>+'KY_Cost Plant Acct-Elec-P14(Fin'!B40+'KY_Cost-Plant Acct-Elec-P14(PA)'!B39</f>
        <v>494840.1099999994</v>
      </c>
      <c r="C40" s="37"/>
      <c r="D40" s="37">
        <f>+'KY_Cost Plant Acct-Elec-P14(Fin'!D40+'KY_Cost-Plant Acct-Elec-P14(PA)'!D39</f>
        <v>16456.36</v>
      </c>
      <c r="E40" s="37"/>
      <c r="F40" s="37">
        <f>+'KY_Cost Plant Acct-Elec-P14(Fin'!F40+'KY_Cost-Plant Acct-Elec-P14(PA)'!F39</f>
        <v>18.109999999999957</v>
      </c>
      <c r="G40" s="37"/>
      <c r="H40" s="37">
        <f>+'KY_Cost Plant Acct-Elec-P14(Fin'!H40+'KY_Cost-Plant Acct-Elec-P14(PA)'!H39</f>
        <v>0</v>
      </c>
      <c r="I40" s="37"/>
      <c r="J40" s="37">
        <f t="shared" si="0"/>
        <v>16474.47</v>
      </c>
      <c r="K40" s="37"/>
      <c r="L40" s="37">
        <f t="shared" si="1"/>
        <v>511314.57999999938</v>
      </c>
    </row>
    <row r="41" spans="1:13">
      <c r="A41" t="s">
        <v>575</v>
      </c>
      <c r="B41" s="37">
        <f>+'KY_Cost Plant Acct-Elec-P14(Fin'!B41+'KY_Cost-Plant Acct-Elec-P14(PA)'!B40</f>
        <v>10408984.73</v>
      </c>
      <c r="C41" s="37"/>
      <c r="D41" s="37">
        <f>+'KY_Cost Plant Acct-Elec-P14(Fin'!D41+'KY_Cost-Plant Acct-Elec-P14(PA)'!D40</f>
        <v>0</v>
      </c>
      <c r="E41" s="37"/>
      <c r="F41" s="37">
        <f>+'KY_Cost Plant Acct-Elec-P14(Fin'!F41+'KY_Cost-Plant Acct-Elec-P14(PA)'!F40</f>
        <v>0</v>
      </c>
      <c r="G41" s="37"/>
      <c r="H41" s="37">
        <f>+'KY_Cost Plant Acct-Elec-P14(Fin'!H41+'KY_Cost-Plant Acct-Elec-P14(PA)'!H40</f>
        <v>0</v>
      </c>
      <c r="I41" s="37"/>
      <c r="J41" s="37">
        <f t="shared" si="0"/>
        <v>0</v>
      </c>
      <c r="K41" s="37"/>
      <c r="L41" s="37">
        <f t="shared" si="1"/>
        <v>10408984.73</v>
      </c>
    </row>
    <row r="42" spans="1:13">
      <c r="A42" t="s">
        <v>576</v>
      </c>
      <c r="B42" s="37">
        <f>+'KY_Cost Plant Acct-Elec-P14(Fin'!B42+'KY_Cost-Plant Acct-Elec-P14(PA)'!B41</f>
        <v>17930347.479999997</v>
      </c>
      <c r="C42" s="37"/>
      <c r="D42" s="37">
        <f>+'KY_Cost Plant Acct-Elec-P14(Fin'!D42+'KY_Cost-Plant Acct-Elec-P14(PA)'!D41</f>
        <v>0</v>
      </c>
      <c r="E42" s="37"/>
      <c r="F42" s="37">
        <f>+'KY_Cost Plant Acct-Elec-P14(Fin'!F42+'KY_Cost-Plant Acct-Elec-P14(PA)'!F41</f>
        <v>0</v>
      </c>
      <c r="G42" s="37"/>
      <c r="H42" s="37">
        <f>+'KY_Cost Plant Acct-Elec-P14(Fin'!H42+'KY_Cost-Plant Acct-Elec-P14(PA)'!H41</f>
        <v>0</v>
      </c>
      <c r="I42" s="37"/>
      <c r="J42" s="37">
        <f t="shared" si="0"/>
        <v>0</v>
      </c>
      <c r="K42" s="37"/>
      <c r="L42" s="37">
        <f t="shared" si="1"/>
        <v>17930347.479999997</v>
      </c>
    </row>
    <row r="43" spans="1:13">
      <c r="A43" t="s">
        <v>577</v>
      </c>
      <c r="B43" s="37">
        <f>+'KY_Cost Plant Acct-Elec-P14(Fin'!B43+'KY_Cost-Plant Acct-Elec-P14(PA)'!B42</f>
        <v>3853196.0599999996</v>
      </c>
      <c r="C43" s="37"/>
      <c r="D43" s="37">
        <f>+'KY_Cost Plant Acct-Elec-P14(Fin'!D43+'KY_Cost-Plant Acct-Elec-P14(PA)'!D42</f>
        <v>0</v>
      </c>
      <c r="E43" s="37"/>
      <c r="F43" s="37">
        <f>+'KY_Cost Plant Acct-Elec-P14(Fin'!F43+'KY_Cost-Plant Acct-Elec-P14(PA)'!F42</f>
        <v>0</v>
      </c>
      <c r="G43" s="37"/>
      <c r="H43" s="37">
        <f>+'KY_Cost Plant Acct-Elec-P14(Fin'!H43+'KY_Cost-Plant Acct-Elec-P14(PA)'!H42</f>
        <v>0</v>
      </c>
      <c r="I43" s="37"/>
      <c r="J43" s="37">
        <f t="shared" si="0"/>
        <v>0</v>
      </c>
      <c r="K43" s="37"/>
      <c r="L43" s="37">
        <f t="shared" si="1"/>
        <v>3853196.0599999996</v>
      </c>
    </row>
    <row r="44" spans="1:13">
      <c r="A44" t="s">
        <v>281</v>
      </c>
      <c r="B44" s="37">
        <f>+'KY_Cost Plant Acct-Elec-P14(Fin'!B44+'KY_Cost-Plant Acct-Elec-P14(PA)'!B43</f>
        <v>268453.92000000004</v>
      </c>
      <c r="C44" s="37"/>
      <c r="D44" s="37">
        <f>+'KY_Cost Plant Acct-Elec-P14(Fin'!D44+'KY_Cost-Plant Acct-Elec-P14(PA)'!D43</f>
        <v>0</v>
      </c>
      <c r="E44" s="37"/>
      <c r="F44" s="37">
        <f>+'KY_Cost Plant Acct-Elec-P14(Fin'!F44+'KY_Cost-Plant Acct-Elec-P14(PA)'!F43</f>
        <v>0</v>
      </c>
      <c r="G44" s="37"/>
      <c r="H44" s="37">
        <f>+'KY_Cost Plant Acct-Elec-P14(Fin'!H44+'KY_Cost-Plant Acct-Elec-P14(PA)'!H43</f>
        <v>0</v>
      </c>
      <c r="I44" s="37"/>
      <c r="J44" s="37">
        <f t="shared" si="0"/>
        <v>0</v>
      </c>
      <c r="K44" s="37"/>
      <c r="L44" s="37">
        <f t="shared" si="1"/>
        <v>268453.92000000004</v>
      </c>
    </row>
    <row r="45" spans="1:13">
      <c r="A45" t="s">
        <v>282</v>
      </c>
      <c r="B45" s="37">
        <f>+'KY_Cost Plant Acct-Elec-P14(Fin'!B45+'KY_Cost-Plant Acct-Elec-P14(PA)'!B44</f>
        <v>-44756.130000000005</v>
      </c>
      <c r="C45" s="37"/>
      <c r="D45" s="37">
        <f>+'KY_Cost Plant Acct-Elec-P14(Fin'!D45+'KY_Cost-Plant Acct-Elec-P14(PA)'!D44</f>
        <v>0</v>
      </c>
      <c r="E45" s="37"/>
      <c r="F45" s="37">
        <f>+'KY_Cost Plant Acct-Elec-P14(Fin'!F45+'KY_Cost-Plant Acct-Elec-P14(PA)'!F44</f>
        <v>0</v>
      </c>
      <c r="G45" s="37"/>
      <c r="H45" s="37">
        <f>+'KY_Cost Plant Acct-Elec-P14(Fin'!H45+'KY_Cost-Plant Acct-Elec-P14(PA)'!H44</f>
        <v>0</v>
      </c>
      <c r="I45" s="37"/>
      <c r="J45" s="37">
        <f t="shared" si="0"/>
        <v>0</v>
      </c>
      <c r="K45" s="37"/>
      <c r="L45" s="37">
        <f t="shared" si="1"/>
        <v>-44756.130000000005</v>
      </c>
    </row>
    <row r="46" spans="1:13">
      <c r="A46" t="s">
        <v>283</v>
      </c>
      <c r="B46" s="35">
        <f>+'KY_Cost Plant Acct-Elec-P14(Fin'!B46+'KY_Cost-Plant Acct-Elec-P14(PA)'!B45</f>
        <v>103528.98</v>
      </c>
      <c r="C46" s="37"/>
      <c r="D46" s="35">
        <f>+'KY_Cost Plant Acct-Elec-P14(Fin'!D46+'KY_Cost-Plant Acct-Elec-P14(PA)'!D45</f>
        <v>0</v>
      </c>
      <c r="E46" s="37"/>
      <c r="F46" s="35">
        <f>+'KY_Cost Plant Acct-Elec-P14(Fin'!F46+'KY_Cost-Plant Acct-Elec-P14(PA)'!F45</f>
        <v>0</v>
      </c>
      <c r="G46" s="37"/>
      <c r="H46" s="35">
        <f>+'KY_Cost Plant Acct-Elec-P14(Fin'!H46+'KY_Cost-Plant Acct-Elec-P14(PA)'!H45</f>
        <v>0</v>
      </c>
      <c r="I46" s="37"/>
      <c r="J46" s="35">
        <f t="shared" si="0"/>
        <v>0</v>
      </c>
      <c r="K46" s="37"/>
      <c r="L46" s="35">
        <f t="shared" si="1"/>
        <v>103528.98</v>
      </c>
    </row>
    <row r="47" spans="1:13">
      <c r="B47" s="37">
        <f>SUM(B39:B46)</f>
        <v>33014601.649999999</v>
      </c>
      <c r="C47" s="37"/>
      <c r="D47" s="37">
        <f>SUM(D39:D46)</f>
        <v>16456.36</v>
      </c>
      <c r="E47" s="37"/>
      <c r="F47" s="37">
        <f>SUM(F39:F46)</f>
        <v>18.109999999999957</v>
      </c>
      <c r="G47" s="37"/>
      <c r="H47" s="37">
        <f>SUM(H39:H46)</f>
        <v>0</v>
      </c>
      <c r="I47" s="37"/>
      <c r="J47" s="37">
        <f>SUM(J39:J46)</f>
        <v>16474.47</v>
      </c>
      <c r="K47" s="37"/>
      <c r="L47" s="37">
        <f>SUM(L39:L46)</f>
        <v>33031076.120000001</v>
      </c>
    </row>
    <row r="48" spans="1:13">
      <c r="B48" s="37"/>
      <c r="C48" s="37"/>
      <c r="D48" s="37"/>
      <c r="E48" s="37"/>
      <c r="F48" s="37"/>
      <c r="G48" s="37"/>
      <c r="H48" s="37"/>
      <c r="I48" s="37"/>
      <c r="J48" s="37"/>
      <c r="K48" s="37"/>
      <c r="L48" s="37"/>
    </row>
    <row r="49" spans="1:12">
      <c r="A49" s="3" t="s">
        <v>810</v>
      </c>
      <c r="B49" s="37"/>
      <c r="C49" s="37"/>
      <c r="D49" s="37"/>
      <c r="E49" s="37"/>
      <c r="F49" s="37"/>
      <c r="G49" s="37"/>
      <c r="H49" s="37"/>
      <c r="I49" s="37"/>
      <c r="J49" s="37"/>
      <c r="K49" s="37"/>
      <c r="L49" s="37"/>
    </row>
    <row r="50" spans="1:12">
      <c r="A50" t="s">
        <v>284</v>
      </c>
      <c r="B50" s="37">
        <f>+'KY_Cost Plant Acct-Elec-P14(Fin'!B50+'KY_Cost-Plant Acct-Elec-P14(PA)'!B49</f>
        <v>2240.29</v>
      </c>
      <c r="C50" s="37"/>
      <c r="D50" s="37">
        <f>+'KY_Cost Plant Acct-Elec-P14(Fin'!D50+'KY_Cost-Plant Acct-Elec-P14(PA)'!D49</f>
        <v>0</v>
      </c>
      <c r="E50" s="37"/>
      <c r="F50" s="37">
        <f>+'KY_Cost Plant Acct-Elec-P14(Fin'!F50+'KY_Cost-Plant Acct-Elec-P14(PA)'!F49</f>
        <v>0</v>
      </c>
      <c r="G50" s="37"/>
      <c r="H50" s="37">
        <f>+'KY_Cost Plant Acct-Elec-P14(Fin'!H50+'KY_Cost-Plant Acct-Elec-P14(PA)'!H49</f>
        <v>0</v>
      </c>
      <c r="I50" s="37"/>
      <c r="J50" s="37">
        <f t="shared" si="0"/>
        <v>0</v>
      </c>
      <c r="K50" s="37"/>
      <c r="L50" s="37">
        <f t="shared" si="1"/>
        <v>2240.29</v>
      </c>
    </row>
    <row r="51" spans="1:12">
      <c r="A51" t="s">
        <v>285</v>
      </c>
      <c r="B51" s="35">
        <f>+'KY_Cost Plant Acct-Elec-P14(Fin'!B51+'KY_Cost-Plant Acct-Elec-P14(PA)'!B50</f>
        <v>0</v>
      </c>
      <c r="C51" s="37"/>
      <c r="D51" s="35">
        <f>+'KY_Cost Plant Acct-Elec-P14(Fin'!D51+'KY_Cost-Plant Acct-Elec-P14(PA)'!D50</f>
        <v>0</v>
      </c>
      <c r="E51" s="37"/>
      <c r="F51" s="35">
        <f>+'KY_Cost Plant Acct-Elec-P14(Fin'!F51+'KY_Cost-Plant Acct-Elec-P14(PA)'!F50</f>
        <v>0</v>
      </c>
      <c r="G51" s="37"/>
      <c r="H51" s="35">
        <f>+'KY_Cost Plant Acct-Elec-P14(Fin'!H51+'KY_Cost-Plant Acct-Elec-P14(PA)'!H50</f>
        <v>0</v>
      </c>
      <c r="I51" s="37"/>
      <c r="J51" s="35">
        <f t="shared" si="0"/>
        <v>0</v>
      </c>
      <c r="K51" s="37"/>
      <c r="L51" s="35">
        <f t="shared" si="1"/>
        <v>0</v>
      </c>
    </row>
    <row r="52" spans="1:12">
      <c r="B52" s="37">
        <f>SUM(B50:B51)</f>
        <v>2240.29</v>
      </c>
      <c r="C52" s="37"/>
      <c r="D52" s="37">
        <f>SUM(D50:D51)</f>
        <v>0</v>
      </c>
      <c r="E52" s="37"/>
      <c r="F52" s="37">
        <f>SUM(F50:F51)</f>
        <v>0</v>
      </c>
      <c r="G52" s="37"/>
      <c r="H52" s="37">
        <f>SUM(H50:H51)</f>
        <v>0</v>
      </c>
      <c r="I52" s="37"/>
      <c r="J52" s="37">
        <f>SUM(J50:J51)</f>
        <v>0</v>
      </c>
      <c r="K52" s="37"/>
      <c r="L52" s="37">
        <f>SUM(L50:L51)</f>
        <v>2240.29</v>
      </c>
    </row>
    <row r="53" spans="1:12">
      <c r="B53" s="37"/>
      <c r="C53" s="37"/>
      <c r="D53" s="37"/>
      <c r="E53" s="37"/>
      <c r="F53" s="37"/>
      <c r="G53" s="37"/>
      <c r="H53" s="37"/>
      <c r="I53" s="37"/>
      <c r="J53" s="37"/>
      <c r="K53" s="37"/>
      <c r="L53" s="37"/>
    </row>
    <row r="54" spans="1:12">
      <c r="A54" s="3" t="s">
        <v>811</v>
      </c>
      <c r="B54" s="33"/>
      <c r="C54" s="33"/>
      <c r="D54" s="33"/>
      <c r="E54" s="33"/>
      <c r="F54" s="33"/>
      <c r="G54" s="33"/>
      <c r="H54" s="33"/>
      <c r="I54" s="33"/>
      <c r="J54" s="33"/>
      <c r="K54" s="33"/>
      <c r="L54" s="33"/>
    </row>
    <row r="55" spans="1:12">
      <c r="A55" t="s">
        <v>286</v>
      </c>
      <c r="B55" s="33">
        <f>+'KY_Cost Plant Acct-Elec-P14(Fin'!B55+'KY_Cost-Plant Acct-Elec-P14(PA)'!B54</f>
        <v>8132.93</v>
      </c>
      <c r="C55" s="33"/>
      <c r="D55" s="33">
        <f>+'KY_Cost Plant Acct-Elec-P14(Fin'!D55+'KY_Cost-Plant Acct-Elec-P14(PA)'!D54</f>
        <v>0</v>
      </c>
      <c r="E55" s="33"/>
      <c r="F55" s="33">
        <f>+'KY_Cost Plant Acct-Elec-P14(Fin'!F55+'KY_Cost-Plant Acct-Elec-P14(PA)'!F54</f>
        <v>0</v>
      </c>
      <c r="G55" s="33"/>
      <c r="H55" s="33">
        <f>+'KY_Cost Plant Acct-Elec-P14(Fin'!H55+'KY_Cost-Plant Acct-Elec-P14(PA)'!H54</f>
        <v>0</v>
      </c>
      <c r="I55" s="33"/>
      <c r="J55" s="33">
        <f t="shared" si="0"/>
        <v>0</v>
      </c>
      <c r="K55" s="33"/>
      <c r="L55" s="33">
        <f t="shared" si="1"/>
        <v>8132.93</v>
      </c>
    </row>
    <row r="56" spans="1:12">
      <c r="A56" t="s">
        <v>287</v>
      </c>
      <c r="B56" s="33">
        <f>+'KY_Cost Plant Acct-Elec-P14(Fin'!B56+'KY_Cost-Plant Acct-Elec-P14(PA)'!B55</f>
        <v>11285341.879999999</v>
      </c>
      <c r="C56" s="33"/>
      <c r="D56" s="33">
        <f>+'KY_Cost Plant Acct-Elec-P14(Fin'!D56+'KY_Cost-Plant Acct-Elec-P14(PA)'!D55</f>
        <v>0</v>
      </c>
      <c r="E56" s="33"/>
      <c r="F56" s="33">
        <f>+'KY_Cost Plant Acct-Elec-P14(Fin'!F56+'KY_Cost-Plant Acct-Elec-P14(PA)'!F55</f>
        <v>0</v>
      </c>
      <c r="G56" s="33"/>
      <c r="H56" s="33">
        <f>+'KY_Cost Plant Acct-Elec-P14(Fin'!H56+'KY_Cost-Plant Acct-Elec-P14(PA)'!H55</f>
        <v>0</v>
      </c>
      <c r="I56" s="33"/>
      <c r="J56" s="33">
        <f t="shared" si="0"/>
        <v>0</v>
      </c>
      <c r="K56" s="33"/>
      <c r="L56" s="33">
        <f t="shared" si="1"/>
        <v>11285341.879999999</v>
      </c>
    </row>
    <row r="57" spans="1:12">
      <c r="A57" t="s">
        <v>288</v>
      </c>
      <c r="B57" s="33">
        <f>+'KY_Cost Plant Acct-Elec-P14(Fin'!B57+'KY_Cost-Plant Acct-Elec-P14(PA)'!B56</f>
        <v>5689996.6100000013</v>
      </c>
      <c r="C57" s="33"/>
      <c r="D57" s="33">
        <f>+'KY_Cost Plant Acct-Elec-P14(Fin'!D57+'KY_Cost-Plant Acct-Elec-P14(PA)'!D56</f>
        <v>0</v>
      </c>
      <c r="E57" s="33"/>
      <c r="F57" s="33">
        <f>+'KY_Cost Plant Acct-Elec-P14(Fin'!F57+'KY_Cost-Plant Acct-Elec-P14(PA)'!F56</f>
        <v>0</v>
      </c>
      <c r="G57" s="33"/>
      <c r="H57" s="33">
        <f>+'KY_Cost Plant Acct-Elec-P14(Fin'!H57+'KY_Cost-Plant Acct-Elec-P14(PA)'!H56</f>
        <v>0</v>
      </c>
      <c r="I57" s="33"/>
      <c r="J57" s="33">
        <f t="shared" si="0"/>
        <v>0</v>
      </c>
      <c r="K57" s="33"/>
      <c r="L57" s="33">
        <f t="shared" si="1"/>
        <v>5689996.6100000013</v>
      </c>
    </row>
    <row r="58" spans="1:12">
      <c r="A58" t="s">
        <v>289</v>
      </c>
      <c r="B58" s="33">
        <f>+'KY_Cost Plant Acct-Elec-P14(Fin'!B58+'KY_Cost-Plant Acct-Elec-P14(PA)'!B57</f>
        <v>122066226.08999997</v>
      </c>
      <c r="C58" s="33"/>
      <c r="D58" s="33">
        <f>+'KY_Cost Plant Acct-Elec-P14(Fin'!D58+'KY_Cost-Plant Acct-Elec-P14(PA)'!D57</f>
        <v>3496324.74</v>
      </c>
      <c r="E58" s="33"/>
      <c r="F58" s="33">
        <f>+'KY_Cost Plant Acct-Elec-P14(Fin'!F58+'KY_Cost-Plant Acct-Elec-P14(PA)'!F57</f>
        <v>-482249.92000000004</v>
      </c>
      <c r="G58" s="33"/>
      <c r="H58" s="33">
        <f>+'KY_Cost Plant Acct-Elec-P14(Fin'!H58+'KY_Cost-Plant Acct-Elec-P14(PA)'!H57</f>
        <v>0</v>
      </c>
      <c r="I58" s="33"/>
      <c r="J58" s="33">
        <f t="shared" si="0"/>
        <v>3014074.8200000003</v>
      </c>
      <c r="K58" s="33"/>
      <c r="L58" s="33">
        <f t="shared" si="1"/>
        <v>125080300.90999997</v>
      </c>
    </row>
    <row r="59" spans="1:12">
      <c r="A59" t="s">
        <v>290</v>
      </c>
      <c r="B59" s="33">
        <f>+'KY_Cost Plant Acct-Elec-P14(Fin'!B59+'KY_Cost-Plant Acct-Elec-P14(PA)'!B58</f>
        <v>18459754.829999998</v>
      </c>
      <c r="C59" s="33"/>
      <c r="D59" s="33">
        <f>+'KY_Cost Plant Acct-Elec-P14(Fin'!D59+'KY_Cost-Plant Acct-Elec-P14(PA)'!D58</f>
        <v>0</v>
      </c>
      <c r="E59" s="33"/>
      <c r="F59" s="33">
        <f>+'KY_Cost Plant Acct-Elec-P14(Fin'!F59+'KY_Cost-Plant Acct-Elec-P14(PA)'!F58</f>
        <v>0</v>
      </c>
      <c r="G59" s="33"/>
      <c r="H59" s="33">
        <f>+'KY_Cost Plant Acct-Elec-P14(Fin'!H59+'KY_Cost-Plant Acct-Elec-P14(PA)'!H58</f>
        <v>0</v>
      </c>
      <c r="I59" s="33"/>
      <c r="J59" s="33">
        <f t="shared" si="0"/>
        <v>0</v>
      </c>
      <c r="K59" s="33"/>
      <c r="L59" s="33">
        <f t="shared" si="1"/>
        <v>18459754.829999998</v>
      </c>
    </row>
    <row r="60" spans="1:12">
      <c r="A60" t="s">
        <v>291</v>
      </c>
      <c r="B60" s="33">
        <f>+'KY_Cost Plant Acct-Elec-P14(Fin'!B60+'KY_Cost-Plant Acct-Elec-P14(PA)'!B59</f>
        <v>15404984.049999997</v>
      </c>
      <c r="C60" s="33"/>
      <c r="D60" s="33">
        <f>+'KY_Cost Plant Acct-Elec-P14(Fin'!D60+'KY_Cost-Plant Acct-Elec-P14(PA)'!D59</f>
        <v>17830.12</v>
      </c>
      <c r="E60" s="33"/>
      <c r="F60" s="33">
        <f>+'KY_Cost Plant Acct-Elec-P14(Fin'!F60+'KY_Cost-Plant Acct-Elec-P14(PA)'!F59</f>
        <v>0</v>
      </c>
      <c r="G60" s="33"/>
      <c r="H60" s="33">
        <f>+'KY_Cost Plant Acct-Elec-P14(Fin'!H60+'KY_Cost-Plant Acct-Elec-P14(PA)'!H59</f>
        <v>0</v>
      </c>
      <c r="I60" s="33"/>
      <c r="J60" s="33">
        <f t="shared" si="0"/>
        <v>17830.12</v>
      </c>
      <c r="K60" s="33"/>
      <c r="L60" s="33">
        <f t="shared" si="1"/>
        <v>15422814.169999996</v>
      </c>
    </row>
    <row r="61" spans="1:12">
      <c r="A61" t="s">
        <v>292</v>
      </c>
      <c r="B61" s="33">
        <f>+'KY_Cost Plant Acct-Elec-P14(Fin'!B61+'KY_Cost-Plant Acct-Elec-P14(PA)'!B60</f>
        <v>2649667.5600000005</v>
      </c>
      <c r="C61" s="33"/>
      <c r="D61" s="33">
        <f>+'KY_Cost Plant Acct-Elec-P14(Fin'!D61+'KY_Cost-Plant Acct-Elec-P14(PA)'!D60</f>
        <v>0</v>
      </c>
      <c r="E61" s="33"/>
      <c r="F61" s="33">
        <f>+'KY_Cost Plant Acct-Elec-P14(Fin'!F61+'KY_Cost-Plant Acct-Elec-P14(PA)'!F60</f>
        <v>0</v>
      </c>
      <c r="G61" s="33"/>
      <c r="H61" s="33">
        <f>+'KY_Cost Plant Acct-Elec-P14(Fin'!H61+'KY_Cost-Plant Acct-Elec-P14(PA)'!H60</f>
        <v>0</v>
      </c>
      <c r="I61" s="33"/>
      <c r="J61" s="33">
        <f t="shared" si="0"/>
        <v>0</v>
      </c>
      <c r="K61" s="33"/>
      <c r="L61" s="33">
        <f t="shared" si="1"/>
        <v>2649667.5600000005</v>
      </c>
    </row>
    <row r="62" spans="1:12">
      <c r="A62" t="s">
        <v>293</v>
      </c>
      <c r="B62" s="33">
        <f>+'KY_Cost Plant Acct-Elec-P14(Fin'!B62+'KY_Cost-Plant Acct-Elec-P14(PA)'!B61</f>
        <v>38429.14</v>
      </c>
      <c r="C62" s="33"/>
      <c r="D62" s="33">
        <f>+'KY_Cost Plant Acct-Elec-P14(Fin'!D62+'KY_Cost-Plant Acct-Elec-P14(PA)'!D61</f>
        <v>0</v>
      </c>
      <c r="E62" s="33"/>
      <c r="F62" s="33">
        <f>+'KY_Cost Plant Acct-Elec-P14(Fin'!F62+'KY_Cost-Plant Acct-Elec-P14(PA)'!F61</f>
        <v>0</v>
      </c>
      <c r="G62" s="33"/>
      <c r="H62" s="33">
        <f>+'KY_Cost Plant Acct-Elec-P14(Fin'!H62+'KY_Cost-Plant Acct-Elec-P14(PA)'!H61</f>
        <v>0</v>
      </c>
      <c r="I62" s="33"/>
      <c r="J62" s="33">
        <f t="shared" si="0"/>
        <v>0</v>
      </c>
      <c r="K62" s="33"/>
      <c r="L62" s="33">
        <f t="shared" si="1"/>
        <v>38429.14</v>
      </c>
    </row>
    <row r="63" spans="1:12">
      <c r="A63" t="s">
        <v>294</v>
      </c>
      <c r="B63" s="35">
        <f>+'KY_Cost Plant Acct-Elec-P14(Fin'!B63+'KY_Cost-Plant Acct-Elec-P14(PA)'!B62</f>
        <v>0</v>
      </c>
      <c r="C63" s="33"/>
      <c r="D63" s="35">
        <f>+'KY_Cost Plant Acct-Elec-P14(Fin'!D63+'KY_Cost-Plant Acct-Elec-P14(PA)'!D62</f>
        <v>0</v>
      </c>
      <c r="E63" s="33"/>
      <c r="F63" s="35">
        <f>+'KY_Cost Plant Acct-Elec-P14(Fin'!F63+'KY_Cost-Plant Acct-Elec-P14(PA)'!F62</f>
        <v>0</v>
      </c>
      <c r="G63" s="33"/>
      <c r="H63" s="35">
        <f>+'KY_Cost Plant Acct-Elec-P14(Fin'!H63+'KY_Cost-Plant Acct-Elec-P14(PA)'!H62</f>
        <v>0</v>
      </c>
      <c r="I63" s="33"/>
      <c r="J63" s="35">
        <f t="shared" si="0"/>
        <v>0</v>
      </c>
      <c r="K63" s="33"/>
      <c r="L63" s="35">
        <f t="shared" si="1"/>
        <v>0</v>
      </c>
    </row>
    <row r="64" spans="1:12">
      <c r="B64" s="37">
        <f>SUM(B55:B63)</f>
        <v>175602533.08999997</v>
      </c>
      <c r="C64" s="37"/>
      <c r="D64" s="37">
        <f>SUM(D55:D63)</f>
        <v>3514154.8600000003</v>
      </c>
      <c r="E64" s="37"/>
      <c r="F64" s="37">
        <f>SUM(F55:F63)</f>
        <v>-482249.92000000004</v>
      </c>
      <c r="G64" s="37"/>
      <c r="H64" s="37">
        <f>SUM(H55:H63)</f>
        <v>0</v>
      </c>
      <c r="I64" s="37"/>
      <c r="J64" s="37">
        <f>SUM(J55:J63)</f>
        <v>3031904.9400000004</v>
      </c>
      <c r="K64" s="37"/>
      <c r="L64" s="37">
        <f>SUM(L55:L63)</f>
        <v>178634438.02999994</v>
      </c>
    </row>
    <row r="65" spans="1:12">
      <c r="B65" s="37"/>
      <c r="C65" s="37"/>
      <c r="D65" s="37"/>
      <c r="E65" s="37"/>
      <c r="F65" s="37"/>
      <c r="G65" s="37"/>
      <c r="H65" s="37"/>
      <c r="I65" s="37"/>
      <c r="J65" s="37"/>
      <c r="K65" s="37"/>
      <c r="L65" s="37"/>
    </row>
    <row r="66" spans="1:12">
      <c r="A66" s="3" t="s">
        <v>812</v>
      </c>
      <c r="B66" s="37"/>
      <c r="C66" s="37"/>
      <c r="D66" s="37"/>
      <c r="E66" s="37"/>
      <c r="F66" s="37"/>
      <c r="G66" s="37"/>
      <c r="H66" s="37"/>
      <c r="I66" s="37"/>
      <c r="J66" s="37"/>
      <c r="K66" s="37"/>
      <c r="L66" s="37"/>
    </row>
    <row r="67" spans="1:12">
      <c r="A67" t="s">
        <v>295</v>
      </c>
      <c r="B67" s="37">
        <f>+'KY_Cost Plant Acct-Elec-P14(Fin'!B67+'KY_Cost-Plant Acct-Elec-P14(PA)'!B66</f>
        <v>6193327.3699999992</v>
      </c>
      <c r="C67" s="37"/>
      <c r="D67" s="37">
        <f>+'KY_Cost Plant Acct-Elec-P14(Fin'!D67+'KY_Cost-Plant Acct-Elec-P14(PA)'!D66</f>
        <v>0</v>
      </c>
      <c r="E67" s="37"/>
      <c r="F67" s="37">
        <f>+'KY_Cost Plant Acct-Elec-P14(Fin'!F67+'KY_Cost-Plant Acct-Elec-P14(PA)'!F66</f>
        <v>0</v>
      </c>
      <c r="G67" s="37"/>
      <c r="H67" s="37">
        <f>+'KY_Cost Plant Acct-Elec-P14(Fin'!H67+'KY_Cost-Plant Acct-Elec-P14(PA)'!H66</f>
        <v>0</v>
      </c>
      <c r="I67" s="37"/>
      <c r="J67" s="37">
        <f t="shared" si="0"/>
        <v>0</v>
      </c>
      <c r="K67" s="37"/>
      <c r="L67" s="37">
        <f t="shared" si="1"/>
        <v>6193327.3699999992</v>
      </c>
    </row>
    <row r="68" spans="1:12">
      <c r="A68" s="179" t="s">
        <v>1431</v>
      </c>
      <c r="B68" s="37">
        <f>+'KY_Cost Plant Acct-Elec-P14(Fin'!B68+'KY_Cost-Plant Acct-Elec-P14(PA)'!B67</f>
        <v>100000</v>
      </c>
      <c r="C68" s="37"/>
      <c r="D68" s="37">
        <f>+'KY_Cost Plant Acct-Elec-P14(Fin'!D68+'KY_Cost-Plant Acct-Elec-P14(PA)'!D67</f>
        <v>0</v>
      </c>
      <c r="E68" s="37"/>
      <c r="F68" s="37">
        <f>+'KY_Cost Plant Acct-Elec-P14(Fin'!F68+'KY_Cost-Plant Acct-Elec-P14(PA)'!F67</f>
        <v>0</v>
      </c>
      <c r="G68" s="37"/>
      <c r="H68" s="37">
        <f>+'KY_Cost Plant Acct-Elec-P14(Fin'!H68+'KY_Cost-Plant Acct-Elec-P14(PA)'!H67</f>
        <v>0</v>
      </c>
      <c r="I68" s="37"/>
      <c r="J68" s="37">
        <f t="shared" ref="J68" si="2">H68+F68+D68</f>
        <v>0</v>
      </c>
      <c r="K68" s="37"/>
      <c r="L68" s="37">
        <f t="shared" ref="L68" si="3">B68+J68</f>
        <v>100000</v>
      </c>
    </row>
    <row r="69" spans="1:12">
      <c r="A69" t="s">
        <v>832</v>
      </c>
      <c r="B69" s="37">
        <f>+'KY_Cost Plant Acct-Elec-P14(Fin'!B69+'KY_Cost-Plant Acct-Elec-P14(PA)'!B68</f>
        <v>112552812.02000001</v>
      </c>
      <c r="C69" s="37"/>
      <c r="D69" s="37">
        <f>+'KY_Cost Plant Acct-Elec-P14(Fin'!D69+'KY_Cost-Plant Acct-Elec-P14(PA)'!D68</f>
        <v>1231614.57</v>
      </c>
      <c r="E69" s="37"/>
      <c r="F69" s="37">
        <f>+'KY_Cost Plant Acct-Elec-P14(Fin'!F69+'KY_Cost-Plant Acct-Elec-P14(PA)'!F68</f>
        <v>-5357.2900000000009</v>
      </c>
      <c r="G69" s="37"/>
      <c r="H69" s="37">
        <f>+'KY_Cost Plant Acct-Elec-P14(Fin'!H69+'KY_Cost-Plant Acct-Elec-P14(PA)'!H68</f>
        <v>0</v>
      </c>
      <c r="I69" s="37"/>
      <c r="J69" s="37">
        <f t="shared" si="0"/>
        <v>1226257.28</v>
      </c>
      <c r="K69" s="37"/>
      <c r="L69" s="37">
        <f t="shared" si="1"/>
        <v>113779069.30000001</v>
      </c>
    </row>
    <row r="70" spans="1:12">
      <c r="A70" t="s">
        <v>833</v>
      </c>
      <c r="B70" s="37">
        <f>+'KY_Cost Plant Acct-Elec-P14(Fin'!B70+'KY_Cost-Plant Acct-Elec-P14(PA)'!B69</f>
        <v>7541080.9500000002</v>
      </c>
      <c r="C70" s="37"/>
      <c r="D70" s="37">
        <f>+'KY_Cost Plant Acct-Elec-P14(Fin'!D70+'KY_Cost-Plant Acct-Elec-P14(PA)'!D69</f>
        <v>0</v>
      </c>
      <c r="E70" s="37"/>
      <c r="F70" s="37">
        <f>+'KY_Cost Plant Acct-Elec-P14(Fin'!F70+'KY_Cost-Plant Acct-Elec-P14(PA)'!F69</f>
        <v>0</v>
      </c>
      <c r="G70" s="37"/>
      <c r="H70" s="37">
        <f>+'KY_Cost Plant Acct-Elec-P14(Fin'!H70+'KY_Cost-Plant Acct-Elec-P14(PA)'!H69</f>
        <v>0</v>
      </c>
      <c r="I70" s="37"/>
      <c r="J70" s="37">
        <f t="shared" si="0"/>
        <v>0</v>
      </c>
      <c r="K70" s="37"/>
      <c r="L70" s="37">
        <f t="shared" si="1"/>
        <v>7541080.9500000002</v>
      </c>
    </row>
    <row r="71" spans="1:12">
      <c r="A71" t="s">
        <v>834</v>
      </c>
      <c r="B71" s="37">
        <f>+'KY_Cost Plant Acct-Elec-P14(Fin'!B71+'KY_Cost-Plant Acct-Elec-P14(PA)'!B70</f>
        <v>779224772.6099999</v>
      </c>
      <c r="C71" s="37"/>
      <c r="D71" s="37">
        <f>+'KY_Cost Plant Acct-Elec-P14(Fin'!D71+'KY_Cost-Plant Acct-Elec-P14(PA)'!D70</f>
        <v>10153601.859999999</v>
      </c>
      <c r="E71" s="37"/>
      <c r="F71" s="37">
        <f>+'KY_Cost Plant Acct-Elec-P14(Fin'!F71+'KY_Cost-Plant Acct-Elec-P14(PA)'!F70</f>
        <v>-1058503.4900000002</v>
      </c>
      <c r="G71" s="37"/>
      <c r="H71" s="37">
        <f>+'KY_Cost Plant Acct-Elec-P14(Fin'!H71+'KY_Cost-Plant Acct-Elec-P14(PA)'!H70</f>
        <v>0</v>
      </c>
      <c r="I71" s="37"/>
      <c r="J71" s="37">
        <f t="shared" si="0"/>
        <v>9095098.3699999992</v>
      </c>
      <c r="K71" s="37"/>
      <c r="L71" s="37">
        <f t="shared" si="1"/>
        <v>788319870.9799999</v>
      </c>
    </row>
    <row r="72" spans="1:12">
      <c r="A72" t="s">
        <v>835</v>
      </c>
      <c r="B72" s="37">
        <f>+'KY_Cost Plant Acct-Elec-P14(Fin'!B72+'KY_Cost-Plant Acct-Elec-P14(PA)'!B71</f>
        <v>70264.270000000019</v>
      </c>
      <c r="C72" s="37"/>
      <c r="D72" s="37">
        <f>+'KY_Cost Plant Acct-Elec-P14(Fin'!D72+'KY_Cost-Plant Acct-Elec-P14(PA)'!D71</f>
        <v>0</v>
      </c>
      <c r="E72" s="37"/>
      <c r="F72" s="37">
        <f>+'KY_Cost Plant Acct-Elec-P14(Fin'!F72+'KY_Cost-Plant Acct-Elec-P14(PA)'!F71</f>
        <v>0</v>
      </c>
      <c r="G72" s="37"/>
      <c r="H72" s="37">
        <f>+'KY_Cost Plant Acct-Elec-P14(Fin'!H72+'KY_Cost-Plant Acct-Elec-P14(PA)'!H71</f>
        <v>0</v>
      </c>
      <c r="I72" s="37"/>
      <c r="J72" s="37">
        <f t="shared" si="0"/>
        <v>0</v>
      </c>
      <c r="K72" s="37"/>
      <c r="L72" s="37">
        <f t="shared" si="1"/>
        <v>70264.270000000019</v>
      </c>
    </row>
    <row r="73" spans="1:12">
      <c r="A73" t="s">
        <v>836</v>
      </c>
      <c r="B73" s="37">
        <f>+'KY_Cost Plant Acct-Elec-P14(Fin'!B73+'KY_Cost-Plant Acct-Elec-P14(PA)'!B72</f>
        <v>95728209.38000001</v>
      </c>
      <c r="C73" s="37"/>
      <c r="D73" s="37">
        <f>+'KY_Cost Plant Acct-Elec-P14(Fin'!D73+'KY_Cost-Plant Acct-Elec-P14(PA)'!D72</f>
        <v>3147675.25</v>
      </c>
      <c r="E73" s="37"/>
      <c r="F73" s="37">
        <f>+'KY_Cost Plant Acct-Elec-P14(Fin'!F73+'KY_Cost-Plant Acct-Elec-P14(PA)'!F72</f>
        <v>-56344.619999999937</v>
      </c>
      <c r="G73" s="37"/>
      <c r="H73" s="37">
        <f>+'KY_Cost Plant Acct-Elec-P14(Fin'!H73+'KY_Cost-Plant Acct-Elec-P14(PA)'!H72</f>
        <v>0</v>
      </c>
      <c r="I73" s="37"/>
      <c r="J73" s="37">
        <f t="shared" si="0"/>
        <v>3091330.63</v>
      </c>
      <c r="K73" s="37"/>
      <c r="L73" s="37">
        <f t="shared" si="1"/>
        <v>98819540.010000005</v>
      </c>
    </row>
    <row r="74" spans="1:12">
      <c r="A74" t="s">
        <v>837</v>
      </c>
      <c r="B74" s="37">
        <f>+'KY_Cost Plant Acct-Elec-P14(Fin'!B74+'KY_Cost-Plant Acct-Elec-P14(PA)'!B73</f>
        <v>66008825.239999965</v>
      </c>
      <c r="C74" s="37"/>
      <c r="D74" s="37">
        <f>+'KY_Cost Plant Acct-Elec-P14(Fin'!D74+'KY_Cost-Plant Acct-Elec-P14(PA)'!D73</f>
        <v>2317439.0499999998</v>
      </c>
      <c r="E74" s="37"/>
      <c r="F74" s="37">
        <f>+'KY_Cost Plant Acct-Elec-P14(Fin'!F74+'KY_Cost-Plant Acct-Elec-P14(PA)'!F73</f>
        <v>-1728.0900000000111</v>
      </c>
      <c r="G74" s="37"/>
      <c r="H74" s="37">
        <f>+'KY_Cost Plant Acct-Elec-P14(Fin'!H74+'KY_Cost-Plant Acct-Elec-P14(PA)'!H73</f>
        <v>0</v>
      </c>
      <c r="I74" s="37"/>
      <c r="J74" s="37">
        <f t="shared" si="0"/>
        <v>2315710.96</v>
      </c>
      <c r="K74" s="37"/>
      <c r="L74" s="37">
        <f t="shared" si="1"/>
        <v>68324536.199999958</v>
      </c>
    </row>
    <row r="75" spans="1:12">
      <c r="A75" t="s">
        <v>1024</v>
      </c>
      <c r="B75" s="37">
        <f>+'KY_Cost Plant Acct-Elec-P14(Fin'!B75+'KY_Cost-Plant Acct-Elec-P14(PA)'!B74</f>
        <v>0</v>
      </c>
      <c r="C75" s="37"/>
      <c r="D75" s="37">
        <f>+'KY_Cost Plant Acct-Elec-P14(Fin'!D75+'KY_Cost-Plant Acct-Elec-P14(PA)'!D74</f>
        <v>0</v>
      </c>
      <c r="E75" s="37"/>
      <c r="F75" s="37">
        <f>+'KY_Cost Plant Acct-Elec-P14(Fin'!F75+'KY_Cost-Plant Acct-Elec-P14(PA)'!F74</f>
        <v>0</v>
      </c>
      <c r="G75" s="37"/>
      <c r="H75" s="37">
        <f>+'KY_Cost Plant Acct-Elec-P14(Fin'!H75+'KY_Cost-Plant Acct-Elec-P14(PA)'!H74</f>
        <v>0</v>
      </c>
      <c r="I75" s="37"/>
      <c r="J75" s="37">
        <f t="shared" si="0"/>
        <v>0</v>
      </c>
      <c r="K75" s="37"/>
      <c r="L75" s="37">
        <f t="shared" si="1"/>
        <v>0</v>
      </c>
    </row>
    <row r="76" spans="1:12">
      <c r="A76" t="s">
        <v>838</v>
      </c>
      <c r="B76" s="37">
        <f>+'KY_Cost Plant Acct-Elec-P14(Fin'!B76+'KY_Cost-Plant Acct-Elec-P14(PA)'!B75</f>
        <v>10972886.610000001</v>
      </c>
      <c r="C76" s="37"/>
      <c r="D76" s="37">
        <f>+'KY_Cost Plant Acct-Elec-P14(Fin'!D76+'KY_Cost-Plant Acct-Elec-P14(PA)'!D75</f>
        <v>6743.06</v>
      </c>
      <c r="E76" s="37"/>
      <c r="F76" s="37">
        <f>+'KY_Cost Plant Acct-Elec-P14(Fin'!F76+'KY_Cost-Plant Acct-Elec-P14(PA)'!F75</f>
        <v>0</v>
      </c>
      <c r="G76" s="37"/>
      <c r="H76" s="37">
        <f>+'KY_Cost Plant Acct-Elec-P14(Fin'!H76+'KY_Cost-Plant Acct-Elec-P14(PA)'!H75</f>
        <v>0</v>
      </c>
      <c r="I76" s="37"/>
      <c r="J76" s="37">
        <f t="shared" si="0"/>
        <v>6743.06</v>
      </c>
      <c r="K76" s="37"/>
      <c r="L76" s="37">
        <f t="shared" si="1"/>
        <v>10979629.670000002</v>
      </c>
    </row>
    <row r="77" spans="1:12">
      <c r="A77" t="s">
        <v>839</v>
      </c>
      <c r="B77" s="35">
        <f>+'KY_Cost Plant Acct-Elec-P14(Fin'!B77+'KY_Cost-Plant Acct-Elec-P14(PA)'!B76</f>
        <v>27798267.339999996</v>
      </c>
      <c r="C77" s="37"/>
      <c r="D77" s="35">
        <f>+'KY_Cost Plant Acct-Elec-P14(Fin'!D77+'KY_Cost-Plant Acct-Elec-P14(PA)'!D76</f>
        <v>0</v>
      </c>
      <c r="E77" s="37"/>
      <c r="F77" s="35">
        <f>+'KY_Cost Plant Acct-Elec-P14(Fin'!F77+'KY_Cost-Plant Acct-Elec-P14(PA)'!F76</f>
        <v>0</v>
      </c>
      <c r="G77" s="37"/>
      <c r="H77" s="35">
        <f>+'KY_Cost Plant Acct-Elec-P14(Fin'!H77+'KY_Cost-Plant Acct-Elec-P14(PA)'!H76</f>
        <v>0</v>
      </c>
      <c r="I77" s="37"/>
      <c r="J77" s="35">
        <f t="shared" si="0"/>
        <v>0</v>
      </c>
      <c r="K77" s="37"/>
      <c r="L77" s="35">
        <f t="shared" si="1"/>
        <v>27798267.339999996</v>
      </c>
    </row>
    <row r="78" spans="1:12">
      <c r="B78" s="37">
        <f>SUM(B67:B77)</f>
        <v>1106190445.7899997</v>
      </c>
      <c r="C78" s="37"/>
      <c r="D78" s="37">
        <f>SUM(D67:D77)</f>
        <v>16857073.789999999</v>
      </c>
      <c r="E78" s="37"/>
      <c r="F78" s="37">
        <f>SUM(F67:F77)</f>
        <v>-1121933.4900000002</v>
      </c>
      <c r="G78" s="37"/>
      <c r="H78" s="37">
        <f>SUM(H67:H77)</f>
        <v>0</v>
      </c>
      <c r="I78" s="37"/>
      <c r="J78" s="37">
        <f>SUM(J67:J77)</f>
        <v>15735140.299999999</v>
      </c>
      <c r="K78" s="37"/>
      <c r="L78" s="37">
        <f>SUM(L67:L77)</f>
        <v>1121925586.0899999</v>
      </c>
    </row>
    <row r="79" spans="1:12">
      <c r="B79" s="37"/>
      <c r="C79" s="37"/>
      <c r="D79" s="37"/>
      <c r="E79" s="37"/>
      <c r="F79" s="37"/>
      <c r="G79" s="37"/>
      <c r="H79" s="37"/>
      <c r="I79" s="37"/>
      <c r="J79" s="37"/>
      <c r="K79" s="37"/>
      <c r="L79" s="37"/>
    </row>
    <row r="80" spans="1:12">
      <c r="A80" s="3" t="s">
        <v>119</v>
      </c>
      <c r="B80" s="37"/>
      <c r="C80" s="37"/>
      <c r="D80" s="37"/>
      <c r="E80" s="37"/>
      <c r="F80" s="37"/>
      <c r="G80" s="37"/>
      <c r="H80" s="37"/>
      <c r="I80" s="37"/>
      <c r="J80" s="37"/>
      <c r="K80" s="37"/>
      <c r="L80" s="37"/>
    </row>
    <row r="81" spans="1:12">
      <c r="A81" t="s">
        <v>5</v>
      </c>
      <c r="B81" s="37">
        <f>+'KY_Cost Plant Acct-Elec-P14(Fin'!B81+'KY_Cost-Plant Acct-Elec-P14(PA)'!B80</f>
        <v>5658646.9799999995</v>
      </c>
      <c r="C81" s="37"/>
      <c r="D81" s="37">
        <f>+'KY_Cost Plant Acct-Elec-P14(Fin'!D81+'KY_Cost-Plant Acct-Elec-P14(PA)'!D80</f>
        <v>10100</v>
      </c>
      <c r="E81" s="37"/>
      <c r="F81" s="37">
        <f>+'KY_Cost Plant Acct-Elec-P14(Fin'!F81+'KY_Cost-Plant Acct-Elec-P14(PA)'!F80</f>
        <v>0</v>
      </c>
      <c r="G81" s="37"/>
      <c r="H81" s="37">
        <f>+'KY_Cost Plant Acct-Elec-P14(Fin'!H81+'KY_Cost-Plant Acct-Elec-P14(PA)'!H80</f>
        <v>0</v>
      </c>
      <c r="I81" s="37"/>
      <c r="J81" s="37">
        <f t="shared" si="0"/>
        <v>10100</v>
      </c>
      <c r="K81" s="37"/>
      <c r="L81" s="37">
        <f t="shared" si="1"/>
        <v>5668746.9799999995</v>
      </c>
    </row>
    <row r="82" spans="1:12">
      <c r="A82" t="s">
        <v>6</v>
      </c>
      <c r="B82" s="37">
        <f>+'KY_Cost Plant Acct-Elec-P14(Fin'!B82+'KY_Cost-Plant Acct-Elec-P14(PA)'!B81</f>
        <v>1429627.28</v>
      </c>
      <c r="C82" s="37"/>
      <c r="D82" s="37">
        <f>+'KY_Cost Plant Acct-Elec-P14(Fin'!D82+'KY_Cost-Plant Acct-Elec-P14(PA)'!D81</f>
        <v>0</v>
      </c>
      <c r="E82" s="37"/>
      <c r="F82" s="37">
        <f>+'KY_Cost Plant Acct-Elec-P14(Fin'!F82+'KY_Cost-Plant Acct-Elec-P14(PA)'!F81</f>
        <v>0</v>
      </c>
      <c r="G82" s="37"/>
      <c r="H82" s="37">
        <f>+'KY_Cost Plant Acct-Elec-P14(Fin'!H82+'KY_Cost-Plant Acct-Elec-P14(PA)'!H81</f>
        <v>0</v>
      </c>
      <c r="I82" s="37"/>
      <c r="J82" s="37">
        <f t="shared" si="0"/>
        <v>0</v>
      </c>
      <c r="K82" s="37"/>
      <c r="L82" s="37">
        <f t="shared" si="1"/>
        <v>1429627.28</v>
      </c>
    </row>
    <row r="83" spans="1:12">
      <c r="A83" t="s">
        <v>7</v>
      </c>
      <c r="B83" s="37">
        <f>+'KY_Cost Plant Acct-Elec-P14(Fin'!B83+'KY_Cost-Plant Acct-Elec-P14(PA)'!B82</f>
        <v>5070406.4200000009</v>
      </c>
      <c r="C83" s="37"/>
      <c r="D83" s="37">
        <f>+'KY_Cost Plant Acct-Elec-P14(Fin'!D83+'KY_Cost-Plant Acct-Elec-P14(PA)'!D82</f>
        <v>16561.57</v>
      </c>
      <c r="E83" s="37"/>
      <c r="F83" s="37">
        <f>+'KY_Cost Plant Acct-Elec-P14(Fin'!F83+'KY_Cost-Plant Acct-Elec-P14(PA)'!F82</f>
        <v>0</v>
      </c>
      <c r="G83" s="37"/>
      <c r="H83" s="37">
        <f>+'KY_Cost Plant Acct-Elec-P14(Fin'!H83+'KY_Cost-Plant Acct-Elec-P14(PA)'!H82</f>
        <v>0</v>
      </c>
      <c r="I83" s="37"/>
      <c r="J83" s="37">
        <f t="shared" si="0"/>
        <v>16561.57</v>
      </c>
      <c r="K83" s="37"/>
      <c r="L83" s="37">
        <f t="shared" si="1"/>
        <v>5086967.9900000012</v>
      </c>
    </row>
    <row r="84" spans="1:12">
      <c r="A84" t="s">
        <v>8</v>
      </c>
      <c r="B84" s="37">
        <f>+'KY_Cost Plant Acct-Elec-P14(Fin'!B84+'KY_Cost-Plant Acct-Elec-P14(PA)'!B83</f>
        <v>48121668.949999996</v>
      </c>
      <c r="C84" s="37"/>
      <c r="D84" s="37">
        <f>+'KY_Cost Plant Acct-Elec-P14(Fin'!D84+'KY_Cost-Plant Acct-Elec-P14(PA)'!D83</f>
        <v>2435219.75</v>
      </c>
      <c r="E84" s="37"/>
      <c r="F84" s="37">
        <f>+'KY_Cost Plant Acct-Elec-P14(Fin'!F84+'KY_Cost-Plant Acct-Elec-P14(PA)'!F83</f>
        <v>-282409.46999999997</v>
      </c>
      <c r="G84" s="37"/>
      <c r="H84" s="37">
        <f>+'KY_Cost Plant Acct-Elec-P14(Fin'!H84+'KY_Cost-Plant Acct-Elec-P14(PA)'!H83</f>
        <v>0</v>
      </c>
      <c r="I84" s="37"/>
      <c r="J84" s="37">
        <f t="shared" si="0"/>
        <v>2152810.2800000003</v>
      </c>
      <c r="K84" s="37"/>
      <c r="L84" s="37">
        <f t="shared" si="1"/>
        <v>50274479.229999997</v>
      </c>
    </row>
    <row r="85" spans="1:12">
      <c r="A85" t="s">
        <v>840</v>
      </c>
      <c r="B85" s="37">
        <f>+'KY_Cost Plant Acct-Elec-P14(Fin'!B85+'KY_Cost-Plant Acct-Elec-P14(PA)'!B84</f>
        <v>-5748.1100000000006</v>
      </c>
      <c r="C85" s="37"/>
      <c r="D85" s="37">
        <f>+'KY_Cost Plant Acct-Elec-P14(Fin'!D85+'KY_Cost-Plant Acct-Elec-P14(PA)'!D84</f>
        <v>0</v>
      </c>
      <c r="E85" s="37"/>
      <c r="F85" s="37">
        <f>+'KY_Cost Plant Acct-Elec-P14(Fin'!F85+'KY_Cost-Plant Acct-Elec-P14(PA)'!F84</f>
        <v>0</v>
      </c>
      <c r="G85" s="37"/>
      <c r="H85" s="37">
        <f>+'KY_Cost Plant Acct-Elec-P14(Fin'!H85+'KY_Cost-Plant Acct-Elec-P14(PA)'!H84</f>
        <v>0</v>
      </c>
      <c r="I85" s="37"/>
      <c r="J85" s="37">
        <f t="shared" si="0"/>
        <v>0</v>
      </c>
      <c r="K85" s="37"/>
      <c r="L85" s="37">
        <f t="shared" si="1"/>
        <v>-5748.1100000000006</v>
      </c>
    </row>
    <row r="86" spans="1:12">
      <c r="A86" t="s">
        <v>9</v>
      </c>
      <c r="B86" s="37">
        <f>+'KY_Cost Plant Acct-Elec-P14(Fin'!B86+'KY_Cost-Plant Acct-Elec-P14(PA)'!B85</f>
        <v>7079435.7199999969</v>
      </c>
      <c r="C86" s="37"/>
      <c r="D86" s="37">
        <f>+'KY_Cost Plant Acct-Elec-P14(Fin'!D86+'KY_Cost-Plant Acct-Elec-P14(PA)'!D85</f>
        <v>0</v>
      </c>
      <c r="E86" s="37"/>
      <c r="F86" s="37">
        <f>+'KY_Cost Plant Acct-Elec-P14(Fin'!F86+'KY_Cost-Plant Acct-Elec-P14(PA)'!F85</f>
        <v>-46984.17</v>
      </c>
      <c r="G86" s="37"/>
      <c r="H86" s="37">
        <f>+'KY_Cost Plant Acct-Elec-P14(Fin'!H86+'KY_Cost-Plant Acct-Elec-P14(PA)'!H85</f>
        <v>0</v>
      </c>
      <c r="I86" s="37"/>
      <c r="J86" s="37">
        <f t="shared" si="0"/>
        <v>-46984.17</v>
      </c>
      <c r="K86" s="37"/>
      <c r="L86" s="37">
        <f t="shared" si="1"/>
        <v>7032451.549999997</v>
      </c>
    </row>
    <row r="87" spans="1:12">
      <c r="A87" t="s">
        <v>10</v>
      </c>
      <c r="B87" s="37">
        <f>+'KY_Cost Plant Acct-Elec-P14(Fin'!B87+'KY_Cost-Plant Acct-Elec-P14(PA)'!B86</f>
        <v>29492054.769999996</v>
      </c>
      <c r="C87" s="37"/>
      <c r="D87" s="37">
        <f>+'KY_Cost Plant Acct-Elec-P14(Fin'!D87+'KY_Cost-Plant Acct-Elec-P14(PA)'!D86</f>
        <v>877252.25</v>
      </c>
      <c r="E87" s="37"/>
      <c r="F87" s="37">
        <f>+'KY_Cost Plant Acct-Elec-P14(Fin'!F87+'KY_Cost-Plant Acct-Elec-P14(PA)'!F86</f>
        <v>-34999.94</v>
      </c>
      <c r="G87" s="37"/>
      <c r="H87" s="37">
        <f>+'KY_Cost Plant Acct-Elec-P14(Fin'!H87+'KY_Cost-Plant Acct-Elec-P14(PA)'!H86</f>
        <v>0</v>
      </c>
      <c r="I87" s="37"/>
      <c r="J87" s="37">
        <f t="shared" si="0"/>
        <v>842252.31</v>
      </c>
      <c r="K87" s="37"/>
      <c r="L87" s="37">
        <f t="shared" si="1"/>
        <v>30334307.079999994</v>
      </c>
    </row>
    <row r="88" spans="1:12">
      <c r="A88" t="s">
        <v>11</v>
      </c>
      <c r="B88" s="37">
        <f>+'KY_Cost Plant Acct-Elec-P14(Fin'!B88+'KY_Cost-Plant Acct-Elec-P14(PA)'!B87</f>
        <v>23653903.190000005</v>
      </c>
      <c r="C88" s="37"/>
      <c r="D88" s="37">
        <f>+'KY_Cost Plant Acct-Elec-P14(Fin'!D88+'KY_Cost-Plant Acct-Elec-P14(PA)'!D87</f>
        <v>314875.17</v>
      </c>
      <c r="E88" s="37"/>
      <c r="F88" s="37">
        <f>+'KY_Cost Plant Acct-Elec-P14(Fin'!F88+'KY_Cost-Plant Acct-Elec-P14(PA)'!F87</f>
        <v>-13658.170000000006</v>
      </c>
      <c r="G88" s="37"/>
      <c r="H88" s="37">
        <f>+'KY_Cost Plant Acct-Elec-P14(Fin'!H88+'KY_Cost-Plant Acct-Elec-P14(PA)'!H87</f>
        <v>0</v>
      </c>
      <c r="I88" s="37"/>
      <c r="J88" s="37">
        <f t="shared" si="0"/>
        <v>301217</v>
      </c>
      <c r="K88" s="37"/>
      <c r="L88" s="37">
        <f t="shared" si="1"/>
        <v>23955120.190000005</v>
      </c>
    </row>
    <row r="89" spans="1:12">
      <c r="A89" t="s">
        <v>841</v>
      </c>
      <c r="B89" s="37">
        <f>+'KY_Cost Plant Acct-Elec-P14(Fin'!B89+'KY_Cost-Plant Acct-Elec-P14(PA)'!B88</f>
        <v>1871055.4299999997</v>
      </c>
      <c r="C89" s="37"/>
      <c r="D89" s="37">
        <f>+'KY_Cost Plant Acct-Elec-P14(Fin'!D89+'KY_Cost-Plant Acct-Elec-P14(PA)'!D88</f>
        <v>8406.41</v>
      </c>
      <c r="E89" s="37"/>
      <c r="F89" s="37">
        <f>+'KY_Cost Plant Acct-Elec-P14(Fin'!F89+'KY_Cost-Plant Acct-Elec-P14(PA)'!F88</f>
        <v>-28654.369999999995</v>
      </c>
      <c r="G89" s="37"/>
      <c r="H89" s="37">
        <f>+'KY_Cost Plant Acct-Elec-P14(Fin'!H89+'KY_Cost-Plant Acct-Elec-P14(PA)'!H88</f>
        <v>0</v>
      </c>
      <c r="I89" s="37"/>
      <c r="J89" s="37">
        <f t="shared" si="0"/>
        <v>-20247.959999999995</v>
      </c>
      <c r="K89" s="37"/>
      <c r="L89" s="37">
        <f t="shared" si="1"/>
        <v>1850807.4699999997</v>
      </c>
    </row>
    <row r="90" spans="1:12">
      <c r="A90" t="s">
        <v>842</v>
      </c>
      <c r="B90" s="37">
        <f>+'KY_Cost Plant Acct-Elec-P14(Fin'!B90+'KY_Cost-Plant Acct-Elec-P14(PA)'!B89</f>
        <v>3688471.82</v>
      </c>
      <c r="C90" s="37"/>
      <c r="D90" s="37">
        <f>+'KY_Cost Plant Acct-Elec-P14(Fin'!D90+'KY_Cost-Plant Acct-Elec-P14(PA)'!D89</f>
        <v>2004868.88</v>
      </c>
      <c r="E90" s="37"/>
      <c r="F90" s="37">
        <f>+'KY_Cost Plant Acct-Elec-P14(Fin'!F90+'KY_Cost-Plant Acct-Elec-P14(PA)'!F89</f>
        <v>-50012.210000000021</v>
      </c>
      <c r="G90" s="37"/>
      <c r="H90" s="37">
        <f>+'KY_Cost Plant Acct-Elec-P14(Fin'!H90+'KY_Cost-Plant Acct-Elec-P14(PA)'!H89</f>
        <v>0</v>
      </c>
      <c r="I90" s="37"/>
      <c r="J90" s="37">
        <f t="shared" si="0"/>
        <v>1954856.67</v>
      </c>
      <c r="K90" s="37"/>
      <c r="L90" s="37">
        <f t="shared" si="1"/>
        <v>5643328.4900000002</v>
      </c>
    </row>
    <row r="91" spans="1:12">
      <c r="A91" t="s">
        <v>843</v>
      </c>
      <c r="B91" s="37">
        <f>+'KY_Cost Plant Acct-Elec-P14(Fin'!B91+'KY_Cost-Plant Acct-Elec-P14(PA)'!B90</f>
        <v>13760.73</v>
      </c>
      <c r="C91" s="37"/>
      <c r="D91" s="37">
        <f>+'KY_Cost Plant Acct-Elec-P14(Fin'!D91+'KY_Cost-Plant Acct-Elec-P14(PA)'!D90</f>
        <v>0</v>
      </c>
      <c r="E91" s="37"/>
      <c r="F91" s="37">
        <f>+'KY_Cost Plant Acct-Elec-P14(Fin'!F91+'KY_Cost-Plant Acct-Elec-P14(PA)'!F90</f>
        <v>0</v>
      </c>
      <c r="G91" s="37"/>
      <c r="H91" s="37">
        <f>+'KY_Cost Plant Acct-Elec-P14(Fin'!H91+'KY_Cost-Plant Acct-Elec-P14(PA)'!H90</f>
        <v>0</v>
      </c>
      <c r="I91" s="37"/>
      <c r="J91" s="37">
        <f t="shared" si="0"/>
        <v>0</v>
      </c>
      <c r="K91" s="37"/>
      <c r="L91" s="37">
        <f t="shared" si="1"/>
        <v>13760.73</v>
      </c>
    </row>
    <row r="92" spans="1:12">
      <c r="A92" t="s">
        <v>844</v>
      </c>
      <c r="B92" s="35">
        <f>+'KY_Cost Plant Acct-Elec-P14(Fin'!B92+'KY_Cost-Plant Acct-Elec-P14(PA)'!B91</f>
        <v>238693.59</v>
      </c>
      <c r="C92" s="37"/>
      <c r="D92" s="35">
        <f>+'KY_Cost Plant Acct-Elec-P14(Fin'!D92+'KY_Cost-Plant Acct-Elec-P14(PA)'!D91</f>
        <v>0</v>
      </c>
      <c r="E92" s="37"/>
      <c r="F92" s="35">
        <f>+'KY_Cost Plant Acct-Elec-P14(Fin'!F92+'KY_Cost-Plant Acct-Elec-P14(PA)'!F91</f>
        <v>0</v>
      </c>
      <c r="G92" s="37"/>
      <c r="H92" s="35">
        <f>+'KY_Cost Plant Acct-Elec-P14(Fin'!H92+'KY_Cost-Plant Acct-Elec-P14(PA)'!H91</f>
        <v>0</v>
      </c>
      <c r="I92" s="37"/>
      <c r="J92" s="35">
        <f t="shared" si="0"/>
        <v>0</v>
      </c>
      <c r="K92" s="37"/>
      <c r="L92" s="35">
        <f t="shared" si="1"/>
        <v>238693.59</v>
      </c>
    </row>
    <row r="93" spans="1:12">
      <c r="B93" s="37">
        <f>SUM(B81:B92)</f>
        <v>126311976.77</v>
      </c>
      <c r="C93" s="37"/>
      <c r="D93" s="37">
        <f>SUM(D81:D92)</f>
        <v>5667284.0299999993</v>
      </c>
      <c r="E93" s="37"/>
      <c r="F93" s="37">
        <f>SUM(F81:F92)</f>
        <v>-456718.32999999996</v>
      </c>
      <c r="G93" s="37"/>
      <c r="H93" s="37">
        <f>SUM(H81:H92)</f>
        <v>0</v>
      </c>
      <c r="I93" s="37"/>
      <c r="J93" s="37">
        <f>SUM(J81:J92)</f>
        <v>5210565.7</v>
      </c>
      <c r="K93" s="37"/>
      <c r="L93" s="37">
        <f>SUM(L81:L92)</f>
        <v>131522542.47</v>
      </c>
    </row>
    <row r="94" spans="1:12">
      <c r="B94" s="37"/>
      <c r="C94" s="37"/>
      <c r="D94" s="37"/>
      <c r="E94" s="37"/>
      <c r="F94" s="37"/>
      <c r="G94" s="37"/>
      <c r="H94" s="37"/>
      <c r="I94" s="37"/>
      <c r="J94" s="37"/>
      <c r="K94" s="37"/>
      <c r="L94" s="37"/>
    </row>
    <row r="95" spans="1:12">
      <c r="B95" s="33"/>
      <c r="C95" s="33"/>
      <c r="D95" s="33"/>
      <c r="E95" s="33"/>
      <c r="F95" s="33"/>
      <c r="G95" s="33"/>
      <c r="H95" s="33"/>
      <c r="I95" s="33"/>
      <c r="J95" s="33"/>
      <c r="K95" s="33"/>
      <c r="L95" s="33"/>
    </row>
    <row r="96" spans="1:12">
      <c r="A96" s="3" t="s">
        <v>688</v>
      </c>
      <c r="B96" s="34">
        <f>B93+B78+B64+B52+B47+B36+B27</f>
        <v>2139272717.7299995</v>
      </c>
      <c r="C96" s="37"/>
      <c r="D96" s="34">
        <f>D93+D78+D64+D52+D47+D36+D27</f>
        <v>46442238.420000002</v>
      </c>
      <c r="E96" s="37"/>
      <c r="F96" s="34">
        <f>F93+F78+F64+F52+F47+F36+F27</f>
        <v>-3273037.56</v>
      </c>
      <c r="G96" s="37"/>
      <c r="H96" s="34">
        <f>H93+H78+H64+H52+H47+H36+H27</f>
        <v>21903.139999999981</v>
      </c>
      <c r="I96" s="37"/>
      <c r="J96" s="34">
        <f>J93+J78+J64+J52+J47+J36+J27</f>
        <v>43191104</v>
      </c>
      <c r="K96" s="37"/>
      <c r="L96" s="34">
        <f>L93+L78+L64+L52+L47+L36+L27</f>
        <v>2182463821.7299995</v>
      </c>
    </row>
    <row r="97" spans="1:14">
      <c r="B97" s="33"/>
      <c r="C97" s="33"/>
      <c r="D97" s="33"/>
      <c r="E97" s="33"/>
      <c r="F97" s="33"/>
      <c r="G97" s="33"/>
      <c r="H97" s="33"/>
      <c r="I97" s="33"/>
      <c r="J97" s="33"/>
      <c r="K97" s="33"/>
      <c r="L97" s="33"/>
    </row>
    <row r="98" spans="1:14">
      <c r="A98" s="3" t="s">
        <v>689</v>
      </c>
      <c r="B98" s="33"/>
      <c r="C98" s="33"/>
      <c r="D98" s="33"/>
      <c r="E98" s="33"/>
      <c r="F98" s="33"/>
      <c r="G98" s="33"/>
      <c r="H98" s="33"/>
      <c r="I98" s="33"/>
      <c r="J98" s="33"/>
      <c r="K98" s="33"/>
      <c r="L98" s="33"/>
    </row>
    <row r="99" spans="1:14">
      <c r="A99" s="3" t="s">
        <v>691</v>
      </c>
      <c r="B99" s="33"/>
      <c r="C99" s="33"/>
      <c r="D99" s="33"/>
      <c r="E99" s="33"/>
      <c r="F99" s="33"/>
      <c r="G99" s="33"/>
      <c r="H99" s="33"/>
      <c r="I99" s="33"/>
      <c r="J99" s="33"/>
      <c r="K99" s="33"/>
      <c r="L99" s="33"/>
    </row>
    <row r="100" spans="1:14">
      <c r="A100" t="s">
        <v>275</v>
      </c>
      <c r="B100" s="33">
        <f>+'KY_Cost Plant Acct-Elec-P14(Fin'!B100+'KY_Cost-Plant Acct-Elec-P14(PA)'!B99</f>
        <v>0</v>
      </c>
      <c r="C100" s="33"/>
      <c r="D100" s="33">
        <f>+'KY_Cost Plant Acct-Elec-P14(Fin'!D100+'KY_Cost-Plant Acct-Elec-P14(PA)'!D99</f>
        <v>630992.79</v>
      </c>
      <c r="E100" s="33"/>
      <c r="F100" s="33">
        <f>+'KY_Cost Plant Acct-Elec-P14(Fin'!F100+'KY_Cost-Plant Acct-Elec-P14(PA)'!F99</f>
        <v>0</v>
      </c>
      <c r="G100" s="33"/>
      <c r="H100" s="33">
        <f>+'KY_Cost Plant Acct-Elec-P14(Fin'!H100+'KY_Cost-Plant Acct-Elec-P14(PA)'!H99</f>
        <v>0</v>
      </c>
      <c r="I100" s="33"/>
      <c r="J100" s="33">
        <f>D100+F100+H100</f>
        <v>630992.79</v>
      </c>
      <c r="K100" s="33"/>
      <c r="L100" s="33">
        <f>J100+B100</f>
        <v>630992.79</v>
      </c>
    </row>
    <row r="101" spans="1:14">
      <c r="A101" t="s">
        <v>12</v>
      </c>
      <c r="B101" s="33">
        <f>+'KY_Cost Plant Acct-Elec-P14(Fin'!B101+'KY_Cost-Plant Acct-Elec-P14(PA)'!B100</f>
        <v>8371690.5</v>
      </c>
      <c r="C101" s="33"/>
      <c r="D101" s="33">
        <f>+'KY_Cost Plant Acct-Elec-P14(Fin'!D101+'KY_Cost-Plant Acct-Elec-P14(PA)'!D100</f>
        <v>7924335.0900000008</v>
      </c>
      <c r="E101" s="33"/>
      <c r="F101" s="33">
        <f>+'KY_Cost Plant Acct-Elec-P14(Fin'!F101+'KY_Cost-Plant Acct-Elec-P14(PA)'!F100</f>
        <v>0</v>
      </c>
      <c r="G101" s="33"/>
      <c r="H101" s="33">
        <f>+'KY_Cost Plant Acct-Elec-P14(Fin'!H101+'KY_Cost-Plant Acct-Elec-P14(PA)'!H100</f>
        <v>0</v>
      </c>
      <c r="I101" s="33"/>
      <c r="J101" s="33">
        <f t="shared" ref="J101:J110" si="4">D101+F101+H101</f>
        <v>7924335.0900000008</v>
      </c>
      <c r="K101" s="33"/>
      <c r="L101" s="33">
        <f t="shared" ref="L101:L110" si="5">J101+B101</f>
        <v>16296025.59</v>
      </c>
    </row>
    <row r="102" spans="1:14">
      <c r="A102" t="s">
        <v>276</v>
      </c>
      <c r="B102" s="33">
        <f>+'KY_Cost Plant Acct-Elec-P14(Fin'!B102+'KY_Cost-Plant Acct-Elec-P14(PA)'!B101</f>
        <v>2387594.7400000002</v>
      </c>
      <c r="C102" s="33"/>
      <c r="D102" s="33">
        <f>+'KY_Cost Plant Acct-Elec-P14(Fin'!D102+'KY_Cost-Plant Acct-Elec-P14(PA)'!D101</f>
        <v>2257875.67</v>
      </c>
      <c r="E102" s="33"/>
      <c r="F102" s="33">
        <f>+'KY_Cost Plant Acct-Elec-P14(Fin'!F102+'KY_Cost-Plant Acct-Elec-P14(PA)'!F101</f>
        <v>0</v>
      </c>
      <c r="G102" s="33"/>
      <c r="H102" s="33">
        <f>+'KY_Cost Plant Acct-Elec-P14(Fin'!H102+'KY_Cost-Plant Acct-Elec-P14(PA)'!H101</f>
        <v>0</v>
      </c>
      <c r="I102" s="33"/>
      <c r="J102" s="33">
        <f t="shared" si="4"/>
        <v>2257875.67</v>
      </c>
      <c r="K102" s="33"/>
      <c r="L102" s="33">
        <f t="shared" si="5"/>
        <v>4645470.41</v>
      </c>
      <c r="N102" s="89"/>
    </row>
    <row r="103" spans="1:14">
      <c r="A103" t="s">
        <v>277</v>
      </c>
      <c r="B103" s="33">
        <f>+'KY_Cost Plant Acct-Elec-P14(Fin'!B103+'KY_Cost-Plant Acct-Elec-P14(PA)'!B102</f>
        <v>4648505.72</v>
      </c>
      <c r="C103" s="33"/>
      <c r="D103" s="33">
        <f>+'KY_Cost Plant Acct-Elec-P14(Fin'!D103+'KY_Cost-Plant Acct-Elec-P14(PA)'!D102</f>
        <v>1015817.96</v>
      </c>
      <c r="E103" s="33"/>
      <c r="F103" s="33">
        <f>+'KY_Cost Plant Acct-Elec-P14(Fin'!F103+'KY_Cost-Plant Acct-Elec-P14(PA)'!F102</f>
        <v>0</v>
      </c>
      <c r="G103" s="33"/>
      <c r="H103" s="33">
        <f>+'KY_Cost Plant Acct-Elec-P14(Fin'!H103+'KY_Cost-Plant Acct-Elec-P14(PA)'!H102</f>
        <v>0</v>
      </c>
      <c r="I103" s="33"/>
      <c r="J103" s="33">
        <f t="shared" si="4"/>
        <v>1015817.96</v>
      </c>
      <c r="K103" s="33"/>
      <c r="L103" s="33">
        <f t="shared" si="5"/>
        <v>5664323.6799999997</v>
      </c>
      <c r="N103" s="89"/>
    </row>
    <row r="104" spans="1:14">
      <c r="A104" t="s">
        <v>278</v>
      </c>
      <c r="B104" s="33">
        <f>+'KY_Cost Plant Acct-Elec-P14(Fin'!B104+'KY_Cost-Plant Acct-Elec-P14(PA)'!B103</f>
        <v>1218416.31</v>
      </c>
      <c r="C104" s="33"/>
      <c r="D104" s="33">
        <f>+'KY_Cost Plant Acct-Elec-P14(Fin'!D104+'KY_Cost-Plant Acct-Elec-P14(PA)'!D103</f>
        <v>-607202.66000000015</v>
      </c>
      <c r="E104" s="33"/>
      <c r="F104" s="33">
        <f>+'KY_Cost Plant Acct-Elec-P14(Fin'!F104+'KY_Cost-Plant Acct-Elec-P14(PA)'!F103</f>
        <v>0</v>
      </c>
      <c r="G104" s="33"/>
      <c r="H104" s="33">
        <f>+'KY_Cost Plant Acct-Elec-P14(Fin'!H104+'KY_Cost-Plant Acct-Elec-P14(PA)'!H103</f>
        <v>0</v>
      </c>
      <c r="I104" s="33"/>
      <c r="J104" s="33">
        <f t="shared" si="4"/>
        <v>-607202.66000000015</v>
      </c>
      <c r="K104" s="33"/>
      <c r="L104" s="33">
        <f t="shared" si="5"/>
        <v>611213.64999999991</v>
      </c>
    </row>
    <row r="105" spans="1:14">
      <c r="A105" t="s">
        <v>279</v>
      </c>
      <c r="B105" s="33">
        <f>+'KY_Cost Plant Acct-Elec-P14(Fin'!B105+'KY_Cost-Plant Acct-Elec-P14(PA)'!B104</f>
        <v>4214137.7299999977</v>
      </c>
      <c r="C105" s="33"/>
      <c r="D105" s="33">
        <f>+'KY_Cost Plant Acct-Elec-P14(Fin'!D105+'KY_Cost-Plant Acct-Elec-P14(PA)'!D104</f>
        <v>685443.83000000019</v>
      </c>
      <c r="E105" s="33"/>
      <c r="F105" s="33">
        <f>+'KY_Cost Plant Acct-Elec-P14(Fin'!F105+'KY_Cost-Plant Acct-Elec-P14(PA)'!F104</f>
        <v>0</v>
      </c>
      <c r="G105" s="33"/>
      <c r="H105" s="33">
        <f>+'KY_Cost Plant Acct-Elec-P14(Fin'!H105+'KY_Cost-Plant Acct-Elec-P14(PA)'!H104</f>
        <v>0</v>
      </c>
      <c r="I105" s="33"/>
      <c r="J105" s="33">
        <f t="shared" si="4"/>
        <v>685443.83000000019</v>
      </c>
      <c r="K105" s="33"/>
      <c r="L105" s="33">
        <f t="shared" si="5"/>
        <v>4899581.5599999977</v>
      </c>
    </row>
    <row r="106" spans="1:14">
      <c r="A106" t="s">
        <v>280</v>
      </c>
      <c r="B106" s="33">
        <f>+'KY_Cost Plant Acct-Elec-P14(Fin'!B106+'KY_Cost-Plant Acct-Elec-P14(PA)'!B105</f>
        <v>1810122.48</v>
      </c>
      <c r="C106" s="33"/>
      <c r="D106" s="33">
        <f>+'KY_Cost Plant Acct-Elec-P14(Fin'!D106+'KY_Cost-Plant Acct-Elec-P14(PA)'!D105</f>
        <v>-311140.33</v>
      </c>
      <c r="E106" s="33"/>
      <c r="F106" s="33">
        <f>+'KY_Cost Plant Acct-Elec-P14(Fin'!F106+'KY_Cost-Plant Acct-Elec-P14(PA)'!F105</f>
        <v>0</v>
      </c>
      <c r="G106" s="33"/>
      <c r="H106" s="33">
        <f>+'KY_Cost Plant Acct-Elec-P14(Fin'!H106+'KY_Cost-Plant Acct-Elec-P14(PA)'!H105</f>
        <v>0</v>
      </c>
      <c r="I106" s="33"/>
      <c r="J106" s="33">
        <f t="shared" si="4"/>
        <v>-311140.33</v>
      </c>
      <c r="K106" s="33"/>
      <c r="L106" s="33">
        <f t="shared" si="5"/>
        <v>1498982.15</v>
      </c>
    </row>
    <row r="107" spans="1:14">
      <c r="A107" t="s">
        <v>308</v>
      </c>
      <c r="B107" s="33">
        <f>+'KY_Cost Plant Acct-Elec-P14(Fin'!B107+'KY_Cost-Plant Acct-Elec-P14(PA)'!B106</f>
        <v>180215.29000000021</v>
      </c>
      <c r="C107" s="33"/>
      <c r="D107" s="33">
        <f>+'KY_Cost Plant Acct-Elec-P14(Fin'!D107+'KY_Cost-Plant Acct-Elec-P14(PA)'!D106</f>
        <v>-66252.38</v>
      </c>
      <c r="E107" s="33"/>
      <c r="F107" s="33">
        <f>+'KY_Cost Plant Acct-Elec-P14(Fin'!F107+'KY_Cost-Plant Acct-Elec-P14(PA)'!F106</f>
        <v>0</v>
      </c>
      <c r="G107" s="33"/>
      <c r="H107" s="33">
        <f>+'KY_Cost Plant Acct-Elec-P14(Fin'!H107+'KY_Cost-Plant Acct-Elec-P14(PA)'!H106</f>
        <v>0</v>
      </c>
      <c r="I107" s="33"/>
      <c r="J107" s="33">
        <f t="shared" si="4"/>
        <v>-66252.38</v>
      </c>
      <c r="K107" s="33"/>
      <c r="L107" s="33">
        <f t="shared" si="5"/>
        <v>113962.91000000021</v>
      </c>
    </row>
    <row r="108" spans="1:14">
      <c r="A108" t="s">
        <v>310</v>
      </c>
      <c r="B108" s="33">
        <f>+'KY_Cost Plant Acct-Elec-P14(Fin'!B108+'KY_Cost-Plant Acct-Elec-P14(PA)'!B107</f>
        <v>0</v>
      </c>
      <c r="C108" s="33"/>
      <c r="D108" s="180">
        <f>+'KY_Cost Plant Acct-Elec-P14(Fin'!D108+'KY_Cost-Plant Acct-Elec-P14(PA)'!D107</f>
        <v>0</v>
      </c>
      <c r="E108" s="33"/>
      <c r="F108" s="33">
        <f>+'KY_Cost Plant Acct-Elec-P14(Fin'!F108+'KY_Cost-Plant Acct-Elec-P14(PA)'!F107</f>
        <v>0</v>
      </c>
      <c r="G108" s="33"/>
      <c r="H108" s="33">
        <f>+'KY_Cost Plant Acct-Elec-P14(Fin'!H108+'KY_Cost-Plant Acct-Elec-P14(PA)'!H107</f>
        <v>0</v>
      </c>
      <c r="I108" s="33"/>
      <c r="J108" s="33">
        <f t="shared" si="4"/>
        <v>0</v>
      </c>
      <c r="K108" s="33"/>
      <c r="L108" s="33">
        <f t="shared" si="5"/>
        <v>0</v>
      </c>
    </row>
    <row r="109" spans="1:14">
      <c r="A109" t="s">
        <v>311</v>
      </c>
      <c r="B109" s="33">
        <f>+'KY_Cost Plant Acct-Elec-P14(Fin'!B109+'KY_Cost-Plant Acct-Elec-P14(PA)'!B108</f>
        <v>284807.73000000027</v>
      </c>
      <c r="C109" s="33"/>
      <c r="D109" s="33">
        <f>+'KY_Cost Plant Acct-Elec-P14(Fin'!D109+'KY_Cost-Plant Acct-Elec-P14(PA)'!D108</f>
        <v>291154.35000000003</v>
      </c>
      <c r="E109" s="33"/>
      <c r="F109" s="33">
        <f>+'KY_Cost Plant Acct-Elec-P14(Fin'!F109+'KY_Cost-Plant Acct-Elec-P14(PA)'!F108</f>
        <v>0</v>
      </c>
      <c r="G109" s="33"/>
      <c r="H109" s="33">
        <f>+'KY_Cost Plant Acct-Elec-P14(Fin'!H109+'KY_Cost-Plant Acct-Elec-P14(PA)'!H108</f>
        <v>0</v>
      </c>
      <c r="I109" s="33"/>
      <c r="J109" s="33">
        <f t="shared" si="4"/>
        <v>291154.35000000003</v>
      </c>
      <c r="K109" s="33"/>
      <c r="L109" s="33">
        <f t="shared" si="5"/>
        <v>575962.08000000031</v>
      </c>
    </row>
    <row r="110" spans="1:14">
      <c r="A110" t="s">
        <v>312</v>
      </c>
      <c r="B110" s="35">
        <f>+'KY_Cost Plant Acct-Elec-P14(Fin'!B110+'KY_Cost-Plant Acct-Elec-P14(PA)'!B109</f>
        <v>78607.870000000214</v>
      </c>
      <c r="C110" s="37"/>
      <c r="D110" s="35">
        <f>+'KY_Cost Plant Acct-Elec-P14(Fin'!D110+'KY_Cost-Plant Acct-Elec-P14(PA)'!D109</f>
        <v>34512.650000000009</v>
      </c>
      <c r="E110" s="37"/>
      <c r="F110" s="35">
        <f>+'KY_Cost Plant Acct-Elec-P14(Fin'!F110+'KY_Cost-Plant Acct-Elec-P14(PA)'!F109</f>
        <v>0</v>
      </c>
      <c r="G110" s="37"/>
      <c r="H110" s="35">
        <f>+'KY_Cost Plant Acct-Elec-P14(Fin'!H110+'KY_Cost-Plant Acct-Elec-P14(PA)'!H109</f>
        <v>0</v>
      </c>
      <c r="I110" s="37"/>
      <c r="J110" s="35">
        <f t="shared" si="4"/>
        <v>34512.650000000009</v>
      </c>
      <c r="K110" s="37"/>
      <c r="L110" s="35">
        <f t="shared" si="5"/>
        <v>113120.52000000022</v>
      </c>
      <c r="M110" s="7"/>
    </row>
    <row r="111" spans="1:14">
      <c r="B111" s="37">
        <f>SUM(B100:B110)</f>
        <v>23194098.370000001</v>
      </c>
      <c r="C111" s="37"/>
      <c r="D111" s="37">
        <f>SUM(D100:D110)</f>
        <v>11855536.970000001</v>
      </c>
      <c r="E111" s="37"/>
      <c r="F111" s="37">
        <f>SUM(F100:F110)</f>
        <v>0</v>
      </c>
      <c r="G111" s="37"/>
      <c r="H111" s="37">
        <f>SUM(H100:H110)</f>
        <v>0</v>
      </c>
      <c r="I111" s="37"/>
      <c r="J111" s="37">
        <f>SUM(J100:J110)</f>
        <v>11855536.970000001</v>
      </c>
      <c r="K111" s="37"/>
      <c r="L111" s="37">
        <f>SUM(L100:L110)</f>
        <v>35049635.340000004</v>
      </c>
      <c r="M111" s="7"/>
    </row>
    <row r="112" spans="1:14">
      <c r="B112" s="37"/>
      <c r="C112" s="37"/>
      <c r="D112" s="37"/>
      <c r="E112" s="37"/>
      <c r="F112" s="37"/>
      <c r="G112" s="37"/>
      <c r="H112" s="37"/>
      <c r="I112" s="37"/>
      <c r="J112" s="37"/>
      <c r="K112" s="37"/>
      <c r="L112" s="37"/>
      <c r="M112" s="7"/>
    </row>
    <row r="113" spans="1:13">
      <c r="A113" s="3" t="s">
        <v>813</v>
      </c>
      <c r="B113" s="37"/>
      <c r="C113" s="37"/>
      <c r="D113" s="37"/>
      <c r="E113" s="37"/>
      <c r="F113" s="37"/>
      <c r="G113" s="37"/>
      <c r="H113" s="37"/>
      <c r="I113" s="37"/>
      <c r="J113" s="37"/>
      <c r="K113" s="37"/>
      <c r="L113" s="37"/>
      <c r="M113" s="7"/>
    </row>
    <row r="114" spans="1:13">
      <c r="A114" t="s">
        <v>316</v>
      </c>
      <c r="B114" s="37">
        <f>+'KY_Cost Plant Acct-Elec-P14(Fin'!B114+'KY_Cost-Plant Acct-Elec-P14(PA)'!B113</f>
        <v>0</v>
      </c>
      <c r="C114" s="37"/>
      <c r="D114" s="37">
        <f>+'KY_Cost Plant Acct-Elec-P14(Fin'!D114+'KY_Cost-Plant Acct-Elec-P14(PA)'!D113</f>
        <v>63825.04</v>
      </c>
      <c r="E114" s="37"/>
      <c r="F114" s="37">
        <f>+'KY_Cost Plant Acct-Elec-P14(Fin'!F114+'KY_Cost-Plant Acct-Elec-P14(PA)'!F113</f>
        <v>0</v>
      </c>
      <c r="G114" s="37"/>
      <c r="H114" s="37">
        <f>+'KY_Cost Plant Acct-Elec-P14(Fin'!H114+'KY_Cost-Plant Acct-Elec-P14(PA)'!H113</f>
        <v>0</v>
      </c>
      <c r="I114" s="37"/>
      <c r="J114" s="37">
        <f>D114+F114+H114</f>
        <v>63825.04</v>
      </c>
      <c r="K114" s="37"/>
      <c r="L114" s="37">
        <f>J114+B114</f>
        <v>63825.04</v>
      </c>
      <c r="M114" s="7"/>
    </row>
    <row r="115" spans="1:13">
      <c r="A115" t="s">
        <v>973</v>
      </c>
      <c r="B115" s="37">
        <f>+'KY_Cost Plant Acct-Elec-P14(Fin'!B115+'KY_Cost-Plant Acct-Elec-P14(PA)'!B114</f>
        <v>6763.2200000000084</v>
      </c>
      <c r="C115" s="37"/>
      <c r="D115" s="37">
        <f>+'KY_Cost Plant Acct-Elec-P14(Fin'!D115+'KY_Cost-Plant Acct-Elec-P14(PA)'!D114</f>
        <v>0</v>
      </c>
      <c r="E115" s="37"/>
      <c r="F115" s="37">
        <f>+'KY_Cost Plant Acct-Elec-P14(Fin'!F115+'KY_Cost-Plant Acct-Elec-P14(PA)'!F114</f>
        <v>0</v>
      </c>
      <c r="G115" s="37"/>
      <c r="H115" s="37">
        <f>+'KY_Cost Plant Acct-Elec-P14(Fin'!H115+'KY_Cost-Plant Acct-Elec-P14(PA)'!H114</f>
        <v>0</v>
      </c>
      <c r="I115" s="37"/>
      <c r="J115" s="37">
        <f>D115+F115+H115</f>
        <v>0</v>
      </c>
      <c r="K115" s="37"/>
      <c r="L115" s="37">
        <f>J115+B115</f>
        <v>6763.2200000000084</v>
      </c>
      <c r="M115" s="7"/>
    </row>
    <row r="116" spans="1:13">
      <c r="A116" t="s">
        <v>320</v>
      </c>
      <c r="B116" s="35">
        <f>+'KY_Cost Plant Acct-Elec-P14(Fin'!B116+'KY_Cost-Plant Acct-Elec-P14(PA)'!B115</f>
        <v>0</v>
      </c>
      <c r="C116" s="37"/>
      <c r="D116" s="35">
        <f>+'KY_Cost Plant Acct-Elec-P14(Fin'!D116+'KY_Cost-Plant Acct-Elec-P14(PA)'!D115</f>
        <v>0</v>
      </c>
      <c r="E116" s="37"/>
      <c r="F116" s="35">
        <f>+'KY_Cost Plant Acct-Elec-P14(Fin'!F116+'KY_Cost-Plant Acct-Elec-P14(PA)'!F115</f>
        <v>0</v>
      </c>
      <c r="G116" s="37"/>
      <c r="H116" s="35">
        <f>+'KY_Cost Plant Acct-Elec-P14(Fin'!H116+'KY_Cost-Plant Acct-Elec-P14(PA)'!H115</f>
        <v>0</v>
      </c>
      <c r="I116" s="37"/>
      <c r="J116" s="35">
        <f>D116+F116+H116</f>
        <v>0</v>
      </c>
      <c r="K116" s="37"/>
      <c r="L116" s="35">
        <f>J116+B116</f>
        <v>0</v>
      </c>
      <c r="M116" s="7"/>
    </row>
    <row r="117" spans="1:13">
      <c r="B117" s="37">
        <f>SUM(B114:B116)</f>
        <v>6763.2200000000084</v>
      </c>
      <c r="C117" s="37"/>
      <c r="D117" s="37">
        <f>SUM(D114:D116)</f>
        <v>63825.04</v>
      </c>
      <c r="E117" s="37"/>
      <c r="F117" s="37">
        <f>SUM(F114:F116)</f>
        <v>0</v>
      </c>
      <c r="G117" s="37"/>
      <c r="H117" s="37">
        <f>SUM(H114:H116)</f>
        <v>0</v>
      </c>
      <c r="I117" s="37"/>
      <c r="J117" s="37">
        <f>SUM(J114:J116)</f>
        <v>63825.04</v>
      </c>
      <c r="K117" s="37"/>
      <c r="L117" s="37">
        <f>SUM(L114:L116)</f>
        <v>70588.260000000009</v>
      </c>
      <c r="M117" s="7"/>
    </row>
    <row r="118" spans="1:13">
      <c r="B118" s="37"/>
      <c r="C118" s="37"/>
      <c r="D118" s="37"/>
      <c r="E118" s="37"/>
      <c r="F118" s="37"/>
      <c r="G118" s="37"/>
      <c r="H118" s="37"/>
      <c r="I118" s="37"/>
      <c r="J118" s="37"/>
      <c r="K118" s="37"/>
      <c r="L118" s="37"/>
      <c r="M118" s="7"/>
    </row>
    <row r="119" spans="1:13">
      <c r="A119" s="3" t="s">
        <v>809</v>
      </c>
      <c r="B119" s="37"/>
      <c r="C119" s="37"/>
      <c r="D119" s="37"/>
      <c r="E119" s="37"/>
      <c r="F119" s="37"/>
      <c r="G119" s="37"/>
      <c r="H119" s="37"/>
      <c r="I119" s="37"/>
      <c r="J119" s="37"/>
      <c r="K119" s="37"/>
      <c r="L119" s="37"/>
      <c r="M119" s="7"/>
    </row>
    <row r="120" spans="1:13">
      <c r="A120" t="s">
        <v>574</v>
      </c>
      <c r="B120" s="37">
        <f>+'KY_Cost Plant Acct-Elec-P14(Fin'!B120+'KY_Cost-Plant Acct-Elec-P14(PA)'!B118</f>
        <v>16456.36</v>
      </c>
      <c r="C120" s="37"/>
      <c r="D120" s="37">
        <f>+'KY_Cost Plant Acct-Elec-P14(Fin'!D120+'KY_Cost-Plant Acct-Elec-P14(PA)'!D118</f>
        <v>-16456.36</v>
      </c>
      <c r="E120" s="37"/>
      <c r="F120" s="37">
        <f>+'KY_Cost Plant Acct-Elec-P14(Fin'!F120+'KY_Cost-Plant Acct-Elec-P14(PA)'!F118</f>
        <v>0</v>
      </c>
      <c r="G120" s="37"/>
      <c r="H120" s="37">
        <f>+'KY_Cost Plant Acct-Elec-P14(Fin'!H120+'KY_Cost-Plant Acct-Elec-P14(PA)'!H118</f>
        <v>0</v>
      </c>
      <c r="I120" s="37"/>
      <c r="J120" s="37">
        <f>D120+F120+H120</f>
        <v>-16456.36</v>
      </c>
      <c r="K120" s="37"/>
      <c r="L120" s="37">
        <f>J120+B120</f>
        <v>0</v>
      </c>
      <c r="M120" s="7"/>
    </row>
    <row r="121" spans="1:13">
      <c r="A121" t="s">
        <v>575</v>
      </c>
      <c r="B121" s="37">
        <f>+'KY_Cost Plant Acct-Elec-P14(Fin'!B121+'KY_Cost-Plant Acct-Elec-P14(PA)'!B119</f>
        <v>0</v>
      </c>
      <c r="C121" s="37"/>
      <c r="D121" s="37">
        <f>+'KY_Cost Plant Acct-Elec-P14(Fin'!D121+'KY_Cost-Plant Acct-Elec-P14(PA)'!D119</f>
        <v>0</v>
      </c>
      <c r="E121" s="37"/>
      <c r="F121" s="37">
        <f>+'KY_Cost Plant Acct-Elec-P14(Fin'!F121+'KY_Cost-Plant Acct-Elec-P14(PA)'!F119</f>
        <v>0</v>
      </c>
      <c r="G121" s="37"/>
      <c r="H121" s="37">
        <f>+'KY_Cost Plant Acct-Elec-P14(Fin'!H121+'KY_Cost-Plant Acct-Elec-P14(PA)'!H119</f>
        <v>0</v>
      </c>
      <c r="I121" s="37"/>
      <c r="J121" s="37">
        <f>D121+F121+H121</f>
        <v>0</v>
      </c>
      <c r="K121" s="37"/>
      <c r="L121" s="37">
        <f>J121+B121</f>
        <v>0</v>
      </c>
      <c r="M121" s="7"/>
    </row>
    <row r="122" spans="1:13">
      <c r="A122" t="s">
        <v>576</v>
      </c>
      <c r="B122" s="37">
        <f>+'KY_Cost Plant Acct-Elec-P14(Fin'!B122+'KY_Cost-Plant Acct-Elec-P14(PA)'!B120</f>
        <v>0</v>
      </c>
      <c r="C122" s="37"/>
      <c r="D122" s="37">
        <f>+'KY_Cost Plant Acct-Elec-P14(Fin'!D122+'KY_Cost-Plant Acct-Elec-P14(PA)'!D120</f>
        <v>0</v>
      </c>
      <c r="E122" s="37"/>
      <c r="F122" s="37">
        <f>+'KY_Cost Plant Acct-Elec-P14(Fin'!F122+'KY_Cost-Plant Acct-Elec-P14(PA)'!F120</f>
        <v>0</v>
      </c>
      <c r="G122" s="37"/>
      <c r="H122" s="37">
        <f>+'KY_Cost Plant Acct-Elec-P14(Fin'!H122+'KY_Cost-Plant Acct-Elec-P14(PA)'!H120</f>
        <v>0</v>
      </c>
      <c r="I122" s="37"/>
      <c r="J122" s="37">
        <f>D122+F122+H122</f>
        <v>0</v>
      </c>
      <c r="K122" s="37"/>
      <c r="L122" s="37">
        <f>J122+B122</f>
        <v>0</v>
      </c>
      <c r="M122" s="7"/>
    </row>
    <row r="123" spans="1:13">
      <c r="A123" t="s">
        <v>577</v>
      </c>
      <c r="B123" s="37">
        <f>+'KY_Cost Plant Acct-Elec-P14(Fin'!B123+'KY_Cost-Plant Acct-Elec-P14(PA)'!B121</f>
        <v>0</v>
      </c>
      <c r="C123" s="37"/>
      <c r="D123" s="37">
        <f>+'KY_Cost Plant Acct-Elec-P14(Fin'!D123+'KY_Cost-Plant Acct-Elec-P14(PA)'!D121</f>
        <v>0</v>
      </c>
      <c r="E123" s="37"/>
      <c r="F123" s="37">
        <f>+'KY_Cost Plant Acct-Elec-P14(Fin'!F123+'KY_Cost-Plant Acct-Elec-P14(PA)'!F121</f>
        <v>0</v>
      </c>
      <c r="G123" s="37"/>
      <c r="H123" s="37">
        <f>+'KY_Cost Plant Acct-Elec-P14(Fin'!H123+'KY_Cost-Plant Acct-Elec-P14(PA)'!H121</f>
        <v>0</v>
      </c>
      <c r="I123" s="37"/>
      <c r="J123" s="37">
        <f>D123+F123+H123</f>
        <v>0</v>
      </c>
      <c r="K123" s="37"/>
      <c r="L123" s="37">
        <f>J123+B123</f>
        <v>0</v>
      </c>
      <c r="M123" s="7"/>
    </row>
    <row r="124" spans="1:13">
      <c r="A124" t="s">
        <v>281</v>
      </c>
      <c r="B124" s="35">
        <f>+'KY_Cost Plant Acct-Elec-P14(Fin'!B124+'KY_Cost-Plant Acct-Elec-P14(PA)'!B122</f>
        <v>0</v>
      </c>
      <c r="C124" s="37"/>
      <c r="D124" s="35">
        <f>+'KY_Cost Plant Acct-Elec-P14(Fin'!D124+'KY_Cost-Plant Acct-Elec-P14(PA)'!D122</f>
        <v>0</v>
      </c>
      <c r="E124" s="37"/>
      <c r="F124" s="35">
        <f>+'KY_Cost Plant Acct-Elec-P14(Fin'!F124+'KY_Cost-Plant Acct-Elec-P14(PA)'!F122</f>
        <v>0</v>
      </c>
      <c r="G124" s="37"/>
      <c r="H124" s="35">
        <f>+'KY_Cost Plant Acct-Elec-P14(Fin'!H124+'KY_Cost-Plant Acct-Elec-P14(PA)'!H122</f>
        <v>0</v>
      </c>
      <c r="I124" s="37"/>
      <c r="J124" s="35">
        <f>D124+F124+H124</f>
        <v>0</v>
      </c>
      <c r="K124" s="37"/>
      <c r="L124" s="35">
        <f>J124+B124</f>
        <v>0</v>
      </c>
      <c r="M124" s="7"/>
    </row>
    <row r="125" spans="1:13">
      <c r="B125" s="37">
        <f>SUM(B120:B124)</f>
        <v>16456.36</v>
      </c>
      <c r="C125" s="37"/>
      <c r="D125" s="37">
        <f>SUM(D120:D124)</f>
        <v>-16456.36</v>
      </c>
      <c r="E125" s="37"/>
      <c r="F125" s="37">
        <f>SUM(F120:F124)</f>
        <v>0</v>
      </c>
      <c r="G125" s="37"/>
      <c r="H125" s="37">
        <f>SUM(H120:H124)</f>
        <v>0</v>
      </c>
      <c r="I125" s="37"/>
      <c r="J125" s="37">
        <f>SUM(J120:J124)</f>
        <v>-16456.36</v>
      </c>
      <c r="K125" s="37"/>
      <c r="L125" s="37">
        <f>SUM(L120:L124)</f>
        <v>0</v>
      </c>
      <c r="M125" s="7"/>
    </row>
    <row r="126" spans="1:13">
      <c r="B126" s="37"/>
      <c r="C126" s="37"/>
      <c r="D126" s="37"/>
      <c r="E126" s="37"/>
      <c r="F126" s="37"/>
      <c r="G126" s="37"/>
      <c r="H126" s="37"/>
      <c r="I126" s="37"/>
      <c r="J126" s="37"/>
      <c r="K126" s="37"/>
      <c r="L126" s="37"/>
      <c r="M126" s="7"/>
    </row>
    <row r="127" spans="1:13">
      <c r="A127" s="3" t="s">
        <v>811</v>
      </c>
      <c r="B127" s="37"/>
      <c r="C127" s="37"/>
      <c r="D127" s="37"/>
      <c r="E127" s="37"/>
      <c r="F127" s="37"/>
      <c r="G127" s="37"/>
      <c r="H127" s="37"/>
      <c r="I127" s="37"/>
      <c r="J127" s="37"/>
      <c r="K127" s="37"/>
      <c r="L127" s="37"/>
      <c r="M127" s="7"/>
    </row>
    <row r="128" spans="1:13">
      <c r="A128" t="s">
        <v>288</v>
      </c>
      <c r="B128" s="37">
        <f>+'KY_Cost Plant Acct-Elec-P14(Fin'!B128+'KY_Cost-Plant Acct-Elec-P14(PA)'!B126</f>
        <v>0</v>
      </c>
      <c r="C128" s="37"/>
      <c r="D128" s="37">
        <f>+'KY_Cost Plant Acct-Elec-P14(Fin'!D128+'KY_Cost-Plant Acct-Elec-P14(PA)'!D126</f>
        <v>0</v>
      </c>
      <c r="E128" s="37"/>
      <c r="F128" s="37">
        <f>+'KY_Cost Plant Acct-Elec-P14(Fin'!F128+'KY_Cost-Plant Acct-Elec-P14(PA)'!F126</f>
        <v>0</v>
      </c>
      <c r="G128" s="37"/>
      <c r="H128" s="37">
        <f>+'KY_Cost Plant Acct-Elec-P14(Fin'!H128+'KY_Cost-Plant Acct-Elec-P14(PA)'!H126</f>
        <v>0</v>
      </c>
      <c r="I128" s="37"/>
      <c r="J128" s="37">
        <f>D128+F128+H128</f>
        <v>0</v>
      </c>
      <c r="K128" s="37"/>
      <c r="L128" s="37">
        <f>J128+B128</f>
        <v>0</v>
      </c>
      <c r="M128" s="7"/>
    </row>
    <row r="129" spans="1:13">
      <c r="A129" t="s">
        <v>289</v>
      </c>
      <c r="B129" s="37">
        <f>+'KY_Cost Plant Acct-Elec-P14(Fin'!B129+'KY_Cost-Plant Acct-Elec-P14(PA)'!B127</f>
        <v>3518129.62</v>
      </c>
      <c r="C129" s="37"/>
      <c r="D129" s="37">
        <f>+'KY_Cost Plant Acct-Elec-P14(Fin'!D129+'KY_Cost-Plant Acct-Elec-P14(PA)'!D127</f>
        <v>-3067054.75</v>
      </c>
      <c r="E129" s="37"/>
      <c r="F129" s="37">
        <f>+'KY_Cost Plant Acct-Elec-P14(Fin'!F129+'KY_Cost-Plant Acct-Elec-P14(PA)'!F127</f>
        <v>0</v>
      </c>
      <c r="G129" s="37"/>
      <c r="H129" s="37">
        <f>+'KY_Cost Plant Acct-Elec-P14(Fin'!H129+'KY_Cost-Plant Acct-Elec-P14(PA)'!H127</f>
        <v>0</v>
      </c>
      <c r="I129" s="37"/>
      <c r="J129" s="37">
        <f>D129+F129+H129</f>
        <v>-3067054.75</v>
      </c>
      <c r="K129" s="37"/>
      <c r="L129" s="37">
        <f>J129+B129</f>
        <v>451074.87000000011</v>
      </c>
      <c r="M129" s="7"/>
    </row>
    <row r="130" spans="1:13">
      <c r="A130" t="s">
        <v>290</v>
      </c>
      <c r="B130" s="37">
        <f>+'KY_Cost Plant Acct-Elec-P14(Fin'!B130+'KY_Cost-Plant Acct-Elec-P14(PA)'!B128</f>
        <v>0</v>
      </c>
      <c r="C130" s="37"/>
      <c r="D130" s="37">
        <f>+'KY_Cost Plant Acct-Elec-P14(Fin'!D130+'KY_Cost-Plant Acct-Elec-P14(PA)'!D128</f>
        <v>0</v>
      </c>
      <c r="E130" s="37"/>
      <c r="F130" s="37">
        <f>+'KY_Cost Plant Acct-Elec-P14(Fin'!F130+'KY_Cost-Plant Acct-Elec-P14(PA)'!F128</f>
        <v>0</v>
      </c>
      <c r="G130" s="37"/>
      <c r="H130" s="37">
        <f>+'KY_Cost Plant Acct-Elec-P14(Fin'!H130+'KY_Cost-Plant Acct-Elec-P14(PA)'!H128</f>
        <v>0</v>
      </c>
      <c r="I130" s="37"/>
      <c r="J130" s="37">
        <f>D130+F130+H130</f>
        <v>0</v>
      </c>
      <c r="K130" s="37"/>
      <c r="L130" s="37">
        <f>J130+B130</f>
        <v>0</v>
      </c>
      <c r="M130" s="7"/>
    </row>
    <row r="131" spans="1:13">
      <c r="A131" t="s">
        <v>975</v>
      </c>
      <c r="B131" s="37">
        <f>+'KY_Cost Plant Acct-Elec-P14(Fin'!B131+'KY_Cost-Plant Acct-Elec-P14(PA)'!B129</f>
        <v>17830.119999999908</v>
      </c>
      <c r="C131" s="37"/>
      <c r="D131" s="37">
        <f>+'KY_Cost Plant Acct-Elec-P14(Fin'!D131+'KY_Cost-Plant Acct-Elec-P14(PA)'!D129</f>
        <v>136309.91</v>
      </c>
      <c r="E131" s="37"/>
      <c r="F131" s="37">
        <f>+'KY_Cost Plant Acct-Elec-P14(Fin'!F131+'KY_Cost-Plant Acct-Elec-P14(PA)'!F129</f>
        <v>0</v>
      </c>
      <c r="G131" s="37"/>
      <c r="H131" s="37">
        <f>+'KY_Cost Plant Acct-Elec-P14(Fin'!H131+'KY_Cost-Plant Acct-Elec-P14(PA)'!H129</f>
        <v>0</v>
      </c>
      <c r="I131" s="37"/>
      <c r="J131" s="37">
        <f>D131+F131+H131</f>
        <v>136309.91</v>
      </c>
      <c r="K131" s="37"/>
      <c r="L131" s="37">
        <f>J131+B131</f>
        <v>154140.02999999991</v>
      </c>
      <c r="M131" s="7"/>
    </row>
    <row r="132" spans="1:13">
      <c r="A132" t="s">
        <v>82</v>
      </c>
      <c r="B132" s="35">
        <f>+'KY_Cost Plant Acct-Elec-P14(Fin'!B132+'KY_Cost-Plant Acct-Elec-P14(PA)'!B130</f>
        <v>0</v>
      </c>
      <c r="C132" s="37"/>
      <c r="D132" s="35">
        <f>+'KY_Cost Plant Acct-Elec-P14(Fin'!D132+'KY_Cost-Plant Acct-Elec-P14(PA)'!D130</f>
        <v>0</v>
      </c>
      <c r="E132" s="37"/>
      <c r="F132" s="35">
        <f>+'KY_Cost Plant Acct-Elec-P14(Fin'!F132+'KY_Cost-Plant Acct-Elec-P14(PA)'!F130</f>
        <v>0</v>
      </c>
      <c r="G132" s="37"/>
      <c r="H132" s="35">
        <f>+'KY_Cost Plant Acct-Elec-P14(Fin'!H132+'KY_Cost-Plant Acct-Elec-P14(PA)'!H130</f>
        <v>0</v>
      </c>
      <c r="I132" s="37"/>
      <c r="J132" s="35">
        <f>D132+F132+H132</f>
        <v>0</v>
      </c>
      <c r="K132" s="37"/>
      <c r="L132" s="35">
        <f>J132+B132</f>
        <v>0</v>
      </c>
      <c r="M132" s="7"/>
    </row>
    <row r="133" spans="1:13">
      <c r="B133" s="37">
        <f>SUM(B128:B132)</f>
        <v>3535959.74</v>
      </c>
      <c r="C133" s="37"/>
      <c r="D133" s="37">
        <f>SUM(D128:D132)</f>
        <v>-2930744.84</v>
      </c>
      <c r="E133" s="37"/>
      <c r="F133" s="37">
        <f>SUM(F128:F132)</f>
        <v>0</v>
      </c>
      <c r="G133" s="37"/>
      <c r="H133" s="37">
        <f>SUM(H128:H132)</f>
        <v>0</v>
      </c>
      <c r="I133" s="37"/>
      <c r="J133" s="37">
        <f>SUM(J128:J132)</f>
        <v>-2930744.84</v>
      </c>
      <c r="K133" s="37"/>
      <c r="L133" s="37">
        <f>SUM(L128:L132)</f>
        <v>605214.9</v>
      </c>
      <c r="M133" s="7"/>
    </row>
    <row r="134" spans="1:13">
      <c r="A134" s="3" t="s">
        <v>812</v>
      </c>
      <c r="B134" s="37"/>
      <c r="C134" s="37"/>
      <c r="D134" s="37"/>
      <c r="E134" s="37"/>
      <c r="F134" s="37"/>
      <c r="G134" s="37"/>
      <c r="H134" s="37"/>
      <c r="I134" s="37"/>
      <c r="J134" s="37"/>
      <c r="K134" s="37"/>
      <c r="L134" s="37"/>
      <c r="M134" s="7"/>
    </row>
    <row r="135" spans="1:13">
      <c r="A135" t="s">
        <v>832</v>
      </c>
      <c r="B135" s="37">
        <f>+'KY_Cost Plant Acct-Elec-P14(Fin'!B135+'KY_Cost-Plant Acct-Elec-P14(PA)'!B133</f>
        <v>1432534.8899999997</v>
      </c>
      <c r="C135" s="37"/>
      <c r="D135" s="37">
        <f>+'KY_Cost Plant Acct-Elec-P14(Fin'!D135+'KY_Cost-Plant Acct-Elec-P14(PA)'!D133</f>
        <v>-237023.64</v>
      </c>
      <c r="E135" s="37"/>
      <c r="F135" s="37">
        <f>+'KY_Cost Plant Acct-Elec-P14(Fin'!F135+'KY_Cost-Plant Acct-Elec-P14(PA)'!F133</f>
        <v>0</v>
      </c>
      <c r="G135" s="37"/>
      <c r="H135" s="37">
        <f>+'KY_Cost Plant Acct-Elec-P14(Fin'!H135+'KY_Cost-Plant Acct-Elec-P14(PA)'!H133</f>
        <v>0</v>
      </c>
      <c r="I135" s="37"/>
      <c r="J135" s="37">
        <f t="shared" ref="J135:J140" si="6">D135+F135+H135</f>
        <v>-237023.64</v>
      </c>
      <c r="K135" s="37"/>
      <c r="L135" s="37">
        <f t="shared" ref="L135:L140" si="7">J135+B135</f>
        <v>1195511.2499999995</v>
      </c>
      <c r="M135" s="7"/>
    </row>
    <row r="136" spans="1:13">
      <c r="A136" t="s">
        <v>1454</v>
      </c>
      <c r="B136" s="37">
        <f>+'KY_Cost Plant Acct-Elec-P14(Fin'!B136</f>
        <v>11254466.49</v>
      </c>
      <c r="C136" s="37"/>
      <c r="D136" s="37">
        <f>+'KY_Cost Plant Acct-Elec-P14(Fin'!D136</f>
        <v>0</v>
      </c>
      <c r="E136" s="37"/>
      <c r="F136" s="37">
        <f>+'KY_Cost Plant Acct-Elec-P14(Fin'!F136</f>
        <v>0</v>
      </c>
      <c r="G136" s="37"/>
      <c r="H136" s="37">
        <f>+'KY_Cost Plant Acct-Elec-P14(Fin'!H136</f>
        <v>0</v>
      </c>
      <c r="I136" s="37"/>
      <c r="J136" s="37">
        <f t="shared" si="6"/>
        <v>0</v>
      </c>
      <c r="K136" s="37"/>
      <c r="L136" s="37">
        <f t="shared" si="7"/>
        <v>11254466.49</v>
      </c>
      <c r="M136" s="7"/>
    </row>
    <row r="137" spans="1:13">
      <c r="A137" t="s">
        <v>834</v>
      </c>
      <c r="B137" s="37">
        <f>+'KY_Cost Plant Acct-Elec-P14(Fin'!B137+'KY_Cost-Plant Acct-Elec-P14(PA)'!B134</f>
        <v>20263901.56000001</v>
      </c>
      <c r="C137" s="37"/>
      <c r="D137" s="37">
        <f>+'KY_Cost Plant Acct-Elec-P14(Fin'!D137+'KY_Cost-Plant Acct-Elec-P14(PA)'!D134</f>
        <v>-6120002.8899999997</v>
      </c>
      <c r="E137" s="37"/>
      <c r="F137" s="37">
        <f>+'KY_Cost Plant Acct-Elec-P14(Fin'!F137+'KY_Cost-Plant Acct-Elec-P14(PA)'!F134</f>
        <v>0</v>
      </c>
      <c r="G137" s="37"/>
      <c r="H137" s="37">
        <f>+'KY_Cost Plant Acct-Elec-P14(Fin'!H137+'KY_Cost-Plant Acct-Elec-P14(PA)'!H134</f>
        <v>0</v>
      </c>
      <c r="I137" s="37"/>
      <c r="J137" s="37">
        <f t="shared" si="6"/>
        <v>-6120002.8899999997</v>
      </c>
      <c r="K137" s="37"/>
      <c r="L137" s="37">
        <f t="shared" si="7"/>
        <v>14143898.670000009</v>
      </c>
      <c r="M137" s="7"/>
    </row>
    <row r="138" spans="1:13">
      <c r="A138" t="s">
        <v>836</v>
      </c>
      <c r="B138" s="37">
        <f>+'KY_Cost Plant Acct-Elec-P14(Fin'!B138+'KY_Cost-Plant Acct-Elec-P14(PA)'!B135</f>
        <v>5880853.620000001</v>
      </c>
      <c r="C138" s="37"/>
      <c r="D138" s="37">
        <f>+'KY_Cost Plant Acct-Elec-P14(Fin'!D138+'KY_Cost-Plant Acct-Elec-P14(PA)'!D135</f>
        <v>-2900324.8</v>
      </c>
      <c r="E138" s="37"/>
      <c r="F138" s="37">
        <f>+'KY_Cost Plant Acct-Elec-P14(Fin'!F138+'KY_Cost-Plant Acct-Elec-P14(PA)'!F135</f>
        <v>0</v>
      </c>
      <c r="G138" s="37"/>
      <c r="H138" s="37">
        <f>+'KY_Cost Plant Acct-Elec-P14(Fin'!H138+'KY_Cost-Plant Acct-Elec-P14(PA)'!H135</f>
        <v>0</v>
      </c>
      <c r="I138" s="37"/>
      <c r="J138" s="37">
        <f t="shared" si="6"/>
        <v>-2900324.8</v>
      </c>
      <c r="K138" s="37"/>
      <c r="L138" s="37">
        <f t="shared" si="7"/>
        <v>2980528.8200000012</v>
      </c>
      <c r="M138" s="7"/>
    </row>
    <row r="139" spans="1:13">
      <c r="A139" t="s">
        <v>837</v>
      </c>
      <c r="B139" s="37">
        <f>+'KY_Cost Plant Acct-Elec-P14(Fin'!B139+'KY_Cost-Plant Acct-Elec-P14(PA)'!B136</f>
        <v>2305213.4399999985</v>
      </c>
      <c r="C139" s="37"/>
      <c r="D139" s="37">
        <f>+'KY_Cost Plant Acct-Elec-P14(Fin'!D139+'KY_Cost-Plant Acct-Elec-P14(PA)'!D136</f>
        <v>-2114255.4799999995</v>
      </c>
      <c r="E139" s="37"/>
      <c r="F139" s="37">
        <f>+'KY_Cost Plant Acct-Elec-P14(Fin'!F139+'KY_Cost-Plant Acct-Elec-P14(PA)'!F136</f>
        <v>0</v>
      </c>
      <c r="G139" s="37"/>
      <c r="H139" s="37">
        <f>+'KY_Cost Plant Acct-Elec-P14(Fin'!H139+'KY_Cost-Plant Acct-Elec-P14(PA)'!H136</f>
        <v>0</v>
      </c>
      <c r="I139" s="37"/>
      <c r="J139" s="37">
        <f t="shared" si="6"/>
        <v>-2114255.4799999995</v>
      </c>
      <c r="K139" s="37"/>
      <c r="L139" s="37">
        <f t="shared" si="7"/>
        <v>190957.95999999903</v>
      </c>
      <c r="M139" s="7"/>
    </row>
    <row r="140" spans="1:13">
      <c r="A140" t="s">
        <v>838</v>
      </c>
      <c r="B140" s="35">
        <f>+'KY_Cost Plant Acct-Elec-P14(Fin'!B140+'KY_Cost-Plant Acct-Elec-P14(PA)'!B137</f>
        <v>69853.190000000177</v>
      </c>
      <c r="C140" s="37"/>
      <c r="D140" s="35">
        <f>+'KY_Cost Plant Acct-Elec-P14(Fin'!D140+'KY_Cost-Plant Acct-Elec-P14(PA)'!D137</f>
        <v>100372.01999999999</v>
      </c>
      <c r="E140" s="37"/>
      <c r="F140" s="35">
        <f>+'KY_Cost Plant Acct-Elec-P14(Fin'!F140+'KY_Cost-Plant Acct-Elec-P14(PA)'!F137</f>
        <v>0</v>
      </c>
      <c r="G140" s="37"/>
      <c r="H140" s="35">
        <f>+'KY_Cost Plant Acct-Elec-P14(Fin'!H140+'KY_Cost-Plant Acct-Elec-P14(PA)'!H137</f>
        <v>0</v>
      </c>
      <c r="I140" s="37"/>
      <c r="J140" s="35">
        <f t="shared" si="6"/>
        <v>100372.01999999999</v>
      </c>
      <c r="K140" s="37"/>
      <c r="L140" s="35">
        <f t="shared" si="7"/>
        <v>170225.21000000017</v>
      </c>
      <c r="M140" s="7"/>
    </row>
    <row r="141" spans="1:13">
      <c r="B141" s="37">
        <f>SUM(B135:B140)</f>
        <v>41206823.190000005</v>
      </c>
      <c r="C141" s="37"/>
      <c r="D141" s="37">
        <f>SUM(D135:D140)</f>
        <v>-11271234.789999999</v>
      </c>
      <c r="E141" s="37"/>
      <c r="F141" s="37">
        <f>SUM(F135:F140)</f>
        <v>0</v>
      </c>
      <c r="G141" s="37"/>
      <c r="H141" s="37">
        <f>SUM(H135:H140)</f>
        <v>0</v>
      </c>
      <c r="I141" s="37"/>
      <c r="J141" s="37">
        <f>SUM(J135:J140)</f>
        <v>-11271234.789999999</v>
      </c>
      <c r="K141" s="37"/>
      <c r="L141" s="37">
        <f>SUM(L135:L140)</f>
        <v>29935588.400000013</v>
      </c>
      <c r="M141" s="7"/>
    </row>
    <row r="142" spans="1:13">
      <c r="B142" s="37"/>
      <c r="C142" s="37"/>
      <c r="D142" s="37"/>
      <c r="E142" s="37"/>
      <c r="F142" s="37"/>
      <c r="G142" s="37"/>
      <c r="H142" s="37"/>
      <c r="I142" s="37"/>
      <c r="J142" s="37"/>
      <c r="K142" s="37"/>
      <c r="L142" s="37"/>
      <c r="M142" s="7"/>
    </row>
    <row r="143" spans="1:13">
      <c r="A143" s="3" t="s">
        <v>814</v>
      </c>
      <c r="B143" s="37"/>
      <c r="C143" s="37"/>
      <c r="D143" s="37"/>
      <c r="E143" s="37"/>
      <c r="F143" s="37"/>
      <c r="G143" s="37"/>
      <c r="H143" s="37"/>
      <c r="I143" s="37"/>
      <c r="J143" s="37"/>
      <c r="K143" s="37"/>
      <c r="L143" s="37"/>
      <c r="M143" s="7"/>
    </row>
    <row r="144" spans="1:13">
      <c r="A144" t="s">
        <v>6</v>
      </c>
      <c r="B144" s="37">
        <f>+'KY_Cost Plant Acct-Elec-P14(Fin'!B144+'KY_Cost-Plant Acct-Elec-P14(PA)'!B141</f>
        <v>0</v>
      </c>
      <c r="C144" s="37"/>
      <c r="D144" s="37">
        <f>+'KY_Cost Plant Acct-Elec-P14(Fin'!D144+'KY_Cost-Plant Acct-Elec-P14(PA)'!D141</f>
        <v>0</v>
      </c>
      <c r="E144" s="37"/>
      <c r="F144" s="37">
        <f>+'KY_Cost Plant Acct-Elec-P14(Fin'!F144+'KY_Cost-Plant Acct-Elec-P14(PA)'!F141</f>
        <v>0</v>
      </c>
      <c r="G144" s="37"/>
      <c r="H144" s="37">
        <f>+'KY_Cost Plant Acct-Elec-P14(Fin'!H144+'KY_Cost-Plant Acct-Elec-P14(PA)'!H141</f>
        <v>0</v>
      </c>
      <c r="I144" s="37"/>
      <c r="J144" s="37">
        <f t="shared" ref="J144:J149" si="8">D144+F144+H144</f>
        <v>0</v>
      </c>
      <c r="K144" s="37"/>
      <c r="L144" s="37">
        <f t="shared" ref="L144:L149" si="9">J144+B144</f>
        <v>0</v>
      </c>
      <c r="M144" s="7"/>
    </row>
    <row r="145" spans="1:13">
      <c r="A145" t="s">
        <v>7</v>
      </c>
      <c r="B145" s="37">
        <f>+'KY_Cost Plant Acct-Elec-P14(Fin'!B145+'KY_Cost-Plant Acct-Elec-P14(PA)'!B142</f>
        <v>1716.5</v>
      </c>
      <c r="C145" s="37"/>
      <c r="D145" s="37">
        <f>+'KY_Cost Plant Acct-Elec-P14(Fin'!D145+'KY_Cost-Plant Acct-Elec-P14(PA)'!D142</f>
        <v>-1716.5</v>
      </c>
      <c r="E145" s="37"/>
      <c r="F145" s="37">
        <f>+'KY_Cost Plant Acct-Elec-P14(Fin'!F145+'KY_Cost-Plant Acct-Elec-P14(PA)'!F142</f>
        <v>0</v>
      </c>
      <c r="G145" s="37"/>
      <c r="H145" s="37">
        <f>+'KY_Cost Plant Acct-Elec-P14(Fin'!H145+'KY_Cost-Plant Acct-Elec-P14(PA)'!H142</f>
        <v>0</v>
      </c>
      <c r="I145" s="37"/>
      <c r="J145" s="37">
        <f t="shared" si="8"/>
        <v>-1716.5</v>
      </c>
      <c r="K145" s="37"/>
      <c r="L145" s="37">
        <f t="shared" si="9"/>
        <v>0</v>
      </c>
      <c r="M145" s="7"/>
    </row>
    <row r="146" spans="1:13">
      <c r="A146" t="s">
        <v>8</v>
      </c>
      <c r="B146" s="37">
        <f>+'KY_Cost Plant Acct-Elec-P14(Fin'!B146+'KY_Cost-Plant Acct-Elec-P14(PA)'!B143</f>
        <v>6351221.129999999</v>
      </c>
      <c r="C146" s="37"/>
      <c r="D146" s="37">
        <f>+'KY_Cost Plant Acct-Elec-P14(Fin'!D146+'KY_Cost-Plant Acct-Elec-P14(PA)'!D143</f>
        <v>-1309012.3</v>
      </c>
      <c r="E146" s="37"/>
      <c r="F146" s="37">
        <f>+'KY_Cost Plant Acct-Elec-P14(Fin'!F146+'KY_Cost-Plant Acct-Elec-P14(PA)'!F143</f>
        <v>0</v>
      </c>
      <c r="G146" s="37"/>
      <c r="H146" s="37">
        <f>+'KY_Cost Plant Acct-Elec-P14(Fin'!H146+'KY_Cost-Plant Acct-Elec-P14(PA)'!H143</f>
        <v>0</v>
      </c>
      <c r="I146" s="37"/>
      <c r="J146" s="37">
        <f t="shared" si="8"/>
        <v>-1309012.3</v>
      </c>
      <c r="K146" s="37"/>
      <c r="L146" s="37">
        <f t="shared" si="9"/>
        <v>5042208.8299999991</v>
      </c>
      <c r="M146" s="7"/>
    </row>
    <row r="147" spans="1:13">
      <c r="A147" t="s">
        <v>9</v>
      </c>
      <c r="B147" s="37">
        <f>+'KY_Cost Plant Acct-Elec-P14(Fin'!B147+'KY_Cost-Plant Acct-Elec-P14(PA)'!B144</f>
        <v>15469679.58</v>
      </c>
      <c r="C147" s="37"/>
      <c r="D147" s="37">
        <f>+'KY_Cost Plant Acct-Elec-P14(Fin'!D147+'KY_Cost-Plant Acct-Elec-P14(PA)'!D144</f>
        <v>3194592.1100000003</v>
      </c>
      <c r="E147" s="37"/>
      <c r="F147" s="37">
        <f>+'KY_Cost Plant Acct-Elec-P14(Fin'!F147+'KY_Cost-Plant Acct-Elec-P14(PA)'!F144</f>
        <v>0</v>
      </c>
      <c r="G147" s="37"/>
      <c r="H147" s="37">
        <f>+'KY_Cost Plant Acct-Elec-P14(Fin'!H147+'KY_Cost-Plant Acct-Elec-P14(PA)'!H144</f>
        <v>0</v>
      </c>
      <c r="I147" s="37"/>
      <c r="J147" s="37">
        <f t="shared" si="8"/>
        <v>3194592.1100000003</v>
      </c>
      <c r="K147" s="37"/>
      <c r="L147" s="37">
        <f t="shared" si="9"/>
        <v>18664271.690000001</v>
      </c>
      <c r="M147" s="7"/>
    </row>
    <row r="148" spans="1:13">
      <c r="A148" t="s">
        <v>10</v>
      </c>
      <c r="B148" s="37">
        <f>+'KY_Cost Plant Acct-Elec-P14(Fin'!B148+'KY_Cost-Plant Acct-Elec-P14(PA)'!B145</f>
        <v>9485620.9399999976</v>
      </c>
      <c r="C148" s="37"/>
      <c r="D148" s="37">
        <f>+'KY_Cost Plant Acct-Elec-P14(Fin'!D148+'KY_Cost-Plant Acct-Elec-P14(PA)'!D145</f>
        <v>-354711.22</v>
      </c>
      <c r="E148" s="37"/>
      <c r="F148" s="37">
        <f>+'KY_Cost Plant Acct-Elec-P14(Fin'!F148+'KY_Cost-Plant Acct-Elec-P14(PA)'!F145</f>
        <v>0</v>
      </c>
      <c r="G148" s="37"/>
      <c r="H148" s="37">
        <f>+'KY_Cost Plant Acct-Elec-P14(Fin'!H148+'KY_Cost-Plant Acct-Elec-P14(PA)'!H145</f>
        <v>0</v>
      </c>
      <c r="I148" s="37"/>
      <c r="J148" s="37">
        <f t="shared" si="8"/>
        <v>-354711.22</v>
      </c>
      <c r="K148" s="37"/>
      <c r="L148" s="37">
        <f t="shared" si="9"/>
        <v>9130909.7199999969</v>
      </c>
      <c r="M148" s="7"/>
    </row>
    <row r="149" spans="1:13">
      <c r="A149" t="s">
        <v>11</v>
      </c>
      <c r="B149" s="35">
        <f>+'KY_Cost Plant Acct-Elec-P14(Fin'!B149+'KY_Cost-Plant Acct-Elec-P14(PA)'!B146</f>
        <v>6197465.04</v>
      </c>
      <c r="C149" s="37"/>
      <c r="D149" s="35">
        <f>+'KY_Cost Plant Acct-Elec-P14(Fin'!D149+'KY_Cost-Plant Acct-Elec-P14(PA)'!D146</f>
        <v>22585.070000000003</v>
      </c>
      <c r="E149" s="37"/>
      <c r="F149" s="35">
        <f>+'KY_Cost Plant Acct-Elec-P14(Fin'!F149+'KY_Cost-Plant Acct-Elec-P14(PA)'!F146</f>
        <v>0</v>
      </c>
      <c r="G149" s="37"/>
      <c r="H149" s="35">
        <f>+'KY_Cost Plant Acct-Elec-P14(Fin'!H149+'KY_Cost-Plant Acct-Elec-P14(PA)'!H146</f>
        <v>0</v>
      </c>
      <c r="I149" s="37"/>
      <c r="J149" s="35">
        <f t="shared" si="8"/>
        <v>22585.070000000003</v>
      </c>
      <c r="K149" s="37"/>
      <c r="L149" s="35">
        <f t="shared" si="9"/>
        <v>6220050.1100000003</v>
      </c>
      <c r="M149" s="7"/>
    </row>
    <row r="150" spans="1:13">
      <c r="B150" s="37">
        <f>SUM(B144:B149)</f>
        <v>37505703.189999998</v>
      </c>
      <c r="C150" s="37"/>
      <c r="D150" s="37">
        <f>SUM(D144:D149)</f>
        <v>1551737.1600000004</v>
      </c>
      <c r="E150" s="37"/>
      <c r="F150" s="37">
        <f>SUM(F146:F149)</f>
        <v>0</v>
      </c>
      <c r="G150" s="37"/>
      <c r="H150" s="37">
        <f>SUM(H146:H149)</f>
        <v>0</v>
      </c>
      <c r="I150" s="37"/>
      <c r="J150" s="37">
        <f>SUM(J144:J149)</f>
        <v>1551737.1600000004</v>
      </c>
      <c r="K150" s="37"/>
      <c r="L150" s="37">
        <f>SUM(L144:L149)</f>
        <v>39057440.349999994</v>
      </c>
      <c r="M150" s="7"/>
    </row>
    <row r="151" spans="1:13">
      <c r="B151" s="37"/>
      <c r="C151" s="37"/>
      <c r="D151" s="37"/>
      <c r="E151" s="37"/>
      <c r="F151" s="37"/>
      <c r="G151" s="37"/>
      <c r="H151" s="37"/>
      <c r="I151" s="37"/>
      <c r="J151" s="37"/>
      <c r="K151" s="37"/>
      <c r="L151" s="37"/>
      <c r="M151" s="7"/>
    </row>
    <row r="152" spans="1:13">
      <c r="B152" s="33"/>
      <c r="C152" s="33"/>
      <c r="D152" s="33"/>
      <c r="E152" s="33"/>
      <c r="F152" s="33"/>
      <c r="G152" s="33"/>
      <c r="H152" s="33"/>
      <c r="I152" s="33"/>
      <c r="J152" s="33"/>
      <c r="K152" s="33"/>
      <c r="L152" s="33"/>
    </row>
    <row r="153" spans="1:13">
      <c r="A153" s="3" t="s">
        <v>690</v>
      </c>
      <c r="B153" s="34">
        <f>B150+B141+B117+B111+B133+B125</f>
        <v>105465804.06999999</v>
      </c>
      <c r="C153" s="37"/>
      <c r="D153" s="34">
        <f>D150+D141+D117+D111+D133+D125</f>
        <v>-747336.81999999902</v>
      </c>
      <c r="E153" s="37"/>
      <c r="F153" s="34">
        <f>F150+F141+F117+F111+F133+F125</f>
        <v>0</v>
      </c>
      <c r="G153" s="37"/>
      <c r="H153" s="34">
        <f>H150+H141+H117+H111+H133+H125</f>
        <v>0</v>
      </c>
      <c r="I153" s="37"/>
      <c r="J153" s="34">
        <f>J150+J141+J117+J111+J133+J125</f>
        <v>-747336.81999999902</v>
      </c>
      <c r="K153" s="37"/>
      <c r="L153" s="34">
        <f>L150+L141+L117+L111+L133+L125</f>
        <v>104718467.25000001</v>
      </c>
    </row>
    <row r="154" spans="1:13">
      <c r="B154" s="37"/>
      <c r="C154" s="33"/>
      <c r="D154" s="37"/>
      <c r="E154" s="33"/>
      <c r="F154" s="37"/>
      <c r="G154" s="33"/>
      <c r="H154" s="37"/>
      <c r="I154" s="33"/>
      <c r="J154" s="37"/>
      <c r="K154" s="33"/>
      <c r="L154" s="37"/>
    </row>
    <row r="155" spans="1:13">
      <c r="B155" s="33"/>
      <c r="C155" s="33"/>
      <c r="D155" s="33"/>
      <c r="E155" s="33"/>
      <c r="F155" s="33"/>
      <c r="G155" s="33"/>
      <c r="H155" s="33"/>
      <c r="I155" s="33"/>
      <c r="J155" s="33"/>
      <c r="K155" s="33"/>
      <c r="L155" s="33"/>
    </row>
    <row r="156" spans="1:13" ht="13.5" thickBot="1">
      <c r="A156" s="3" t="s">
        <v>762</v>
      </c>
      <c r="B156" s="44">
        <f>B153+B96</f>
        <v>2244738521.7999997</v>
      </c>
      <c r="C156" s="33"/>
      <c r="D156" s="44">
        <f>D153+D96</f>
        <v>45694901.600000001</v>
      </c>
      <c r="E156" s="33"/>
      <c r="F156" s="44">
        <f>F153+F96</f>
        <v>-3273037.56</v>
      </c>
      <c r="G156" s="33"/>
      <c r="H156" s="44">
        <f>H153+H96</f>
        <v>21903.139999999981</v>
      </c>
      <c r="I156" s="33"/>
      <c r="J156" s="44">
        <f>J153+J96</f>
        <v>42443767.18</v>
      </c>
      <c r="K156" s="33"/>
      <c r="L156" s="44">
        <f>L153+L96</f>
        <v>2287182288.9799995</v>
      </c>
    </row>
    <row r="157" spans="1:13" ht="13.5" thickTop="1">
      <c r="B157" s="33"/>
      <c r="C157" s="33"/>
      <c r="D157" s="33"/>
      <c r="E157" s="33"/>
      <c r="F157" s="33"/>
      <c r="G157" s="33"/>
      <c r="H157" s="33"/>
      <c r="I157" s="33"/>
      <c r="J157" s="33"/>
      <c r="K157" s="33"/>
      <c r="L157" s="33"/>
    </row>
    <row r="158" spans="1:13">
      <c r="B158" s="33"/>
      <c r="C158" s="33"/>
      <c r="D158" s="33"/>
      <c r="E158" s="33"/>
      <c r="F158" s="33"/>
      <c r="G158" s="33"/>
      <c r="H158" s="33"/>
      <c r="I158" s="33"/>
      <c r="J158" s="33"/>
      <c r="K158" s="33"/>
      <c r="L158" s="33"/>
    </row>
    <row r="159" spans="1:13">
      <c r="B159" s="1"/>
      <c r="C159" s="1"/>
      <c r="D159" s="1"/>
      <c r="E159" s="1"/>
      <c r="F159" s="1"/>
      <c r="G159" s="1"/>
      <c r="H159" s="1"/>
      <c r="I159" s="1"/>
      <c r="J159" s="1"/>
      <c r="K159" s="1"/>
      <c r="L159" s="1"/>
    </row>
    <row r="160" spans="1:13">
      <c r="B160" s="1"/>
      <c r="C160" s="1"/>
      <c r="D160" s="1"/>
      <c r="E160" s="1"/>
      <c r="F160" s="1"/>
      <c r="G160" s="1"/>
      <c r="H160" s="1"/>
      <c r="I160" s="1"/>
      <c r="J160" s="1"/>
      <c r="K160" s="1"/>
      <c r="L160" s="1"/>
    </row>
    <row r="161" spans="2:12">
      <c r="B161" s="1"/>
      <c r="C161" s="1"/>
      <c r="D161" s="1"/>
      <c r="E161" s="1"/>
      <c r="F161" s="1"/>
      <c r="G161" s="1"/>
      <c r="H161" s="1"/>
      <c r="I161" s="1"/>
      <c r="J161" s="1"/>
      <c r="K161" s="1"/>
      <c r="L161" s="1"/>
    </row>
    <row r="162" spans="2:12">
      <c r="B162" s="1"/>
      <c r="C162" s="1"/>
      <c r="D162" s="1"/>
      <c r="E162" s="1"/>
      <c r="F162" s="1"/>
      <c r="G162" s="1"/>
      <c r="H162" s="1"/>
      <c r="I162" s="1"/>
      <c r="J162" s="1"/>
      <c r="K162" s="1"/>
      <c r="L162" s="1"/>
    </row>
    <row r="163" spans="2:12">
      <c r="B163" s="1"/>
      <c r="C163" s="1"/>
      <c r="D163" s="1"/>
      <c r="E163" s="1"/>
      <c r="F163" s="1"/>
      <c r="G163" s="1"/>
      <c r="H163" s="1"/>
      <c r="I163" s="1"/>
      <c r="J163" s="1"/>
      <c r="K163" s="1"/>
      <c r="L163" s="1"/>
    </row>
    <row r="164" spans="2:12">
      <c r="B164" s="1"/>
      <c r="C164" s="1"/>
      <c r="D164" s="1"/>
      <c r="E164" s="1"/>
      <c r="F164" s="1"/>
      <c r="G164" s="1"/>
      <c r="H164" s="1"/>
      <c r="I164" s="1"/>
      <c r="J164" s="1"/>
      <c r="K164" s="1"/>
      <c r="L164" s="1"/>
    </row>
    <row r="165" spans="2:12">
      <c r="B165" s="1"/>
      <c r="C165" s="1"/>
      <c r="D165" s="1"/>
      <c r="E165" s="1"/>
      <c r="F165" s="1"/>
      <c r="G165" s="1"/>
      <c r="H165" s="1"/>
      <c r="I165" s="1"/>
      <c r="J165" s="1"/>
      <c r="K165" s="1"/>
      <c r="L165" s="1"/>
    </row>
    <row r="166" spans="2:12">
      <c r="B166" s="1"/>
      <c r="C166" s="1"/>
      <c r="D166" s="1"/>
      <c r="E166" s="1"/>
      <c r="F166" s="1"/>
      <c r="G166" s="1"/>
      <c r="H166" s="1"/>
      <c r="I166" s="1"/>
      <c r="J166" s="1"/>
      <c r="K166" s="1"/>
      <c r="L166" s="1"/>
    </row>
    <row r="167" spans="2:12">
      <c r="B167" s="1"/>
      <c r="C167" s="1"/>
      <c r="D167" s="1"/>
      <c r="E167" s="1"/>
      <c r="F167" s="1"/>
      <c r="G167" s="1"/>
      <c r="H167" s="1"/>
      <c r="I167" s="1"/>
      <c r="J167" s="1"/>
      <c r="K167" s="1"/>
      <c r="L167" s="1"/>
    </row>
    <row r="168" spans="2:12">
      <c r="B168" s="1"/>
      <c r="C168" s="1"/>
      <c r="D168" s="1"/>
      <c r="E168" s="1"/>
      <c r="F168" s="1"/>
      <c r="G168" s="1"/>
      <c r="H168" s="1"/>
      <c r="I168" s="1"/>
      <c r="J168" s="1"/>
      <c r="K168" s="1"/>
      <c r="L168" s="1"/>
    </row>
    <row r="169" spans="2:12">
      <c r="B169" s="1"/>
      <c r="C169" s="1"/>
      <c r="D169" s="1"/>
      <c r="E169" s="1"/>
      <c r="F169" s="1"/>
      <c r="G169" s="1"/>
      <c r="H169" s="1"/>
      <c r="I169" s="1"/>
      <c r="J169" s="1"/>
      <c r="K169" s="1"/>
      <c r="L169" s="1"/>
    </row>
    <row r="170" spans="2:12">
      <c r="B170" s="1"/>
      <c r="C170" s="1"/>
      <c r="D170" s="1"/>
      <c r="E170" s="1"/>
      <c r="F170" s="1"/>
      <c r="G170" s="1"/>
      <c r="H170" s="1"/>
      <c r="I170" s="1"/>
      <c r="J170" s="1"/>
      <c r="K170" s="1"/>
      <c r="L170" s="1"/>
    </row>
    <row r="171" spans="2:12">
      <c r="B171" s="1"/>
      <c r="C171" s="1"/>
      <c r="D171" s="1"/>
      <c r="E171" s="1"/>
      <c r="F171" s="1"/>
      <c r="G171" s="1"/>
      <c r="H171" s="1"/>
      <c r="I171" s="1"/>
      <c r="J171" s="1"/>
      <c r="K171" s="1"/>
      <c r="L171" s="1"/>
    </row>
    <row r="172" spans="2:12">
      <c r="B172" s="1"/>
      <c r="C172" s="1"/>
      <c r="D172" s="1"/>
      <c r="E172" s="1"/>
      <c r="F172" s="1"/>
      <c r="G172" s="1"/>
      <c r="H172" s="1"/>
      <c r="I172" s="1"/>
      <c r="J172" s="1"/>
      <c r="K172" s="1"/>
      <c r="L172" s="1"/>
    </row>
    <row r="173" spans="2:12">
      <c r="B173" s="1"/>
      <c r="C173" s="1"/>
      <c r="D173" s="1"/>
      <c r="E173" s="1"/>
      <c r="F173" s="1"/>
      <c r="G173" s="1"/>
      <c r="H173" s="1"/>
      <c r="I173" s="1"/>
      <c r="J173" s="1"/>
      <c r="K173" s="1"/>
      <c r="L173" s="1"/>
    </row>
    <row r="174" spans="2:12">
      <c r="B174" s="1"/>
      <c r="C174" s="1"/>
      <c r="D174" s="1"/>
      <c r="E174" s="1"/>
      <c r="F174" s="1"/>
      <c r="G174" s="1"/>
      <c r="H174" s="1"/>
      <c r="I174" s="1"/>
      <c r="J174" s="1"/>
      <c r="K174" s="1"/>
      <c r="L174" s="1"/>
    </row>
    <row r="175" spans="2:12">
      <c r="B175" s="1"/>
      <c r="C175" s="1"/>
      <c r="D175" s="1"/>
      <c r="E175" s="1"/>
      <c r="F175" s="1"/>
      <c r="G175" s="1"/>
      <c r="H175" s="1"/>
      <c r="I175" s="1"/>
      <c r="J175" s="1"/>
      <c r="K175" s="1"/>
      <c r="L175" s="1"/>
    </row>
    <row r="176" spans="2:12">
      <c r="B176" s="1"/>
      <c r="C176" s="1"/>
      <c r="D176" s="1"/>
      <c r="E176" s="1"/>
      <c r="F176" s="1"/>
      <c r="G176" s="1"/>
      <c r="H176" s="1"/>
      <c r="I176" s="1"/>
      <c r="J176" s="1"/>
      <c r="K176" s="1"/>
      <c r="L176" s="1"/>
    </row>
    <row r="177" spans="2:12">
      <c r="B177" s="1"/>
      <c r="C177" s="1"/>
      <c r="D177" s="1"/>
      <c r="E177" s="1"/>
      <c r="F177" s="1"/>
      <c r="G177" s="1"/>
      <c r="H177" s="1"/>
      <c r="I177" s="1"/>
      <c r="J177" s="1"/>
      <c r="K177" s="1"/>
      <c r="L177" s="1"/>
    </row>
    <row r="178" spans="2:12">
      <c r="B178" s="1"/>
      <c r="C178" s="1"/>
      <c r="D178" s="1"/>
      <c r="E178" s="1"/>
      <c r="F178" s="1"/>
      <c r="G178" s="1"/>
      <c r="H178" s="1"/>
      <c r="I178" s="1"/>
      <c r="J178" s="1"/>
      <c r="K178" s="1"/>
      <c r="L178" s="1"/>
    </row>
    <row r="179" spans="2:12">
      <c r="B179" s="1"/>
      <c r="C179" s="1"/>
      <c r="D179" s="1"/>
      <c r="E179" s="1"/>
      <c r="F179" s="1"/>
      <c r="G179" s="1"/>
      <c r="H179" s="1"/>
      <c r="I179" s="1"/>
      <c r="J179" s="1"/>
      <c r="K179" s="1"/>
      <c r="L179" s="1"/>
    </row>
    <row r="180" spans="2:12">
      <c r="B180" s="1"/>
      <c r="C180" s="1"/>
      <c r="D180" s="1"/>
      <c r="E180" s="1"/>
      <c r="F180" s="1"/>
      <c r="G180" s="1"/>
      <c r="H180" s="1"/>
      <c r="I180" s="1"/>
      <c r="J180" s="1"/>
      <c r="K180" s="1"/>
      <c r="L180" s="1"/>
    </row>
    <row r="181" spans="2:12">
      <c r="B181" s="1"/>
      <c r="C181" s="1"/>
      <c r="D181" s="1"/>
      <c r="E181" s="1"/>
      <c r="F181" s="1"/>
      <c r="G181" s="1"/>
      <c r="H181" s="1"/>
      <c r="I181" s="1"/>
      <c r="J181" s="1"/>
      <c r="K181" s="1"/>
      <c r="L181" s="1"/>
    </row>
    <row r="182" spans="2:12">
      <c r="B182" s="1"/>
      <c r="C182" s="1"/>
      <c r="D182" s="1"/>
      <c r="E182" s="1"/>
      <c r="F182" s="1"/>
      <c r="G182" s="1"/>
      <c r="H182" s="1"/>
      <c r="I182" s="1"/>
      <c r="J182" s="1"/>
      <c r="K182" s="1"/>
      <c r="L182" s="1"/>
    </row>
    <row r="183" spans="2:12">
      <c r="B183" s="1"/>
      <c r="C183" s="1"/>
      <c r="D183" s="1"/>
      <c r="E183" s="1"/>
      <c r="F183" s="1"/>
      <c r="G183" s="1"/>
      <c r="H183" s="1"/>
      <c r="I183" s="1"/>
      <c r="J183" s="1"/>
      <c r="K183" s="1"/>
      <c r="L183" s="1"/>
    </row>
    <row r="184" spans="2:12">
      <c r="B184" s="1"/>
      <c r="C184" s="1"/>
      <c r="D184" s="1"/>
      <c r="E184" s="1"/>
      <c r="F184" s="1"/>
      <c r="G184" s="1"/>
      <c r="H184" s="1"/>
      <c r="I184" s="1"/>
      <c r="J184" s="1"/>
      <c r="K184" s="1"/>
      <c r="L184" s="1"/>
    </row>
    <row r="185" spans="2:12">
      <c r="B185" s="1"/>
      <c r="C185" s="1"/>
      <c r="D185" s="1"/>
      <c r="E185" s="1"/>
      <c r="F185" s="1"/>
      <c r="G185" s="1"/>
      <c r="H185" s="1"/>
      <c r="I185" s="1"/>
      <c r="J185" s="1"/>
      <c r="K185" s="1"/>
      <c r="L185" s="1"/>
    </row>
    <row r="186" spans="2:12">
      <c r="B186" s="1"/>
      <c r="C186" s="1"/>
      <c r="D186" s="1"/>
      <c r="E186" s="1"/>
      <c r="F186" s="1"/>
      <c r="G186" s="1"/>
      <c r="H186" s="1"/>
      <c r="I186" s="1"/>
      <c r="J186" s="1"/>
      <c r="K186" s="1"/>
      <c r="L186" s="1"/>
    </row>
    <row r="187" spans="2:12">
      <c r="B187" s="1"/>
      <c r="C187" s="1"/>
      <c r="D187" s="1"/>
      <c r="E187" s="1"/>
      <c r="F187" s="1"/>
      <c r="G187" s="1"/>
      <c r="H187" s="1"/>
      <c r="I187" s="1"/>
      <c r="J187" s="1"/>
      <c r="K187" s="1"/>
      <c r="L187" s="1"/>
    </row>
  </sheetData>
  <sortState ref="A25:N26">
    <sortCondition ref="A25"/>
  </sortState>
  <mergeCells count="3">
    <mergeCell ref="A1:L1"/>
    <mergeCell ref="A2:L2"/>
    <mergeCell ref="A3:L3"/>
  </mergeCells>
  <pageMargins left="0.75" right="0.75" top="1" bottom="1" header="0.5" footer="0.5"/>
  <pageSetup scale="74" fitToHeight="0" orientation="landscape" r:id="rId1"/>
  <headerFooter alignWithMargins="0">
    <oddFooter>&amp;L&amp;Z
&amp;F&amp;C&amp;A&amp;R14.&amp;P</oddFooter>
  </headerFooter>
  <rowBreaks count="3" manualBreakCount="3">
    <brk id="47" max="11" man="1"/>
    <brk id="79" max="16383" man="1"/>
    <brk id="117" max="16383" man="1"/>
  </rowBreaks>
  <legacyDrawing r:id="rId2"/>
</worksheet>
</file>

<file path=xl/worksheets/sheet67.xml><?xml version="1.0" encoding="utf-8"?>
<worksheet xmlns="http://schemas.openxmlformats.org/spreadsheetml/2006/main" xmlns:r="http://schemas.openxmlformats.org/officeDocument/2006/relationships">
  <sheetPr codeName="Sheet104">
    <pageSetUpPr fitToPage="1"/>
  </sheetPr>
  <dimension ref="A1:Q32"/>
  <sheetViews>
    <sheetView zoomScale="90" zoomScaleNormal="90" workbookViewId="0">
      <selection sqref="A1:P1"/>
    </sheetView>
  </sheetViews>
  <sheetFormatPr defaultRowHeight="12.75"/>
  <cols>
    <col min="1" max="1" width="43.85546875" bestFit="1" customWidth="1"/>
    <col min="2" max="2" width="17.7109375" customWidth="1"/>
    <col min="3" max="3" width="1.7109375" customWidth="1"/>
    <col min="4" max="4" width="17.7109375" customWidth="1"/>
    <col min="5" max="5" width="1.7109375" customWidth="1"/>
    <col min="6" max="6" width="17.7109375" customWidth="1"/>
    <col min="7" max="7" width="1.7109375" customWidth="1"/>
    <col min="8" max="8" width="17.7109375" customWidth="1"/>
    <col min="9" max="9" width="1.7109375" customWidth="1"/>
    <col min="10" max="10" width="17.7109375" customWidth="1"/>
    <col min="11" max="11" width="1.7109375" customWidth="1"/>
    <col min="12" max="12" width="17.7109375" customWidth="1"/>
    <col min="13" max="13" width="1.5703125" customWidth="1"/>
    <col min="14" max="14" width="16.140625" customWidth="1"/>
    <col min="15" max="15" width="1.28515625" customWidth="1"/>
    <col min="16" max="16" width="23.140625" bestFit="1" customWidth="1"/>
  </cols>
  <sheetData>
    <row r="1" spans="1:17" s="38" customFormat="1" ht="15.75">
      <c r="A1" s="366" t="s">
        <v>134</v>
      </c>
      <c r="B1" s="366"/>
      <c r="C1" s="366"/>
      <c r="D1" s="366"/>
      <c r="E1" s="366"/>
      <c r="F1" s="366"/>
      <c r="G1" s="366"/>
      <c r="H1" s="366"/>
      <c r="I1" s="366"/>
      <c r="J1" s="366"/>
      <c r="K1" s="366"/>
      <c r="L1" s="366"/>
      <c r="M1" s="366"/>
      <c r="N1" s="366"/>
      <c r="O1" s="366"/>
      <c r="P1" s="366"/>
    </row>
    <row r="2" spans="1:17" s="38" customFormat="1" ht="15.75">
      <c r="A2" s="366" t="s">
        <v>1193</v>
      </c>
      <c r="B2" s="366"/>
      <c r="C2" s="366"/>
      <c r="D2" s="366"/>
      <c r="E2" s="366"/>
      <c r="F2" s="366"/>
      <c r="G2" s="366"/>
      <c r="H2" s="366"/>
      <c r="I2" s="366"/>
      <c r="J2" s="366"/>
      <c r="K2" s="366"/>
      <c r="L2" s="366"/>
      <c r="M2" s="366"/>
      <c r="N2" s="366"/>
      <c r="O2" s="366"/>
      <c r="P2" s="366"/>
      <c r="Q2" s="366"/>
    </row>
    <row r="3" spans="1:17">
      <c r="A3" s="357" t="str">
        <f>'Summary - Cost - PG 1 (Tot)'!A3:N3</f>
        <v>MARCH 2012</v>
      </c>
      <c r="B3" s="357"/>
      <c r="C3" s="357"/>
      <c r="D3" s="357"/>
      <c r="E3" s="357"/>
      <c r="F3" s="357"/>
      <c r="G3" s="357"/>
      <c r="H3" s="357"/>
      <c r="I3" s="357"/>
      <c r="J3" s="357"/>
      <c r="K3" s="357"/>
      <c r="L3" s="357"/>
      <c r="M3" s="357"/>
      <c r="N3" s="357"/>
      <c r="O3" s="357"/>
      <c r="P3" s="357"/>
    </row>
    <row r="4" spans="1:17">
      <c r="A4" s="190"/>
      <c r="B4" s="190"/>
      <c r="C4" s="190"/>
      <c r="D4" s="190"/>
      <c r="E4" s="190"/>
      <c r="F4" s="190"/>
      <c r="G4" s="190"/>
      <c r="H4" s="190"/>
      <c r="I4" s="190"/>
      <c r="J4" s="190"/>
      <c r="K4" s="190"/>
      <c r="L4" s="190"/>
      <c r="M4" s="190"/>
    </row>
    <row r="6" spans="1:17">
      <c r="B6" s="41" t="s">
        <v>25</v>
      </c>
      <c r="D6" s="182"/>
      <c r="F6" s="182"/>
      <c r="H6" s="41" t="s">
        <v>612</v>
      </c>
      <c r="J6" s="182"/>
      <c r="L6" s="41" t="s">
        <v>26</v>
      </c>
      <c r="M6" s="41"/>
      <c r="P6" s="3" t="s">
        <v>422</v>
      </c>
    </row>
    <row r="7" spans="1:17" s="10" customFormat="1">
      <c r="B7" s="42" t="s">
        <v>27</v>
      </c>
      <c r="C7"/>
      <c r="D7" s="42" t="s">
        <v>107</v>
      </c>
      <c r="E7"/>
      <c r="F7" s="42" t="s">
        <v>108</v>
      </c>
      <c r="G7"/>
      <c r="H7" s="42" t="s">
        <v>613</v>
      </c>
      <c r="I7"/>
      <c r="J7" s="42" t="s">
        <v>109</v>
      </c>
      <c r="K7"/>
      <c r="L7" s="42" t="s">
        <v>27</v>
      </c>
      <c r="M7" s="54"/>
      <c r="N7" s="42" t="s">
        <v>46</v>
      </c>
      <c r="P7" s="42" t="s">
        <v>419</v>
      </c>
    </row>
    <row r="8" spans="1:17" s="10" customFormat="1">
      <c r="A8" s="12" t="s">
        <v>296</v>
      </c>
      <c r="B8" s="54"/>
      <c r="C8"/>
      <c r="D8" s="54"/>
      <c r="E8"/>
      <c r="F8" s="54"/>
      <c r="G8"/>
      <c r="H8" s="54"/>
      <c r="I8"/>
      <c r="J8" s="54"/>
      <c r="K8"/>
      <c r="L8" s="54"/>
      <c r="M8" s="54"/>
    </row>
    <row r="9" spans="1:17" s="10" customFormat="1">
      <c r="A9" s="12" t="s">
        <v>420</v>
      </c>
      <c r="B9"/>
      <c r="C9"/>
      <c r="D9"/>
      <c r="E9"/>
      <c r="F9"/>
      <c r="G9"/>
      <c r="H9"/>
      <c r="I9"/>
      <c r="J9"/>
      <c r="K9"/>
      <c r="L9"/>
      <c r="M9"/>
    </row>
    <row r="10" spans="1:17" s="10" customFormat="1">
      <c r="A10" s="3" t="s">
        <v>113</v>
      </c>
      <c r="B10"/>
      <c r="C10"/>
      <c r="D10"/>
      <c r="E10"/>
      <c r="F10"/>
      <c r="G10"/>
      <c r="H10"/>
      <c r="I10"/>
      <c r="J10"/>
      <c r="K10"/>
      <c r="L10"/>
      <c r="M10"/>
    </row>
    <row r="11" spans="1:17" s="10" customFormat="1">
      <c r="A11" t="s">
        <v>12</v>
      </c>
      <c r="B11" s="90">
        <f>'IN_Cost Plant Acct-Elec-P16(Tot'!B26</f>
        <v>0</v>
      </c>
      <c r="C11"/>
      <c r="D11" s="90">
        <f>'IN_Cost Plant Acct-Elec-P16(Tot'!D26</f>
        <v>0</v>
      </c>
      <c r="E11"/>
      <c r="F11" s="90">
        <f>'IN_Cost Plant Acct-Elec-P16(Tot'!F26</f>
        <v>0</v>
      </c>
      <c r="G11"/>
      <c r="H11" s="90">
        <f>'IN_Cost Plant Acct-Elec-P16(Tot'!H26</f>
        <v>0</v>
      </c>
      <c r="I11"/>
      <c r="J11" s="48">
        <f>H11+F11+D11</f>
        <v>0</v>
      </c>
      <c r="K11"/>
      <c r="L11" s="48">
        <f>J11+B11</f>
        <v>0</v>
      </c>
      <c r="M11"/>
      <c r="N11" s="93">
        <f>'IN_Res by Plant Acct-P30 (Tot)'!R10</f>
        <v>0</v>
      </c>
      <c r="P11" s="93">
        <f>L11+N11</f>
        <v>0</v>
      </c>
    </row>
    <row r="12" spans="1:17" s="10" customFormat="1">
      <c r="A12" s="12"/>
      <c r="B12" s="89">
        <f>SUM(B11)</f>
        <v>0</v>
      </c>
      <c r="C12"/>
      <c r="D12" s="89">
        <f>SUM(D11)</f>
        <v>0</v>
      </c>
      <c r="E12"/>
      <c r="F12" s="89">
        <f>SUM(F11)</f>
        <v>0</v>
      </c>
      <c r="G12"/>
      <c r="H12" s="89">
        <f>SUM(H11)</f>
        <v>0</v>
      </c>
      <c r="I12"/>
      <c r="J12" s="89">
        <f>SUM(J11)</f>
        <v>0</v>
      </c>
      <c r="K12"/>
      <c r="L12" s="89">
        <f>SUM(L11)</f>
        <v>0</v>
      </c>
      <c r="M12"/>
      <c r="N12" s="89">
        <f>SUM(N11)</f>
        <v>0</v>
      </c>
      <c r="P12" s="89">
        <f>SUM(P11)</f>
        <v>0</v>
      </c>
    </row>
    <row r="13" spans="1:17" s="10" customFormat="1">
      <c r="A13" s="12"/>
      <c r="B13"/>
      <c r="C13"/>
      <c r="D13"/>
      <c r="E13"/>
      <c r="F13"/>
      <c r="G13"/>
      <c r="H13"/>
      <c r="I13"/>
      <c r="J13"/>
      <c r="K13"/>
      <c r="L13"/>
      <c r="M13"/>
    </row>
    <row r="14" spans="1:17">
      <c r="A14" s="3" t="s">
        <v>119</v>
      </c>
    </row>
    <row r="15" spans="1:17">
      <c r="A15" t="s">
        <v>5</v>
      </c>
      <c r="B15" s="182">
        <f>'IN_Cost Plant Acct-Elec-P16(Tot'!B11</f>
        <v>206717.61</v>
      </c>
      <c r="C15" s="182"/>
      <c r="D15" s="182">
        <f>'IN_Cost Plant Acct-Elec-P16(Tot'!D11</f>
        <v>0</v>
      </c>
      <c r="E15" s="182"/>
      <c r="F15" s="182">
        <f>'IN_Cost Plant Acct-Elec-P16(Tot'!F11</f>
        <v>0</v>
      </c>
      <c r="G15" s="182"/>
      <c r="H15" s="182">
        <f>'IN_Cost Plant Acct-Elec-P16(Tot'!H11</f>
        <v>0</v>
      </c>
      <c r="I15" s="182"/>
      <c r="J15" s="182">
        <f t="shared" ref="J15:J21" si="0">H15+F15+D15</f>
        <v>0</v>
      </c>
      <c r="K15" s="182"/>
      <c r="L15" s="182">
        <f t="shared" ref="L15:L21" si="1">J15+B15</f>
        <v>206717.61</v>
      </c>
      <c r="M15" s="182"/>
      <c r="N15" s="182">
        <f>'IN_Res by Plant Acct-P30 (Tot)'!R15</f>
        <v>-25828.609999999993</v>
      </c>
      <c r="P15" s="89">
        <f>L15+N15</f>
        <v>180889</v>
      </c>
    </row>
    <row r="16" spans="1:17">
      <c r="A16" t="s">
        <v>6</v>
      </c>
      <c r="B16" s="182">
        <f>'IN_Cost Plant Acct-Elec-P16(Tot'!B12</f>
        <v>143421.71</v>
      </c>
      <c r="C16" s="182"/>
      <c r="D16" s="182">
        <f>'IN_Cost Plant Acct-Elec-P16(Tot'!D12</f>
        <v>0</v>
      </c>
      <c r="E16" s="182"/>
      <c r="F16" s="182">
        <f>'IN_Cost Plant Acct-Elec-P16(Tot'!F12</f>
        <v>0</v>
      </c>
      <c r="G16" s="182"/>
      <c r="H16" s="182">
        <f>'IN_Cost Plant Acct-Elec-P16(Tot'!H12</f>
        <v>0</v>
      </c>
      <c r="I16" s="182"/>
      <c r="J16" s="182">
        <f t="shared" si="0"/>
        <v>0</v>
      </c>
      <c r="K16" s="182"/>
      <c r="L16" s="182">
        <f t="shared" si="1"/>
        <v>143421.71</v>
      </c>
      <c r="M16" s="182"/>
      <c r="N16" s="182">
        <f>'IN_Res by Plant Acct-P30 (Tot)'!R16</f>
        <v>0</v>
      </c>
      <c r="P16" s="89">
        <f t="shared" ref="P16:P21" si="2">L16+N16</f>
        <v>143421.71</v>
      </c>
    </row>
    <row r="17" spans="1:16">
      <c r="A17" t="s">
        <v>7</v>
      </c>
      <c r="B17" s="182">
        <f>'IN_Cost Plant Acct-Elec-P16(Tot'!B13</f>
        <v>143085.37</v>
      </c>
      <c r="C17" s="182"/>
      <c r="D17" s="182">
        <f>'IN_Cost Plant Acct-Elec-P16(Tot'!D13</f>
        <v>0</v>
      </c>
      <c r="E17" s="182"/>
      <c r="F17" s="182">
        <f>'IN_Cost Plant Acct-Elec-P16(Tot'!F13</f>
        <v>0</v>
      </c>
      <c r="G17" s="182"/>
      <c r="H17" s="182">
        <f>'IN_Cost Plant Acct-Elec-P16(Tot'!H13</f>
        <v>0</v>
      </c>
      <c r="I17" s="182"/>
      <c r="J17" s="182">
        <f t="shared" si="0"/>
        <v>0</v>
      </c>
      <c r="K17" s="182"/>
      <c r="L17" s="182">
        <f t="shared" si="1"/>
        <v>143085.37</v>
      </c>
      <c r="M17" s="182"/>
      <c r="N17" s="182">
        <f>'IN_Res by Plant Acct-P30 (Tot)'!R17</f>
        <v>-29329.790000000008</v>
      </c>
      <c r="P17" s="89">
        <f t="shared" si="2"/>
        <v>113755.57999999999</v>
      </c>
    </row>
    <row r="18" spans="1:16">
      <c r="A18" t="s">
        <v>8</v>
      </c>
      <c r="B18" s="182">
        <f>'IN_Cost Plant Acct-Elec-P16(Tot'!B14+'IN_Cost Plant Acct-Elec-P16(Tot'!B30</f>
        <v>4001935.2499999991</v>
      </c>
      <c r="C18" s="182"/>
      <c r="D18" s="182">
        <f>'IN_Cost Plant Acct-Elec-P16(Tot'!D14+'IN_Cost Plant Acct-Elec-P16(Tot'!D30</f>
        <v>488.77</v>
      </c>
      <c r="E18" s="182"/>
      <c r="F18" s="182">
        <f>'IN_Cost Plant Acct-Elec-P16(Tot'!F14+'IN_Cost Plant Acct-Elec-P16(Tot'!F30</f>
        <v>0</v>
      </c>
      <c r="G18" s="182"/>
      <c r="H18" s="182">
        <f>'IN_Cost Plant Acct-Elec-P16(Tot'!H14+'IN_Cost Plant Acct-Elec-P16(Tot'!H30</f>
        <v>0</v>
      </c>
      <c r="I18" s="182"/>
      <c r="J18" s="182">
        <f t="shared" si="0"/>
        <v>488.77</v>
      </c>
      <c r="K18" s="182"/>
      <c r="L18" s="182">
        <f t="shared" si="1"/>
        <v>4002424.0199999991</v>
      </c>
      <c r="M18" s="182"/>
      <c r="N18" s="182">
        <f>'IN_Res by Plant Acct-P30 (Tot)'!R18</f>
        <v>-232561.72999999998</v>
      </c>
      <c r="P18" s="89">
        <f t="shared" si="2"/>
        <v>3769862.2899999991</v>
      </c>
    </row>
    <row r="19" spans="1:16">
      <c r="A19" t="s">
        <v>9</v>
      </c>
      <c r="B19" s="182">
        <f>'IN_Cost Plant Acct-Elec-P16(Tot'!B15+'IN_Cost Plant Acct-Elec-P16(Tot'!B31</f>
        <v>3158630.21</v>
      </c>
      <c r="C19" s="182"/>
      <c r="D19" s="182">
        <f>'IN_Cost Plant Acct-Elec-P16(Tot'!D31</f>
        <v>0</v>
      </c>
      <c r="E19" s="182"/>
      <c r="F19" s="182">
        <f>'IN_Cost Plant Acct-Elec-P16(Tot'!F15</f>
        <v>0</v>
      </c>
      <c r="G19" s="182"/>
      <c r="H19" s="182">
        <f>'IN_Cost Plant Acct-Elec-P16(Tot'!H15</f>
        <v>0</v>
      </c>
      <c r="I19" s="182"/>
      <c r="J19" s="182">
        <f t="shared" si="0"/>
        <v>0</v>
      </c>
      <c r="K19" s="182"/>
      <c r="L19" s="182">
        <f t="shared" si="1"/>
        <v>3158630.21</v>
      </c>
      <c r="M19" s="182"/>
      <c r="N19" s="182">
        <f>'IN_Res by Plant Acct-P30 (Tot)'!R19</f>
        <v>-1770188.9700000007</v>
      </c>
      <c r="P19" s="89">
        <f t="shared" si="2"/>
        <v>1388441.2399999993</v>
      </c>
    </row>
    <row r="20" spans="1:16">
      <c r="A20" t="s">
        <v>10</v>
      </c>
      <c r="B20" s="182">
        <f>'IN_Cost Plant Acct-Elec-P16(Tot'!B16+'IN_Cost Plant Acct-Elec-P16(Tot'!B32</f>
        <v>1347150.0000000002</v>
      </c>
      <c r="C20" s="182"/>
      <c r="D20" s="182">
        <f>'IN_Cost Plant Acct-Elec-P16(Tot'!D16+'IN_Cost Plant Acct-Elec-P16(Tot'!D32</f>
        <v>0</v>
      </c>
      <c r="E20" s="182"/>
      <c r="F20" s="182">
        <f>'IN_Cost Plant Acct-Elec-P16(Tot'!F16+'IN_Cost Plant Acct-Elec-P16(Tot'!F32</f>
        <v>0</v>
      </c>
      <c r="G20" s="182"/>
      <c r="H20" s="182">
        <f>'IN_Cost Plant Acct-Elec-P16(Tot'!H16+'IN_Cost Plant Acct-Elec-P16(Tot'!H32</f>
        <v>0</v>
      </c>
      <c r="I20" s="182"/>
      <c r="J20" s="182">
        <f t="shared" si="0"/>
        <v>0</v>
      </c>
      <c r="K20" s="182"/>
      <c r="L20" s="182">
        <f t="shared" si="1"/>
        <v>1347150.0000000002</v>
      </c>
      <c r="M20" s="182"/>
      <c r="N20" s="182">
        <f>'IN_Res by Plant Acct-P30 (Tot)'!R20</f>
        <v>-353239.66000000021</v>
      </c>
      <c r="P20" s="89">
        <f t="shared" si="2"/>
        <v>993910.34000000008</v>
      </c>
    </row>
    <row r="21" spans="1:16">
      <c r="A21" t="s">
        <v>11</v>
      </c>
      <c r="B21" s="48">
        <f>'IN_Cost Plant Acct-Elec-P16(Tot'!B17+'IN_Cost Plant Acct-Elec-P16(Tot'!B33</f>
        <v>1922589.6800000004</v>
      </c>
      <c r="C21" s="52"/>
      <c r="D21" s="48">
        <f>'IN_Cost Plant Acct-Elec-P16(Tot'!D17+'IN_Cost Plant Acct-Elec-P16(Tot'!D33</f>
        <v>0</v>
      </c>
      <c r="E21" s="52"/>
      <c r="F21" s="48">
        <f>'IN_Cost Plant Acct-Elec-P16(Tot'!F17+'IN_Cost Plant Acct-Elec-P16(Tot'!F33</f>
        <v>0</v>
      </c>
      <c r="G21" s="52"/>
      <c r="H21" s="48">
        <f>'IN_Cost Plant Acct-Elec-P16(Tot'!H17+'IN_Cost Plant Acct-Elec-P16(Tot'!H33</f>
        <v>0</v>
      </c>
      <c r="I21" s="52"/>
      <c r="J21" s="48">
        <f t="shared" si="0"/>
        <v>0</v>
      </c>
      <c r="K21" s="52"/>
      <c r="L21" s="48">
        <f t="shared" si="1"/>
        <v>1922589.6800000004</v>
      </c>
      <c r="M21" s="52"/>
      <c r="N21" s="48">
        <f>'IN_Res by Plant Acct-P30 (Tot)'!R21</f>
        <v>-1409291.9400000002</v>
      </c>
      <c r="P21" s="90">
        <f t="shared" si="2"/>
        <v>513297.74000000022</v>
      </c>
    </row>
    <row r="22" spans="1:16">
      <c r="B22" s="52">
        <f>SUM(B15:B21)</f>
        <v>10923529.83</v>
      </c>
      <c r="C22" s="52"/>
      <c r="D22" s="52">
        <f>SUM(D15:D21)</f>
        <v>488.77</v>
      </c>
      <c r="E22" s="52"/>
      <c r="F22" s="52">
        <f>SUM(F15:F21)</f>
        <v>0</v>
      </c>
      <c r="G22" s="52"/>
      <c r="H22" s="52">
        <f>SUM(H15:H21)</f>
        <v>0</v>
      </c>
      <c r="I22" s="52"/>
      <c r="J22" s="52">
        <f>SUM(J15:J21)</f>
        <v>488.77</v>
      </c>
      <c r="K22" s="52"/>
      <c r="L22" s="52">
        <f>SUM(L15:L21)</f>
        <v>10924018.6</v>
      </c>
      <c r="M22" s="52"/>
      <c r="N22" s="52">
        <f>SUM(N15:N21)</f>
        <v>-3820440.7000000011</v>
      </c>
      <c r="P22" s="52">
        <f>SUM(P15:P21)</f>
        <v>7103577.8999999985</v>
      </c>
    </row>
    <row r="23" spans="1:16">
      <c r="B23" s="52"/>
      <c r="C23" s="52"/>
      <c r="D23" s="52"/>
      <c r="E23" s="52"/>
      <c r="F23" s="52"/>
      <c r="G23" s="52"/>
      <c r="H23" s="52"/>
      <c r="I23" s="52"/>
      <c r="J23" s="52"/>
      <c r="K23" s="52"/>
      <c r="L23" s="52"/>
      <c r="M23" s="52"/>
      <c r="N23" s="52"/>
    </row>
    <row r="24" spans="1:16">
      <c r="B24" s="52"/>
      <c r="C24" s="52"/>
      <c r="D24" s="52"/>
      <c r="E24" s="52"/>
      <c r="F24" s="52"/>
      <c r="G24" s="52"/>
      <c r="H24" s="52"/>
      <c r="I24" s="52"/>
      <c r="J24" s="52"/>
      <c r="K24" s="52"/>
      <c r="L24" s="52"/>
      <c r="M24" s="52"/>
      <c r="N24" s="52"/>
    </row>
    <row r="25" spans="1:16" ht="13.5" thickBot="1">
      <c r="A25" s="3" t="s">
        <v>682</v>
      </c>
      <c r="B25" s="46">
        <f>B22+B12</f>
        <v>10923529.83</v>
      </c>
      <c r="C25" s="55"/>
      <c r="D25" s="46">
        <f>D22+D12</f>
        <v>488.77</v>
      </c>
      <c r="E25" s="55"/>
      <c r="F25" s="46">
        <f>F22+F12</f>
        <v>0</v>
      </c>
      <c r="G25" s="55"/>
      <c r="H25" s="46">
        <f>H22+H12</f>
        <v>0</v>
      </c>
      <c r="I25" s="55"/>
      <c r="J25" s="46">
        <f>J22+J12</f>
        <v>488.77</v>
      </c>
      <c r="K25" s="55"/>
      <c r="L25" s="46">
        <f>L22+L12</f>
        <v>10924018.6</v>
      </c>
      <c r="M25" s="52"/>
      <c r="N25" s="46">
        <f>N22+N12</f>
        <v>-3820440.7000000011</v>
      </c>
      <c r="P25" s="46">
        <f>P22+P12</f>
        <v>7103577.8999999985</v>
      </c>
    </row>
    <row r="26" spans="1:16" ht="13.5" thickTop="1">
      <c r="A26" s="3"/>
      <c r="B26" s="52"/>
      <c r="C26" s="55"/>
      <c r="D26" s="52"/>
      <c r="E26" s="55"/>
      <c r="F26" s="52"/>
      <c r="G26" s="55"/>
      <c r="H26" s="52"/>
      <c r="I26" s="55"/>
      <c r="J26" s="52"/>
      <c r="K26" s="55"/>
      <c r="L26" s="52"/>
      <c r="M26" s="52"/>
      <c r="N26" s="55"/>
    </row>
    <row r="27" spans="1:16">
      <c r="B27" s="52"/>
      <c r="C27" s="52"/>
      <c r="D27" s="52"/>
      <c r="E27" s="52"/>
      <c r="F27" s="52"/>
      <c r="G27" s="52"/>
      <c r="H27" s="52"/>
      <c r="I27" s="52"/>
      <c r="J27" s="52"/>
      <c r="K27" s="52"/>
      <c r="L27" s="52"/>
      <c r="M27" s="52"/>
      <c r="N27" s="52"/>
    </row>
    <row r="28" spans="1:16">
      <c r="B28" s="182"/>
      <c r="C28" s="182"/>
      <c r="D28" s="182"/>
      <c r="E28" s="182"/>
      <c r="F28" s="182"/>
      <c r="G28" s="182"/>
      <c r="H28" s="182"/>
      <c r="I28" s="182"/>
      <c r="J28" s="182"/>
      <c r="K28" s="182"/>
      <c r="L28" s="182"/>
      <c r="M28" s="182"/>
      <c r="N28" s="182"/>
    </row>
    <row r="29" spans="1:16">
      <c r="B29" s="4"/>
      <c r="C29" s="4"/>
      <c r="D29" s="4"/>
      <c r="E29" s="4"/>
      <c r="F29" s="4"/>
      <c r="G29" s="4"/>
      <c r="H29" s="4"/>
      <c r="I29" s="4"/>
      <c r="J29" s="4"/>
      <c r="K29" s="4"/>
    </row>
    <row r="30" spans="1:16">
      <c r="B30" s="4"/>
      <c r="C30" s="4"/>
      <c r="D30" s="4"/>
      <c r="E30" s="4"/>
      <c r="F30" s="4"/>
      <c r="G30" s="4"/>
      <c r="H30" s="4"/>
      <c r="I30" s="4"/>
      <c r="J30" s="4"/>
      <c r="K30" s="4"/>
    </row>
    <row r="31" spans="1:16">
      <c r="B31" s="4"/>
      <c r="C31" s="4"/>
      <c r="D31" s="4"/>
      <c r="E31" s="4"/>
      <c r="F31" s="4"/>
      <c r="G31" s="4"/>
      <c r="H31" s="4"/>
      <c r="I31" s="4"/>
      <c r="J31" s="4"/>
      <c r="K31" s="4"/>
    </row>
    <row r="32" spans="1:16">
      <c r="B32" s="4"/>
      <c r="C32" s="4"/>
      <c r="D32" s="4"/>
      <c r="E32" s="4"/>
      <c r="F32" s="4"/>
      <c r="G32" s="4"/>
      <c r="H32" s="4"/>
      <c r="I32" s="4"/>
      <c r="J32" s="4"/>
      <c r="K32" s="4"/>
    </row>
  </sheetData>
  <mergeCells count="3">
    <mergeCell ref="A1:P1"/>
    <mergeCell ref="A2:Q2"/>
    <mergeCell ref="A3:P3"/>
  </mergeCells>
  <pageMargins left="0.75" right="0.75" top="1" bottom="1" header="0.5" footer="0.5"/>
  <pageSetup scale="58" fitToHeight="2" orientation="landscape" r:id="rId1"/>
  <headerFooter alignWithMargins="0">
    <oddFooter>&amp;L&amp;Z
&amp;F&amp;C&amp;A&amp;R15.&amp;P</oddFooter>
  </headerFooter>
</worksheet>
</file>

<file path=xl/worksheets/sheet68.xml><?xml version="1.0" encoding="utf-8"?>
<worksheet xmlns="http://schemas.openxmlformats.org/spreadsheetml/2006/main" xmlns:r="http://schemas.openxmlformats.org/officeDocument/2006/relationships">
  <sheetPr codeName="Sheet105">
    <tabColor indexed="33"/>
    <pageSetUpPr fitToPage="1"/>
  </sheetPr>
  <dimension ref="A1:M44"/>
  <sheetViews>
    <sheetView zoomScaleNormal="100" workbookViewId="0">
      <selection activeCell="A31" sqref="A31"/>
    </sheetView>
  </sheetViews>
  <sheetFormatPr defaultRowHeight="12.75"/>
  <cols>
    <col min="1" max="1" width="43.85546875" bestFit="1" customWidth="1"/>
    <col min="2" max="2" width="17.7109375" customWidth="1"/>
    <col min="3" max="3" width="1.7109375" customWidth="1"/>
    <col min="4" max="4" width="17.7109375" customWidth="1"/>
    <col min="5" max="5" width="1.7109375" customWidth="1"/>
    <col min="6" max="6" width="17.7109375" customWidth="1"/>
    <col min="7" max="7" width="1.7109375" customWidth="1"/>
    <col min="8" max="8" width="17.7109375" customWidth="1"/>
    <col min="9" max="9" width="1.7109375" customWidth="1"/>
    <col min="10" max="10" width="17.7109375" customWidth="1"/>
    <col min="11" max="11" width="1.7109375" customWidth="1"/>
    <col min="12" max="12" width="17.7109375" customWidth="1"/>
  </cols>
  <sheetData>
    <row r="1" spans="1:13" s="38" customFormat="1" ht="15.75">
      <c r="A1" s="366" t="s">
        <v>134</v>
      </c>
      <c r="B1" s="366"/>
      <c r="C1" s="366"/>
      <c r="D1" s="366"/>
      <c r="E1" s="366"/>
      <c r="F1" s="366"/>
      <c r="G1" s="366"/>
      <c r="H1" s="366"/>
      <c r="I1" s="366"/>
      <c r="J1" s="366"/>
      <c r="K1" s="366"/>
      <c r="L1" s="366"/>
    </row>
    <row r="2" spans="1:13" s="38" customFormat="1" ht="15.75">
      <c r="A2" s="366" t="s">
        <v>1194</v>
      </c>
      <c r="B2" s="366"/>
      <c r="C2" s="366"/>
      <c r="D2" s="366"/>
      <c r="E2" s="366"/>
      <c r="F2" s="366"/>
      <c r="G2" s="366"/>
      <c r="H2" s="366"/>
      <c r="I2" s="366"/>
      <c r="J2" s="366"/>
      <c r="K2" s="366"/>
      <c r="L2" s="366"/>
    </row>
    <row r="3" spans="1:13">
      <c r="A3" s="357" t="str">
        <f>'Summary - Cost - PG 1 (Tot)'!A3:N3</f>
        <v>MARCH 2012</v>
      </c>
      <c r="B3" s="357"/>
      <c r="C3" s="357"/>
      <c r="D3" s="357"/>
      <c r="E3" s="357"/>
      <c r="F3" s="357"/>
      <c r="G3" s="357"/>
      <c r="H3" s="357"/>
      <c r="I3" s="357"/>
      <c r="J3" s="357"/>
      <c r="K3" s="357"/>
      <c r="L3" s="357"/>
    </row>
    <row r="4" spans="1:13">
      <c r="A4" s="190"/>
      <c r="B4" s="190"/>
      <c r="C4" s="190"/>
      <c r="D4" s="190"/>
      <c r="E4" s="190"/>
      <c r="F4" s="190"/>
      <c r="G4" s="190"/>
      <c r="H4" s="190"/>
      <c r="I4" s="190"/>
      <c r="J4" s="190"/>
      <c r="K4" s="190"/>
      <c r="L4" s="190"/>
    </row>
    <row r="6" spans="1:13">
      <c r="B6" s="41" t="s">
        <v>25</v>
      </c>
      <c r="D6" s="33"/>
      <c r="F6" s="33"/>
      <c r="H6" s="41" t="s">
        <v>612</v>
      </c>
      <c r="J6" s="33"/>
      <c r="L6" s="41" t="s">
        <v>26</v>
      </c>
    </row>
    <row r="7" spans="1:13" s="10" customFormat="1">
      <c r="B7" s="42" t="s">
        <v>27</v>
      </c>
      <c r="C7"/>
      <c r="D7" s="42" t="s">
        <v>107</v>
      </c>
      <c r="E7"/>
      <c r="F7" s="42" t="s">
        <v>108</v>
      </c>
      <c r="G7"/>
      <c r="H7" s="42" t="s">
        <v>613</v>
      </c>
      <c r="I7"/>
      <c r="J7" s="42" t="s">
        <v>109</v>
      </c>
      <c r="K7"/>
      <c r="L7" s="42" t="s">
        <v>27</v>
      </c>
    </row>
    <row r="8" spans="1:13" s="10" customFormat="1">
      <c r="B8" s="54"/>
      <c r="C8"/>
      <c r="D8" s="54"/>
      <c r="E8"/>
      <c r="F8" s="54"/>
      <c r="G8"/>
      <c r="H8" s="54"/>
      <c r="I8"/>
      <c r="J8" s="54"/>
      <c r="K8"/>
      <c r="L8" s="54"/>
    </row>
    <row r="9" spans="1:13" s="10" customFormat="1">
      <c r="A9" s="12" t="s">
        <v>806</v>
      </c>
      <c r="B9"/>
      <c r="C9"/>
      <c r="D9"/>
      <c r="E9"/>
      <c r="F9"/>
      <c r="G9"/>
      <c r="H9"/>
      <c r="I9"/>
      <c r="J9"/>
      <c r="K9"/>
      <c r="L9"/>
    </row>
    <row r="10" spans="1:13">
      <c r="A10" s="3" t="s">
        <v>119</v>
      </c>
    </row>
    <row r="11" spans="1:13">
      <c r="A11" t="s">
        <v>5</v>
      </c>
      <c r="B11" s="33">
        <f>+'IN_Cost Plant Acct-Elec-P16(Fin'!B11+'IN_Cost-Plant Acct-Elec-P16(PA)'!B11</f>
        <v>206717.61</v>
      </c>
      <c r="C11" s="33"/>
      <c r="D11" s="33">
        <f>+'IN_Cost Plant Acct-Elec-P16(Fin'!D11+'IN_Cost-Plant Acct-Elec-P16(PA)'!D11</f>
        <v>0</v>
      </c>
      <c r="E11" s="33"/>
      <c r="F11" s="33">
        <f>+'IN_Cost Plant Acct-Elec-P16(Fin'!F11+'IN_Cost-Plant Acct-Elec-P16(PA)'!F11</f>
        <v>0</v>
      </c>
      <c r="G11" s="33"/>
      <c r="H11" s="33">
        <f>+'IN_Cost Plant Acct-Elec-P16(Fin'!H11+'IN_Cost-Plant Acct-Elec-P16(PA)'!H11</f>
        <v>0</v>
      </c>
      <c r="I11" s="33"/>
      <c r="J11" s="33">
        <f>H11+F11+D11</f>
        <v>0</v>
      </c>
      <c r="K11" s="33"/>
      <c r="L11" s="33">
        <f>J11+B11</f>
        <v>206717.61</v>
      </c>
      <c r="M11" s="33"/>
    </row>
    <row r="12" spans="1:13">
      <c r="A12" t="s">
        <v>6</v>
      </c>
      <c r="B12" s="33">
        <f>+'IN_Cost Plant Acct-Elec-P16(Fin'!B12+'IN_Cost-Plant Acct-Elec-P16(PA)'!B12</f>
        <v>143421.71</v>
      </c>
      <c r="C12" s="33"/>
      <c r="D12" s="33">
        <f>+'IN_Cost Plant Acct-Elec-P16(Fin'!D12+'IN_Cost-Plant Acct-Elec-P16(PA)'!D12</f>
        <v>0</v>
      </c>
      <c r="E12" s="33"/>
      <c r="F12" s="33">
        <f>+'IN_Cost Plant Acct-Elec-P16(Fin'!F12+'IN_Cost-Plant Acct-Elec-P16(PA)'!F12</f>
        <v>0</v>
      </c>
      <c r="G12" s="33"/>
      <c r="H12" s="33">
        <f>+'IN_Cost Plant Acct-Elec-P16(Fin'!H12+'IN_Cost-Plant Acct-Elec-P16(PA)'!H12</f>
        <v>0</v>
      </c>
      <c r="I12" s="33"/>
      <c r="J12" s="33">
        <f t="shared" ref="J12:J17" si="0">H12+F12+D12</f>
        <v>0</v>
      </c>
      <c r="K12" s="33"/>
      <c r="L12" s="33">
        <f t="shared" ref="L12:L17" si="1">J12+B12</f>
        <v>143421.71</v>
      </c>
      <c r="M12" s="33"/>
    </row>
    <row r="13" spans="1:13">
      <c r="A13" t="s">
        <v>7</v>
      </c>
      <c r="B13" s="33">
        <f>+'IN_Cost Plant Acct-Elec-P16(Fin'!B13+'IN_Cost-Plant Acct-Elec-P16(PA)'!B13</f>
        <v>143085.37</v>
      </c>
      <c r="C13" s="33"/>
      <c r="D13" s="33">
        <f>+'IN_Cost Plant Acct-Elec-P16(Fin'!D13+'IN_Cost-Plant Acct-Elec-P16(PA)'!D13</f>
        <v>0</v>
      </c>
      <c r="E13" s="33"/>
      <c r="F13" s="33">
        <f>+'IN_Cost Plant Acct-Elec-P16(Fin'!F13+'IN_Cost-Plant Acct-Elec-P16(PA)'!F13</f>
        <v>0</v>
      </c>
      <c r="G13" s="33"/>
      <c r="H13" s="33">
        <f>+'IN_Cost Plant Acct-Elec-P16(Fin'!H13+'IN_Cost-Plant Acct-Elec-P16(PA)'!H13</f>
        <v>0</v>
      </c>
      <c r="I13" s="33"/>
      <c r="J13" s="33">
        <f t="shared" si="0"/>
        <v>0</v>
      </c>
      <c r="K13" s="33"/>
      <c r="L13" s="33">
        <f t="shared" si="1"/>
        <v>143085.37</v>
      </c>
      <c r="M13" s="33"/>
    </row>
    <row r="14" spans="1:13">
      <c r="A14" t="s">
        <v>8</v>
      </c>
      <c r="B14" s="33">
        <f>+'IN_Cost Plant Acct-Elec-P16(Fin'!B14+'IN_Cost-Plant Acct-Elec-P16(PA)'!B14</f>
        <v>3984411.0899999989</v>
      </c>
      <c r="C14" s="33"/>
      <c r="D14" s="33">
        <f>+'IN_Cost Plant Acct-Elec-P16(Fin'!D14+'IN_Cost-Plant Acct-Elec-P16(PA)'!D14</f>
        <v>0</v>
      </c>
      <c r="E14" s="33"/>
      <c r="F14" s="33">
        <f>+'IN_Cost Plant Acct-Elec-P16(Fin'!F14+'IN_Cost-Plant Acct-Elec-P16(PA)'!F14</f>
        <v>0</v>
      </c>
      <c r="G14" s="33"/>
      <c r="H14" s="33">
        <f>+'IN_Cost Plant Acct-Elec-P16(Fin'!H14+'IN_Cost-Plant Acct-Elec-P16(PA)'!H14</f>
        <v>0</v>
      </c>
      <c r="I14" s="33"/>
      <c r="J14" s="33">
        <f t="shared" si="0"/>
        <v>0</v>
      </c>
      <c r="K14" s="33"/>
      <c r="L14" s="33">
        <f t="shared" si="1"/>
        <v>3984411.0899999989</v>
      </c>
      <c r="M14" s="33"/>
    </row>
    <row r="15" spans="1:13">
      <c r="A15" t="s">
        <v>9</v>
      </c>
      <c r="B15" s="33">
        <f>+'IN_Cost Plant Acct-Elec-P16(Fin'!B15+'IN_Cost-Plant Acct-Elec-P16(PA)'!B15</f>
        <v>3158630.21</v>
      </c>
      <c r="C15" s="33"/>
      <c r="D15" s="33">
        <f>+'IN_Cost Plant Acct-Elec-P16(Fin'!D15+'IN_Cost-Plant Acct-Elec-P16(PA)'!D15</f>
        <v>0</v>
      </c>
      <c r="E15" s="33"/>
      <c r="F15" s="33">
        <f>+'IN_Cost Plant Acct-Elec-P16(Fin'!F15+'IN_Cost-Plant Acct-Elec-P16(PA)'!F15</f>
        <v>0</v>
      </c>
      <c r="G15" s="33"/>
      <c r="H15" s="33">
        <f>+'IN_Cost Plant Acct-Elec-P16(Fin'!H15+'IN_Cost-Plant Acct-Elec-P16(PA)'!H15</f>
        <v>0</v>
      </c>
      <c r="I15" s="33"/>
      <c r="J15" s="33">
        <f t="shared" si="0"/>
        <v>0</v>
      </c>
      <c r="K15" s="33"/>
      <c r="L15" s="33">
        <f t="shared" si="1"/>
        <v>3158630.21</v>
      </c>
      <c r="M15" s="33"/>
    </row>
    <row r="16" spans="1:13">
      <c r="A16" t="s">
        <v>10</v>
      </c>
      <c r="B16" s="33">
        <f>+'IN_Cost Plant Acct-Elec-P16(Fin'!B16+'IN_Cost-Plant Acct-Elec-P16(PA)'!B16</f>
        <v>1347150.0000000002</v>
      </c>
      <c r="C16" s="33"/>
      <c r="D16" s="33">
        <f>+'IN_Cost Plant Acct-Elec-P16(Fin'!D16+'IN_Cost-Plant Acct-Elec-P16(PA)'!D16</f>
        <v>0</v>
      </c>
      <c r="E16" s="33"/>
      <c r="F16" s="37">
        <f>+'IN_Cost Plant Acct-Elec-P16(Fin'!F16+'IN_Cost-Plant Acct-Elec-P16(PA)'!F16</f>
        <v>0</v>
      </c>
      <c r="G16" s="33"/>
      <c r="H16" s="33">
        <f>+'IN_Cost Plant Acct-Elec-P16(Fin'!H16+'IN_Cost-Plant Acct-Elec-P16(PA)'!H16</f>
        <v>0</v>
      </c>
      <c r="I16" s="33"/>
      <c r="J16" s="33">
        <f t="shared" si="0"/>
        <v>0</v>
      </c>
      <c r="K16" s="33"/>
      <c r="L16" s="33">
        <f t="shared" si="1"/>
        <v>1347150.0000000002</v>
      </c>
      <c r="M16" s="33"/>
    </row>
    <row r="17" spans="1:13">
      <c r="A17" t="s">
        <v>11</v>
      </c>
      <c r="B17" s="35">
        <f>+'IN_Cost Plant Acct-Elec-P16(Fin'!B17+'IN_Cost-Plant Acct-Elec-P16(PA)'!B17</f>
        <v>1922589.6800000004</v>
      </c>
      <c r="C17" s="37"/>
      <c r="D17" s="35">
        <f>+'IN_Cost Plant Acct-Elec-P16(Fin'!D17+'IN_Cost-Plant Acct-Elec-P16(PA)'!D17</f>
        <v>0</v>
      </c>
      <c r="E17" s="37"/>
      <c r="F17" s="35">
        <f>+'IN_Cost Plant Acct-Elec-P16(Fin'!F17+'IN_Cost-Plant Acct-Elec-P16(PA)'!F17</f>
        <v>0</v>
      </c>
      <c r="G17" s="37"/>
      <c r="H17" s="35">
        <f>+'IN_Cost Plant Acct-Elec-P16(Fin'!H17+'IN_Cost-Plant Acct-Elec-P16(PA)'!H17</f>
        <v>0</v>
      </c>
      <c r="I17" s="37"/>
      <c r="J17" s="35">
        <f t="shared" si="0"/>
        <v>0</v>
      </c>
      <c r="K17" s="37"/>
      <c r="L17" s="35">
        <f t="shared" si="1"/>
        <v>1922589.6800000004</v>
      </c>
      <c r="M17" s="37"/>
    </row>
    <row r="18" spans="1:13">
      <c r="B18" s="37">
        <f>SUM(B11:B17)</f>
        <v>10906005.67</v>
      </c>
      <c r="C18" s="37"/>
      <c r="D18" s="37">
        <f>SUM(D11:D17)</f>
        <v>0</v>
      </c>
      <c r="E18" s="37"/>
      <c r="F18" s="37">
        <f>SUM(F11:F17)</f>
        <v>0</v>
      </c>
      <c r="G18" s="37"/>
      <c r="H18" s="37">
        <f>SUM(H11:H17)</f>
        <v>0</v>
      </c>
      <c r="I18" s="37"/>
      <c r="J18" s="37">
        <f>SUM(J11:J17)</f>
        <v>0</v>
      </c>
      <c r="K18" s="37"/>
      <c r="L18" s="37">
        <f>SUM(L11:L17)</f>
        <v>10906005.67</v>
      </c>
      <c r="M18" s="37"/>
    </row>
    <row r="19" spans="1:13">
      <c r="B19" s="37"/>
      <c r="C19" s="37"/>
      <c r="D19" s="37"/>
      <c r="E19" s="37"/>
      <c r="F19" s="37"/>
      <c r="G19" s="37"/>
      <c r="H19" s="37"/>
      <c r="I19" s="37"/>
      <c r="J19" s="37"/>
      <c r="K19" s="37"/>
      <c r="L19" s="37"/>
      <c r="M19" s="37"/>
    </row>
    <row r="20" spans="1:13">
      <c r="B20" s="37"/>
      <c r="C20" s="37"/>
      <c r="D20" s="37"/>
      <c r="E20" s="37"/>
      <c r="F20" s="37"/>
      <c r="G20" s="37"/>
      <c r="H20" s="37"/>
      <c r="I20" s="37"/>
      <c r="J20" s="37"/>
      <c r="K20" s="37"/>
      <c r="L20" s="37"/>
      <c r="M20" s="37"/>
    </row>
    <row r="21" spans="1:13">
      <c r="A21" s="3" t="s">
        <v>603</v>
      </c>
      <c r="B21" s="34">
        <f>B18</f>
        <v>10906005.67</v>
      </c>
      <c r="C21" s="6"/>
      <c r="D21" s="34">
        <f>D18</f>
        <v>0</v>
      </c>
      <c r="E21" s="6"/>
      <c r="F21" s="34">
        <f>F18</f>
        <v>0</v>
      </c>
      <c r="G21" s="6"/>
      <c r="H21" s="34">
        <f>H18</f>
        <v>0</v>
      </c>
      <c r="I21" s="6"/>
      <c r="J21" s="34">
        <f>J18</f>
        <v>0</v>
      </c>
      <c r="K21" s="6"/>
      <c r="L21" s="34">
        <f>L18</f>
        <v>10906005.67</v>
      </c>
      <c r="M21" s="6"/>
    </row>
    <row r="22" spans="1:13">
      <c r="A22" s="3"/>
      <c r="B22" s="37"/>
      <c r="C22" s="6"/>
      <c r="D22" s="37"/>
      <c r="E22" s="6"/>
      <c r="F22" s="37"/>
      <c r="G22" s="6"/>
      <c r="H22" s="37"/>
      <c r="I22" s="6"/>
      <c r="J22" s="37"/>
      <c r="K22" s="6"/>
      <c r="L22" s="37"/>
      <c r="M22" s="6"/>
    </row>
    <row r="23" spans="1:13">
      <c r="B23" s="37"/>
      <c r="C23" s="37"/>
      <c r="D23" s="37"/>
      <c r="E23" s="37"/>
      <c r="F23" s="37"/>
      <c r="G23" s="37"/>
      <c r="H23" s="37"/>
      <c r="I23" s="37"/>
      <c r="J23" s="37"/>
      <c r="K23" s="37"/>
      <c r="L23" s="37"/>
      <c r="M23" s="37"/>
    </row>
    <row r="24" spans="1:13">
      <c r="A24" s="3" t="s">
        <v>573</v>
      </c>
      <c r="B24" s="37"/>
      <c r="C24" s="37"/>
      <c r="D24" s="37"/>
      <c r="E24" s="37"/>
      <c r="F24" s="37"/>
      <c r="G24" s="37"/>
      <c r="H24" s="37"/>
      <c r="I24" s="37"/>
      <c r="J24" s="37"/>
      <c r="K24" s="37"/>
      <c r="L24" s="37"/>
      <c r="M24" s="37"/>
    </row>
    <row r="25" spans="1:13">
      <c r="A25" s="3" t="s">
        <v>113</v>
      </c>
      <c r="B25" s="37"/>
      <c r="C25" s="37"/>
      <c r="D25" s="37"/>
      <c r="E25" s="37"/>
      <c r="F25" s="37"/>
      <c r="G25" s="37"/>
      <c r="H25" s="37"/>
      <c r="I25" s="37"/>
      <c r="J25" s="37"/>
      <c r="K25" s="37"/>
      <c r="L25" s="37"/>
      <c r="M25" s="37"/>
    </row>
    <row r="26" spans="1:13">
      <c r="A26" t="s">
        <v>12</v>
      </c>
      <c r="B26" s="35">
        <f>+'IN_Cost Plant Acct-Elec-P16(Fin'!B26+'IN_Cost-Plant Acct-Elec-P16(PA)'!B26</f>
        <v>0</v>
      </c>
      <c r="C26" s="37"/>
      <c r="D26" s="35">
        <f>+'IN_Cost Plant Acct-Elec-P16(Fin'!D26+'IN_Cost-Plant Acct-Elec-P16(PA)'!D26</f>
        <v>0</v>
      </c>
      <c r="E26" s="37"/>
      <c r="F26" s="35">
        <f>+'IN_Cost Plant Acct-Elec-P16(Fin'!F26+'IN_Cost-Plant Acct-Elec-P16(PA)'!F26</f>
        <v>0</v>
      </c>
      <c r="G26" s="37"/>
      <c r="H26" s="35">
        <f>+'IN_Cost Plant Acct-Elec-P16(Fin'!H26+'IN_Cost-Plant Acct-Elec-P16(PA)'!H26</f>
        <v>0</v>
      </c>
      <c r="I26" s="37"/>
      <c r="J26" s="35">
        <f>H26+F26+D26</f>
        <v>0</v>
      </c>
      <c r="K26" s="37"/>
      <c r="L26" s="35">
        <f>J26+B26</f>
        <v>0</v>
      </c>
      <c r="M26" s="37"/>
    </row>
    <row r="27" spans="1:13">
      <c r="B27" s="37">
        <f>SUM(B26:B26)</f>
        <v>0</v>
      </c>
      <c r="C27" s="37"/>
      <c r="D27" s="37">
        <f>SUM(D26:D26)</f>
        <v>0</v>
      </c>
      <c r="E27" s="37"/>
      <c r="F27" s="37">
        <f>SUM(F26:F26)</f>
        <v>0</v>
      </c>
      <c r="G27" s="37"/>
      <c r="H27" s="37">
        <f>SUM(H26:H26)</f>
        <v>0</v>
      </c>
      <c r="I27" s="37"/>
      <c r="J27" s="37">
        <f>SUM(J26:J26)</f>
        <v>0</v>
      </c>
      <c r="K27" s="37"/>
      <c r="L27" s="37">
        <f>SUM(L26:L26)</f>
        <v>0</v>
      </c>
      <c r="M27" s="37"/>
    </row>
    <row r="28" spans="1:13">
      <c r="B28" s="37"/>
      <c r="C28" s="37"/>
      <c r="D28" s="37"/>
      <c r="E28" s="37"/>
      <c r="F28" s="37"/>
      <c r="G28" s="37"/>
      <c r="H28" s="37"/>
      <c r="I28" s="37"/>
      <c r="J28" s="37"/>
      <c r="K28" s="37"/>
      <c r="L28" s="37"/>
      <c r="M28" s="37"/>
    </row>
    <row r="29" spans="1:13">
      <c r="A29" s="3" t="s">
        <v>119</v>
      </c>
      <c r="B29" s="37"/>
      <c r="C29" s="37"/>
      <c r="D29" s="37"/>
      <c r="E29" s="37"/>
      <c r="F29" s="37"/>
      <c r="G29" s="37"/>
      <c r="H29" s="37"/>
      <c r="I29" s="37"/>
      <c r="J29" s="37"/>
      <c r="K29" s="37"/>
      <c r="L29" s="37"/>
      <c r="M29" s="37"/>
    </row>
    <row r="30" spans="1:13">
      <c r="A30" t="s">
        <v>8</v>
      </c>
      <c r="B30" s="37">
        <f>+'IN_Cost Plant Acct-Elec-P16(Fin'!B30+'IN_Cost-Plant Acct-Elec-P16(PA)'!B29</f>
        <v>17524.160000000047</v>
      </c>
      <c r="C30" s="37"/>
      <c r="D30" s="37">
        <f>+'IN_Cost Plant Acct-Elec-P16(Fin'!D30+'IN_Cost-Plant Acct-Elec-P16(PA)'!D29</f>
        <v>488.77</v>
      </c>
      <c r="E30" s="37"/>
      <c r="F30" s="37">
        <f>+'IN_Cost Plant Acct-Elec-P16(Fin'!F30+'IN_Cost-Plant Acct-Elec-P16(PA)'!F29</f>
        <v>0</v>
      </c>
      <c r="G30" s="37"/>
      <c r="H30" s="37">
        <f>+'IN_Cost Plant Acct-Elec-P16(Fin'!H30+'IN_Cost-Plant Acct-Elec-P16(PA)'!H29</f>
        <v>0</v>
      </c>
      <c r="I30" s="37"/>
      <c r="J30" s="37">
        <f>H30+F30+D30</f>
        <v>488.77</v>
      </c>
      <c r="K30" s="37"/>
      <c r="L30" s="37">
        <f>J30+B30</f>
        <v>18012.930000000048</v>
      </c>
      <c r="M30" s="37"/>
    </row>
    <row r="31" spans="1:13">
      <c r="A31" t="s">
        <v>9</v>
      </c>
      <c r="B31" s="37">
        <f>+'IN_Cost Plant Acct-Elec-P16(Fin'!B31+'IN_Cost-Plant Acct-Elec-P16(PA)'!B30</f>
        <v>0</v>
      </c>
      <c r="C31" s="37"/>
      <c r="D31" s="37">
        <f>+'IN_Cost Plant Acct-Elec-P16(Fin'!D31+'IN_Cost-Plant Acct-Elec-P16(PA)'!D30</f>
        <v>0</v>
      </c>
      <c r="E31" s="37"/>
      <c r="F31" s="37">
        <f>+'IN_Cost Plant Acct-Elec-P16(Fin'!F31+'IN_Cost-Plant Acct-Elec-P16(PA)'!F30</f>
        <v>0</v>
      </c>
      <c r="G31" s="37"/>
      <c r="H31" s="37">
        <f>+'IN_Cost Plant Acct-Elec-P16(Fin'!H31+'IN_Cost-Plant Acct-Elec-P16(PA)'!H30</f>
        <v>0</v>
      </c>
      <c r="I31" s="37"/>
      <c r="J31" s="37">
        <f>H31+F31+D31</f>
        <v>0</v>
      </c>
      <c r="K31" s="37"/>
      <c r="L31" s="37">
        <f>J31+B31</f>
        <v>0</v>
      </c>
      <c r="M31" s="37"/>
    </row>
    <row r="32" spans="1:13">
      <c r="A32" t="s">
        <v>10</v>
      </c>
      <c r="B32" s="37">
        <f>+'IN_Cost Plant Acct-Elec-P16(Fin'!B32</f>
        <v>0</v>
      </c>
      <c r="C32" s="37"/>
      <c r="D32" s="37">
        <f>+'IN_Cost Plant Acct-Elec-P16(Fin'!D32</f>
        <v>0</v>
      </c>
      <c r="E32" s="37"/>
      <c r="F32" s="37">
        <f>+'IN_Cost Plant Acct-Elec-P16(Fin'!F32</f>
        <v>0</v>
      </c>
      <c r="G32" s="37"/>
      <c r="H32" s="37">
        <f>+'IN_Cost Plant Acct-Elec-P16(Fin'!H32</f>
        <v>0</v>
      </c>
      <c r="I32" s="37"/>
      <c r="J32" s="37">
        <f>H32+F32+D32</f>
        <v>0</v>
      </c>
      <c r="K32" s="37"/>
      <c r="L32" s="37">
        <f>J32+B32</f>
        <v>0</v>
      </c>
      <c r="M32" s="37"/>
    </row>
    <row r="33" spans="1:13">
      <c r="A33" t="s">
        <v>11</v>
      </c>
      <c r="B33" s="35">
        <f>+'IN_Cost Plant Acct-Elec-P16(Fin'!B33</f>
        <v>0</v>
      </c>
      <c r="C33" s="37"/>
      <c r="D33" s="35">
        <f>+'IN_Cost Plant Acct-Elec-P16(Fin'!D33</f>
        <v>0</v>
      </c>
      <c r="E33" s="37"/>
      <c r="F33" s="35">
        <f>+'IN_Cost Plant Acct-Elec-P16(Fin'!F33</f>
        <v>0</v>
      </c>
      <c r="G33" s="37"/>
      <c r="H33" s="35">
        <f>+'IN_Cost Plant Acct-Elec-P16(Fin'!H33</f>
        <v>0</v>
      </c>
      <c r="I33" s="37"/>
      <c r="J33" s="35">
        <f>H33+F33+D33</f>
        <v>0</v>
      </c>
      <c r="K33" s="37"/>
      <c r="L33" s="35">
        <f>J33+B33</f>
        <v>0</v>
      </c>
      <c r="M33" s="37"/>
    </row>
    <row r="34" spans="1:13">
      <c r="B34" s="37">
        <f>SUM(B30:B33)</f>
        <v>17524.160000000047</v>
      </c>
      <c r="C34" s="37"/>
      <c r="D34" s="37">
        <f>SUM(D30:D33)</f>
        <v>488.77</v>
      </c>
      <c r="E34" s="37"/>
      <c r="F34" s="37">
        <f>SUM(F30:F33)</f>
        <v>0</v>
      </c>
      <c r="G34" s="37"/>
      <c r="H34" s="37">
        <f>SUM(H30:H33)</f>
        <v>0</v>
      </c>
      <c r="I34" s="37"/>
      <c r="J34" s="37">
        <f>SUM(J30:J33)</f>
        <v>488.77</v>
      </c>
      <c r="K34" s="37"/>
      <c r="L34" s="37">
        <f>SUM(L30:L33)</f>
        <v>18012.930000000048</v>
      </c>
      <c r="M34" s="37"/>
    </row>
    <row r="35" spans="1:13">
      <c r="B35" s="37"/>
      <c r="C35" s="37"/>
      <c r="D35" s="37"/>
      <c r="E35" s="37"/>
      <c r="F35" s="37"/>
      <c r="G35" s="37"/>
      <c r="H35" s="37"/>
      <c r="I35" s="37"/>
      <c r="J35" s="37"/>
      <c r="K35" s="37"/>
      <c r="L35" s="37"/>
      <c r="M35" s="37"/>
    </row>
    <row r="36" spans="1:13">
      <c r="B36" s="37"/>
      <c r="C36" s="37"/>
      <c r="D36" s="37"/>
      <c r="E36" s="37"/>
      <c r="F36" s="37"/>
      <c r="G36" s="37"/>
      <c r="H36" s="37"/>
      <c r="I36" s="37"/>
      <c r="J36" s="37"/>
      <c r="K36" s="37"/>
      <c r="L36" s="37"/>
      <c r="M36" s="37"/>
    </row>
    <row r="37" spans="1:13">
      <c r="A37" s="3" t="s">
        <v>604</v>
      </c>
      <c r="B37" s="34">
        <f>B27+B34</f>
        <v>17524.160000000047</v>
      </c>
      <c r="C37" s="6"/>
      <c r="D37" s="34">
        <f>D27+D34</f>
        <v>488.77</v>
      </c>
      <c r="E37" s="6"/>
      <c r="F37" s="34">
        <f>F27+F34</f>
        <v>0</v>
      </c>
      <c r="G37" s="6"/>
      <c r="H37" s="34">
        <f>H27+H34</f>
        <v>0</v>
      </c>
      <c r="I37" s="6"/>
      <c r="J37" s="34">
        <f>J27+J34</f>
        <v>488.77</v>
      </c>
      <c r="K37" s="6"/>
      <c r="L37" s="34">
        <f>L27+L34</f>
        <v>18012.930000000048</v>
      </c>
      <c r="M37" s="6"/>
    </row>
    <row r="38" spans="1:13">
      <c r="B38" s="37"/>
      <c r="C38" s="37"/>
      <c r="D38" s="37"/>
      <c r="E38" s="37"/>
      <c r="F38" s="37"/>
      <c r="G38" s="37"/>
      <c r="H38" s="37"/>
      <c r="I38" s="37"/>
      <c r="J38" s="37"/>
      <c r="K38" s="37"/>
      <c r="L38" s="37"/>
      <c r="M38" s="37"/>
    </row>
    <row r="39" spans="1:13">
      <c r="B39" s="33"/>
      <c r="C39" s="33"/>
      <c r="D39" s="33"/>
      <c r="E39" s="33"/>
      <c r="F39" s="33"/>
      <c r="G39" s="33"/>
      <c r="H39" s="33"/>
      <c r="I39" s="33"/>
      <c r="J39" s="33"/>
      <c r="K39" s="33"/>
      <c r="L39" s="33"/>
      <c r="M39" s="33"/>
    </row>
    <row r="40" spans="1:13" ht="13.5" thickBot="1">
      <c r="A40" s="3" t="s">
        <v>682</v>
      </c>
      <c r="B40" s="44">
        <f>B21+B37</f>
        <v>10923529.83</v>
      </c>
      <c r="C40" s="33"/>
      <c r="D40" s="44">
        <f>D21+D37</f>
        <v>488.77</v>
      </c>
      <c r="E40" s="33"/>
      <c r="F40" s="44">
        <f>F21+F37</f>
        <v>0</v>
      </c>
      <c r="G40" s="33"/>
      <c r="H40" s="44">
        <f>H21+H37</f>
        <v>0</v>
      </c>
      <c r="I40" s="33"/>
      <c r="J40" s="44">
        <f>J21+J37</f>
        <v>488.77</v>
      </c>
      <c r="K40" s="33"/>
      <c r="L40" s="44">
        <f>L21+L37</f>
        <v>10924018.6</v>
      </c>
      <c r="M40" s="33"/>
    </row>
    <row r="41" spans="1:13" ht="13.5" thickTop="1">
      <c r="B41" s="1"/>
      <c r="C41" s="1"/>
      <c r="D41" s="1"/>
      <c r="E41" s="1"/>
      <c r="F41" s="1"/>
      <c r="G41" s="1"/>
      <c r="H41" s="1"/>
      <c r="I41" s="1"/>
      <c r="J41" s="1"/>
      <c r="K41" s="1"/>
    </row>
    <row r="42" spans="1:13">
      <c r="B42" s="1"/>
      <c r="C42" s="1"/>
      <c r="D42" s="1"/>
      <c r="E42" s="1"/>
      <c r="F42" s="1"/>
      <c r="G42" s="1"/>
      <c r="H42" s="1"/>
      <c r="I42" s="1"/>
      <c r="J42" s="1"/>
      <c r="K42" s="1"/>
    </row>
    <row r="43" spans="1:13">
      <c r="B43" s="1"/>
      <c r="C43" s="1"/>
      <c r="D43" s="1"/>
      <c r="E43" s="1"/>
      <c r="F43" s="1"/>
      <c r="G43" s="1"/>
      <c r="H43" s="1"/>
      <c r="I43" s="1"/>
      <c r="J43" s="1"/>
      <c r="K43" s="1"/>
    </row>
    <row r="44" spans="1:13">
      <c r="B44" s="1"/>
      <c r="C44" s="1"/>
      <c r="D44" s="1"/>
      <c r="E44" s="1"/>
      <c r="F44" s="1"/>
      <c r="G44" s="1"/>
      <c r="H44" s="1"/>
      <c r="I44" s="1"/>
      <c r="J44" s="1"/>
      <c r="K44" s="1"/>
    </row>
  </sheetData>
  <mergeCells count="3">
    <mergeCell ref="A1:L1"/>
    <mergeCell ref="A2:L2"/>
    <mergeCell ref="A3:L3"/>
  </mergeCells>
  <pageMargins left="0.75" right="0.75" top="1" bottom="1" header="0.5" footer="0.5"/>
  <pageSetup scale="77" fitToHeight="2" orientation="landscape" r:id="rId1"/>
  <headerFooter alignWithMargins="0">
    <oddFooter>&amp;L&amp;Z
&amp;F&amp;C&amp;A&amp;R16.&amp;P</oddFooter>
  </headerFooter>
</worksheet>
</file>

<file path=xl/worksheets/sheet69.xml><?xml version="1.0" encoding="utf-8"?>
<worksheet xmlns="http://schemas.openxmlformats.org/spreadsheetml/2006/main" xmlns:r="http://schemas.openxmlformats.org/officeDocument/2006/relationships">
  <sheetPr codeName="Sheet106"/>
  <dimension ref="A1:P109"/>
  <sheetViews>
    <sheetView zoomScale="90" zoomScaleNormal="90" workbookViewId="0">
      <selection sqref="A1:P1"/>
    </sheetView>
  </sheetViews>
  <sheetFormatPr defaultRowHeight="12.75"/>
  <cols>
    <col min="1" max="1" width="45.7109375" bestFit="1" customWidth="1"/>
    <col min="2" max="2" width="17.7109375" customWidth="1"/>
    <col min="3" max="3" width="1.7109375" customWidth="1"/>
    <col min="4" max="4" width="17.7109375" customWidth="1"/>
    <col min="5" max="5" width="1.7109375" customWidth="1"/>
    <col min="6" max="6" width="17.7109375" customWidth="1"/>
    <col min="7" max="7" width="1.7109375" customWidth="1"/>
    <col min="8" max="8" width="17.7109375" customWidth="1"/>
    <col min="9" max="9" width="1.7109375" customWidth="1"/>
    <col min="10" max="10" width="17.7109375" customWidth="1"/>
    <col min="11" max="11" width="1.7109375" customWidth="1"/>
    <col min="12" max="12" width="17.7109375" customWidth="1"/>
    <col min="13" max="13" width="1.85546875" customWidth="1"/>
    <col min="14" max="14" width="16.42578125" customWidth="1"/>
    <col min="15" max="15" width="1.7109375" customWidth="1"/>
    <col min="16" max="16" width="23.140625" bestFit="1" customWidth="1"/>
  </cols>
  <sheetData>
    <row r="1" spans="1:16" s="38" customFormat="1" ht="15.75">
      <c r="A1" s="366" t="s">
        <v>134</v>
      </c>
      <c r="B1" s="366"/>
      <c r="C1" s="366"/>
      <c r="D1" s="366"/>
      <c r="E1" s="366"/>
      <c r="F1" s="366"/>
      <c r="G1" s="366"/>
      <c r="H1" s="366"/>
      <c r="I1" s="366"/>
      <c r="J1" s="366"/>
      <c r="K1" s="366"/>
      <c r="L1" s="366"/>
      <c r="M1" s="366"/>
      <c r="N1" s="366"/>
      <c r="O1" s="366"/>
      <c r="P1" s="366"/>
    </row>
    <row r="2" spans="1:16" s="38" customFormat="1" ht="15.75">
      <c r="A2" s="367" t="s">
        <v>1195</v>
      </c>
      <c r="B2" s="366"/>
      <c r="C2" s="366"/>
      <c r="D2" s="366"/>
      <c r="E2" s="366"/>
      <c r="F2" s="366"/>
      <c r="G2" s="366"/>
      <c r="H2" s="366"/>
      <c r="I2" s="366"/>
      <c r="J2" s="366"/>
      <c r="K2" s="366"/>
      <c r="L2" s="366"/>
      <c r="M2" s="366"/>
      <c r="N2" s="366"/>
      <c r="O2" s="366"/>
      <c r="P2" s="366"/>
    </row>
    <row r="3" spans="1:16">
      <c r="A3" s="357" t="str">
        <f>'Summary - Cost - PG 1 (Tot)'!A3:N3</f>
        <v>MARCH 2012</v>
      </c>
      <c r="B3" s="357"/>
      <c r="C3" s="357"/>
      <c r="D3" s="357"/>
      <c r="E3" s="357"/>
      <c r="F3" s="357"/>
      <c r="G3" s="357"/>
      <c r="H3" s="357"/>
      <c r="I3" s="357"/>
      <c r="J3" s="357"/>
      <c r="K3" s="357"/>
      <c r="L3" s="357"/>
      <c r="M3" s="357"/>
      <c r="N3" s="357"/>
      <c r="O3" s="357"/>
      <c r="P3" s="357"/>
    </row>
    <row r="4" spans="1:16">
      <c r="A4" s="190"/>
      <c r="B4" s="190"/>
      <c r="C4" s="190"/>
      <c r="D4" s="190"/>
      <c r="E4" s="190"/>
      <c r="F4" s="190"/>
      <c r="G4" s="190"/>
      <c r="H4" s="190"/>
      <c r="I4" s="190"/>
      <c r="J4" s="190"/>
      <c r="K4" s="190"/>
      <c r="L4" s="190"/>
    </row>
    <row r="6" spans="1:16">
      <c r="B6" s="41" t="s">
        <v>25</v>
      </c>
      <c r="D6" s="182"/>
      <c r="F6" s="182"/>
      <c r="H6" s="41" t="s">
        <v>612</v>
      </c>
      <c r="J6" s="182"/>
      <c r="L6" s="41" t="s">
        <v>26</v>
      </c>
      <c r="P6" s="29" t="s">
        <v>422</v>
      </c>
    </row>
    <row r="7" spans="1:16" s="10" customFormat="1">
      <c r="A7" s="12" t="s">
        <v>371</v>
      </c>
      <c r="B7" s="42" t="s">
        <v>27</v>
      </c>
      <c r="C7"/>
      <c r="D7" s="42" t="s">
        <v>107</v>
      </c>
      <c r="E7"/>
      <c r="F7" s="42" t="s">
        <v>108</v>
      </c>
      <c r="G7"/>
      <c r="H7" s="42" t="s">
        <v>613</v>
      </c>
      <c r="I7"/>
      <c r="J7" s="42" t="s">
        <v>109</v>
      </c>
      <c r="K7"/>
      <c r="L7" s="42" t="s">
        <v>27</v>
      </c>
      <c r="N7" s="42" t="s">
        <v>46</v>
      </c>
      <c r="P7" s="42" t="s">
        <v>419</v>
      </c>
    </row>
    <row r="8" spans="1:16" s="10" customFormat="1">
      <c r="A8" s="12" t="s">
        <v>296</v>
      </c>
      <c r="B8" s="54"/>
      <c r="C8"/>
      <c r="D8" s="54"/>
      <c r="E8"/>
      <c r="F8" s="54"/>
      <c r="G8"/>
      <c r="H8" s="54"/>
      <c r="I8"/>
      <c r="J8" s="54"/>
      <c r="K8"/>
      <c r="L8" s="54"/>
    </row>
    <row r="9" spans="1:16" s="10" customFormat="1">
      <c r="A9" s="12" t="s">
        <v>420</v>
      </c>
      <c r="B9" s="54"/>
      <c r="C9"/>
      <c r="D9" s="54"/>
      <c r="E9"/>
      <c r="F9" s="54"/>
      <c r="G9"/>
      <c r="H9" s="54"/>
      <c r="I9"/>
      <c r="J9" s="54"/>
      <c r="K9"/>
      <c r="L9" s="54"/>
    </row>
    <row r="10" spans="1:16">
      <c r="A10" s="3" t="s">
        <v>121</v>
      </c>
    </row>
    <row r="11" spans="1:16">
      <c r="A11" t="s">
        <v>848</v>
      </c>
      <c r="B11" s="182">
        <f>'KY_Cost Plant Acct-Gas-P20(Tot)'!B11</f>
        <v>59724.58</v>
      </c>
      <c r="C11" s="182"/>
      <c r="D11" s="182">
        <f>'KY_Cost Plant Acct-Gas-P20(Tot)'!D11</f>
        <v>0</v>
      </c>
      <c r="E11" s="182"/>
      <c r="F11" s="182">
        <f>'KY_Cost Plant Acct-Gas-P20(Tot)'!F11</f>
        <v>0</v>
      </c>
      <c r="G11" s="182"/>
      <c r="H11" s="182">
        <f>'KY_Cost Plant Acct-Gas-P20(Tot)'!H11</f>
        <v>0</v>
      </c>
      <c r="I11" s="182"/>
      <c r="J11" s="182">
        <f t="shared" ref="J11:J24" si="0">H11+F11+D11</f>
        <v>0</v>
      </c>
      <c r="K11" s="182"/>
      <c r="L11" s="182">
        <f t="shared" ref="L11:L24" si="1">J11+B11</f>
        <v>59724.58</v>
      </c>
      <c r="M11" s="4"/>
      <c r="N11" s="89">
        <f>'KY_Res by Plant Acct-P29 (Tot)'!R339</f>
        <v>0</v>
      </c>
      <c r="P11" s="89">
        <f t="shared" ref="P11:P24" si="2">L11+N11</f>
        <v>59724.58</v>
      </c>
    </row>
    <row r="12" spans="1:16">
      <c r="A12" t="s">
        <v>849</v>
      </c>
      <c r="B12" s="182">
        <f>'KY_Cost Plant Acct-Gas-P20(Tot)'!B12</f>
        <v>-3357.2400000000052</v>
      </c>
      <c r="C12" s="182"/>
      <c r="D12" s="182">
        <f>'KY_Cost Plant Acct-Gas-P20(Tot)'!D12</f>
        <v>0</v>
      </c>
      <c r="E12" s="182"/>
      <c r="F12" s="182">
        <f>'KY_Cost Plant Acct-Gas-P20(Tot)'!F12</f>
        <v>0</v>
      </c>
      <c r="G12" s="182"/>
      <c r="H12" s="182">
        <f>'KY_Cost Plant Acct-Gas-P20(Tot)'!H12</f>
        <v>0</v>
      </c>
      <c r="I12" s="182"/>
      <c r="J12" s="182">
        <f t="shared" si="0"/>
        <v>0</v>
      </c>
      <c r="K12" s="182"/>
      <c r="L12" s="182">
        <f t="shared" si="1"/>
        <v>-3357.2400000000052</v>
      </c>
      <c r="M12" s="4"/>
      <c r="N12" s="89">
        <f>'KY_Res by Plant Acct-P29 (Tot)'!R340</f>
        <v>-41.990000000001743</v>
      </c>
      <c r="P12" s="89">
        <f t="shared" si="2"/>
        <v>-3399.2300000000068</v>
      </c>
    </row>
    <row r="13" spans="1:16">
      <c r="A13" t="s">
        <v>850</v>
      </c>
      <c r="B13" s="182">
        <f>'KY_Cost Plant Acct-Gas-P20(Tot)'!B13+'KY_Cost Plant Acct-Gas-P20(Tot)'!B73</f>
        <v>274572.55</v>
      </c>
      <c r="C13" s="182"/>
      <c r="D13" s="182">
        <f>'KY_Cost Plant Acct-Gas-P20(Tot)'!D13+'KY_Cost Plant Acct-Gas-P20(Tot)'!D73</f>
        <v>0</v>
      </c>
      <c r="E13" s="182"/>
      <c r="F13" s="182">
        <f>'KY_Cost Plant Acct-Gas-P20(Tot)'!F13</f>
        <v>0</v>
      </c>
      <c r="G13" s="182"/>
      <c r="H13" s="182">
        <f>'KY_Cost Plant Acct-Gas-P20(Tot)'!H13</f>
        <v>0</v>
      </c>
      <c r="I13" s="182"/>
      <c r="J13" s="182">
        <f t="shared" si="0"/>
        <v>0</v>
      </c>
      <c r="K13" s="182"/>
      <c r="L13" s="182">
        <f t="shared" si="1"/>
        <v>274572.55</v>
      </c>
      <c r="M13" s="4"/>
      <c r="N13" s="89">
        <f>'KY_Res by Plant Acct-P29 (Tot)'!R341</f>
        <v>-23591.529999999988</v>
      </c>
      <c r="P13" s="89">
        <f t="shared" si="2"/>
        <v>250981.02</v>
      </c>
    </row>
    <row r="14" spans="1:16">
      <c r="A14" t="s">
        <v>71</v>
      </c>
      <c r="B14" s="182">
        <f>'KY_Cost Plant Acct-Gas-P20(Tot)'!B14</f>
        <v>408380.84000000008</v>
      </c>
      <c r="C14" s="182"/>
      <c r="D14" s="182">
        <f>'KY_Cost Plant Acct-Gas-P20(Tot)'!D14+'KY_Cost Plant Acct-Gas-P20(Tot)'!D74</f>
        <v>0</v>
      </c>
      <c r="E14" s="182"/>
      <c r="F14" s="182">
        <f>'KY_Cost Plant Acct-Gas-P20(Tot)'!F14</f>
        <v>0</v>
      </c>
      <c r="G14" s="182"/>
      <c r="H14" s="182">
        <f>'KY_Cost Plant Acct-Gas-P20(Tot)'!H14</f>
        <v>0</v>
      </c>
      <c r="I14" s="182"/>
      <c r="J14" s="182">
        <f t="shared" si="0"/>
        <v>0</v>
      </c>
      <c r="K14" s="182"/>
      <c r="L14" s="182">
        <f t="shared" si="1"/>
        <v>408380.84000000008</v>
      </c>
      <c r="M14" s="4"/>
      <c r="N14" s="89">
        <f>'KY_Res by Plant Acct-P29 (Tot)'!R342</f>
        <v>-83423.700000000012</v>
      </c>
      <c r="P14" s="89">
        <f t="shared" si="2"/>
        <v>324957.14000000007</v>
      </c>
    </row>
    <row r="15" spans="1:16">
      <c r="A15" t="s">
        <v>72</v>
      </c>
      <c r="B15" s="182">
        <f>'KY_Cost Plant Acct-Gas-P20(Tot)'!B15+'KY_Cost Plant Acct-Gas-P20(Tot)'!B75</f>
        <v>238748125.32000002</v>
      </c>
      <c r="C15" s="182"/>
      <c r="D15" s="182">
        <f>'KY_Cost Plant Acct-Gas-P20(Tot)'!D15+'KY_Cost Plant Acct-Gas-P20(Tot)'!D75</f>
        <v>12137355.799999999</v>
      </c>
      <c r="E15" s="182"/>
      <c r="F15" s="182">
        <f>'KY_Cost Plant Acct-Gas-P20(Tot)'!F15</f>
        <v>-5116.34</v>
      </c>
      <c r="G15" s="182"/>
      <c r="H15" s="182">
        <f>'KY_Cost Plant Acct-Gas-P20(Tot)'!H15+'KY_Cost Plant Acct-Gas-P20(Tot)'!H75</f>
        <v>-134900.23000000001</v>
      </c>
      <c r="I15" s="182"/>
      <c r="J15" s="182">
        <f t="shared" si="0"/>
        <v>11997339.229999999</v>
      </c>
      <c r="K15" s="182"/>
      <c r="L15" s="182">
        <f t="shared" si="1"/>
        <v>250745464.55000001</v>
      </c>
      <c r="M15" s="4"/>
      <c r="N15" s="89">
        <f>'KY_Res by Plant Acct-P29 (Tot)'!R343</f>
        <v>-23225615.039999995</v>
      </c>
      <c r="P15" s="89">
        <f t="shared" si="2"/>
        <v>227519849.51000002</v>
      </c>
    </row>
    <row r="16" spans="1:16">
      <c r="A16" t="s">
        <v>73</v>
      </c>
      <c r="B16" s="182">
        <f>'KY_Cost Plant Acct-Gas-P20(Tot)'!B16+'KY_Cost Plant Acct-Gas-P20(Tot)'!B76</f>
        <v>10140149.719999999</v>
      </c>
      <c r="C16" s="182"/>
      <c r="D16" s="182">
        <f>'KY_Cost Plant Acct-Gas-P20(Tot)'!D16+'KY_Cost Plant Acct-Gas-P20(Tot)'!D76</f>
        <v>32754.869999999995</v>
      </c>
      <c r="E16" s="182"/>
      <c r="F16" s="182">
        <f>'KY_Cost Plant Acct-Gas-P20(Tot)'!F16</f>
        <v>-3295.07</v>
      </c>
      <c r="G16" s="182"/>
      <c r="H16" s="182">
        <f>'KY_Cost Plant Acct-Gas-P20(Tot)'!H16</f>
        <v>0</v>
      </c>
      <c r="I16" s="182"/>
      <c r="J16" s="182">
        <f t="shared" si="0"/>
        <v>29459.799999999996</v>
      </c>
      <c r="K16" s="182"/>
      <c r="L16" s="182">
        <f t="shared" si="1"/>
        <v>10169609.52</v>
      </c>
      <c r="M16" s="4"/>
      <c r="N16" s="89">
        <f>'KY_Res by Plant Acct-P29 (Tot)'!R344</f>
        <v>-531518.18999999994</v>
      </c>
      <c r="P16" s="89">
        <f t="shared" si="2"/>
        <v>9638091.3300000001</v>
      </c>
    </row>
    <row r="17" spans="1:16">
      <c r="A17" t="s">
        <v>74</v>
      </c>
      <c r="B17" s="182">
        <f>'KY_Cost Plant Acct-Gas-P20(Tot)'!B17+'KY_Cost Plant Acct-Gas-P20(Tot)'!B77</f>
        <v>2741518.91</v>
      </c>
      <c r="C17" s="182"/>
      <c r="D17" s="182">
        <f>'KY_Cost Plant Acct-Gas-P20(Tot)'!D17+'KY_Cost Plant Acct-Gas-P20(Tot)'!D77</f>
        <v>76938.37</v>
      </c>
      <c r="E17" s="182"/>
      <c r="F17" s="182">
        <f>'KY_Cost Plant Acct-Gas-P20(Tot)'!F17</f>
        <v>0</v>
      </c>
      <c r="G17" s="182"/>
      <c r="H17" s="182">
        <f>'KY_Cost Plant Acct-Gas-P20(Tot)'!H17</f>
        <v>0</v>
      </c>
      <c r="I17" s="182"/>
      <c r="J17" s="182">
        <f t="shared" si="0"/>
        <v>76938.37</v>
      </c>
      <c r="K17" s="182"/>
      <c r="L17" s="182">
        <f t="shared" si="1"/>
        <v>2818457.2800000003</v>
      </c>
      <c r="M17" s="4"/>
      <c r="N17" s="89">
        <f>'KY_Res by Plant Acct-P29 (Tot)'!R345</f>
        <v>-52000.069999999832</v>
      </c>
      <c r="P17" s="89">
        <f t="shared" si="2"/>
        <v>2766457.2100000004</v>
      </c>
    </row>
    <row r="18" spans="1:16">
      <c r="A18" t="s">
        <v>75</v>
      </c>
      <c r="B18" s="182">
        <f>'KY_Cost Plant Acct-Gas-P20(Tot)'!B18+'KY_Cost Plant Acct-Gas-P20(Tot)'!B78</f>
        <v>165618136.22</v>
      </c>
      <c r="C18" s="182"/>
      <c r="D18" s="182">
        <f>'KY_Cost Plant Acct-Gas-P20(Tot)'!D18+'KY_Cost Plant Acct-Gas-P20(Tot)'!D78</f>
        <v>2023213.46</v>
      </c>
      <c r="E18" s="182"/>
      <c r="F18" s="182">
        <f>'KY_Cost Plant Acct-Gas-P20(Tot)'!F18</f>
        <v>-720.31</v>
      </c>
      <c r="G18" s="182"/>
      <c r="H18" s="182">
        <f>'KY_Cost Plant Acct-Gas-P20(Tot)'!H18+'KY_Cost Plant Acct-Gas-P20(Tot)'!H78</f>
        <v>0</v>
      </c>
      <c r="I18" s="182"/>
      <c r="J18" s="182">
        <f t="shared" si="0"/>
        <v>2022493.15</v>
      </c>
      <c r="K18" s="182"/>
      <c r="L18" s="182">
        <f t="shared" si="1"/>
        <v>167640629.37</v>
      </c>
      <c r="M18" s="4"/>
      <c r="N18" s="89">
        <f>'KY_Res by Plant Acct-P29 (Tot)'!R346</f>
        <v>-43576367.729999997</v>
      </c>
      <c r="P18" s="89">
        <f t="shared" si="2"/>
        <v>124064261.64000002</v>
      </c>
    </row>
    <row r="19" spans="1:16">
      <c r="A19" t="s">
        <v>76</v>
      </c>
      <c r="B19" s="182">
        <f>'KY_Cost Plant Acct-Gas-P20(Tot)'!B19+'KY_Cost Plant Acct-Gas-P20(Tot)'!B79</f>
        <v>34944119.940000005</v>
      </c>
      <c r="C19" s="182"/>
      <c r="D19" s="182">
        <f>'KY_Cost Plant Acct-Gas-P20(Tot)'!D19+'KY_Cost Plant Acct-Gas-P20(Tot)'!D79</f>
        <v>156773.64000000001</v>
      </c>
      <c r="E19" s="182"/>
      <c r="F19" s="182">
        <f>'KY_Cost Plant Acct-Gas-P20(Tot)'!F19</f>
        <v>0</v>
      </c>
      <c r="G19" s="182"/>
      <c r="H19" s="182">
        <f>'KY_Cost Plant Acct-Gas-P20(Tot)'!H19</f>
        <v>0</v>
      </c>
      <c r="I19" s="182"/>
      <c r="J19" s="182">
        <f t="shared" si="0"/>
        <v>156773.64000000001</v>
      </c>
      <c r="K19" s="182"/>
      <c r="L19" s="182">
        <f t="shared" si="1"/>
        <v>35100893.580000006</v>
      </c>
      <c r="M19" s="4"/>
      <c r="N19" s="89">
        <f>'KY_Res by Plant Acct-P29 (Tot)'!R347</f>
        <v>-3069171.0300000003</v>
      </c>
      <c r="P19" s="89">
        <f t="shared" si="2"/>
        <v>32031722.550000004</v>
      </c>
    </row>
    <row r="20" spans="1:16">
      <c r="A20" t="s">
        <v>77</v>
      </c>
      <c r="B20" s="182">
        <f>'KY_Cost Plant Acct-Gas-P20(Tot)'!B20+'KY_Cost Plant Acct-Gas-P20(Tot)'!B80</f>
        <v>22885937.780000001</v>
      </c>
      <c r="C20" s="182"/>
      <c r="D20" s="182">
        <f>'KY_Cost Plant Acct-Gas-P20(Tot)'!D20+'KY_Cost Plant Acct-Gas-P20(Tot)'!D80</f>
        <v>436751.28</v>
      </c>
      <c r="E20" s="182"/>
      <c r="F20" s="182">
        <f>'KY_Cost Plant Acct-Gas-P20(Tot)'!F20</f>
        <v>0</v>
      </c>
      <c r="G20" s="182"/>
      <c r="H20" s="182">
        <f>'KY_Cost Plant Acct-Gas-P20(Tot)'!H20+'KY_Cost Plant Acct-Gas-P20(Tot)'!H80</f>
        <v>0</v>
      </c>
      <c r="I20" s="182"/>
      <c r="J20" s="182">
        <f t="shared" si="0"/>
        <v>436751.28</v>
      </c>
      <c r="K20" s="182"/>
      <c r="L20" s="182">
        <f t="shared" si="1"/>
        <v>23322689.060000002</v>
      </c>
      <c r="M20" s="4"/>
      <c r="N20" s="89">
        <f>'KY_Res by Plant Acct-P29 (Tot)'!R348</f>
        <v>-72053.689999999857</v>
      </c>
      <c r="P20" s="89">
        <f t="shared" si="2"/>
        <v>23250635.370000001</v>
      </c>
    </row>
    <row r="21" spans="1:16">
      <c r="A21" t="s">
        <v>78</v>
      </c>
      <c r="B21" s="182">
        <f>'KY_Cost Plant Acct-Gas-P20(Tot)'!B21+'KY_Cost Plant Acct-Gas-P20(Tot)'!B81</f>
        <v>822514.4</v>
      </c>
      <c r="C21" s="182"/>
      <c r="D21" s="182">
        <f>'KY_Cost Plant Acct-Gas-P20(Tot)'!D21+'KY_Cost Plant Acct-Gas-P20(Tot)'!D81</f>
        <v>0</v>
      </c>
      <c r="E21" s="182"/>
      <c r="F21" s="182">
        <f>'KY_Cost Plant Acct-Gas-P20(Tot)'!F21</f>
        <v>0</v>
      </c>
      <c r="G21" s="182"/>
      <c r="H21" s="182">
        <f>'KY_Cost Plant Acct-Gas-P20(Tot)'!H21+'KY_Cost Plant Acct-Gas-P20(Tot)'!H81</f>
        <v>0</v>
      </c>
      <c r="I21" s="182"/>
      <c r="J21" s="182">
        <f t="shared" si="0"/>
        <v>0</v>
      </c>
      <c r="K21" s="182"/>
      <c r="L21" s="182">
        <f t="shared" si="1"/>
        <v>822514.4</v>
      </c>
      <c r="M21" s="4"/>
      <c r="N21" s="89">
        <f>'KY_Res by Plant Acct-P29 (Tot)'!R349</f>
        <v>20470.630000000005</v>
      </c>
      <c r="P21" s="89">
        <f t="shared" si="2"/>
        <v>842985.03</v>
      </c>
    </row>
    <row r="22" spans="1:16">
      <c r="A22" t="s">
        <v>79</v>
      </c>
      <c r="B22" s="182">
        <f>'KY_Cost Plant Acct-Gas-P20(Tot)'!B22</f>
        <v>50425.84</v>
      </c>
      <c r="C22" s="52"/>
      <c r="D22" s="182">
        <f>'KY_Cost Plant Acct-Gas-P20(Tot)'!D22+'KY_Cost Plant Acct-Gas-P20(Tot)'!D82</f>
        <v>0</v>
      </c>
      <c r="E22" s="52"/>
      <c r="F22" s="182">
        <f>'KY_Cost Plant Acct-Gas-P20(Tot)'!F22</f>
        <v>0</v>
      </c>
      <c r="G22" s="52"/>
      <c r="H22" s="182">
        <f>'KY_Cost Plant Acct-Gas-P20(Tot)'!H22</f>
        <v>0</v>
      </c>
      <c r="I22" s="52"/>
      <c r="J22" s="52">
        <f t="shared" si="0"/>
        <v>0</v>
      </c>
      <c r="K22" s="52"/>
      <c r="L22" s="52">
        <f t="shared" si="1"/>
        <v>50425.84</v>
      </c>
      <c r="M22" s="55"/>
      <c r="N22" s="89">
        <f>'KY_Res by Plant Acct-P29 (Tot)'!R350</f>
        <v>-19380.329999999998</v>
      </c>
      <c r="O22" s="7"/>
      <c r="P22" s="89">
        <f t="shared" si="2"/>
        <v>31045.51</v>
      </c>
    </row>
    <row r="23" spans="1:16">
      <c r="A23" t="s">
        <v>80</v>
      </c>
      <c r="B23" s="182">
        <f>'KY_Cost Plant Acct-Gas-P20(Tot)'!B23</f>
        <v>2962.94</v>
      </c>
      <c r="C23" s="52"/>
      <c r="D23" s="182">
        <f>'KY_Cost Plant Acct-Gas-P20(Tot)'!D23</f>
        <v>0</v>
      </c>
      <c r="E23" s="52"/>
      <c r="F23" s="182">
        <f>'KY_Cost Plant Acct-Gas-P20(Tot)'!F23</f>
        <v>0</v>
      </c>
      <c r="G23" s="52"/>
      <c r="H23" s="182">
        <f>'KY_Cost Plant Acct-Gas-P20(Tot)'!H23</f>
        <v>0</v>
      </c>
      <c r="I23" s="52"/>
      <c r="J23" s="52">
        <f t="shared" si="0"/>
        <v>0</v>
      </c>
      <c r="K23" s="52"/>
      <c r="L23" s="52">
        <f t="shared" si="1"/>
        <v>2962.94</v>
      </c>
      <c r="M23" s="55"/>
      <c r="N23" s="89">
        <f>'KY_Res by Plant Acct-P29 (Tot)'!R351</f>
        <v>-108.59000000000003</v>
      </c>
      <c r="O23" s="7"/>
      <c r="P23" s="89">
        <f t="shared" si="2"/>
        <v>2854.35</v>
      </c>
    </row>
    <row r="24" spans="1:16">
      <c r="A24" t="s">
        <v>898</v>
      </c>
      <c r="B24" s="48">
        <f>'KY_Cost Plant Acct-Gas-P20(Tot)'!B24</f>
        <v>11928646.510000002</v>
      </c>
      <c r="C24" s="52"/>
      <c r="D24" s="48">
        <f>'KY_Cost Plant Acct-Gas-P20(Tot)'!D24</f>
        <v>0</v>
      </c>
      <c r="E24" s="52"/>
      <c r="F24" s="48">
        <f>'KY_Cost Plant Acct-Gas-P20(Tot)'!F24</f>
        <v>0</v>
      </c>
      <c r="G24" s="52"/>
      <c r="H24" s="48">
        <f>'KY_Cost Plant Acct-Gas-P20(Tot)'!H24</f>
        <v>0</v>
      </c>
      <c r="I24" s="52"/>
      <c r="J24" s="48">
        <f t="shared" si="0"/>
        <v>0</v>
      </c>
      <c r="K24" s="52"/>
      <c r="L24" s="48">
        <f t="shared" si="1"/>
        <v>11928646.510000002</v>
      </c>
      <c r="M24" s="55"/>
      <c r="N24" s="90">
        <f>'KY_Res by Plant Acct-P29 (Tot)'!R352</f>
        <v>-420314.85000000155</v>
      </c>
      <c r="O24" s="7"/>
      <c r="P24" s="90">
        <f t="shared" si="2"/>
        <v>11508331.66</v>
      </c>
    </row>
    <row r="25" spans="1:16">
      <c r="B25" s="52">
        <f>SUM(B11:B24)</f>
        <v>488621858.30999994</v>
      </c>
      <c r="C25" s="52"/>
      <c r="D25" s="52">
        <f>SUM(D11:D24)</f>
        <v>14863787.419999996</v>
      </c>
      <c r="E25" s="52"/>
      <c r="F25" s="52">
        <f>SUM(F11:F24)</f>
        <v>-9131.7199999999993</v>
      </c>
      <c r="G25" s="52"/>
      <c r="H25" s="52">
        <f>SUM(H11:H24)</f>
        <v>-134900.23000000001</v>
      </c>
      <c r="I25" s="52"/>
      <c r="J25" s="52">
        <f>SUM(J11:J24)</f>
        <v>14719755.469999999</v>
      </c>
      <c r="K25" s="52"/>
      <c r="L25" s="52">
        <f>SUM(L11:L24)</f>
        <v>503341613.77999997</v>
      </c>
      <c r="M25" s="55"/>
      <c r="N25" s="83">
        <f>SUM(N11:N24)</f>
        <v>-71053116.110000014</v>
      </c>
      <c r="O25" s="7"/>
      <c r="P25" s="83">
        <f>SUM(P11:P24)</f>
        <v>432288497.67000008</v>
      </c>
    </row>
    <row r="26" spans="1:16">
      <c r="B26" s="182"/>
      <c r="C26" s="182"/>
      <c r="D26" s="182"/>
      <c r="E26" s="182"/>
      <c r="F26" s="182"/>
      <c r="G26" s="182"/>
      <c r="H26" s="182"/>
      <c r="I26" s="182"/>
      <c r="J26" s="182"/>
      <c r="K26" s="182"/>
      <c r="L26" s="182"/>
      <c r="M26" s="4"/>
    </row>
    <row r="27" spans="1:16">
      <c r="A27" s="3" t="s">
        <v>122</v>
      </c>
      <c r="B27" s="182"/>
      <c r="C27" s="182"/>
      <c r="D27" s="182"/>
      <c r="E27" s="182"/>
      <c r="F27" s="182"/>
      <c r="G27" s="182"/>
      <c r="H27" s="182"/>
      <c r="I27" s="182"/>
      <c r="J27" s="182"/>
      <c r="K27" s="182"/>
      <c r="L27" s="182"/>
      <c r="M27" s="4"/>
    </row>
    <row r="28" spans="1:16">
      <c r="A28" t="s">
        <v>899</v>
      </c>
      <c r="B28" s="182">
        <f>'KY_Cost Plant Acct-Gas-P20(Tot)'!B28+'KY_Cost Plant Acct-Gas-P20(Tot)'!B86</f>
        <v>277818.58000000031</v>
      </c>
      <c r="C28" s="182"/>
      <c r="D28" s="182">
        <f>'KY_Cost Plant Acct-Gas-P20(Tot)'!D28+'KY_Cost Plant Acct-Gas-P20(Tot)'!D86</f>
        <v>112284.74</v>
      </c>
      <c r="E28" s="182"/>
      <c r="F28" s="182">
        <f>'KY_Cost Plant Acct-Gas-P20(Tot)'!F28</f>
        <v>0</v>
      </c>
      <c r="G28" s="182"/>
      <c r="H28" s="182">
        <f>'KY_Cost Plant Acct-Gas-P20(Tot)'!H28</f>
        <v>0</v>
      </c>
      <c r="I28" s="182"/>
      <c r="J28" s="182">
        <f t="shared" ref="J28:J33" si="3">H28+F28+D28</f>
        <v>112284.74</v>
      </c>
      <c r="K28" s="182"/>
      <c r="L28" s="182">
        <f t="shared" ref="L28:L33" si="4">J28+B28</f>
        <v>390103.3200000003</v>
      </c>
      <c r="M28" s="4"/>
      <c r="N28" s="89">
        <f>'KY_Res by Plant Acct-P29 (Tot)'!R356</f>
        <v>-60735.54000000027</v>
      </c>
      <c r="P28" s="89">
        <f t="shared" ref="P28:P33" si="5">L28+N28</f>
        <v>329367.78000000003</v>
      </c>
    </row>
    <row r="29" spans="1:16">
      <c r="A29" t="s">
        <v>900</v>
      </c>
      <c r="B29" s="182">
        <f>'KY_Cost Plant Acct-Gas-P20(Tot)'!B29+'KY_Cost Plant Acct-Gas-P20(Tot)'!B87</f>
        <v>383644.97</v>
      </c>
      <c r="C29" s="182"/>
      <c r="D29" s="182">
        <f>'KY_Cost Plant Acct-Gas-P20(Tot)'!D29+'KY_Cost Plant Acct-Gas-P20(Tot)'!D87</f>
        <v>14444.049999999996</v>
      </c>
      <c r="E29" s="182"/>
      <c r="F29" s="182">
        <f>'KY_Cost Plant Acct-Gas-P20(Tot)'!F29</f>
        <v>0</v>
      </c>
      <c r="G29" s="182"/>
      <c r="H29" s="182">
        <f>'KY_Cost Plant Acct-Gas-P20(Tot)'!H29</f>
        <v>0</v>
      </c>
      <c r="I29" s="182"/>
      <c r="J29" s="182">
        <f t="shared" si="3"/>
        <v>14444.049999999996</v>
      </c>
      <c r="K29" s="182"/>
      <c r="L29" s="182">
        <f t="shared" si="4"/>
        <v>398089.01999999996</v>
      </c>
      <c r="M29" s="4"/>
      <c r="N29" s="89">
        <f>'KY_Res by Plant Acct-P29 (Tot)'!R357</f>
        <v>-15452.170000000007</v>
      </c>
      <c r="P29" s="89">
        <f t="shared" si="5"/>
        <v>382636.85</v>
      </c>
    </row>
    <row r="30" spans="1:16">
      <c r="A30" t="s">
        <v>901</v>
      </c>
      <c r="B30" s="182">
        <f>'KY_Cost Plant Acct-Gas-P20(Tot)'!B30+'KY_Cost Plant Acct-Gas-P20(Tot)'!B88</f>
        <v>2601950.4400000004</v>
      </c>
      <c r="C30" s="182"/>
      <c r="D30" s="182">
        <f>'KY_Cost Plant Acct-Gas-P20(Tot)'!D30+'KY_Cost Plant Acct-Gas-P20(Tot)'!D88</f>
        <v>386245.94</v>
      </c>
      <c r="E30" s="182"/>
      <c r="F30" s="182">
        <f>'KY_Cost Plant Acct-Gas-P20(Tot)'!F30</f>
        <v>0</v>
      </c>
      <c r="G30" s="182"/>
      <c r="H30" s="182">
        <f>'KY_Cost Plant Acct-Gas-P20(Tot)'!H30+'KY_Cost Plant Acct-Gas-P20(Tot)'!H88</f>
        <v>0</v>
      </c>
      <c r="I30" s="182"/>
      <c r="J30" s="182">
        <f t="shared" si="3"/>
        <v>386245.94</v>
      </c>
      <c r="K30" s="182"/>
      <c r="L30" s="182">
        <f t="shared" si="4"/>
        <v>2988196.3800000004</v>
      </c>
      <c r="M30" s="4"/>
      <c r="N30" s="89">
        <f>'KY_Res by Plant Acct-P29 (Tot)'!R358</f>
        <v>-42551.32999999958</v>
      </c>
      <c r="P30" s="89">
        <f t="shared" si="5"/>
        <v>2945645.0500000007</v>
      </c>
    </row>
    <row r="31" spans="1:16">
      <c r="A31" t="s">
        <v>995</v>
      </c>
      <c r="B31" s="182">
        <f>'KY_Cost Plant Acct-Gas-P20(Tot)'!B31+'KY_Cost Plant Acct-Gas-P20(Tot)'!B89</f>
        <v>-6890.71</v>
      </c>
      <c r="C31" s="182"/>
      <c r="D31" s="182">
        <f>'KY_Cost Plant Acct-Gas-P20(Tot)'!D31+'KY_Cost Plant Acct-Gas-P20(Tot)'!D89</f>
        <v>0</v>
      </c>
      <c r="E31" s="182"/>
      <c r="F31" s="182">
        <f>'KY_Cost Plant Acct-Gas-P20(Tot)'!F31</f>
        <v>0</v>
      </c>
      <c r="G31" s="182"/>
      <c r="H31" s="182">
        <f>'KY_Cost Plant Acct-Gas-P20(Tot)'!H31</f>
        <v>0</v>
      </c>
      <c r="I31" s="182"/>
      <c r="J31" s="182">
        <f t="shared" si="3"/>
        <v>0</v>
      </c>
      <c r="K31" s="182"/>
      <c r="L31" s="182">
        <f t="shared" si="4"/>
        <v>-6890.71</v>
      </c>
      <c r="M31" s="4"/>
      <c r="N31" s="89">
        <f>'KY_Res by Plant Acct-P29 (Tot)'!R359</f>
        <v>6890.71</v>
      </c>
      <c r="P31" s="89">
        <f t="shared" si="5"/>
        <v>0</v>
      </c>
    </row>
    <row r="32" spans="1:16">
      <c r="A32" t="s">
        <v>996</v>
      </c>
      <c r="B32" s="182">
        <f>'KY_Cost Plant Acct-Gas-P20(Tot)'!B32+'KY_Cost Plant Acct-Gas-P20(Tot)'!B90</f>
        <v>349112.87999999989</v>
      </c>
      <c r="C32" s="52"/>
      <c r="D32" s="182">
        <f>'KY_Cost Plant Acct-Gas-P20(Tot)'!D32+'KY_Cost Plant Acct-Gas-P20(Tot)'!D90</f>
        <v>0</v>
      </c>
      <c r="E32" s="52"/>
      <c r="F32" s="182">
        <f>'KY_Cost Plant Acct-Gas-P20(Tot)'!F32</f>
        <v>0</v>
      </c>
      <c r="G32" s="52"/>
      <c r="H32" s="182">
        <f>'KY_Cost Plant Acct-Gas-P20(Tot)'!H32</f>
        <v>0</v>
      </c>
      <c r="I32" s="52"/>
      <c r="J32" s="52">
        <f t="shared" si="3"/>
        <v>0</v>
      </c>
      <c r="K32" s="52"/>
      <c r="L32" s="52">
        <f t="shared" si="4"/>
        <v>349112.87999999989</v>
      </c>
      <c r="M32" s="55"/>
      <c r="N32" s="89">
        <f>'KY_Res by Plant Acct-P29 (Tot)'!R360</f>
        <v>-80070.229999999545</v>
      </c>
      <c r="P32" s="89">
        <f t="shared" si="5"/>
        <v>269042.65000000037</v>
      </c>
    </row>
    <row r="33" spans="1:16">
      <c r="A33" t="s">
        <v>997</v>
      </c>
      <c r="B33" s="48">
        <f>'KY_Cost Plant Acct-Gas-P20(Tot)'!B33+'KY_Cost Plant Acct-Gas-P20(Tot)'!B91</f>
        <v>142529</v>
      </c>
      <c r="C33" s="52"/>
      <c r="D33" s="48">
        <f>'KY_Cost Plant Acct-Gas-P20(Tot)'!D33+'KY_Cost Plant Acct-Gas-P20(Tot)'!D91</f>
        <v>0</v>
      </c>
      <c r="E33" s="52"/>
      <c r="F33" s="48">
        <f>'KY_Cost Plant Acct-Gas-P20(Tot)'!F33</f>
        <v>0</v>
      </c>
      <c r="G33" s="52"/>
      <c r="H33" s="48">
        <f>'KY_Cost Plant Acct-Gas-P20(Tot)'!H33</f>
        <v>0</v>
      </c>
      <c r="I33" s="52"/>
      <c r="J33" s="48">
        <f t="shared" si="3"/>
        <v>0</v>
      </c>
      <c r="K33" s="52"/>
      <c r="L33" s="48">
        <f t="shared" si="4"/>
        <v>142529</v>
      </c>
      <c r="M33" s="55"/>
      <c r="N33" s="90">
        <f>'KY_Res by Plant Acct-P29 (Tot)'!R361</f>
        <v>-2288.8999999999965</v>
      </c>
      <c r="P33" s="90">
        <f t="shared" si="5"/>
        <v>140240.1</v>
      </c>
    </row>
    <row r="34" spans="1:16">
      <c r="B34" s="52">
        <f>SUM(B28:B33)</f>
        <v>3748165.1600000006</v>
      </c>
      <c r="C34" s="52"/>
      <c r="D34" s="52">
        <f>SUM(D28:D33)</f>
        <v>512974.73</v>
      </c>
      <c r="E34" s="52"/>
      <c r="F34" s="52">
        <f>SUM(F28:F33)</f>
        <v>0</v>
      </c>
      <c r="G34" s="52"/>
      <c r="H34" s="52">
        <f>SUM(H28:H33)</f>
        <v>0</v>
      </c>
      <c r="I34" s="52"/>
      <c r="J34" s="52">
        <f>SUM(J28:J33)</f>
        <v>512974.73</v>
      </c>
      <c r="K34" s="52"/>
      <c r="L34" s="52">
        <f>SUM(L28:L33)</f>
        <v>4261139.8900000006</v>
      </c>
      <c r="M34" s="55"/>
      <c r="N34" s="89">
        <f>SUM(N28:N33)</f>
        <v>-194207.45999999941</v>
      </c>
      <c r="P34" s="89">
        <f>SUM(P28:P33)</f>
        <v>4066932.4300000011</v>
      </c>
    </row>
    <row r="35" spans="1:16">
      <c r="B35" s="52"/>
      <c r="C35" s="52"/>
      <c r="D35" s="52"/>
      <c r="E35" s="52"/>
      <c r="F35" s="52"/>
      <c r="G35" s="52"/>
      <c r="H35" s="52"/>
      <c r="I35" s="52"/>
      <c r="J35" s="52"/>
      <c r="K35" s="52"/>
      <c r="L35" s="52"/>
      <c r="M35" s="55"/>
    </row>
    <row r="36" spans="1:16">
      <c r="A36" s="3" t="s">
        <v>123</v>
      </c>
      <c r="B36" s="52"/>
      <c r="C36" s="52"/>
      <c r="D36" s="52"/>
      <c r="E36" s="52"/>
      <c r="F36" s="52"/>
      <c r="G36" s="52"/>
      <c r="H36" s="52"/>
      <c r="I36" s="52"/>
      <c r="J36" s="52"/>
      <c r="K36" s="52"/>
      <c r="L36" s="52"/>
      <c r="M36" s="55"/>
    </row>
    <row r="37" spans="1:16">
      <c r="A37" t="s">
        <v>998</v>
      </c>
      <c r="B37" s="48">
        <f>'KY_Cost Plant Acct-Gas-P20(Tot)'!B37</f>
        <v>268.33000000000004</v>
      </c>
      <c r="C37" s="52"/>
      <c r="D37" s="48">
        <f>'KY_Cost Plant Acct-Gas-P20(Tot)'!D37</f>
        <v>0</v>
      </c>
      <c r="E37" s="52"/>
      <c r="F37" s="48">
        <f>'KY_Cost Plant Acct-Gas-P20(Tot)'!F37</f>
        <v>0</v>
      </c>
      <c r="G37" s="52"/>
      <c r="H37" s="48">
        <f>'KY_Cost Plant Acct-Gas-P20(Tot)'!H37</f>
        <v>0</v>
      </c>
      <c r="I37" s="52"/>
      <c r="J37" s="48">
        <f>H37+F37+D37</f>
        <v>0</v>
      </c>
      <c r="K37" s="52"/>
      <c r="L37" s="48">
        <f>J37+B37</f>
        <v>268.33000000000004</v>
      </c>
      <c r="M37" s="55"/>
      <c r="N37" s="90">
        <f>'KY_Res by Plant Acct-P29 (Tot)'!R397</f>
        <v>119.15999999999997</v>
      </c>
      <c r="P37" s="90">
        <f>L37+N37</f>
        <v>387.49</v>
      </c>
    </row>
    <row r="38" spans="1:16">
      <c r="B38" s="52">
        <f>SUM(B37)</f>
        <v>268.33000000000004</v>
      </c>
      <c r="C38" s="52"/>
      <c r="D38" s="52">
        <f>SUM(D37)</f>
        <v>0</v>
      </c>
      <c r="E38" s="52"/>
      <c r="F38" s="52">
        <f>SUM(F37)</f>
        <v>0</v>
      </c>
      <c r="G38" s="52"/>
      <c r="H38" s="52">
        <f>SUM(H37)</f>
        <v>0</v>
      </c>
      <c r="I38" s="52"/>
      <c r="J38" s="52">
        <f>SUM(J37)</f>
        <v>0</v>
      </c>
      <c r="K38" s="52"/>
      <c r="L38" s="52">
        <f>SUM(L37)</f>
        <v>268.33000000000004</v>
      </c>
      <c r="M38" s="55"/>
      <c r="N38" s="89">
        <f>SUM(N37)</f>
        <v>119.15999999999997</v>
      </c>
      <c r="P38" s="89">
        <f>SUM(P37)</f>
        <v>387.49</v>
      </c>
    </row>
    <row r="39" spans="1:16">
      <c r="B39" s="52"/>
      <c r="C39" s="52"/>
      <c r="D39" s="52"/>
      <c r="E39" s="52"/>
      <c r="F39" s="52"/>
      <c r="G39" s="52"/>
      <c r="H39" s="52"/>
      <c r="I39" s="52"/>
      <c r="J39" s="52"/>
      <c r="K39" s="52"/>
      <c r="L39" s="52"/>
      <c r="M39" s="55"/>
    </row>
    <row r="40" spans="1:16">
      <c r="A40" s="3" t="s">
        <v>124</v>
      </c>
      <c r="B40" s="52"/>
      <c r="C40" s="52"/>
      <c r="D40" s="52"/>
      <c r="E40" s="52"/>
      <c r="F40" s="52"/>
      <c r="G40" s="52"/>
      <c r="H40" s="52"/>
      <c r="I40" s="52"/>
      <c r="J40" s="52"/>
      <c r="K40" s="52"/>
      <c r="L40" s="52"/>
      <c r="M40" s="55"/>
    </row>
    <row r="41" spans="1:16">
      <c r="A41" t="s">
        <v>13</v>
      </c>
      <c r="B41" s="52">
        <f>'KY_Cost Plant Acct-Gas-P20(Tot)'!B41+'IN_Total PIS_Gas_NBV-P21 (Tot)'!B11</f>
        <v>32864.07</v>
      </c>
      <c r="C41" s="52"/>
      <c r="D41" s="52">
        <f>'KY_Cost Plant Acct-Gas-P20(Tot)'!D41+'IN_Total PIS_Gas_NBV-P21 (Tot)'!D11</f>
        <v>0</v>
      </c>
      <c r="E41" s="52"/>
      <c r="F41" s="52">
        <f>'KY_Cost Plant Acct-Gas-P20(Tot)'!F41+'IN_Total PIS_Gas_NBV-P21 (Tot)'!F11</f>
        <v>0</v>
      </c>
      <c r="G41" s="52"/>
      <c r="H41" s="52">
        <f>'KY_Cost Plant Acct-Gas-P20(Tot)'!H41+'IN_Total PIS_Gas_NBV-P21 (Tot)'!H11</f>
        <v>0</v>
      </c>
      <c r="I41" s="52"/>
      <c r="J41" s="52">
        <f t="shared" ref="J41:J58" si="6">H41+F41+D41</f>
        <v>0</v>
      </c>
      <c r="K41" s="52"/>
      <c r="L41" s="52">
        <f t="shared" ref="L41:L58" si="7">J41+B41</f>
        <v>32864.07</v>
      </c>
      <c r="M41" s="55"/>
      <c r="N41" s="89">
        <f>'KY_Res by Plant Acct-P29 (Tot)'!R366+'IN_Total PIS_Gas_NBV-P21 (Tot)'!N11</f>
        <v>0</v>
      </c>
      <c r="P41" s="89">
        <f t="shared" ref="P41:P58" si="8">L41+N41</f>
        <v>32864.07</v>
      </c>
    </row>
    <row r="42" spans="1:16">
      <c r="A42" t="s">
        <v>559</v>
      </c>
      <c r="B42" s="52">
        <f>'KY_Cost Plant Acct-Gas-P20(Tot)'!B42</f>
        <v>25162.14</v>
      </c>
      <c r="C42" s="52"/>
      <c r="D42" s="52">
        <f>'KY_Cost Plant Acct-Gas-P20(Tot)'!D42</f>
        <v>0</v>
      </c>
      <c r="E42" s="52"/>
      <c r="F42" s="52">
        <f>'KY_Cost Plant Acct-Gas-P20(Tot)'!F42</f>
        <v>0</v>
      </c>
      <c r="G42" s="52"/>
      <c r="H42" s="52">
        <f>'KY_Cost Plant Acct-Gas-P20(Tot)'!H42</f>
        <v>0</v>
      </c>
      <c r="I42" s="52"/>
      <c r="J42" s="52">
        <f t="shared" si="6"/>
        <v>0</v>
      </c>
      <c r="K42" s="52"/>
      <c r="L42" s="52">
        <f t="shared" si="7"/>
        <v>25162.14</v>
      </c>
      <c r="M42" s="55"/>
      <c r="N42" s="89">
        <f>'KY_Res by Plant Acct-P29 (Tot)'!R367</f>
        <v>0</v>
      </c>
      <c r="P42" s="89">
        <f t="shared" si="8"/>
        <v>25162.14</v>
      </c>
    </row>
    <row r="43" spans="1:16">
      <c r="A43" t="s">
        <v>560</v>
      </c>
      <c r="B43" s="52">
        <f>'KY_Cost Plant Acct-Gas-P20(Tot)'!B43+'KY_Cost Plant Acct-Gas-P20(Tot)'!B95</f>
        <v>4600720.5599999987</v>
      </c>
      <c r="C43" s="52"/>
      <c r="D43" s="52">
        <f>'KY_Cost Plant Acct-Gas-P20(Tot)'!D43+'KY_Cost Plant Acct-Gas-P20(Tot)'!D95</f>
        <v>15818.620000000003</v>
      </c>
      <c r="E43" s="52"/>
      <c r="F43" s="52">
        <f>'KY_Cost Plant Acct-Gas-P20(Tot)'!F43</f>
        <v>0</v>
      </c>
      <c r="G43" s="52"/>
      <c r="H43" s="52">
        <f>'KY_Cost Plant Acct-Gas-P20(Tot)'!H43+'KY_Cost Plant Acct-Gas-P20(Tot)'!H95</f>
        <v>0</v>
      </c>
      <c r="I43" s="52"/>
      <c r="J43" s="52">
        <f t="shared" si="6"/>
        <v>15818.620000000003</v>
      </c>
      <c r="K43" s="52"/>
      <c r="L43" s="52">
        <f t="shared" si="7"/>
        <v>4616539.1799999988</v>
      </c>
      <c r="M43" s="55"/>
      <c r="N43" s="89">
        <f>'KY_Res by Plant Acct-P29 (Tot)'!R368</f>
        <v>-141848.56999999989</v>
      </c>
      <c r="P43" s="89">
        <f t="shared" si="8"/>
        <v>4474690.6099999985</v>
      </c>
    </row>
    <row r="44" spans="1:16">
      <c r="A44" t="s">
        <v>561</v>
      </c>
      <c r="B44" s="52">
        <f>'KY_Cost Plant Acct-Gas-P20(Tot)'!B44</f>
        <v>20134.04</v>
      </c>
      <c r="C44" s="52"/>
      <c r="D44" s="52">
        <f>'KY_Cost Plant Acct-Gas-P20(Tot)'!D44</f>
        <v>0</v>
      </c>
      <c r="E44" s="52"/>
      <c r="F44" s="52">
        <f>'KY_Cost Plant Acct-Gas-P20(Tot)'!F44</f>
        <v>0</v>
      </c>
      <c r="G44" s="52"/>
      <c r="H44" s="52">
        <f>'KY_Cost Plant Acct-Gas-P20(Tot)'!H44</f>
        <v>0</v>
      </c>
      <c r="I44" s="52"/>
      <c r="J44" s="52">
        <f t="shared" si="6"/>
        <v>0</v>
      </c>
      <c r="K44" s="52"/>
      <c r="L44" s="52">
        <f t="shared" si="7"/>
        <v>20134.04</v>
      </c>
      <c r="M44" s="55"/>
      <c r="N44" s="89">
        <f>'KY_Res by Plant Acct-P29 (Tot)'!R369</f>
        <v>-1618.92</v>
      </c>
      <c r="P44" s="89">
        <f t="shared" si="8"/>
        <v>18515.120000000003</v>
      </c>
    </row>
    <row r="45" spans="1:16">
      <c r="A45" t="s">
        <v>14</v>
      </c>
      <c r="B45" s="52">
        <f>'KY_Cost Plant Acct-Gas-P20(Tot)'!B45+'IN_Total PIS_Gas_NBV-P21 (Tot)'!B12+'KY_Cost Plant Acct-Gas-P20(Tot)'!B96</f>
        <v>1876135.09</v>
      </c>
      <c r="C45" s="52"/>
      <c r="D45" s="52">
        <f>'KY_Cost Plant Acct-Gas-P20(Tot)'!D45+'IN_Cost Plant Acct-Gas-P22(Tot)'!D12+'KY_Cost Plant Acct-Gas-P20(Tot)'!D96</f>
        <v>26259.07</v>
      </c>
      <c r="E45" s="52"/>
      <c r="F45" s="52">
        <f>'KY_Cost Plant Acct-Gas-P20(Tot)'!F45+'IN_Total PIS_Gas_NBV-P21 (Tot)'!F12</f>
        <v>0</v>
      </c>
      <c r="G45" s="52"/>
      <c r="H45" s="52">
        <f>'KY_Cost Plant Acct-Gas-P20(Tot)'!H45+'IN_Total PIS_Gas_NBV-P21 (Tot)'!H12</f>
        <v>0</v>
      </c>
      <c r="I45" s="52"/>
      <c r="J45" s="52">
        <f t="shared" si="6"/>
        <v>26259.07</v>
      </c>
      <c r="K45" s="52"/>
      <c r="L45" s="52">
        <f t="shared" si="7"/>
        <v>1902394.1600000001</v>
      </c>
      <c r="M45" s="55"/>
      <c r="N45" s="89">
        <f>'KY_Res by Plant Acct-P29 (Tot)'!R370+'IN_Total PIS_Gas_NBV-P21 (Tot)'!N12</f>
        <v>-53726.269999999968</v>
      </c>
      <c r="P45" s="89">
        <f t="shared" si="8"/>
        <v>1848667.8900000001</v>
      </c>
    </row>
    <row r="46" spans="1:16">
      <c r="A46" t="s">
        <v>562</v>
      </c>
      <c r="B46" s="52">
        <f>'KY_Cost Plant Acct-Gas-P20(Tot)'!B46</f>
        <v>-21348.819999999949</v>
      </c>
      <c r="C46" s="52"/>
      <c r="D46" s="52">
        <f>'KY_Cost Plant Acct-Gas-P20(Tot)'!D46</f>
        <v>0</v>
      </c>
      <c r="E46" s="52"/>
      <c r="F46" s="52">
        <f>'KY_Cost Plant Acct-Gas-P20(Tot)'!F46</f>
        <v>0</v>
      </c>
      <c r="G46" s="52"/>
      <c r="H46" s="52">
        <f>'KY_Cost Plant Acct-Gas-P20(Tot)'!H46</f>
        <v>0</v>
      </c>
      <c r="I46" s="52"/>
      <c r="J46" s="52">
        <f t="shared" si="6"/>
        <v>0</v>
      </c>
      <c r="K46" s="52"/>
      <c r="L46" s="52">
        <f t="shared" si="7"/>
        <v>-21348.819999999949</v>
      </c>
      <c r="M46" s="55"/>
      <c r="N46" s="89">
        <f>'KY_Res by Plant Acct-P29 (Tot)'!R371</f>
        <v>0</v>
      </c>
      <c r="P46" s="89">
        <f t="shared" si="8"/>
        <v>-21348.819999999949</v>
      </c>
    </row>
    <row r="47" spans="1:16">
      <c r="A47" t="s">
        <v>563</v>
      </c>
      <c r="B47" s="52">
        <f>'KY_Cost Plant Acct-Gas-P20(Tot)'!B47</f>
        <v>-51515.919999999984</v>
      </c>
      <c r="C47" s="52"/>
      <c r="D47" s="52">
        <f>'KY_Cost Plant Acct-Gas-P20(Tot)'!D47</f>
        <v>0</v>
      </c>
      <c r="E47" s="52"/>
      <c r="F47" s="52">
        <f>'KY_Cost Plant Acct-Gas-P20(Tot)'!F47</f>
        <v>0</v>
      </c>
      <c r="G47" s="52"/>
      <c r="H47" s="52">
        <f>'KY_Cost Plant Acct-Gas-P20(Tot)'!H47</f>
        <v>0</v>
      </c>
      <c r="I47" s="52"/>
      <c r="J47" s="52">
        <f t="shared" si="6"/>
        <v>0</v>
      </c>
      <c r="K47" s="52"/>
      <c r="L47" s="52">
        <f t="shared" si="7"/>
        <v>-51515.919999999984</v>
      </c>
      <c r="M47" s="55"/>
      <c r="N47" s="89">
        <f>'KY_Res by Plant Acct-P29 (Tot)'!R372</f>
        <v>3.0000000027939677E-2</v>
      </c>
      <c r="P47" s="89">
        <f t="shared" si="8"/>
        <v>-51515.889999999956</v>
      </c>
    </row>
    <row r="48" spans="1:16">
      <c r="A48" t="s">
        <v>564</v>
      </c>
      <c r="B48" s="52">
        <f>'KY_Cost Plant Acct-Gas-P20(Tot)'!B48</f>
        <v>1980042.9699999997</v>
      </c>
      <c r="C48" s="52"/>
      <c r="D48" s="52">
        <f>'KY_Cost Plant Acct-Gas-P20(Tot)'!D48</f>
        <v>0</v>
      </c>
      <c r="E48" s="52"/>
      <c r="F48" s="52">
        <f>'KY_Cost Plant Acct-Gas-P20(Tot)'!F48</f>
        <v>0</v>
      </c>
      <c r="G48" s="52"/>
      <c r="H48" s="52">
        <f>'KY_Cost Plant Acct-Gas-P20(Tot)'!H48</f>
        <v>0</v>
      </c>
      <c r="I48" s="52"/>
      <c r="J48" s="52">
        <f t="shared" si="6"/>
        <v>0</v>
      </c>
      <c r="K48" s="52"/>
      <c r="L48" s="52">
        <f t="shared" si="7"/>
        <v>1980042.9699999997</v>
      </c>
      <c r="M48" s="55"/>
      <c r="N48" s="89">
        <f>'KY_Res by Plant Acct-P29 (Tot)'!R373</f>
        <v>-125756.96999999892</v>
      </c>
      <c r="P48" s="89">
        <f t="shared" si="8"/>
        <v>1854286.0000000009</v>
      </c>
    </row>
    <row r="49" spans="1:16">
      <c r="A49" t="s">
        <v>15</v>
      </c>
      <c r="B49" s="52">
        <f>'KY_Cost Plant Acct-Gas-P20(Tot)'!B49+'IN_Total PIS_Gas_NBV-P21 (Tot)'!B13</f>
        <v>206983.83999999976</v>
      </c>
      <c r="C49" s="52"/>
      <c r="D49" s="52">
        <f>'KY_Cost Plant Acct-Gas-P20(Tot)'!D49+'IN_Total PIS_Gas_NBV-P21 (Tot)'!D13</f>
        <v>244994.24</v>
      </c>
      <c r="E49" s="52"/>
      <c r="F49" s="52">
        <f>'KY_Cost Plant Acct-Gas-P20(Tot)'!F49+'IN_Total PIS_Gas_NBV-P21 (Tot)'!F13</f>
        <v>0</v>
      </c>
      <c r="G49" s="52"/>
      <c r="H49" s="52">
        <f>'KY_Cost Plant Acct-Gas-P20(Tot)'!H49+'IN_Total PIS_Gas_NBV-P21 (Tot)'!H13</f>
        <v>0</v>
      </c>
      <c r="I49" s="52"/>
      <c r="J49" s="52">
        <f t="shared" si="6"/>
        <v>244994.24</v>
      </c>
      <c r="K49" s="52"/>
      <c r="L49" s="52">
        <f t="shared" si="7"/>
        <v>451978.07999999973</v>
      </c>
      <c r="M49" s="55"/>
      <c r="N49" s="89">
        <f>'KY_Res by Plant Acct-P29 (Tot)'!R374+'IN_Total PIS_Gas_NBV-P21 (Tot)'!N13</f>
        <v>-92793.03</v>
      </c>
      <c r="P49" s="89">
        <f t="shared" si="8"/>
        <v>359185.0499999997</v>
      </c>
    </row>
    <row r="50" spans="1:16">
      <c r="A50" t="s">
        <v>1093</v>
      </c>
      <c r="B50" s="52">
        <f>'KY_Cost Plant Acct-Gas-P20(Tot)'!B50+'KY_Cost Plant Acct-Gas-P20(Tot)'!B97+'IN_Total PIS_Gas_NBV-P21 (Tot)'!B14</f>
        <v>2226627.29</v>
      </c>
      <c r="C50" s="52"/>
      <c r="D50" s="52">
        <f>'KY_Cost Plant Acct-Gas-P20(Tot)'!D50+'KY_Cost Plant Acct-Gas-P20(Tot)'!D97+'IN_Cost Plant Acct-Gas-P22(Tot)'!D14+'IN_Cost Plant Acct-Gas-P22(Tot)'!D27</f>
        <v>2032102.8599999999</v>
      </c>
      <c r="E50" s="52"/>
      <c r="F50" s="52">
        <f>'KY_Cost Plant Acct-Gas-P20(Tot)'!F50+'KY_Cost Plant Acct-Gas-P20(Tot)'!F97+'IN_Total PIS_Gas_NBV-P21 (Tot)'!F14+'IN_Cost Plant Acct-Gas-P22(Tot)'!F27</f>
        <v>0</v>
      </c>
      <c r="G50" s="52"/>
      <c r="H50" s="52">
        <f>'KY_Cost Plant Acct-Gas-P20(Tot)'!H50+'IN_Total PIS_Gas_NBV-P21 (Tot)'!H14+'KY_Cost Plant Acct-Gas-P20(Tot)'!H97</f>
        <v>0</v>
      </c>
      <c r="I50" s="52"/>
      <c r="J50" s="52">
        <f t="shared" si="6"/>
        <v>2032102.8599999999</v>
      </c>
      <c r="K50" s="52"/>
      <c r="L50" s="52">
        <f t="shared" si="7"/>
        <v>4258730.1500000004</v>
      </c>
      <c r="M50" s="55"/>
      <c r="N50" s="89">
        <f>'KY_Res by Plant Acct-P29 (Tot)'!R375+'IN_Total PIS_Gas_NBV-P21 (Tot)'!N14</f>
        <v>828006.90000000014</v>
      </c>
      <c r="P50" s="89">
        <f t="shared" si="8"/>
        <v>5086737.0500000007</v>
      </c>
    </row>
    <row r="51" spans="1:16">
      <c r="A51" t="s">
        <v>1092</v>
      </c>
      <c r="B51" s="52">
        <f>'KY_Cost Plant Acct-Gas-P20(Tot)'!B51+'KY_Cost Plant Acct-Gas-P20(Tot)'!B98+'IN_Total PIS_Gas_NBV-P21 (Tot)'!B15</f>
        <v>4575868.7699999996</v>
      </c>
      <c r="C51" s="52"/>
      <c r="D51" s="52">
        <f>'KY_Cost Plant Acct-Gas-P20(Tot)'!D98+'KY_Cost Plant Acct-Gas-P20(Tot)'!D51+'IN_Cost Plant Acct-Gas-P22(Tot)'!D15+'IN_Cost Plant Acct-Gas-P22(Tot)'!D28</f>
        <v>1982827.13</v>
      </c>
      <c r="E51" s="52"/>
      <c r="F51" s="52">
        <f>'KY_Cost Plant Acct-Gas-P20(Tot)'!F51+'IN_Cost Plant Acct-Gas-P22(Tot)'!F15</f>
        <v>0</v>
      </c>
      <c r="G51" s="52"/>
      <c r="H51" s="52">
        <f>'KY_Cost Plant Acct-Gas-P20(Tot)'!H51+'IN_Cost Plant Acct-Gas-P22(Tot)'!H15+'KY_Cost Plant Acct-Gas-P20(Tot)'!H98</f>
        <v>0</v>
      </c>
      <c r="I51" s="52"/>
      <c r="J51" s="52">
        <f t="shared" si="6"/>
        <v>1982827.13</v>
      </c>
      <c r="K51" s="52"/>
      <c r="L51" s="52">
        <f t="shared" si="7"/>
        <v>6558695.8999999994</v>
      </c>
      <c r="M51" s="55"/>
      <c r="N51" s="89">
        <f>'KY_Res by Plant Acct-P29 (Tot)'!R376+'IN_Res by Plant Acct-P30 (Tot)'!R32</f>
        <v>1406790.92</v>
      </c>
      <c r="P51" s="89">
        <f t="shared" si="8"/>
        <v>7965486.8199999994</v>
      </c>
    </row>
    <row r="52" spans="1:16">
      <c r="A52" t="s">
        <v>16</v>
      </c>
      <c r="B52" s="52">
        <f>'KY_Cost Plant Acct-Gas-P20(Tot)'!B52+'KY_Cost Plant Acct-Gas-P20(Tot)'!B99+'IN_Total PIS_Gas_NBV-P21 (Tot)'!B16</f>
        <v>8307448.4599999981</v>
      </c>
      <c r="C52" s="52"/>
      <c r="D52" s="52">
        <f>'KY_Cost Plant Acct-Gas-P20(Tot)'!D52+'KY_Cost Plant Acct-Gas-P20(Tot)'!D99+'IN_Total PIS_Gas_NBV-P21 (Tot)'!D16</f>
        <v>448898.85</v>
      </c>
      <c r="E52" s="52"/>
      <c r="F52" s="52">
        <f>'KY_Cost Plant Acct-Gas-P20(Tot)'!F52+'IN_Total PIS_Gas_NBV-P21 (Tot)'!F16</f>
        <v>-5319.5499999999993</v>
      </c>
      <c r="G52" s="52"/>
      <c r="H52" s="52">
        <f>'KY_Cost Plant Acct-Gas-P20(Tot)'!H52+'IN_Total PIS_Gas_NBV-P21 (Tot)'!H16</f>
        <v>0</v>
      </c>
      <c r="I52" s="52"/>
      <c r="J52" s="52">
        <f t="shared" si="6"/>
        <v>443579.3</v>
      </c>
      <c r="K52" s="52"/>
      <c r="L52" s="52">
        <f t="shared" si="7"/>
        <v>8751027.7599999979</v>
      </c>
      <c r="M52" s="55"/>
      <c r="N52" s="89">
        <f>'KY_Res by Plant Acct-P29 (Tot)'!R377+'IN_Total PIS_Gas_NBV-P21 (Tot)'!N16</f>
        <v>-792220.19999999844</v>
      </c>
      <c r="P52" s="89">
        <f t="shared" si="8"/>
        <v>7958807.5599999996</v>
      </c>
    </row>
    <row r="53" spans="1:16">
      <c r="A53" t="s">
        <v>565</v>
      </c>
      <c r="B53" s="52">
        <f>'KY_Cost Plant Acct-Gas-P20(Tot)'!B53+'KY_Cost Plant Acct-Gas-P20(Tot)'!B100+'IN_Cost Plant Acct-Gas-P22(Tot)'!B17</f>
        <v>11248280.220000001</v>
      </c>
      <c r="C53" s="52"/>
      <c r="D53" s="52">
        <f>'KY_Cost Plant Acct-Gas-P20(Tot)'!D53+'KY_Cost Plant Acct-Gas-P20(Tot)'!D100+'IN_Cost Plant Acct-Gas-P22(Tot)'!D17</f>
        <v>803798.99</v>
      </c>
      <c r="E53" s="52"/>
      <c r="F53" s="52">
        <f>'KY_Cost Plant Acct-Gas-P20(Tot)'!F53</f>
        <v>-12423.730000000001</v>
      </c>
      <c r="G53" s="52"/>
      <c r="H53" s="52">
        <f>'KY_Cost Plant Acct-Gas-P20(Tot)'!H53+'IN_Cost Plant Acct-Gas-P22(Tot)'!H17+'KY_Cost Plant Acct-Gas-P20(Tot)'!H100</f>
        <v>-47941.689999999995</v>
      </c>
      <c r="I53" s="52"/>
      <c r="J53" s="52">
        <f t="shared" si="6"/>
        <v>743433.57</v>
      </c>
      <c r="K53" s="52"/>
      <c r="L53" s="52">
        <f t="shared" si="7"/>
        <v>11991713.790000001</v>
      </c>
      <c r="M53" s="55"/>
      <c r="N53" s="89">
        <f>'KY_Res by Plant Acct-P29 (Tot)'!R378+'IN_Res by Plant Acct-P30 (Tot)'!R34</f>
        <v>829659.28999999911</v>
      </c>
      <c r="P53" s="89">
        <f t="shared" si="8"/>
        <v>12821373.08</v>
      </c>
    </row>
    <row r="54" spans="1:16">
      <c r="A54" t="s">
        <v>566</v>
      </c>
      <c r="B54" s="52">
        <f>'KY_Cost Plant Acct-Gas-P20(Tot)'!B54+'KY_Cost Plant Acct-Gas-P20(Tot)'!B101</f>
        <v>244627.33999999997</v>
      </c>
      <c r="C54" s="52"/>
      <c r="D54" s="52">
        <f>'KY_Cost Plant Acct-Gas-P20(Tot)'!D54+'KY_Cost Plant Acct-Gas-P20(Tot)'!D101</f>
        <v>0</v>
      </c>
      <c r="E54" s="52"/>
      <c r="F54" s="52">
        <f>'KY_Cost Plant Acct-Gas-P20(Tot)'!F54</f>
        <v>0</v>
      </c>
      <c r="G54" s="52"/>
      <c r="H54" s="52">
        <f>'KY_Cost Plant Acct-Gas-P20(Tot)'!H54+'KY_Cost Plant Acct-Gas-P20(Tot)'!H101</f>
        <v>0</v>
      </c>
      <c r="I54" s="52"/>
      <c r="J54" s="52">
        <f t="shared" si="6"/>
        <v>0</v>
      </c>
      <c r="K54" s="52"/>
      <c r="L54" s="52">
        <f t="shared" si="7"/>
        <v>244627.33999999997</v>
      </c>
      <c r="M54" s="55"/>
      <c r="N54" s="89">
        <f>'KY_Res by Plant Acct-P29 (Tot)'!R379</f>
        <v>-4387.5800000000281</v>
      </c>
      <c r="P54" s="89">
        <f t="shared" si="8"/>
        <v>240239.75999999995</v>
      </c>
    </row>
    <row r="55" spans="1:16">
      <c r="A55" t="s">
        <v>567</v>
      </c>
      <c r="B55" s="52">
        <f>'KY_Cost Plant Acct-Gas-P20(Tot)'!B55+'KY_Cost Plant Acct-Gas-P20(Tot)'!B102</f>
        <v>7871014.4600000009</v>
      </c>
      <c r="C55" s="52"/>
      <c r="D55" s="52">
        <f>'KY_Cost Plant Acct-Gas-P20(Tot)'!D55+'KY_Cost Plant Acct-Gas-P20(Tot)'!D102</f>
        <v>1326933.4300000002</v>
      </c>
      <c r="E55" s="52"/>
      <c r="F55" s="52">
        <f>'KY_Cost Plant Acct-Gas-P20(Tot)'!F55</f>
        <v>-1719.7699999999995</v>
      </c>
      <c r="G55" s="52"/>
      <c r="H55" s="52">
        <f>'KY_Cost Plant Acct-Gas-P20(Tot)'!H55+'KY_Cost Plant Acct-Gas-P20(Tot)'!H102</f>
        <v>47941.689999999995</v>
      </c>
      <c r="I55" s="52"/>
      <c r="J55" s="52">
        <f t="shared" si="6"/>
        <v>1373155.35</v>
      </c>
      <c r="K55" s="52"/>
      <c r="L55" s="52">
        <f t="shared" si="7"/>
        <v>9244169.8100000005</v>
      </c>
      <c r="M55" s="55"/>
      <c r="N55" s="89">
        <f>'KY_Res by Plant Acct-P29 (Tot)'!R380</f>
        <v>-1254874.6100000008</v>
      </c>
      <c r="P55" s="89">
        <f t="shared" si="8"/>
        <v>7989295.1999999993</v>
      </c>
    </row>
    <row r="56" spans="1:16">
      <c r="A56" t="s">
        <v>17</v>
      </c>
      <c r="B56" s="52">
        <f>'KY_Cost Plant Acct-Gas-P20(Tot)'!B56+'IN_Total PIS_Gas_NBV-P21 (Tot)'!B18+'KY_Cost Plant Acct-Gas-P20(Tot)'!B103</f>
        <v>1285868.9800000002</v>
      </c>
      <c r="C56" s="52"/>
      <c r="D56" s="52">
        <f>'KY_Cost Plant Acct-Gas-P20(Tot)'!D56+'IN_Total PIS_Gas_NBV-P21 (Tot)'!D18+'KY_Cost Plant Acct-Gas-P20(Tot)'!D103</f>
        <v>40844.15</v>
      </c>
      <c r="E56" s="52"/>
      <c r="F56" s="52">
        <f>'KY_Cost Plant Acct-Gas-P20(Tot)'!F56+'IN_Total PIS_Gas_NBV-P21 (Tot)'!F18+'KY_Cost Plant Acct-Gas-P20(Tot)'!F103</f>
        <v>0</v>
      </c>
      <c r="G56" s="52"/>
      <c r="H56" s="52">
        <f>'KY_Cost Plant Acct-Gas-P20(Tot)'!H56+'IN_Total PIS_Gas_NBV-P21 (Tot)'!H18+'KY_Cost Plant Acct-Gas-P20(Tot)'!H103</f>
        <v>0</v>
      </c>
      <c r="I56" s="52"/>
      <c r="J56" s="52">
        <f t="shared" si="6"/>
        <v>40844.15</v>
      </c>
      <c r="K56" s="52"/>
      <c r="L56" s="52">
        <f t="shared" si="7"/>
        <v>1326713.1300000001</v>
      </c>
      <c r="M56" s="55"/>
      <c r="N56" s="89">
        <f>'KY_Res by Plant Acct-P29 (Tot)'!R381+'IN_Total PIS_Gas_NBV-P21 (Tot)'!N18</f>
        <v>29858.009999999958</v>
      </c>
      <c r="P56" s="89">
        <f t="shared" si="8"/>
        <v>1356571.1400000001</v>
      </c>
    </row>
    <row r="57" spans="1:16">
      <c r="A57" t="s">
        <v>568</v>
      </c>
      <c r="B57" s="52">
        <f>'KY_Cost Plant Acct-Gas-P20(Tot)'!B57</f>
        <v>30876.410000000003</v>
      </c>
      <c r="C57" s="52"/>
      <c r="D57" s="52">
        <f>'KY_Cost Plant Acct-Gas-P20(Tot)'!D57</f>
        <v>0</v>
      </c>
      <c r="E57" s="52"/>
      <c r="F57" s="52">
        <f>'KY_Cost Plant Acct-Gas-P20(Tot)'!F57</f>
        <v>0</v>
      </c>
      <c r="G57" s="52"/>
      <c r="H57" s="52">
        <f>'KY_Cost Plant Acct-Gas-P20(Tot)'!H57</f>
        <v>0</v>
      </c>
      <c r="I57" s="52"/>
      <c r="J57" s="52">
        <f t="shared" si="6"/>
        <v>0</v>
      </c>
      <c r="K57" s="52"/>
      <c r="L57" s="52">
        <f t="shared" si="7"/>
        <v>30876.410000000003</v>
      </c>
      <c r="M57" s="55"/>
      <c r="N57" s="89">
        <f>'KY_Res by Plant Acct-P29 (Tot)'!R382</f>
        <v>-742.03000000000259</v>
      </c>
      <c r="P57" s="89">
        <f t="shared" si="8"/>
        <v>30134.38</v>
      </c>
    </row>
    <row r="58" spans="1:16">
      <c r="A58" t="s">
        <v>569</v>
      </c>
      <c r="B58" s="48">
        <f>'KY_Cost Plant Acct-Gas-P20(Tot)'!B58</f>
        <v>5170297.07</v>
      </c>
      <c r="C58" s="52"/>
      <c r="D58" s="48">
        <f>'KY_Cost Plant Acct-Gas-P20(Tot)'!D58</f>
        <v>0</v>
      </c>
      <c r="E58" s="52"/>
      <c r="F58" s="48">
        <f>'KY_Cost Plant Acct-Gas-P20(Tot)'!F58</f>
        <v>0</v>
      </c>
      <c r="G58" s="52"/>
      <c r="H58" s="48">
        <f>'KY_Cost Plant Acct-Gas-P20(Tot)'!H58</f>
        <v>0</v>
      </c>
      <c r="I58" s="52"/>
      <c r="J58" s="48">
        <f t="shared" si="6"/>
        <v>0</v>
      </c>
      <c r="K58" s="52"/>
      <c r="L58" s="48">
        <f t="shared" si="7"/>
        <v>5170297.07</v>
      </c>
      <c r="M58" s="55"/>
      <c r="N58" s="90">
        <f>'KY_Res by Plant Acct-P29 (Tot)'!R383</f>
        <v>-311854.54999999993</v>
      </c>
      <c r="P58" s="90">
        <f t="shared" si="8"/>
        <v>4858442.5200000005</v>
      </c>
    </row>
    <row r="59" spans="1:16">
      <c r="B59" s="52">
        <f>SUM(B41:B58)</f>
        <v>49630086.969999991</v>
      </c>
      <c r="C59" s="52"/>
      <c r="D59" s="52">
        <f>SUM(D41:D58)</f>
        <v>6922477.3399999999</v>
      </c>
      <c r="E59" s="52"/>
      <c r="F59" s="52">
        <f>SUM(F41:F58)</f>
        <v>-19463.05</v>
      </c>
      <c r="G59" s="52"/>
      <c r="H59" s="52">
        <f>SUM(H41:H58)</f>
        <v>0</v>
      </c>
      <c r="I59" s="52"/>
      <c r="J59" s="52">
        <f>SUM(J41:J58)</f>
        <v>6903014.290000001</v>
      </c>
      <c r="K59" s="52"/>
      <c r="L59" s="52">
        <f>SUM(L41:L58)</f>
        <v>56533101.260000005</v>
      </c>
      <c r="M59" s="55"/>
      <c r="N59" s="89">
        <f>SUM(N41:N58)</f>
        <v>314492.42000000121</v>
      </c>
      <c r="P59" s="89">
        <f>SUM(P41:P58)</f>
        <v>56847593.680000007</v>
      </c>
    </row>
    <row r="60" spans="1:16">
      <c r="B60" s="182"/>
      <c r="C60" s="182"/>
      <c r="D60" s="182"/>
      <c r="E60" s="182"/>
      <c r="F60" s="182"/>
      <c r="G60" s="182"/>
      <c r="H60" s="182"/>
      <c r="I60" s="182"/>
      <c r="J60" s="182"/>
      <c r="K60" s="182"/>
      <c r="L60" s="182"/>
      <c r="M60" s="4"/>
    </row>
    <row r="61" spans="1:16">
      <c r="A61" s="3" t="s">
        <v>125</v>
      </c>
      <c r="B61" s="182"/>
      <c r="C61" s="182"/>
      <c r="D61" s="182"/>
      <c r="E61" s="182"/>
      <c r="F61" s="182"/>
      <c r="G61" s="182"/>
      <c r="H61" s="182"/>
      <c r="I61" s="182"/>
      <c r="J61" s="182"/>
      <c r="K61" s="182"/>
      <c r="L61" s="182"/>
      <c r="M61" s="4"/>
    </row>
    <row r="62" spans="1:16">
      <c r="A62" t="s">
        <v>570</v>
      </c>
      <c r="B62" s="182">
        <f>'KY_Cost Plant Acct-Gas-P20(Tot)'!B62</f>
        <v>12516.679999999993</v>
      </c>
      <c r="C62" s="182"/>
      <c r="D62" s="182">
        <f>'KY_Cost Plant Acct-Gas-P20(Tot)'!D62</f>
        <v>0</v>
      </c>
      <c r="E62" s="182"/>
      <c r="F62" s="182">
        <f>'KY_Cost Plant Acct-Gas-P20(Tot)'!F62</f>
        <v>0</v>
      </c>
      <c r="G62" s="182"/>
      <c r="H62" s="182">
        <f>'KY_Cost Plant Acct-Gas-P20(Tot)'!H62</f>
        <v>0</v>
      </c>
      <c r="I62" s="182"/>
      <c r="J62" s="182">
        <f>H62+F62+D62</f>
        <v>0</v>
      </c>
      <c r="K62" s="182"/>
      <c r="L62" s="182">
        <f>J62+B62</f>
        <v>12516.679999999993</v>
      </c>
      <c r="M62" s="4"/>
      <c r="N62" s="89">
        <f>'KY_Res by Plant Acct-P29 (Tot)'!R387</f>
        <v>-844.04999999997676</v>
      </c>
      <c r="P62" s="89">
        <f>L62+N62</f>
        <v>11672.630000000016</v>
      </c>
    </row>
    <row r="63" spans="1:16">
      <c r="A63" t="s">
        <v>571</v>
      </c>
      <c r="B63" s="182">
        <f>'KY_Cost Plant Acct-Gas-P20(Tot)'!B63+'KY_Cost Plant Acct-Gas-P20(Tot)'!B107</f>
        <v>9620835.9199999999</v>
      </c>
      <c r="C63" s="182"/>
      <c r="D63" s="182">
        <f>'KY_Cost Plant Acct-Gas-P20(Tot)'!D63+'KY_Cost Plant Acct-Gas-P20(Tot)'!D107</f>
        <v>-33343.020000000019</v>
      </c>
      <c r="E63" s="182"/>
      <c r="F63" s="182">
        <f>'KY_Cost Plant Acct-Gas-P20(Tot)'!F63</f>
        <v>-691.69</v>
      </c>
      <c r="G63" s="182"/>
      <c r="H63" s="182">
        <f>'KY_Cost Plant Acct-Gas-P20(Tot)'!H63</f>
        <v>134900.23000000001</v>
      </c>
      <c r="I63" s="182"/>
      <c r="J63" s="182">
        <f>H63+F63+D63</f>
        <v>100865.51999999999</v>
      </c>
      <c r="K63" s="182"/>
      <c r="L63" s="182">
        <f>J63+B63</f>
        <v>9721701.4399999995</v>
      </c>
      <c r="M63" s="4"/>
      <c r="N63" s="89">
        <f>'KY_Res by Plant Acct-P29 (Tot)'!R388</f>
        <v>-2817582.3200000012</v>
      </c>
      <c r="P63" s="89">
        <f>L63+N63</f>
        <v>6904119.1199999982</v>
      </c>
    </row>
    <row r="64" spans="1:16">
      <c r="A64" t="s">
        <v>1444</v>
      </c>
      <c r="B64" s="48">
        <f>'KY_Cost Plant Acct-Gas-P20(Tot)'!B64</f>
        <v>3941518.65</v>
      </c>
      <c r="C64" s="182"/>
      <c r="D64" s="48">
        <f>'KY_Cost Plant Acct-Gas-P20(Tot)'!D64</f>
        <v>0</v>
      </c>
      <c r="E64" s="182"/>
      <c r="F64" s="48">
        <f>'KY_Cost Plant Acct-Gas-P20(Tot)'!F64</f>
        <v>0</v>
      </c>
      <c r="G64" s="182"/>
      <c r="H64" s="48">
        <f>'KY_Cost Plant Acct-Gas-P20(Tot)'!H64</f>
        <v>0</v>
      </c>
      <c r="I64" s="182"/>
      <c r="J64" s="48">
        <f>H64+F64+D64</f>
        <v>0</v>
      </c>
      <c r="K64" s="182"/>
      <c r="L64" s="48">
        <f>J64+B64</f>
        <v>3941518.65</v>
      </c>
      <c r="M64" s="4"/>
      <c r="N64" s="90">
        <f>'KY_Res by Plant Acct-P29 (Tot)'!R389</f>
        <v>-61723.990000000005</v>
      </c>
      <c r="P64" s="90">
        <f>L64+N64</f>
        <v>3879794.6599999997</v>
      </c>
    </row>
    <row r="65" spans="1:16">
      <c r="B65" s="52">
        <f>SUM(B62:B64)</f>
        <v>13574871.25</v>
      </c>
      <c r="C65" s="52"/>
      <c r="D65" s="52">
        <f>SUM(D62:D64)</f>
        <v>-33343.020000000019</v>
      </c>
      <c r="E65" s="52"/>
      <c r="F65" s="52">
        <f>SUM(F62:F64)</f>
        <v>-691.69</v>
      </c>
      <c r="G65" s="52"/>
      <c r="H65" s="52">
        <f>SUM(H62:H64)</f>
        <v>134900.23000000001</v>
      </c>
      <c r="I65" s="52"/>
      <c r="J65" s="52">
        <f>SUM(J62:J64)</f>
        <v>100865.51999999999</v>
      </c>
      <c r="K65" s="52"/>
      <c r="L65" s="52">
        <f>SUM(L62:L64)</f>
        <v>13675736.77</v>
      </c>
      <c r="M65" s="55"/>
      <c r="N65" s="52">
        <f>SUM(N62:N64)</f>
        <v>-2880150.3600000013</v>
      </c>
      <c r="P65" s="52">
        <f>SUM(P62:P64)</f>
        <v>10795586.409999998</v>
      </c>
    </row>
    <row r="66" spans="1:16">
      <c r="B66" s="52"/>
      <c r="C66" s="52"/>
      <c r="D66" s="52"/>
      <c r="E66" s="52"/>
      <c r="F66" s="52"/>
      <c r="G66" s="52"/>
      <c r="H66" s="52"/>
      <c r="I66" s="52"/>
      <c r="J66" s="52"/>
      <c r="K66" s="52"/>
      <c r="L66" s="52"/>
      <c r="M66" s="55"/>
    </row>
    <row r="67" spans="1:16">
      <c r="B67" s="52"/>
      <c r="C67" s="52"/>
      <c r="D67" s="52"/>
      <c r="E67" s="52"/>
      <c r="F67" s="52"/>
      <c r="G67" s="52"/>
      <c r="H67" s="52"/>
      <c r="I67" s="52"/>
      <c r="J67" s="52"/>
      <c r="K67" s="52"/>
      <c r="L67" s="52"/>
      <c r="M67" s="4"/>
    </row>
    <row r="68" spans="1:16" ht="13.5" thickBot="1">
      <c r="A68" s="3" t="s">
        <v>204</v>
      </c>
      <c r="B68" s="46">
        <f>B65+B59+B38+B34+B25</f>
        <v>555575250.01999998</v>
      </c>
      <c r="C68" s="52"/>
      <c r="D68" s="46">
        <f>D65+D59+D38+D34+D25</f>
        <v>22265896.469999999</v>
      </c>
      <c r="E68" s="52"/>
      <c r="F68" s="46">
        <f>F65+F59+F38+F34+F25</f>
        <v>-29286.46</v>
      </c>
      <c r="G68" s="52"/>
      <c r="H68" s="46">
        <f>H65+H59+H38+H34+H25</f>
        <v>0</v>
      </c>
      <c r="I68" s="52"/>
      <c r="J68" s="46">
        <f>J65+J59+J38+J34+J25</f>
        <v>22236610.009999998</v>
      </c>
      <c r="K68" s="52"/>
      <c r="L68" s="46">
        <f>L65+L59+L38+L34+L25</f>
        <v>577811860.02999997</v>
      </c>
      <c r="M68" s="4"/>
      <c r="N68" s="46">
        <f>N65+N59+N38+N34+N25</f>
        <v>-73812862.350000009</v>
      </c>
      <c r="P68" s="46">
        <f>P65+P59+P38+P34+P25</f>
        <v>503998997.68000007</v>
      </c>
    </row>
    <row r="69" spans="1:16" ht="13.5" thickTop="1">
      <c r="B69" s="52"/>
      <c r="C69" s="52"/>
      <c r="D69" s="52"/>
      <c r="E69" s="52"/>
      <c r="F69" s="52"/>
      <c r="G69" s="52"/>
      <c r="H69" s="52"/>
      <c r="I69" s="52"/>
      <c r="J69" s="52"/>
      <c r="K69" s="52"/>
      <c r="L69" s="52"/>
      <c r="M69" s="4"/>
    </row>
    <row r="70" spans="1:16">
      <c r="B70" s="182"/>
      <c r="C70" s="182"/>
      <c r="D70" s="182"/>
      <c r="E70" s="182"/>
      <c r="F70" s="182"/>
      <c r="G70" s="182"/>
      <c r="H70" s="182"/>
      <c r="I70" s="182"/>
      <c r="J70" s="182"/>
      <c r="K70" s="182"/>
      <c r="L70" s="182">
        <f>+L68-'Tot Gas PIS COST SPLIT-P18(Tot)'!L116</f>
        <v>0</v>
      </c>
      <c r="M70" s="4"/>
      <c r="P70" s="89"/>
    </row>
    <row r="71" spans="1:16">
      <c r="B71" s="182"/>
      <c r="C71" s="182"/>
      <c r="D71" s="182"/>
      <c r="E71" s="182"/>
      <c r="F71" s="182"/>
      <c r="G71" s="182"/>
      <c r="H71" s="182"/>
      <c r="I71" s="182"/>
      <c r="J71" s="182"/>
      <c r="K71" s="182"/>
      <c r="L71" s="182"/>
      <c r="M71" s="4"/>
    </row>
    <row r="72" spans="1:16">
      <c r="B72" s="182"/>
      <c r="C72" s="182"/>
      <c r="D72" s="182"/>
      <c r="E72" s="182"/>
      <c r="F72" s="182"/>
      <c r="G72" s="182"/>
      <c r="H72" s="182"/>
      <c r="I72" s="182"/>
      <c r="J72" s="182"/>
      <c r="K72" s="182"/>
      <c r="L72" s="182"/>
      <c r="M72" s="4"/>
    </row>
    <row r="73" spans="1:16">
      <c r="B73" s="182"/>
      <c r="C73" s="182"/>
      <c r="D73" s="182"/>
      <c r="E73" s="182"/>
      <c r="F73" s="182"/>
      <c r="G73" s="182"/>
      <c r="H73" s="182"/>
      <c r="I73" s="182"/>
      <c r="J73" s="182"/>
      <c r="K73" s="182"/>
      <c r="L73" s="182"/>
      <c r="M73" s="4"/>
    </row>
    <row r="74" spans="1:16">
      <c r="B74" s="182"/>
      <c r="C74" s="182"/>
      <c r="D74" s="182"/>
      <c r="E74" s="182"/>
      <c r="F74" s="182"/>
      <c r="G74" s="182"/>
      <c r="H74" s="182"/>
      <c r="I74" s="182"/>
      <c r="J74" s="182"/>
      <c r="K74" s="182"/>
      <c r="L74" s="182"/>
      <c r="M74" s="4"/>
    </row>
    <row r="75" spans="1:16">
      <c r="B75" s="4"/>
      <c r="C75" s="4"/>
      <c r="D75" s="4"/>
      <c r="E75" s="4"/>
      <c r="F75" s="4"/>
      <c r="G75" s="4"/>
      <c r="H75" s="4"/>
      <c r="I75" s="4"/>
      <c r="J75" s="4"/>
      <c r="K75" s="4"/>
      <c r="L75" s="4"/>
      <c r="M75" s="4"/>
    </row>
    <row r="76" spans="1:16">
      <c r="B76" s="4"/>
      <c r="C76" s="4"/>
      <c r="D76" s="4"/>
      <c r="E76" s="4"/>
      <c r="F76" s="4"/>
      <c r="G76" s="4"/>
      <c r="H76" s="4"/>
      <c r="I76" s="4"/>
      <c r="J76" s="4"/>
      <c r="K76" s="4"/>
      <c r="L76" s="4"/>
      <c r="M76" s="4"/>
    </row>
    <row r="77" spans="1:16">
      <c r="B77" s="4"/>
      <c r="C77" s="4"/>
      <c r="D77" s="4"/>
      <c r="E77" s="4"/>
      <c r="F77" s="4"/>
      <c r="G77" s="4"/>
      <c r="H77" s="4"/>
      <c r="I77" s="4"/>
      <c r="J77" s="4"/>
      <c r="K77" s="4"/>
      <c r="L77" s="4"/>
      <c r="M77" s="4"/>
    </row>
    <row r="78" spans="1:16">
      <c r="B78" s="4"/>
      <c r="C78" s="4"/>
      <c r="D78" s="4"/>
      <c r="E78" s="4"/>
      <c r="F78" s="4"/>
      <c r="G78" s="4"/>
      <c r="H78" s="4"/>
      <c r="I78" s="4"/>
      <c r="J78" s="4"/>
      <c r="K78" s="4"/>
      <c r="L78" s="4"/>
      <c r="M78" s="4"/>
    </row>
    <row r="79" spans="1:16">
      <c r="B79" s="4"/>
      <c r="C79" s="4"/>
      <c r="D79" s="4"/>
      <c r="E79" s="4"/>
      <c r="F79" s="4"/>
      <c r="G79" s="4"/>
      <c r="H79" s="4"/>
      <c r="I79" s="4"/>
      <c r="J79" s="4"/>
      <c r="K79" s="4"/>
      <c r="L79" s="4"/>
      <c r="M79" s="4"/>
    </row>
    <row r="80" spans="1:16">
      <c r="B80" s="4"/>
      <c r="C80" s="4"/>
      <c r="D80" s="4"/>
      <c r="E80" s="4"/>
      <c r="F80" s="4"/>
      <c r="G80" s="4"/>
      <c r="H80" s="4"/>
      <c r="I80" s="4"/>
      <c r="J80" s="4"/>
      <c r="K80" s="4"/>
      <c r="L80" s="4"/>
      <c r="M80" s="4"/>
    </row>
    <row r="81" spans="2:13">
      <c r="B81" s="4"/>
      <c r="C81" s="4"/>
      <c r="D81" s="4"/>
      <c r="E81" s="4"/>
      <c r="F81" s="4"/>
      <c r="G81" s="4"/>
      <c r="H81" s="4"/>
      <c r="I81" s="4"/>
      <c r="J81" s="4"/>
      <c r="K81" s="4"/>
      <c r="L81" s="4"/>
      <c r="M81" s="4"/>
    </row>
    <row r="82" spans="2:13">
      <c r="B82" s="4"/>
      <c r="C82" s="4"/>
      <c r="D82" s="4"/>
      <c r="E82" s="4"/>
      <c r="F82" s="4"/>
      <c r="G82" s="4"/>
      <c r="H82" s="4"/>
      <c r="I82" s="4"/>
      <c r="J82" s="4"/>
      <c r="K82" s="4"/>
      <c r="L82" s="4"/>
      <c r="M82" s="4"/>
    </row>
    <row r="83" spans="2:13">
      <c r="B83" s="4"/>
      <c r="C83" s="4"/>
      <c r="D83" s="4"/>
      <c r="E83" s="4"/>
      <c r="F83" s="4"/>
      <c r="G83" s="4"/>
      <c r="H83" s="4"/>
      <c r="I83" s="4"/>
      <c r="J83" s="4"/>
      <c r="K83" s="4"/>
      <c r="L83" s="4"/>
      <c r="M83" s="4"/>
    </row>
    <row r="84" spans="2:13">
      <c r="B84" s="4"/>
      <c r="C84" s="4"/>
      <c r="D84" s="4"/>
      <c r="E84" s="4"/>
      <c r="F84" s="4"/>
      <c r="G84" s="4"/>
      <c r="H84" s="4"/>
      <c r="I84" s="4"/>
      <c r="J84" s="4"/>
      <c r="K84" s="4"/>
      <c r="L84" s="4"/>
      <c r="M84" s="4"/>
    </row>
    <row r="85" spans="2:13">
      <c r="B85" s="4"/>
      <c r="C85" s="4"/>
      <c r="D85" s="4"/>
      <c r="E85" s="4"/>
      <c r="F85" s="4"/>
      <c r="G85" s="4"/>
      <c r="H85" s="4"/>
      <c r="I85" s="4"/>
      <c r="J85" s="4"/>
      <c r="K85" s="4"/>
      <c r="L85" s="4"/>
      <c r="M85" s="4"/>
    </row>
    <row r="86" spans="2:13">
      <c r="B86" s="4"/>
      <c r="C86" s="4"/>
      <c r="D86" s="4"/>
      <c r="E86" s="4"/>
      <c r="F86" s="4"/>
      <c r="G86" s="4"/>
      <c r="H86" s="4"/>
      <c r="I86" s="4"/>
      <c r="J86" s="4"/>
      <c r="K86" s="4"/>
      <c r="L86" s="4"/>
      <c r="M86" s="4"/>
    </row>
    <row r="87" spans="2:13">
      <c r="B87" s="4"/>
      <c r="C87" s="4"/>
      <c r="D87" s="4"/>
      <c r="E87" s="4"/>
      <c r="F87" s="4"/>
      <c r="G87" s="4"/>
      <c r="H87" s="4"/>
      <c r="I87" s="4"/>
      <c r="J87" s="4"/>
      <c r="K87" s="4"/>
      <c r="L87" s="4"/>
      <c r="M87" s="4"/>
    </row>
    <row r="88" spans="2:13">
      <c r="B88" s="4"/>
      <c r="C88" s="4"/>
      <c r="D88" s="4"/>
      <c r="E88" s="4"/>
      <c r="F88" s="4"/>
      <c r="G88" s="4"/>
      <c r="H88" s="4"/>
      <c r="I88" s="4"/>
      <c r="J88" s="4"/>
      <c r="K88" s="4"/>
      <c r="L88" s="4"/>
      <c r="M88" s="4"/>
    </row>
    <row r="89" spans="2:13">
      <c r="B89" s="4"/>
      <c r="C89" s="4"/>
      <c r="D89" s="4"/>
      <c r="E89" s="4"/>
      <c r="F89" s="4"/>
      <c r="G89" s="4"/>
      <c r="H89" s="4"/>
      <c r="I89" s="4"/>
      <c r="J89" s="4"/>
      <c r="K89" s="4"/>
      <c r="L89" s="4"/>
      <c r="M89" s="4"/>
    </row>
    <row r="90" spans="2:13">
      <c r="B90" s="4"/>
      <c r="C90" s="4"/>
      <c r="D90" s="4"/>
      <c r="E90" s="4"/>
      <c r="F90" s="4"/>
      <c r="G90" s="4"/>
      <c r="H90" s="4"/>
      <c r="I90" s="4"/>
      <c r="J90" s="4"/>
      <c r="K90" s="4"/>
      <c r="L90" s="4"/>
      <c r="M90" s="4"/>
    </row>
    <row r="91" spans="2:13">
      <c r="B91" s="4"/>
      <c r="C91" s="4"/>
      <c r="D91" s="4"/>
      <c r="E91" s="4"/>
      <c r="F91" s="4"/>
      <c r="G91" s="4"/>
      <c r="H91" s="4"/>
      <c r="I91" s="4"/>
      <c r="J91" s="4"/>
      <c r="K91" s="4"/>
      <c r="L91" s="4"/>
      <c r="M91" s="4"/>
    </row>
    <row r="92" spans="2:13">
      <c r="B92" s="4"/>
      <c r="C92" s="4"/>
      <c r="D92" s="4"/>
      <c r="E92" s="4"/>
      <c r="F92" s="4"/>
      <c r="G92" s="4"/>
      <c r="H92" s="4"/>
      <c r="I92" s="4"/>
      <c r="J92" s="4"/>
      <c r="K92" s="4"/>
      <c r="L92" s="4"/>
      <c r="M92" s="4"/>
    </row>
    <row r="93" spans="2:13">
      <c r="B93" s="4"/>
      <c r="C93" s="4"/>
      <c r="D93" s="4"/>
      <c r="E93" s="4"/>
      <c r="F93" s="4"/>
      <c r="G93" s="4"/>
      <c r="H93" s="4"/>
      <c r="I93" s="4"/>
      <c r="J93" s="4"/>
      <c r="K93" s="4"/>
      <c r="L93" s="4"/>
      <c r="M93" s="4"/>
    </row>
    <row r="94" spans="2:13">
      <c r="B94" s="4"/>
      <c r="C94" s="4"/>
      <c r="D94" s="4"/>
      <c r="E94" s="4"/>
      <c r="F94" s="4"/>
      <c r="G94" s="4"/>
      <c r="H94" s="4"/>
      <c r="I94" s="4"/>
      <c r="J94" s="4"/>
      <c r="K94" s="4"/>
      <c r="L94" s="4"/>
      <c r="M94" s="4"/>
    </row>
    <row r="95" spans="2:13">
      <c r="B95" s="4"/>
      <c r="C95" s="4"/>
      <c r="D95" s="4"/>
      <c r="E95" s="4"/>
      <c r="F95" s="4"/>
      <c r="G95" s="4"/>
      <c r="H95" s="4"/>
      <c r="I95" s="4"/>
      <c r="J95" s="4"/>
      <c r="K95" s="4"/>
      <c r="L95" s="4"/>
      <c r="M95" s="4"/>
    </row>
    <row r="96" spans="2:13">
      <c r="B96" s="4"/>
      <c r="C96" s="4"/>
      <c r="D96" s="4"/>
      <c r="E96" s="4"/>
      <c r="F96" s="4"/>
      <c r="G96" s="4"/>
      <c r="H96" s="4"/>
      <c r="I96" s="4"/>
      <c r="J96" s="4"/>
      <c r="K96" s="4"/>
      <c r="L96" s="4"/>
      <c r="M96" s="4"/>
    </row>
    <row r="97" spans="2:13">
      <c r="B97" s="4"/>
      <c r="C97" s="4"/>
      <c r="D97" s="4"/>
      <c r="E97" s="4"/>
      <c r="F97" s="4"/>
      <c r="G97" s="4"/>
      <c r="H97" s="4"/>
      <c r="I97" s="4"/>
      <c r="J97" s="4"/>
      <c r="K97" s="4"/>
      <c r="L97" s="4"/>
      <c r="M97" s="4"/>
    </row>
    <row r="98" spans="2:13">
      <c r="B98" s="4"/>
      <c r="C98" s="4"/>
      <c r="D98" s="4"/>
      <c r="E98" s="4"/>
      <c r="F98" s="4"/>
      <c r="G98" s="4"/>
      <c r="H98" s="4"/>
      <c r="I98" s="4"/>
      <c r="J98" s="4"/>
      <c r="K98" s="4"/>
      <c r="L98" s="4"/>
      <c r="M98" s="4"/>
    </row>
    <row r="99" spans="2:13">
      <c r="B99" s="4"/>
      <c r="C99" s="4"/>
      <c r="D99" s="4"/>
      <c r="E99" s="4"/>
      <c r="F99" s="4"/>
      <c r="G99" s="4"/>
      <c r="H99" s="4"/>
      <c r="I99" s="4"/>
      <c r="J99" s="4"/>
      <c r="K99" s="4"/>
      <c r="L99" s="4"/>
      <c r="M99" s="4"/>
    </row>
    <row r="100" spans="2:13">
      <c r="B100" s="4"/>
      <c r="C100" s="4"/>
      <c r="D100" s="4"/>
      <c r="E100" s="4"/>
      <c r="F100" s="4"/>
      <c r="G100" s="4"/>
      <c r="H100" s="4"/>
      <c r="I100" s="4"/>
      <c r="J100" s="4"/>
      <c r="K100" s="4"/>
      <c r="L100" s="4"/>
      <c r="M100" s="4"/>
    </row>
    <row r="101" spans="2:13">
      <c r="B101" s="4"/>
      <c r="C101" s="4"/>
      <c r="D101" s="4"/>
      <c r="E101" s="4"/>
      <c r="F101" s="4"/>
      <c r="G101" s="4"/>
      <c r="H101" s="4"/>
      <c r="I101" s="4"/>
      <c r="J101" s="4"/>
      <c r="K101" s="4"/>
      <c r="L101" s="4"/>
      <c r="M101" s="4"/>
    </row>
    <row r="102" spans="2:13">
      <c r="B102" s="4"/>
      <c r="C102" s="4"/>
      <c r="D102" s="4"/>
      <c r="E102" s="4"/>
      <c r="F102" s="4"/>
      <c r="G102" s="4"/>
      <c r="H102" s="4"/>
      <c r="I102" s="4"/>
      <c r="J102" s="4"/>
      <c r="K102" s="4"/>
      <c r="L102" s="4"/>
      <c r="M102" s="4"/>
    </row>
    <row r="103" spans="2:13">
      <c r="B103" s="4"/>
      <c r="C103" s="4"/>
      <c r="D103" s="4"/>
      <c r="E103" s="4"/>
      <c r="F103" s="4"/>
      <c r="G103" s="4"/>
      <c r="H103" s="4"/>
      <c r="I103" s="4"/>
      <c r="J103" s="4"/>
      <c r="K103" s="4"/>
      <c r="L103" s="4"/>
      <c r="M103" s="4"/>
    </row>
    <row r="104" spans="2:13">
      <c r="B104" s="4"/>
      <c r="C104" s="4"/>
      <c r="D104" s="4"/>
      <c r="E104" s="4"/>
      <c r="F104" s="4"/>
      <c r="G104" s="4"/>
      <c r="H104" s="4"/>
      <c r="I104" s="4"/>
      <c r="J104" s="4"/>
      <c r="K104" s="4"/>
      <c r="L104" s="4"/>
      <c r="M104" s="4"/>
    </row>
    <row r="105" spans="2:13">
      <c r="B105" s="4"/>
      <c r="C105" s="4"/>
      <c r="D105" s="4"/>
      <c r="E105" s="4"/>
      <c r="F105" s="4"/>
      <c r="G105" s="4"/>
      <c r="H105" s="4"/>
      <c r="I105" s="4"/>
      <c r="J105" s="4"/>
      <c r="K105" s="4"/>
      <c r="L105" s="4"/>
      <c r="M105" s="4"/>
    </row>
    <row r="106" spans="2:13">
      <c r="B106" s="4"/>
      <c r="C106" s="4"/>
      <c r="D106" s="4"/>
      <c r="E106" s="4"/>
      <c r="F106" s="4"/>
      <c r="G106" s="4"/>
      <c r="H106" s="4"/>
      <c r="I106" s="4"/>
      <c r="J106" s="4"/>
      <c r="K106" s="4"/>
      <c r="L106" s="4"/>
      <c r="M106" s="4"/>
    </row>
    <row r="107" spans="2:13">
      <c r="B107" s="4"/>
      <c r="C107" s="4"/>
      <c r="D107" s="4"/>
      <c r="E107" s="4"/>
      <c r="F107" s="4"/>
      <c r="G107" s="4"/>
      <c r="H107" s="4"/>
      <c r="I107" s="4"/>
      <c r="J107" s="4"/>
      <c r="K107" s="4"/>
      <c r="L107" s="4"/>
      <c r="M107" s="4"/>
    </row>
    <row r="108" spans="2:13">
      <c r="B108" s="4"/>
      <c r="C108" s="4"/>
      <c r="D108" s="4"/>
      <c r="E108" s="4"/>
      <c r="F108" s="4"/>
      <c r="G108" s="4"/>
      <c r="H108" s="4"/>
      <c r="I108" s="4"/>
      <c r="J108" s="4"/>
      <c r="K108" s="4"/>
      <c r="L108" s="4"/>
      <c r="M108" s="4"/>
    </row>
    <row r="109" spans="2:13">
      <c r="B109" s="4"/>
      <c r="C109" s="4"/>
      <c r="D109" s="4"/>
      <c r="E109" s="4"/>
      <c r="F109" s="4"/>
      <c r="G109" s="4"/>
      <c r="H109" s="4"/>
      <c r="I109" s="4"/>
      <c r="J109" s="4"/>
      <c r="K109" s="4"/>
      <c r="L109" s="4"/>
      <c r="M109" s="4"/>
    </row>
  </sheetData>
  <mergeCells count="3">
    <mergeCell ref="A1:P1"/>
    <mergeCell ref="A2:P2"/>
    <mergeCell ref="A3:P3"/>
  </mergeCells>
  <pageMargins left="0.75" right="0.75" top="1" bottom="1" header="0.5" footer="0.5"/>
  <pageSetup scale="60" fitToHeight="2" orientation="landscape" r:id="rId1"/>
  <headerFooter alignWithMargins="0">
    <oddFooter>&amp;L&amp;Z
&amp;F&amp;C&amp;A&amp;R17.&amp;P</oddFooter>
  </headerFooter>
  <rowBreaks count="1" manualBreakCount="1">
    <brk id="60" max="16383" man="1"/>
  </rowBreaks>
</worksheet>
</file>

<file path=xl/worksheets/sheet7.xml><?xml version="1.0" encoding="utf-8"?>
<worksheet xmlns="http://schemas.openxmlformats.org/spreadsheetml/2006/main" xmlns:r="http://schemas.openxmlformats.org/officeDocument/2006/relationships">
  <sheetPr codeName="Sheet7"/>
  <dimension ref="A1:AN2"/>
  <sheetViews>
    <sheetView workbookViewId="0">
      <selection activeCell="A2" sqref="A2:AN2"/>
    </sheetView>
  </sheetViews>
  <sheetFormatPr defaultColWidth="25.7109375" defaultRowHeight="13.5"/>
  <cols>
    <col min="1" max="16384" width="25.7109375" style="14"/>
  </cols>
  <sheetData>
    <row r="1" spans="1:40">
      <c r="A1" s="14">
        <v>1</v>
      </c>
      <c r="B1" s="14">
        <v>40</v>
      </c>
      <c r="C1" s="14" t="s">
        <v>786</v>
      </c>
    </row>
    <row r="2" spans="1:40">
      <c r="A2" s="14">
        <v>0</v>
      </c>
      <c r="B2" s="14">
        <v>0</v>
      </c>
      <c r="C2" s="14">
        <v>10</v>
      </c>
      <c r="D2" s="14">
        <v>101</v>
      </c>
      <c r="E2" s="14">
        <v>3301</v>
      </c>
      <c r="F2" s="14">
        <v>10</v>
      </c>
      <c r="G2" s="18">
        <v>38568.409583333334</v>
      </c>
      <c r="H2" s="14">
        <v>1071</v>
      </c>
      <c r="I2" s="14">
        <v>1071</v>
      </c>
      <c r="J2" s="18">
        <v>38568.409583333334</v>
      </c>
      <c r="K2" s="14">
        <v>1071</v>
      </c>
      <c r="L2" s="14" t="s">
        <v>750</v>
      </c>
      <c r="M2" s="17" t="s">
        <v>738</v>
      </c>
      <c r="N2" s="14" t="s">
        <v>750</v>
      </c>
      <c r="P2" s="14" t="s">
        <v>248</v>
      </c>
      <c r="Q2" s="17" t="s">
        <v>784</v>
      </c>
      <c r="R2" s="17" t="s">
        <v>784</v>
      </c>
      <c r="S2" s="17" t="s">
        <v>742</v>
      </c>
      <c r="T2" s="17" t="s">
        <v>744</v>
      </c>
      <c r="U2" s="17" t="s">
        <v>744</v>
      </c>
      <c r="V2" s="17" t="s">
        <v>742</v>
      </c>
      <c r="W2" s="17" t="s">
        <v>744</v>
      </c>
      <c r="X2" s="17" t="s">
        <v>744</v>
      </c>
      <c r="Y2" s="17" t="s">
        <v>742</v>
      </c>
      <c r="Z2" s="17" t="s">
        <v>744</v>
      </c>
      <c r="AA2" s="17" t="s">
        <v>744</v>
      </c>
      <c r="AB2" s="17" t="s">
        <v>742</v>
      </c>
      <c r="AC2" s="17" t="s">
        <v>744</v>
      </c>
      <c r="AD2" s="17" t="s">
        <v>744</v>
      </c>
      <c r="AE2" s="17" t="s">
        <v>742</v>
      </c>
      <c r="AF2" s="17" t="s">
        <v>744</v>
      </c>
      <c r="AG2" s="17" t="s">
        <v>744</v>
      </c>
      <c r="AH2" s="17" t="s">
        <v>742</v>
      </c>
      <c r="AI2" s="17" t="s">
        <v>744</v>
      </c>
      <c r="AJ2" s="17" t="s">
        <v>744</v>
      </c>
      <c r="AK2" s="17" t="s">
        <v>742</v>
      </c>
      <c r="AL2" s="17" t="s">
        <v>744</v>
      </c>
      <c r="AM2" s="17" t="s">
        <v>744</v>
      </c>
      <c r="AN2" s="17" t="s">
        <v>742</v>
      </c>
    </row>
  </sheetData>
  <customSheetViews>
    <customSheetView guid="{6B74E52F-9552-408A-8775-25AFF24E6639}" state="hidden" showRuler="0">
      <selection activeCell="A2" sqref="A2:AN2"/>
      <pageMargins left="0.75" right="0.75" top="1" bottom="1" header="0.5" footer="0.5"/>
      <headerFooter alignWithMargins="0"/>
    </customSheetView>
  </customSheetViews>
  <phoneticPr fontId="4" type="noConversion"/>
  <pageMargins left="0.75" right="0.75" top="1" bottom="1" header="0.5" footer="0.5"/>
  <headerFooter alignWithMargins="0"/>
</worksheet>
</file>

<file path=xl/worksheets/sheet70.xml><?xml version="1.0" encoding="utf-8"?>
<worksheet xmlns="http://schemas.openxmlformats.org/spreadsheetml/2006/main" xmlns:r="http://schemas.openxmlformats.org/officeDocument/2006/relationships">
  <sheetPr codeName="Sheet107">
    <pageSetUpPr fitToPage="1"/>
  </sheetPr>
  <dimension ref="A1:O154"/>
  <sheetViews>
    <sheetView zoomScaleNormal="100" workbookViewId="0">
      <pane xSplit="1" ySplit="10" topLeftCell="B11" activePane="bottomRight" state="frozen"/>
      <selection activeCell="A31" sqref="A31"/>
      <selection pane="topRight" activeCell="A31" sqref="A31"/>
      <selection pane="bottomLeft" activeCell="A31" sqref="A31"/>
      <selection pane="bottomRight" activeCell="A31" sqref="A31"/>
    </sheetView>
  </sheetViews>
  <sheetFormatPr defaultRowHeight="12.75"/>
  <cols>
    <col min="1" max="1" width="49.7109375" bestFit="1" customWidth="1"/>
    <col min="2" max="2" width="17.7109375" customWidth="1"/>
    <col min="3" max="3" width="1.7109375" customWidth="1"/>
    <col min="4" max="4" width="17.7109375" customWidth="1"/>
    <col min="5" max="5" width="1.7109375" customWidth="1"/>
    <col min="6" max="6" width="17.7109375" customWidth="1"/>
    <col min="7" max="7" width="1.7109375" customWidth="1"/>
    <col min="8" max="8" width="17.7109375" customWidth="1"/>
    <col min="9" max="9" width="1.7109375" customWidth="1"/>
    <col min="10" max="10" width="17.7109375" customWidth="1"/>
    <col min="11" max="11" width="1.7109375" customWidth="1"/>
    <col min="12" max="12" width="17.7109375" customWidth="1"/>
  </cols>
  <sheetData>
    <row r="1" spans="1:13" s="38" customFormat="1" ht="15.75">
      <c r="A1" s="366" t="s">
        <v>134</v>
      </c>
      <c r="B1" s="366"/>
      <c r="C1" s="366"/>
      <c r="D1" s="366"/>
      <c r="E1" s="366"/>
      <c r="F1" s="366"/>
      <c r="G1" s="366"/>
      <c r="H1" s="366"/>
      <c r="I1" s="366"/>
      <c r="J1" s="366"/>
      <c r="K1" s="366"/>
      <c r="L1" s="366"/>
    </row>
    <row r="2" spans="1:13" s="38" customFormat="1" ht="15.75">
      <c r="A2" s="366" t="s">
        <v>1196</v>
      </c>
      <c r="B2" s="366"/>
      <c r="C2" s="366"/>
      <c r="D2" s="366"/>
      <c r="E2" s="366"/>
      <c r="F2" s="366"/>
      <c r="G2" s="366"/>
      <c r="H2" s="366"/>
      <c r="I2" s="366"/>
      <c r="J2" s="366"/>
      <c r="K2" s="366"/>
      <c r="L2" s="366"/>
    </row>
    <row r="3" spans="1:13">
      <c r="A3" s="357" t="str">
        <f>'Summary - Cost - PG 1 (Tot)'!A3:N3</f>
        <v>MARCH 2012</v>
      </c>
      <c r="B3" s="357"/>
      <c r="C3" s="357"/>
      <c r="D3" s="357"/>
      <c r="E3" s="357"/>
      <c r="F3" s="357"/>
      <c r="G3" s="357"/>
      <c r="H3" s="357"/>
      <c r="I3" s="357"/>
      <c r="J3" s="357"/>
      <c r="K3" s="357"/>
      <c r="L3" s="357"/>
    </row>
    <row r="4" spans="1:13">
      <c r="A4" s="190"/>
      <c r="B4" s="190"/>
      <c r="C4" s="190"/>
      <c r="D4" s="190"/>
      <c r="E4" s="190"/>
      <c r="F4" s="190"/>
      <c r="G4" s="190"/>
      <c r="H4" s="190"/>
      <c r="I4" s="190"/>
      <c r="J4" s="190"/>
      <c r="K4" s="190"/>
      <c r="L4" s="190"/>
    </row>
    <row r="6" spans="1:13">
      <c r="B6" s="41" t="s">
        <v>25</v>
      </c>
      <c r="D6" s="182"/>
      <c r="F6" s="182"/>
      <c r="H6" s="41" t="s">
        <v>612</v>
      </c>
      <c r="J6" s="182"/>
      <c r="L6" s="41" t="s">
        <v>26</v>
      </c>
    </row>
    <row r="7" spans="1:13" s="10" customFormat="1">
      <c r="B7" s="42" t="s">
        <v>27</v>
      </c>
      <c r="C7"/>
      <c r="D7" s="42" t="s">
        <v>107</v>
      </c>
      <c r="E7"/>
      <c r="F7" s="42" t="s">
        <v>108</v>
      </c>
      <c r="G7"/>
      <c r="H7" s="42" t="s">
        <v>613</v>
      </c>
      <c r="I7"/>
      <c r="J7" s="42" t="s">
        <v>109</v>
      </c>
      <c r="K7"/>
      <c r="L7" s="42" t="s">
        <v>27</v>
      </c>
    </row>
    <row r="8" spans="1:13" s="10" customFormat="1">
      <c r="A8" s="3" t="s">
        <v>371</v>
      </c>
      <c r="B8" s="54"/>
      <c r="C8"/>
      <c r="D8" s="54"/>
      <c r="E8"/>
      <c r="F8" s="54"/>
      <c r="G8"/>
      <c r="H8" s="54"/>
      <c r="I8"/>
      <c r="J8" s="54"/>
      <c r="K8"/>
      <c r="L8" s="54"/>
    </row>
    <row r="9" spans="1:13" s="10" customFormat="1">
      <c r="A9" s="3" t="s">
        <v>572</v>
      </c>
      <c r="B9" s="54"/>
      <c r="C9"/>
      <c r="D9" s="54"/>
      <c r="E9"/>
      <c r="F9" s="54"/>
      <c r="G9"/>
      <c r="H9" s="54"/>
      <c r="I9"/>
      <c r="J9" s="54"/>
      <c r="K9"/>
      <c r="L9" s="54"/>
    </row>
    <row r="10" spans="1:13">
      <c r="A10" s="3" t="s">
        <v>121</v>
      </c>
    </row>
    <row r="11" spans="1:13">
      <c r="A11" t="s">
        <v>848</v>
      </c>
      <c r="B11" s="182">
        <f>'KY_Cost Plant Acct-Gas-P20(Tot)'!B11</f>
        <v>59724.58</v>
      </c>
      <c r="C11" s="182"/>
      <c r="D11" s="182">
        <f>'KY_Cost Plant Acct-Gas-P20(Tot)'!D11</f>
        <v>0</v>
      </c>
      <c r="E11" s="182"/>
      <c r="F11" s="182">
        <f>'KY_Cost Plant Acct-Gas-P20(Tot)'!F11</f>
        <v>0</v>
      </c>
      <c r="G11" s="182"/>
      <c r="H11" s="182">
        <f>'KY_Cost Plant Acct-Gas-P20(Tot)'!H11</f>
        <v>0</v>
      </c>
      <c r="I11" s="182"/>
      <c r="J11" s="182">
        <f t="shared" ref="J11:J24" si="0">H11+F11+D11</f>
        <v>0</v>
      </c>
      <c r="K11" s="182"/>
      <c r="L11" s="182">
        <f t="shared" ref="L11:L24" si="1">J11+B11</f>
        <v>59724.58</v>
      </c>
      <c r="M11" s="4"/>
    </row>
    <row r="12" spans="1:13">
      <c r="A12" t="s">
        <v>849</v>
      </c>
      <c r="B12" s="182">
        <f>'KY_Cost Plant Acct-Gas-P20(Tot)'!B12</f>
        <v>-3357.2400000000052</v>
      </c>
      <c r="C12" s="182"/>
      <c r="D12" s="182">
        <f>'KY_Cost Plant Acct-Gas-P20(Tot)'!D12</f>
        <v>0</v>
      </c>
      <c r="E12" s="182"/>
      <c r="F12" s="182">
        <f>'KY_Cost Plant Acct-Gas-P20(Tot)'!F12</f>
        <v>0</v>
      </c>
      <c r="G12" s="182"/>
      <c r="H12" s="182">
        <f>'KY_Cost Plant Acct-Gas-P20(Tot)'!H12</f>
        <v>0</v>
      </c>
      <c r="I12" s="182"/>
      <c r="J12" s="182">
        <f t="shared" si="0"/>
        <v>0</v>
      </c>
      <c r="K12" s="182"/>
      <c r="L12" s="182">
        <f t="shared" si="1"/>
        <v>-3357.2400000000052</v>
      </c>
      <c r="M12" s="4"/>
    </row>
    <row r="13" spans="1:13">
      <c r="A13" t="s">
        <v>850</v>
      </c>
      <c r="B13" s="182">
        <f>'KY_Cost Plant Acct-Gas-P20(Tot)'!B13</f>
        <v>274572.55</v>
      </c>
      <c r="C13" s="182"/>
      <c r="D13" s="182">
        <f>'KY_Cost Plant Acct-Gas-P20(Tot)'!D13</f>
        <v>0</v>
      </c>
      <c r="E13" s="182"/>
      <c r="F13" s="182">
        <f>'KY_Cost Plant Acct-Gas-P20(Tot)'!F13</f>
        <v>0</v>
      </c>
      <c r="G13" s="182"/>
      <c r="H13" s="182">
        <f>'KY_Cost Plant Acct-Gas-P20(Tot)'!H13</f>
        <v>0</v>
      </c>
      <c r="I13" s="182"/>
      <c r="J13" s="182">
        <f t="shared" si="0"/>
        <v>0</v>
      </c>
      <c r="K13" s="182"/>
      <c r="L13" s="182">
        <f t="shared" si="1"/>
        <v>274572.55</v>
      </c>
      <c r="M13" s="4"/>
    </row>
    <row r="14" spans="1:13">
      <c r="A14" t="s">
        <v>71</v>
      </c>
      <c r="B14" s="182">
        <f>'KY_Cost Plant Acct-Gas-P20(Tot)'!B14</f>
        <v>408380.84000000008</v>
      </c>
      <c r="C14" s="182"/>
      <c r="D14" s="182">
        <f>'KY_Cost Plant Acct-Gas-P20(Tot)'!D14</f>
        <v>0</v>
      </c>
      <c r="E14" s="182"/>
      <c r="F14" s="182">
        <f>'KY_Cost Plant Acct-Gas-P20(Tot)'!F14</f>
        <v>0</v>
      </c>
      <c r="G14" s="182"/>
      <c r="H14" s="182">
        <f>'KY_Cost Plant Acct-Gas-P20(Tot)'!H14</f>
        <v>0</v>
      </c>
      <c r="I14" s="182"/>
      <c r="J14" s="182">
        <f t="shared" si="0"/>
        <v>0</v>
      </c>
      <c r="K14" s="182"/>
      <c r="L14" s="182">
        <f t="shared" si="1"/>
        <v>408380.84000000008</v>
      </c>
      <c r="M14" s="4"/>
    </row>
    <row r="15" spans="1:13">
      <c r="A15" t="s">
        <v>72</v>
      </c>
      <c r="B15" s="182">
        <f>'KY_Cost Plant Acct-Gas-P20(Tot)'!B15</f>
        <v>227745694.47000003</v>
      </c>
      <c r="C15" s="182"/>
      <c r="D15" s="182">
        <f>'KY_Cost Plant Acct-Gas-P20(Tot)'!D15</f>
        <v>2382164.92</v>
      </c>
      <c r="E15" s="182"/>
      <c r="F15" s="182">
        <f>'KY_Cost Plant Acct-Gas-P20(Tot)'!F15</f>
        <v>-5116.34</v>
      </c>
      <c r="G15" s="182"/>
      <c r="H15" s="182">
        <f>'KY_Cost Plant Acct-Gas-P20(Tot)'!H15</f>
        <v>-134900.23000000001</v>
      </c>
      <c r="I15" s="182"/>
      <c r="J15" s="182">
        <f t="shared" si="0"/>
        <v>2242148.35</v>
      </c>
      <c r="K15" s="182"/>
      <c r="L15" s="182">
        <f t="shared" si="1"/>
        <v>229987842.82000002</v>
      </c>
      <c r="M15" s="4"/>
    </row>
    <row r="16" spans="1:13">
      <c r="A16" t="s">
        <v>73</v>
      </c>
      <c r="B16" s="182">
        <f>'KY_Cost Plant Acct-Gas-P20(Tot)'!B16</f>
        <v>9315715.0599999987</v>
      </c>
      <c r="C16" s="182"/>
      <c r="D16" s="182">
        <f>'KY_Cost Plant Acct-Gas-P20(Tot)'!D16</f>
        <v>132004.96</v>
      </c>
      <c r="E16" s="182"/>
      <c r="F16" s="182">
        <f>'KY_Cost Plant Acct-Gas-P20(Tot)'!F16</f>
        <v>-3295.07</v>
      </c>
      <c r="G16" s="182"/>
      <c r="H16" s="182">
        <f>'KY_Cost Plant Acct-Gas-P20(Tot)'!H16</f>
        <v>0</v>
      </c>
      <c r="I16" s="182"/>
      <c r="J16" s="182">
        <f t="shared" si="0"/>
        <v>128709.88999999998</v>
      </c>
      <c r="K16" s="182"/>
      <c r="L16" s="182">
        <f t="shared" si="1"/>
        <v>9444424.9499999993</v>
      </c>
      <c r="M16" s="4"/>
    </row>
    <row r="17" spans="1:15">
      <c r="A17" t="s">
        <v>74</v>
      </c>
      <c r="B17" s="182">
        <f>'KY_Cost Plant Acct-Gas-P20(Tot)'!B17</f>
        <v>2741518.91</v>
      </c>
      <c r="C17" s="182"/>
      <c r="D17" s="182">
        <f>'KY_Cost Plant Acct-Gas-P20(Tot)'!D17</f>
        <v>0</v>
      </c>
      <c r="E17" s="182"/>
      <c r="F17" s="182">
        <f>'KY_Cost Plant Acct-Gas-P20(Tot)'!F17</f>
        <v>0</v>
      </c>
      <c r="G17" s="182"/>
      <c r="H17" s="182">
        <f>'KY_Cost Plant Acct-Gas-P20(Tot)'!H17</f>
        <v>0</v>
      </c>
      <c r="I17" s="182"/>
      <c r="J17" s="182">
        <f t="shared" si="0"/>
        <v>0</v>
      </c>
      <c r="K17" s="182"/>
      <c r="L17" s="182">
        <f t="shared" si="1"/>
        <v>2741518.91</v>
      </c>
      <c r="M17" s="4"/>
    </row>
    <row r="18" spans="1:15">
      <c r="A18" t="s">
        <v>75</v>
      </c>
      <c r="B18" s="182">
        <f>'KY_Cost Plant Acct-Gas-P20(Tot)'!B18</f>
        <v>158920060.97</v>
      </c>
      <c r="C18" s="182"/>
      <c r="D18" s="182">
        <f>'KY_Cost Plant Acct-Gas-P20(Tot)'!D18</f>
        <v>267732.98</v>
      </c>
      <c r="E18" s="182"/>
      <c r="F18" s="182">
        <f>'KY_Cost Plant Acct-Gas-P20(Tot)'!F18</f>
        <v>-720.31</v>
      </c>
      <c r="G18" s="182"/>
      <c r="H18" s="182">
        <f>'KY_Cost Plant Acct-Gas-P20(Tot)'!H18</f>
        <v>0</v>
      </c>
      <c r="I18" s="182"/>
      <c r="J18" s="182">
        <f t="shared" si="0"/>
        <v>267012.67</v>
      </c>
      <c r="K18" s="182"/>
      <c r="L18" s="182">
        <f t="shared" si="1"/>
        <v>159187073.63999999</v>
      </c>
      <c r="M18" s="4"/>
    </row>
    <row r="19" spans="1:15">
      <c r="A19" t="s">
        <v>76</v>
      </c>
      <c r="B19" s="182">
        <f>'KY_Cost Plant Acct-Gas-P20(Tot)'!B19</f>
        <v>34944119.940000005</v>
      </c>
      <c r="C19" s="182"/>
      <c r="D19" s="182">
        <f>'KY_Cost Plant Acct-Gas-P20(Tot)'!D19</f>
        <v>0</v>
      </c>
      <c r="E19" s="182"/>
      <c r="F19" s="182">
        <f>'KY_Cost Plant Acct-Gas-P20(Tot)'!F19</f>
        <v>0</v>
      </c>
      <c r="G19" s="182"/>
      <c r="H19" s="182">
        <f>'KY_Cost Plant Acct-Gas-P20(Tot)'!H19</f>
        <v>0</v>
      </c>
      <c r="I19" s="182"/>
      <c r="J19" s="182">
        <f t="shared" si="0"/>
        <v>0</v>
      </c>
      <c r="K19" s="182"/>
      <c r="L19" s="182">
        <f t="shared" si="1"/>
        <v>34944119.940000005</v>
      </c>
      <c r="M19" s="4"/>
    </row>
    <row r="20" spans="1:15">
      <c r="A20" t="s">
        <v>77</v>
      </c>
      <c r="B20" s="182">
        <f>'KY_Cost Plant Acct-Gas-P20(Tot)'!B20</f>
        <v>22553094.390000001</v>
      </c>
      <c r="C20" s="182"/>
      <c r="D20" s="182">
        <f>'KY_Cost Plant Acct-Gas-P20(Tot)'!D20</f>
        <v>0</v>
      </c>
      <c r="E20" s="182"/>
      <c r="F20" s="182">
        <f>'KY_Cost Plant Acct-Gas-P20(Tot)'!F20</f>
        <v>0</v>
      </c>
      <c r="G20" s="182"/>
      <c r="H20" s="182">
        <f>'KY_Cost Plant Acct-Gas-P20(Tot)'!H20</f>
        <v>0</v>
      </c>
      <c r="I20" s="182"/>
      <c r="J20" s="182">
        <f t="shared" si="0"/>
        <v>0</v>
      </c>
      <c r="K20" s="182"/>
      <c r="L20" s="182">
        <f t="shared" si="1"/>
        <v>22553094.390000001</v>
      </c>
      <c r="M20" s="4"/>
    </row>
    <row r="21" spans="1:15">
      <c r="A21" t="s">
        <v>78</v>
      </c>
      <c r="B21" s="182">
        <f>'KY_Cost Plant Acct-Gas-P20(Tot)'!B21</f>
        <v>822514.4</v>
      </c>
      <c r="C21" s="182"/>
      <c r="D21" s="182">
        <f>'KY_Cost Plant Acct-Gas-P20(Tot)'!D21</f>
        <v>0</v>
      </c>
      <c r="E21" s="182"/>
      <c r="F21" s="182">
        <f>'KY_Cost Plant Acct-Gas-P20(Tot)'!F21</f>
        <v>0</v>
      </c>
      <c r="G21" s="182"/>
      <c r="H21" s="182">
        <f>'KY_Cost Plant Acct-Gas-P20(Tot)'!H21</f>
        <v>0</v>
      </c>
      <c r="I21" s="182"/>
      <c r="J21" s="182">
        <f t="shared" si="0"/>
        <v>0</v>
      </c>
      <c r="K21" s="182"/>
      <c r="L21" s="182">
        <f t="shared" si="1"/>
        <v>822514.4</v>
      </c>
      <c r="M21" s="4"/>
    </row>
    <row r="22" spans="1:15">
      <c r="A22" t="s">
        <v>79</v>
      </c>
      <c r="B22" s="182">
        <f>'KY_Cost Plant Acct-Gas-P20(Tot)'!B22</f>
        <v>50425.84</v>
      </c>
      <c r="C22" s="52"/>
      <c r="D22" s="182">
        <f>'KY_Cost Plant Acct-Gas-P20(Tot)'!D22</f>
        <v>0</v>
      </c>
      <c r="E22" s="52"/>
      <c r="F22" s="182">
        <f>'KY_Cost Plant Acct-Gas-P20(Tot)'!F22</f>
        <v>0</v>
      </c>
      <c r="G22" s="52"/>
      <c r="H22" s="182">
        <f>'KY_Cost Plant Acct-Gas-P20(Tot)'!H22</f>
        <v>0</v>
      </c>
      <c r="I22" s="52"/>
      <c r="J22" s="52">
        <f t="shared" si="0"/>
        <v>0</v>
      </c>
      <c r="K22" s="52"/>
      <c r="L22" s="52">
        <f t="shared" si="1"/>
        <v>50425.84</v>
      </c>
      <c r="M22" s="55"/>
      <c r="N22" s="7"/>
      <c r="O22" s="7"/>
    </row>
    <row r="23" spans="1:15">
      <c r="A23" t="s">
        <v>80</v>
      </c>
      <c r="B23" s="182">
        <f>'KY_Cost Plant Acct-Gas-P20(Tot)'!B23</f>
        <v>2962.94</v>
      </c>
      <c r="C23" s="52"/>
      <c r="D23" s="182">
        <f>'KY_Cost Plant Acct-Gas-P20(Tot)'!D23</f>
        <v>0</v>
      </c>
      <c r="E23" s="52"/>
      <c r="F23" s="182">
        <f>'KY_Cost Plant Acct-Gas-P20(Tot)'!F23</f>
        <v>0</v>
      </c>
      <c r="G23" s="52"/>
      <c r="H23" s="182">
        <f>'KY_Cost Plant Acct-Gas-P20(Tot)'!H23</f>
        <v>0</v>
      </c>
      <c r="I23" s="52"/>
      <c r="J23" s="52">
        <f t="shared" si="0"/>
        <v>0</v>
      </c>
      <c r="K23" s="52"/>
      <c r="L23" s="52">
        <f t="shared" si="1"/>
        <v>2962.94</v>
      </c>
      <c r="M23" s="55"/>
      <c r="N23" s="7"/>
      <c r="O23" s="7"/>
    </row>
    <row r="24" spans="1:15">
      <c r="A24" t="s">
        <v>898</v>
      </c>
      <c r="B24" s="48">
        <f>'KY_Cost Plant Acct-Gas-P20(Tot)'!B24</f>
        <v>11928646.510000002</v>
      </c>
      <c r="C24" s="52"/>
      <c r="D24" s="48">
        <f>'KY_Cost Plant Acct-Gas-P20(Tot)'!D24</f>
        <v>0</v>
      </c>
      <c r="E24" s="52"/>
      <c r="F24" s="48">
        <f>'KY_Cost Plant Acct-Gas-P20(Tot)'!F24</f>
        <v>0</v>
      </c>
      <c r="G24" s="52"/>
      <c r="H24" s="48">
        <f>'KY_Cost Plant Acct-Gas-P20(Tot)'!H24</f>
        <v>0</v>
      </c>
      <c r="I24" s="52"/>
      <c r="J24" s="48">
        <f t="shared" si="0"/>
        <v>0</v>
      </c>
      <c r="K24" s="52"/>
      <c r="L24" s="48">
        <f t="shared" si="1"/>
        <v>11928646.510000002</v>
      </c>
      <c r="M24" s="55"/>
      <c r="N24" s="7"/>
      <c r="O24" s="7"/>
    </row>
    <row r="25" spans="1:15">
      <c r="B25" s="52">
        <f>SUM(B11:B24)</f>
        <v>469764074.15999991</v>
      </c>
      <c r="C25" s="52"/>
      <c r="D25" s="52">
        <f>SUM(D11:D24)</f>
        <v>2781902.86</v>
      </c>
      <c r="E25" s="52"/>
      <c r="F25" s="52">
        <f>SUM(F11:F24)</f>
        <v>-9131.7199999999993</v>
      </c>
      <c r="G25" s="52"/>
      <c r="H25" s="52">
        <f>SUM(H11:H24)</f>
        <v>-134900.23000000001</v>
      </c>
      <c r="I25" s="52"/>
      <c r="J25" s="52">
        <f>SUM(J11:J24)</f>
        <v>2637870.91</v>
      </c>
      <c r="K25" s="52"/>
      <c r="L25" s="52">
        <f>SUM(L11:L24)</f>
        <v>472401945.06999987</v>
      </c>
      <c r="M25" s="55"/>
      <c r="N25" s="7"/>
      <c r="O25" s="7"/>
    </row>
    <row r="26" spans="1:15">
      <c r="B26" s="182"/>
      <c r="C26" s="182"/>
      <c r="D26" s="182"/>
      <c r="E26" s="182"/>
      <c r="F26" s="182"/>
      <c r="G26" s="182"/>
      <c r="H26" s="182"/>
      <c r="I26" s="182"/>
      <c r="J26" s="182"/>
      <c r="K26" s="182"/>
      <c r="L26" s="182"/>
      <c r="M26" s="4"/>
    </row>
    <row r="27" spans="1:15">
      <c r="A27" s="3" t="s">
        <v>122</v>
      </c>
      <c r="B27" s="182"/>
      <c r="C27" s="182"/>
      <c r="D27" s="182"/>
      <c r="E27" s="182"/>
      <c r="F27" s="182"/>
      <c r="G27" s="182"/>
      <c r="H27" s="182"/>
      <c r="I27" s="182"/>
      <c r="J27" s="182"/>
      <c r="K27" s="182"/>
      <c r="L27" s="182"/>
      <c r="M27" s="4"/>
    </row>
    <row r="28" spans="1:15">
      <c r="A28" t="s">
        <v>899</v>
      </c>
      <c r="B28" s="182">
        <f>'KY_Cost Plant Acct-Gas-P20(Tot)'!B28</f>
        <v>277818.58000000031</v>
      </c>
      <c r="C28" s="182"/>
      <c r="D28" s="182">
        <f>'KY_Cost Plant Acct-Gas-P20(Tot)'!D28</f>
        <v>112284.74</v>
      </c>
      <c r="E28" s="182"/>
      <c r="F28" s="182">
        <f>'KY_Cost Plant Acct-Gas-P20(Tot)'!F28</f>
        <v>0</v>
      </c>
      <c r="G28" s="182"/>
      <c r="H28" s="182">
        <f>'KY_Cost Plant Acct-Gas-P20(Tot)'!H28</f>
        <v>0</v>
      </c>
      <c r="I28" s="182"/>
      <c r="J28" s="182">
        <f t="shared" ref="J28:J33" si="2">H28+F28+D28</f>
        <v>112284.74</v>
      </c>
      <c r="K28" s="182"/>
      <c r="L28" s="182">
        <f t="shared" ref="L28:L33" si="3">J28+B28</f>
        <v>390103.3200000003</v>
      </c>
      <c r="M28" s="4"/>
    </row>
    <row r="29" spans="1:15">
      <c r="A29" t="s">
        <v>900</v>
      </c>
      <c r="B29" s="182">
        <f>'KY_Cost Plant Acct-Gas-P20(Tot)'!B29</f>
        <v>340748.85</v>
      </c>
      <c r="C29" s="182"/>
      <c r="D29" s="182">
        <f>'KY_Cost Plant Acct-Gas-P20(Tot)'!D29</f>
        <v>57340.17</v>
      </c>
      <c r="E29" s="182"/>
      <c r="F29" s="182">
        <f>'KY_Cost Plant Acct-Gas-P20(Tot)'!F29</f>
        <v>0</v>
      </c>
      <c r="G29" s="182"/>
      <c r="H29" s="182">
        <f>'KY_Cost Plant Acct-Gas-P20(Tot)'!H29</f>
        <v>0</v>
      </c>
      <c r="I29" s="182"/>
      <c r="J29" s="182">
        <f t="shared" si="2"/>
        <v>57340.17</v>
      </c>
      <c r="K29" s="182"/>
      <c r="L29" s="182">
        <f t="shared" si="3"/>
        <v>398089.01999999996</v>
      </c>
      <c r="M29" s="4"/>
    </row>
    <row r="30" spans="1:15">
      <c r="A30" t="s">
        <v>901</v>
      </c>
      <c r="B30" s="182">
        <f>'KY_Cost Plant Acct-Gas-P20(Tot)'!B30</f>
        <v>2502111.6500000004</v>
      </c>
      <c r="C30" s="182"/>
      <c r="D30" s="182">
        <f>'KY_Cost Plant Acct-Gas-P20(Tot)'!D30</f>
        <v>421786.93</v>
      </c>
      <c r="E30" s="182"/>
      <c r="F30" s="182">
        <f>'KY_Cost Plant Acct-Gas-P20(Tot)'!F30</f>
        <v>0</v>
      </c>
      <c r="G30" s="182"/>
      <c r="H30" s="182">
        <f>'KY_Cost Plant Acct-Gas-P20(Tot)'!H30</f>
        <v>0</v>
      </c>
      <c r="I30" s="182"/>
      <c r="J30" s="182">
        <f t="shared" si="2"/>
        <v>421786.93</v>
      </c>
      <c r="K30" s="182"/>
      <c r="L30" s="182">
        <f t="shared" si="3"/>
        <v>2923898.5800000005</v>
      </c>
      <c r="M30" s="4"/>
    </row>
    <row r="31" spans="1:15">
      <c r="A31" t="s">
        <v>995</v>
      </c>
      <c r="B31" s="182">
        <f>'KY_Cost Plant Acct-Gas-P20(Tot)'!B31</f>
        <v>-6890.71</v>
      </c>
      <c r="C31" s="182"/>
      <c r="D31" s="182">
        <f>'KY_Cost Plant Acct-Gas-P20(Tot)'!D31</f>
        <v>0</v>
      </c>
      <c r="E31" s="182"/>
      <c r="F31" s="182">
        <f>'KY_Cost Plant Acct-Gas-P20(Tot)'!F31</f>
        <v>0</v>
      </c>
      <c r="G31" s="182"/>
      <c r="H31" s="182">
        <f>'KY_Cost Plant Acct-Gas-P20(Tot)'!H31</f>
        <v>0</v>
      </c>
      <c r="I31" s="182"/>
      <c r="J31" s="182">
        <f t="shared" si="2"/>
        <v>0</v>
      </c>
      <c r="K31" s="182"/>
      <c r="L31" s="182">
        <f t="shared" si="3"/>
        <v>-6890.71</v>
      </c>
      <c r="M31" s="4"/>
    </row>
    <row r="32" spans="1:15">
      <c r="A32" t="s">
        <v>996</v>
      </c>
      <c r="B32" s="182">
        <f>'KY_Cost Plant Acct-Gas-P20(Tot)'!B32</f>
        <v>349112.87999999989</v>
      </c>
      <c r="C32" s="52"/>
      <c r="D32" s="182">
        <f>'KY_Cost Plant Acct-Gas-P20(Tot)'!D32</f>
        <v>0</v>
      </c>
      <c r="E32" s="52"/>
      <c r="F32" s="182">
        <f>'KY_Cost Plant Acct-Gas-P20(Tot)'!F32</f>
        <v>0</v>
      </c>
      <c r="G32" s="52"/>
      <c r="H32" s="182">
        <f>'KY_Cost Plant Acct-Gas-P20(Tot)'!H32</f>
        <v>0</v>
      </c>
      <c r="I32" s="52"/>
      <c r="J32" s="52">
        <f t="shared" si="2"/>
        <v>0</v>
      </c>
      <c r="K32" s="52"/>
      <c r="L32" s="52">
        <f t="shared" si="3"/>
        <v>349112.87999999989</v>
      </c>
      <c r="M32" s="55"/>
    </row>
    <row r="33" spans="1:13">
      <c r="A33" t="s">
        <v>997</v>
      </c>
      <c r="B33" s="48">
        <f>'KY_Cost Plant Acct-Gas-P20(Tot)'!B33</f>
        <v>28309.929999999993</v>
      </c>
      <c r="C33" s="52"/>
      <c r="D33" s="48">
        <f>'KY_Cost Plant Acct-Gas-P20(Tot)'!D33</f>
        <v>0</v>
      </c>
      <c r="E33" s="52"/>
      <c r="F33" s="48">
        <f>'KY_Cost Plant Acct-Gas-P20(Tot)'!F33</f>
        <v>0</v>
      </c>
      <c r="G33" s="52"/>
      <c r="H33" s="48">
        <f>'KY_Cost Plant Acct-Gas-P20(Tot)'!H33</f>
        <v>0</v>
      </c>
      <c r="I33" s="52"/>
      <c r="J33" s="48">
        <f t="shared" si="2"/>
        <v>0</v>
      </c>
      <c r="K33" s="52"/>
      <c r="L33" s="48">
        <f t="shared" si="3"/>
        <v>28309.929999999993</v>
      </c>
      <c r="M33" s="55"/>
    </row>
    <row r="34" spans="1:13">
      <c r="B34" s="52">
        <f>SUM(B28:B33)</f>
        <v>3491211.1800000006</v>
      </c>
      <c r="C34" s="52"/>
      <c r="D34" s="52">
        <f>SUM(D28:D33)</f>
        <v>591411.84</v>
      </c>
      <c r="E34" s="52"/>
      <c r="F34" s="52">
        <f>SUM(F28:F33)</f>
        <v>0</v>
      </c>
      <c r="G34" s="52"/>
      <c r="H34" s="52">
        <f>SUM(H28:H33)</f>
        <v>0</v>
      </c>
      <c r="I34" s="52"/>
      <c r="J34" s="52">
        <f>SUM(J28:J33)</f>
        <v>591411.84</v>
      </c>
      <c r="K34" s="52"/>
      <c r="L34" s="52">
        <f>SUM(L28:L33)</f>
        <v>4082623.0200000009</v>
      </c>
      <c r="M34" s="55"/>
    </row>
    <row r="35" spans="1:13">
      <c r="B35" s="52"/>
      <c r="C35" s="52"/>
      <c r="D35" s="52"/>
      <c r="E35" s="52"/>
      <c r="F35" s="52"/>
      <c r="G35" s="52"/>
      <c r="H35" s="52"/>
      <c r="I35" s="52"/>
      <c r="J35" s="52"/>
      <c r="K35" s="52"/>
      <c r="L35" s="52"/>
      <c r="M35" s="55"/>
    </row>
    <row r="36" spans="1:13">
      <c r="A36" s="3" t="s">
        <v>123</v>
      </c>
      <c r="B36" s="52"/>
      <c r="C36" s="52"/>
      <c r="D36" s="52"/>
      <c r="E36" s="52"/>
      <c r="F36" s="52"/>
      <c r="G36" s="52"/>
      <c r="H36" s="52"/>
      <c r="I36" s="52"/>
      <c r="J36" s="52"/>
      <c r="K36" s="52"/>
      <c r="L36" s="52"/>
      <c r="M36" s="55"/>
    </row>
    <row r="37" spans="1:13">
      <c r="A37" t="s">
        <v>998</v>
      </c>
      <c r="B37" s="48">
        <f>'KY_Cost Plant Acct-Gas-P20(Tot)'!B37</f>
        <v>268.33000000000004</v>
      </c>
      <c r="C37" s="52"/>
      <c r="D37" s="48">
        <f>'KY_Cost Plant Acct-Gas-P20(Tot)'!D37</f>
        <v>0</v>
      </c>
      <c r="E37" s="52"/>
      <c r="F37" s="48">
        <f>'KY_Cost Plant Acct-Gas-P20(Tot)'!F37</f>
        <v>0</v>
      </c>
      <c r="G37" s="52"/>
      <c r="H37" s="48">
        <f>'KY_Cost Plant Acct-Gas-P20(Tot)'!H37</f>
        <v>0</v>
      </c>
      <c r="I37" s="52"/>
      <c r="J37" s="48">
        <f>H37+F37+D37</f>
        <v>0</v>
      </c>
      <c r="K37" s="52"/>
      <c r="L37" s="48">
        <f>J37+B37</f>
        <v>268.33000000000004</v>
      </c>
      <c r="M37" s="55"/>
    </row>
    <row r="38" spans="1:13">
      <c r="B38" s="52">
        <f>SUM(B37)</f>
        <v>268.33000000000004</v>
      </c>
      <c r="C38" s="52"/>
      <c r="D38" s="52">
        <f>SUM(D37)</f>
        <v>0</v>
      </c>
      <c r="E38" s="52"/>
      <c r="F38" s="52">
        <f>SUM(F37)</f>
        <v>0</v>
      </c>
      <c r="G38" s="52"/>
      <c r="H38" s="52">
        <f>SUM(H37)</f>
        <v>0</v>
      </c>
      <c r="I38" s="52"/>
      <c r="J38" s="52">
        <f>SUM(J37)</f>
        <v>0</v>
      </c>
      <c r="K38" s="52"/>
      <c r="L38" s="52">
        <f>SUM(L37)</f>
        <v>268.33000000000004</v>
      </c>
      <c r="M38" s="55"/>
    </row>
    <row r="39" spans="1:13">
      <c r="B39" s="52"/>
      <c r="C39" s="52"/>
      <c r="D39" s="52"/>
      <c r="E39" s="52"/>
      <c r="F39" s="52"/>
      <c r="G39" s="52"/>
      <c r="H39" s="52"/>
      <c r="I39" s="52"/>
      <c r="J39" s="52"/>
      <c r="K39" s="52"/>
      <c r="L39" s="52"/>
      <c r="M39" s="55"/>
    </row>
    <row r="40" spans="1:13">
      <c r="A40" s="3" t="s">
        <v>124</v>
      </c>
      <c r="B40" s="52"/>
      <c r="C40" s="52"/>
      <c r="D40" s="52"/>
      <c r="E40" s="52"/>
      <c r="F40" s="52"/>
      <c r="G40" s="52"/>
      <c r="H40" s="52"/>
      <c r="I40" s="52"/>
      <c r="J40" s="52"/>
      <c r="K40" s="52"/>
      <c r="L40" s="52"/>
      <c r="M40" s="55"/>
    </row>
    <row r="41" spans="1:13">
      <c r="A41" t="s">
        <v>13</v>
      </c>
      <c r="B41" s="52">
        <f>'KY_Cost Plant Acct-Gas-P20(Tot)'!B41+'IN_Cost Plant Acct-Gas-P22(Tot)'!B11</f>
        <v>32864.07</v>
      </c>
      <c r="C41" s="52"/>
      <c r="D41" s="52">
        <f>'KY_Cost Plant Acct-Gas-P20(Tot)'!D41+'IN_Cost Plant Acct-Gas-P22(Tot)'!D11</f>
        <v>0</v>
      </c>
      <c r="E41" s="52"/>
      <c r="F41" s="52">
        <f>'KY_Cost Plant Acct-Gas-P20(Tot)'!F41+'IN_Cost Plant Acct-Gas-P22(Tot)'!F11</f>
        <v>0</v>
      </c>
      <c r="G41" s="52"/>
      <c r="H41" s="52">
        <f>'KY_Cost Plant Acct-Gas-P20(Tot)'!H41+'IN_Cost Plant Acct-Gas-P22(Tot)'!H11</f>
        <v>0</v>
      </c>
      <c r="I41" s="52"/>
      <c r="J41" s="52">
        <f t="shared" ref="J41:J58" si="4">H41+F41+D41</f>
        <v>0</v>
      </c>
      <c r="K41" s="52"/>
      <c r="L41" s="52">
        <f t="shared" ref="L41:L58" si="5">J41+B41</f>
        <v>32864.07</v>
      </c>
      <c r="M41" s="55"/>
    </row>
    <row r="42" spans="1:13">
      <c r="A42" t="s">
        <v>559</v>
      </c>
      <c r="B42" s="52">
        <f>'KY_Cost Plant Acct-Gas-P20(Tot)'!B42</f>
        <v>25162.14</v>
      </c>
      <c r="C42" s="52"/>
      <c r="D42" s="52">
        <f>'KY_Cost Plant Acct-Gas-P20(Tot)'!D42</f>
        <v>0</v>
      </c>
      <c r="E42" s="52"/>
      <c r="F42" s="52">
        <f>'KY_Cost Plant Acct-Gas-P20(Tot)'!F42</f>
        <v>0</v>
      </c>
      <c r="G42" s="52"/>
      <c r="H42" s="52">
        <f>'KY_Cost Plant Acct-Gas-P20(Tot)'!H42</f>
        <v>0</v>
      </c>
      <c r="I42" s="52"/>
      <c r="J42" s="52">
        <f t="shared" si="4"/>
        <v>0</v>
      </c>
      <c r="K42" s="52"/>
      <c r="L42" s="52">
        <f t="shared" si="5"/>
        <v>25162.14</v>
      </c>
      <c r="M42" s="55"/>
    </row>
    <row r="43" spans="1:13">
      <c r="A43" t="s">
        <v>560</v>
      </c>
      <c r="B43" s="52">
        <f>'KY_Cost Plant Acct-Gas-P20(Tot)'!B43</f>
        <v>4600720.5599999987</v>
      </c>
      <c r="C43" s="52"/>
      <c r="D43" s="52">
        <f>'KY_Cost Plant Acct-Gas-P20(Tot)'!D43</f>
        <v>0</v>
      </c>
      <c r="E43" s="52"/>
      <c r="F43" s="52">
        <f>'KY_Cost Plant Acct-Gas-P20(Tot)'!F43</f>
        <v>0</v>
      </c>
      <c r="G43" s="52"/>
      <c r="H43" s="52">
        <f>'KY_Cost Plant Acct-Gas-P20(Tot)'!H43</f>
        <v>0</v>
      </c>
      <c r="I43" s="52"/>
      <c r="J43" s="52">
        <f t="shared" si="4"/>
        <v>0</v>
      </c>
      <c r="K43" s="52"/>
      <c r="L43" s="52">
        <f t="shared" si="5"/>
        <v>4600720.5599999987</v>
      </c>
      <c r="M43" s="55"/>
    </row>
    <row r="44" spans="1:13">
      <c r="A44" t="s">
        <v>561</v>
      </c>
      <c r="B44" s="52">
        <f>'KY_Cost Plant Acct-Gas-P20(Tot)'!B44</f>
        <v>20134.04</v>
      </c>
      <c r="C44" s="52"/>
      <c r="D44" s="52">
        <f>'KY_Cost Plant Acct-Gas-P20(Tot)'!D44</f>
        <v>0</v>
      </c>
      <c r="E44" s="52"/>
      <c r="F44" s="52">
        <f>'KY_Cost Plant Acct-Gas-P20(Tot)'!F44</f>
        <v>0</v>
      </c>
      <c r="G44" s="52"/>
      <c r="H44" s="52">
        <f>'KY_Cost Plant Acct-Gas-P20(Tot)'!H44</f>
        <v>0</v>
      </c>
      <c r="I44" s="52"/>
      <c r="J44" s="52">
        <f t="shared" si="4"/>
        <v>0</v>
      </c>
      <c r="K44" s="52"/>
      <c r="L44" s="52">
        <f t="shared" si="5"/>
        <v>20134.04</v>
      </c>
      <c r="M44" s="55"/>
    </row>
    <row r="45" spans="1:13">
      <c r="A45" t="s">
        <v>14</v>
      </c>
      <c r="B45" s="52">
        <f>'KY_Cost Plant Acct-Gas-P20(Tot)'!B45+'IN_Cost Plant Acct-Gas-P22(Tot)'!B12</f>
        <v>1876135.09</v>
      </c>
      <c r="C45" s="52"/>
      <c r="D45" s="52">
        <f>'KY_Cost Plant Acct-Gas-P20(Tot)'!D45+'IN_Cost Plant Acct-Gas-P22(Tot)'!D12</f>
        <v>26259.07</v>
      </c>
      <c r="E45" s="52"/>
      <c r="F45" s="52">
        <f>'KY_Cost Plant Acct-Gas-P20(Tot)'!F45+'IN_Cost Plant Acct-Gas-P22(Tot)'!F12</f>
        <v>0</v>
      </c>
      <c r="G45" s="52"/>
      <c r="H45" s="52">
        <f>'KY_Cost Plant Acct-Gas-P20(Tot)'!H45+'IN_Cost Plant Acct-Gas-P22(Tot)'!H12</f>
        <v>0</v>
      </c>
      <c r="I45" s="52"/>
      <c r="J45" s="52">
        <f t="shared" si="4"/>
        <v>26259.07</v>
      </c>
      <c r="K45" s="52"/>
      <c r="L45" s="52">
        <f t="shared" si="5"/>
        <v>1902394.1600000001</v>
      </c>
      <c r="M45" s="55"/>
    </row>
    <row r="46" spans="1:13">
      <c r="A46" t="s">
        <v>562</v>
      </c>
      <c r="B46" s="52">
        <f>'KY_Cost Plant Acct-Gas-P20(Tot)'!B46</f>
        <v>-21348.819999999949</v>
      </c>
      <c r="C46" s="52"/>
      <c r="D46" s="52">
        <f>'KY_Cost Plant Acct-Gas-P20(Tot)'!D46</f>
        <v>0</v>
      </c>
      <c r="E46" s="52"/>
      <c r="F46" s="52">
        <f>'KY_Cost Plant Acct-Gas-P20(Tot)'!F46</f>
        <v>0</v>
      </c>
      <c r="G46" s="52"/>
      <c r="H46" s="52">
        <f>'KY_Cost Plant Acct-Gas-P20(Tot)'!H46</f>
        <v>0</v>
      </c>
      <c r="I46" s="52"/>
      <c r="J46" s="52">
        <f t="shared" si="4"/>
        <v>0</v>
      </c>
      <c r="K46" s="52"/>
      <c r="L46" s="52">
        <f t="shared" si="5"/>
        <v>-21348.819999999949</v>
      </c>
      <c r="M46" s="55"/>
    </row>
    <row r="47" spans="1:13">
      <c r="A47" t="s">
        <v>563</v>
      </c>
      <c r="B47" s="52">
        <f>'KY_Cost Plant Acct-Gas-P20(Tot)'!B47</f>
        <v>-51515.919999999984</v>
      </c>
      <c r="C47" s="52"/>
      <c r="D47" s="52">
        <f>'KY_Cost Plant Acct-Gas-P20(Tot)'!D47</f>
        <v>0</v>
      </c>
      <c r="E47" s="52"/>
      <c r="F47" s="52">
        <f>'KY_Cost Plant Acct-Gas-P20(Tot)'!F47</f>
        <v>0</v>
      </c>
      <c r="G47" s="52"/>
      <c r="H47" s="52">
        <f>'KY_Cost Plant Acct-Gas-P20(Tot)'!H47</f>
        <v>0</v>
      </c>
      <c r="I47" s="52"/>
      <c r="J47" s="52">
        <f t="shared" si="4"/>
        <v>0</v>
      </c>
      <c r="K47" s="52"/>
      <c r="L47" s="52">
        <f t="shared" si="5"/>
        <v>-51515.919999999984</v>
      </c>
      <c r="M47" s="55"/>
    </row>
    <row r="48" spans="1:13">
      <c r="A48" t="s">
        <v>564</v>
      </c>
      <c r="B48" s="52">
        <f>'KY_Cost Plant Acct-Gas-P20(Tot)'!B48</f>
        <v>1980042.9699999997</v>
      </c>
      <c r="C48" s="52"/>
      <c r="D48" s="52">
        <f>'KY_Cost Plant Acct-Gas-P20(Tot)'!D48</f>
        <v>0</v>
      </c>
      <c r="E48" s="52"/>
      <c r="F48" s="52">
        <f>'KY_Cost Plant Acct-Gas-P20(Tot)'!F48</f>
        <v>0</v>
      </c>
      <c r="G48" s="52"/>
      <c r="H48" s="52">
        <f>'KY_Cost Plant Acct-Gas-P20(Tot)'!H48</f>
        <v>0</v>
      </c>
      <c r="I48" s="52"/>
      <c r="J48" s="52">
        <f t="shared" si="4"/>
        <v>0</v>
      </c>
      <c r="K48" s="52"/>
      <c r="L48" s="52">
        <f t="shared" si="5"/>
        <v>1980042.9699999997</v>
      </c>
      <c r="M48" s="55"/>
    </row>
    <row r="49" spans="1:13">
      <c r="A49" t="s">
        <v>15</v>
      </c>
      <c r="B49" s="52">
        <f>'KY_Cost Plant Acct-Gas-P20(Tot)'!B49+'IN_Cost Plant Acct-Gas-P22(Tot)'!B13</f>
        <v>206983.83999999976</v>
      </c>
      <c r="C49" s="52"/>
      <c r="D49" s="52">
        <f>'KY_Cost Plant Acct-Gas-P20(Tot)'!D49+'IN_Cost Plant Acct-Gas-P22(Tot)'!D13</f>
        <v>0</v>
      </c>
      <c r="E49" s="52"/>
      <c r="F49" s="52">
        <f>'KY_Cost Plant Acct-Gas-P20(Tot)'!F49+'IN_Cost Plant Acct-Gas-P22(Tot)'!F13</f>
        <v>0</v>
      </c>
      <c r="G49" s="52"/>
      <c r="H49" s="52">
        <f>'KY_Cost Plant Acct-Gas-P20(Tot)'!H49+'IN_Cost Plant Acct-Gas-P22(Tot)'!H13</f>
        <v>0</v>
      </c>
      <c r="I49" s="52"/>
      <c r="J49" s="52">
        <f t="shared" si="4"/>
        <v>0</v>
      </c>
      <c r="K49" s="52"/>
      <c r="L49" s="52">
        <f t="shared" si="5"/>
        <v>206983.83999999976</v>
      </c>
      <c r="M49" s="55"/>
    </row>
    <row r="50" spans="1:13">
      <c r="A50" t="s">
        <v>1093</v>
      </c>
      <c r="B50" s="52">
        <f>'KY_Cost Plant Acct-Gas-P20(Tot)'!B50+'IN_Cost Plant Acct-Gas-P22(Tot)'!B14</f>
        <v>2226627.29</v>
      </c>
      <c r="C50" s="52"/>
      <c r="D50" s="52">
        <f>'KY_Cost Plant Acct-Gas-P20(Tot)'!D50+'IN_Cost Plant Acct-Gas-P22(Tot)'!D14</f>
        <v>0</v>
      </c>
      <c r="E50" s="52"/>
      <c r="F50" s="52">
        <f>'KY_Cost Plant Acct-Gas-P20(Tot)'!F50+'IN_Cost Plant Acct-Gas-P22(Tot)'!F14</f>
        <v>0</v>
      </c>
      <c r="G50" s="52"/>
      <c r="H50" s="52">
        <f>'KY_Cost Plant Acct-Gas-P20(Tot)'!H50+'IN_Cost Plant Acct-Gas-P22(Tot)'!H14</f>
        <v>0</v>
      </c>
      <c r="I50" s="52"/>
      <c r="J50" s="52">
        <f t="shared" si="4"/>
        <v>0</v>
      </c>
      <c r="K50" s="52"/>
      <c r="L50" s="52">
        <f t="shared" si="5"/>
        <v>2226627.29</v>
      </c>
      <c r="M50" s="55"/>
    </row>
    <row r="51" spans="1:13">
      <c r="A51" t="s">
        <v>1092</v>
      </c>
      <c r="B51" s="52">
        <f>'KY_Cost Plant Acct-Gas-P20(Tot)'!B51+'IN_Cost Plant Acct-Gas-P22(Tot)'!B15</f>
        <v>4481179.4399999995</v>
      </c>
      <c r="C51" s="52"/>
      <c r="D51" s="52">
        <f>'KY_Cost Plant Acct-Gas-P20(Tot)'!D51+'IN_Cost Plant Acct-Gas-P22(Tot)'!D15</f>
        <v>4559.62</v>
      </c>
      <c r="E51" s="52"/>
      <c r="F51" s="52">
        <f>'KY_Cost Plant Acct-Gas-P20(Tot)'!F51+'IN_Cost Plant Acct-Gas-P22(Tot)'!F15</f>
        <v>0</v>
      </c>
      <c r="G51" s="52"/>
      <c r="H51" s="52">
        <f>'KY_Cost Plant Acct-Gas-P20(Tot)'!H51+'IN_Cost Plant Acct-Gas-P22(Tot)'!H15</f>
        <v>0</v>
      </c>
      <c r="I51" s="52"/>
      <c r="J51" s="52">
        <f t="shared" si="4"/>
        <v>4559.62</v>
      </c>
      <c r="K51" s="52"/>
      <c r="L51" s="52">
        <f t="shared" si="5"/>
        <v>4485739.0599999996</v>
      </c>
      <c r="M51" s="55"/>
    </row>
    <row r="52" spans="1:13">
      <c r="A52" t="s">
        <v>16</v>
      </c>
      <c r="B52" s="52">
        <f>'KY_Cost Plant Acct-Gas-P20(Tot)'!B52+'IN_Cost Plant Acct-Gas-P22(Tot)'!B16</f>
        <v>8160194.5299999984</v>
      </c>
      <c r="C52" s="52"/>
      <c r="D52" s="52">
        <f>'KY_Cost Plant Acct-Gas-P20(Tot)'!D52+'IN_Cost Plant Acct-Gas-P22(Tot)'!D16</f>
        <v>269318.36</v>
      </c>
      <c r="E52" s="52"/>
      <c r="F52" s="52">
        <f>'KY_Cost Plant Acct-Gas-P20(Tot)'!F52+'IN_Cost Plant Acct-Gas-P22(Tot)'!F16</f>
        <v>-5319.5499999999993</v>
      </c>
      <c r="G52" s="52"/>
      <c r="H52" s="52">
        <f>'KY_Cost Plant Acct-Gas-P20(Tot)'!H52+'IN_Cost Plant Acct-Gas-P22(Tot)'!H16</f>
        <v>0</v>
      </c>
      <c r="I52" s="52"/>
      <c r="J52" s="52">
        <f t="shared" si="4"/>
        <v>263998.81</v>
      </c>
      <c r="K52" s="52"/>
      <c r="L52" s="52">
        <f t="shared" si="5"/>
        <v>8424193.339999998</v>
      </c>
      <c r="M52" s="55"/>
    </row>
    <row r="53" spans="1:13">
      <c r="A53" t="s">
        <v>565</v>
      </c>
      <c r="B53" s="52">
        <f>'KY_Cost Plant Acct-Gas-P20(Tot)'!B53+'IN_Cost Plant Acct-Gas-P22(Tot)'!B17</f>
        <v>11126927.370000001</v>
      </c>
      <c r="C53" s="52"/>
      <c r="D53" s="52">
        <f>'KY_Cost Plant Acct-Gas-P20(Tot)'!D53+'IN_Cost Plant Acct-Gas-P22(Tot)'!D17</f>
        <v>193948.64</v>
      </c>
      <c r="E53" s="52"/>
      <c r="F53" s="52">
        <f>'KY_Cost Plant Acct-Gas-P20(Tot)'!F53</f>
        <v>-12423.730000000001</v>
      </c>
      <c r="G53" s="52"/>
      <c r="H53" s="52">
        <f>'IN_Cost Plant Acct-Gas-P22(Tot)'!H17+'KY_Cost Plant Acct-Gas-P20(Tot)'!H53</f>
        <v>-47941.689999999995</v>
      </c>
      <c r="I53" s="52"/>
      <c r="J53" s="52">
        <f t="shared" si="4"/>
        <v>133583.22000000003</v>
      </c>
      <c r="K53" s="52"/>
      <c r="L53" s="52">
        <f t="shared" si="5"/>
        <v>11260510.590000002</v>
      </c>
      <c r="M53" s="55"/>
    </row>
    <row r="54" spans="1:13">
      <c r="A54" t="s">
        <v>566</v>
      </c>
      <c r="B54" s="52">
        <f>'KY_Cost Plant Acct-Gas-P20(Tot)'!B54</f>
        <v>111885.89999999997</v>
      </c>
      <c r="C54" s="52"/>
      <c r="D54" s="52">
        <f>'KY_Cost Plant Acct-Gas-P20(Tot)'!D54</f>
        <v>0</v>
      </c>
      <c r="E54" s="52"/>
      <c r="F54" s="52">
        <f>'KY_Cost Plant Acct-Gas-P20(Tot)'!F54</f>
        <v>0</v>
      </c>
      <c r="G54" s="52"/>
      <c r="H54" s="52">
        <f>'KY_Cost Plant Acct-Gas-P20(Tot)'!H54</f>
        <v>0</v>
      </c>
      <c r="I54" s="52"/>
      <c r="J54" s="52">
        <f t="shared" si="4"/>
        <v>0</v>
      </c>
      <c r="K54" s="52"/>
      <c r="L54" s="52">
        <f t="shared" si="5"/>
        <v>111885.89999999997</v>
      </c>
      <c r="M54" s="55"/>
    </row>
    <row r="55" spans="1:13">
      <c r="A55" t="s">
        <v>567</v>
      </c>
      <c r="B55" s="52">
        <f>'KY_Cost Plant Acct-Gas-P20(Tot)'!B55</f>
        <v>7871014.4600000009</v>
      </c>
      <c r="C55" s="52"/>
      <c r="D55" s="52">
        <f>'KY_Cost Plant Acct-Gas-P20(Tot)'!D55</f>
        <v>105827.81</v>
      </c>
      <c r="E55" s="52"/>
      <c r="F55" s="52">
        <f>'KY_Cost Plant Acct-Gas-P20(Tot)'!F55</f>
        <v>-1719.7699999999995</v>
      </c>
      <c r="G55" s="52"/>
      <c r="H55" s="52">
        <f>'KY_Cost Plant Acct-Gas-P20(Tot)'!H55</f>
        <v>47941.689999999995</v>
      </c>
      <c r="I55" s="52"/>
      <c r="J55" s="52">
        <f t="shared" si="4"/>
        <v>152049.72999999998</v>
      </c>
      <c r="K55" s="52"/>
      <c r="L55" s="52">
        <f t="shared" si="5"/>
        <v>8023064.1900000013</v>
      </c>
      <c r="M55" s="55"/>
    </row>
    <row r="56" spans="1:13">
      <c r="A56" t="s">
        <v>17</v>
      </c>
      <c r="B56" s="52">
        <f>'KY_Cost Plant Acct-Gas-P20(Tot)'!B56+'IN_Cost Plant Acct-Gas-P22(Tot)'!B18</f>
        <v>1269376.4400000002</v>
      </c>
      <c r="C56" s="52"/>
      <c r="D56" s="52">
        <f>'KY_Cost Plant Acct-Gas-P20(Tot)'!D56+'IN_Cost Plant Acct-Gas-P22(Tot)'!D18</f>
        <v>28270.68</v>
      </c>
      <c r="E56" s="52"/>
      <c r="F56" s="52">
        <f>'KY_Cost Plant Acct-Gas-P20(Tot)'!F56+'IN_Cost Plant Acct-Gas-P22(Tot)'!F18</f>
        <v>0</v>
      </c>
      <c r="G56" s="52"/>
      <c r="H56" s="52">
        <f>'KY_Cost Plant Acct-Gas-P20(Tot)'!H56+'IN_Cost Plant Acct-Gas-P22(Tot)'!H18</f>
        <v>0</v>
      </c>
      <c r="I56" s="52"/>
      <c r="J56" s="52">
        <f t="shared" si="4"/>
        <v>28270.68</v>
      </c>
      <c r="K56" s="52"/>
      <c r="L56" s="52">
        <f t="shared" si="5"/>
        <v>1297647.1200000001</v>
      </c>
      <c r="M56" s="55"/>
    </row>
    <row r="57" spans="1:13">
      <c r="A57" t="s">
        <v>568</v>
      </c>
      <c r="B57" s="52">
        <f>'KY_Cost Plant Acct-Gas-P20(Tot)'!B57</f>
        <v>30876.410000000003</v>
      </c>
      <c r="C57" s="52"/>
      <c r="D57" s="52">
        <f>'KY_Cost Plant Acct-Gas-P20(Tot)'!D57</f>
        <v>0</v>
      </c>
      <c r="E57" s="52"/>
      <c r="F57" s="52">
        <f>'KY_Cost Plant Acct-Gas-P20(Tot)'!F57</f>
        <v>0</v>
      </c>
      <c r="G57" s="52"/>
      <c r="H57" s="52">
        <f>'KY_Cost Plant Acct-Gas-P20(Tot)'!H57</f>
        <v>0</v>
      </c>
      <c r="I57" s="52"/>
      <c r="J57" s="52">
        <f t="shared" si="4"/>
        <v>0</v>
      </c>
      <c r="K57" s="52"/>
      <c r="L57" s="52">
        <f t="shared" si="5"/>
        <v>30876.410000000003</v>
      </c>
      <c r="M57" s="55"/>
    </row>
    <row r="58" spans="1:13">
      <c r="A58" t="s">
        <v>569</v>
      </c>
      <c r="B58" s="48">
        <f>'KY_Cost Plant Acct-Gas-P20(Tot)'!B58</f>
        <v>5170297.07</v>
      </c>
      <c r="C58" s="52"/>
      <c r="D58" s="48">
        <f>'KY_Cost Plant Acct-Gas-P20(Tot)'!D58</f>
        <v>0</v>
      </c>
      <c r="E58" s="52"/>
      <c r="F58" s="48">
        <f>'KY_Cost Plant Acct-Gas-P20(Tot)'!F58</f>
        <v>0</v>
      </c>
      <c r="G58" s="52"/>
      <c r="H58" s="48">
        <f>'KY_Cost Plant Acct-Gas-P20(Tot)'!H58</f>
        <v>0</v>
      </c>
      <c r="I58" s="52"/>
      <c r="J58" s="48">
        <f t="shared" si="4"/>
        <v>0</v>
      </c>
      <c r="K58" s="52"/>
      <c r="L58" s="48">
        <f t="shared" si="5"/>
        <v>5170297.07</v>
      </c>
      <c r="M58" s="55"/>
    </row>
    <row r="59" spans="1:13">
      <c r="B59" s="52">
        <f>SUM(B41:B58)</f>
        <v>49117556.879999988</v>
      </c>
      <c r="C59" s="52"/>
      <c r="D59" s="52">
        <f>SUM(D41:D58)</f>
        <v>628184.18000000005</v>
      </c>
      <c r="E59" s="52"/>
      <c r="F59" s="52">
        <f>SUM(F41:F58)</f>
        <v>-19463.05</v>
      </c>
      <c r="G59" s="52"/>
      <c r="H59" s="52">
        <f>SUM(H41:H58)</f>
        <v>0</v>
      </c>
      <c r="I59" s="52"/>
      <c r="J59" s="52">
        <f>SUM(J41:J58)</f>
        <v>608721.13</v>
      </c>
      <c r="K59" s="52"/>
      <c r="L59" s="52">
        <f>SUM(L41:L58)</f>
        <v>49726278.00999999</v>
      </c>
      <c r="M59" s="55"/>
    </row>
    <row r="60" spans="1:13">
      <c r="B60" s="182"/>
      <c r="C60" s="182"/>
      <c r="D60" s="182"/>
      <c r="E60" s="182"/>
      <c r="F60" s="182"/>
      <c r="G60" s="182"/>
      <c r="H60" s="182"/>
      <c r="I60" s="182"/>
      <c r="J60" s="182"/>
      <c r="K60" s="182"/>
      <c r="L60" s="182"/>
      <c r="M60" s="4"/>
    </row>
    <row r="61" spans="1:13">
      <c r="A61" s="3" t="s">
        <v>125</v>
      </c>
      <c r="B61" s="182"/>
      <c r="C61" s="182"/>
      <c r="D61" s="182"/>
      <c r="E61" s="182"/>
      <c r="F61" s="182"/>
      <c r="G61" s="182"/>
      <c r="H61" s="182"/>
      <c r="I61" s="182"/>
      <c r="J61" s="182"/>
      <c r="K61" s="182"/>
      <c r="L61" s="182"/>
      <c r="M61" s="4"/>
    </row>
    <row r="62" spans="1:13">
      <c r="A62" t="s">
        <v>570</v>
      </c>
      <c r="B62" s="182">
        <f>'KY_Cost Plant Acct-Gas-P20(Tot)'!B62</f>
        <v>12516.679999999993</v>
      </c>
      <c r="C62" s="182"/>
      <c r="D62" s="182">
        <f>'KY_Cost Plant Acct-Gas-P20(Tot)'!D62</f>
        <v>0</v>
      </c>
      <c r="E62" s="182"/>
      <c r="F62" s="182">
        <f>'KY_Cost Plant Acct-Gas-P20(Tot)'!F62</f>
        <v>0</v>
      </c>
      <c r="G62" s="182"/>
      <c r="H62" s="182">
        <f>'KY_Cost Plant Acct-Gas-P20(Tot)'!H62</f>
        <v>0</v>
      </c>
      <c r="I62" s="182"/>
      <c r="J62" s="182">
        <f>H62+F62+D62</f>
        <v>0</v>
      </c>
      <c r="K62" s="182"/>
      <c r="L62" s="182">
        <f>J62+B62</f>
        <v>12516.679999999993</v>
      </c>
      <c r="M62" s="4"/>
    </row>
    <row r="63" spans="1:13">
      <c r="A63" t="s">
        <v>571</v>
      </c>
      <c r="B63" s="182">
        <f>'KY_Cost Plant Acct-Gas-P20(Tot)'!B63</f>
        <v>8161307.8900000006</v>
      </c>
      <c r="C63" s="182"/>
      <c r="D63" s="182">
        <f>'KY_Cost Plant Acct-Gas-P20(Tot)'!D63</f>
        <v>882947.47</v>
      </c>
      <c r="E63" s="182"/>
      <c r="F63" s="182">
        <f>'KY_Cost Plant Acct-Gas-P20(Tot)'!F63</f>
        <v>-691.69</v>
      </c>
      <c r="G63" s="182"/>
      <c r="H63" s="182">
        <f>'KY_Cost Plant Acct-Gas-P20(Tot)'!H63</f>
        <v>134900.23000000001</v>
      </c>
      <c r="I63" s="182"/>
      <c r="J63" s="182">
        <f>H63+F63+D63</f>
        <v>1017156.01</v>
      </c>
      <c r="K63" s="182"/>
      <c r="L63" s="182">
        <f>J63+B63</f>
        <v>9178463.9000000004</v>
      </c>
      <c r="M63" s="4"/>
    </row>
    <row r="64" spans="1:13">
      <c r="A64" t="s">
        <v>1444</v>
      </c>
      <c r="B64" s="48">
        <f>'KY_Cost Plant Acct-Gas-P20(Tot)'!B64</f>
        <v>3941518.65</v>
      </c>
      <c r="C64" s="182"/>
      <c r="D64" s="48">
        <f>'KY_Cost Plant Acct-Gas-P20(Tot)'!D64</f>
        <v>0</v>
      </c>
      <c r="E64" s="182"/>
      <c r="F64" s="48">
        <f>'KY_Cost Plant Acct-Gas-P20(Tot)'!F64</f>
        <v>0</v>
      </c>
      <c r="G64" s="182"/>
      <c r="H64" s="48">
        <f>'KY_Cost Plant Acct-Gas-P20(Tot)'!H64</f>
        <v>0</v>
      </c>
      <c r="I64" s="182"/>
      <c r="J64" s="48">
        <f>H64+F64+D64</f>
        <v>0</v>
      </c>
      <c r="K64" s="182"/>
      <c r="L64" s="48">
        <f>J64+B64</f>
        <v>3941518.65</v>
      </c>
      <c r="M64" s="4"/>
    </row>
    <row r="65" spans="1:13">
      <c r="B65" s="52">
        <f>SUM(B62:B64)</f>
        <v>12115343.220000001</v>
      </c>
      <c r="C65" s="52"/>
      <c r="D65" s="52">
        <f>SUM(D62:D64)</f>
        <v>882947.47</v>
      </c>
      <c r="E65" s="52"/>
      <c r="F65" s="52">
        <f>SUM(F62:F64)</f>
        <v>-691.69</v>
      </c>
      <c r="G65" s="52"/>
      <c r="H65" s="52">
        <f>SUM(H62:H64)</f>
        <v>134900.23000000001</v>
      </c>
      <c r="I65" s="52"/>
      <c r="J65" s="52">
        <f>SUM(J62:J64)</f>
        <v>1017156.01</v>
      </c>
      <c r="K65" s="52"/>
      <c r="L65" s="52">
        <f>SUM(L62:L64)</f>
        <v>13132499.23</v>
      </c>
      <c r="M65" s="55"/>
    </row>
    <row r="66" spans="1:13">
      <c r="B66" s="52"/>
      <c r="C66" s="52"/>
      <c r="D66" s="52"/>
      <c r="E66" s="52"/>
      <c r="F66" s="52"/>
      <c r="G66" s="52"/>
      <c r="H66" s="52"/>
      <c r="I66" s="52"/>
      <c r="J66" s="52"/>
      <c r="K66" s="52"/>
      <c r="L66" s="52"/>
      <c r="M66" s="55"/>
    </row>
    <row r="67" spans="1:13">
      <c r="B67" s="52"/>
      <c r="C67" s="52"/>
      <c r="D67" s="52"/>
      <c r="E67" s="52"/>
      <c r="F67" s="52"/>
      <c r="G67" s="52"/>
      <c r="H67" s="52"/>
      <c r="I67" s="52"/>
      <c r="J67" s="52"/>
      <c r="K67" s="52"/>
      <c r="L67" s="52"/>
      <c r="M67" s="4"/>
    </row>
    <row r="68" spans="1:13">
      <c r="A68" s="3" t="s">
        <v>826</v>
      </c>
      <c r="B68" s="88">
        <f>B65+B59+B38+B34+B25</f>
        <v>534488453.76999986</v>
      </c>
      <c r="C68" s="52"/>
      <c r="D68" s="88">
        <f>D65+D59+D38+D34+D25</f>
        <v>4884446.3499999996</v>
      </c>
      <c r="E68" s="52"/>
      <c r="F68" s="88">
        <f>F65+F59+F38+F34+F25</f>
        <v>-29286.46</v>
      </c>
      <c r="G68" s="52"/>
      <c r="H68" s="88">
        <f>H65+H59+H38+H34+H25</f>
        <v>0</v>
      </c>
      <c r="I68" s="52"/>
      <c r="J68" s="88">
        <f>J65+J59+J38+J34+J25</f>
        <v>4855159.8900000006</v>
      </c>
      <c r="K68" s="52"/>
      <c r="L68" s="88">
        <f>L65+L59+L38+L34+L25</f>
        <v>539343613.65999985</v>
      </c>
      <c r="M68" s="4"/>
    </row>
    <row r="69" spans="1:13">
      <c r="B69" s="52"/>
      <c r="C69" s="52"/>
      <c r="D69" s="52"/>
      <c r="E69" s="52"/>
      <c r="F69" s="52"/>
      <c r="G69" s="52"/>
      <c r="H69" s="52"/>
      <c r="I69" s="52"/>
      <c r="J69" s="52"/>
      <c r="K69" s="52"/>
      <c r="L69" s="52"/>
      <c r="M69" s="4"/>
    </row>
    <row r="70" spans="1:13">
      <c r="B70" s="182"/>
      <c r="C70" s="182"/>
      <c r="D70" s="182"/>
      <c r="E70" s="182"/>
      <c r="F70" s="182"/>
      <c r="G70" s="182"/>
      <c r="H70" s="182"/>
      <c r="I70" s="182"/>
      <c r="J70" s="182"/>
      <c r="K70" s="182"/>
      <c r="L70" s="182"/>
      <c r="M70" s="4"/>
    </row>
    <row r="71" spans="1:13">
      <c r="A71" s="3" t="s">
        <v>689</v>
      </c>
      <c r="B71" s="182"/>
      <c r="C71" s="182"/>
      <c r="D71" s="182"/>
      <c r="E71" s="182"/>
      <c r="F71" s="182"/>
      <c r="G71" s="182"/>
      <c r="H71" s="182"/>
      <c r="I71" s="182"/>
      <c r="J71" s="182"/>
      <c r="K71" s="182"/>
      <c r="L71" s="182"/>
      <c r="M71" s="4"/>
    </row>
    <row r="72" spans="1:13">
      <c r="A72" s="3" t="s">
        <v>121</v>
      </c>
      <c r="B72" s="182"/>
      <c r="C72" s="182"/>
      <c r="D72" s="182"/>
      <c r="E72" s="182"/>
      <c r="F72" s="182"/>
      <c r="G72" s="182"/>
      <c r="H72" s="182"/>
      <c r="I72" s="182"/>
      <c r="J72" s="182"/>
      <c r="K72" s="182"/>
      <c r="L72" s="182"/>
      <c r="M72" s="4"/>
    </row>
    <row r="73" spans="1:13">
      <c r="A73" s="10" t="s">
        <v>850</v>
      </c>
      <c r="B73" s="182">
        <f>'KY_Cost Plant Acct-Gas-P20(Tot)'!B73</f>
        <v>0</v>
      </c>
      <c r="C73" s="182"/>
      <c r="D73" s="182">
        <f>'KY_Cost Plant Acct-Gas-P20(Tot)'!D73</f>
        <v>0</v>
      </c>
      <c r="E73" s="182"/>
      <c r="F73" s="182">
        <f>'KY_Cost Plant Acct-Gas-P20(Tot)'!F73</f>
        <v>0</v>
      </c>
      <c r="G73" s="182"/>
      <c r="H73" s="182">
        <f>'KY_Cost Plant Acct-Gas-P20(Tot)'!H73</f>
        <v>0</v>
      </c>
      <c r="I73" s="182"/>
      <c r="J73" s="182">
        <f t="shared" ref="J73:J80" si="6">H73+F73+D73</f>
        <v>0</v>
      </c>
      <c r="K73" s="182"/>
      <c r="L73" s="182">
        <f t="shared" ref="L73:L80" si="7">J73+B73</f>
        <v>0</v>
      </c>
      <c r="M73" s="4"/>
    </row>
    <row r="74" spans="1:13">
      <c r="A74" s="10" t="s">
        <v>24</v>
      </c>
      <c r="B74" s="182">
        <v>0</v>
      </c>
      <c r="C74" s="182"/>
      <c r="D74" s="182">
        <f>'KY_Cost Plant Acct-Gas-P20(Tot)'!D74</f>
        <v>0</v>
      </c>
      <c r="E74" s="182"/>
      <c r="F74" s="182">
        <f>'KY_Cost Plant Acct-Gas-P20(Tot)'!F74</f>
        <v>0</v>
      </c>
      <c r="G74" s="182"/>
      <c r="H74" s="182">
        <f>'KY_Cost Plant Acct-Gas-P20(Tot)'!H74</f>
        <v>0</v>
      </c>
      <c r="I74" s="182"/>
      <c r="J74" s="182">
        <f t="shared" si="6"/>
        <v>0</v>
      </c>
      <c r="K74" s="182"/>
      <c r="L74" s="182">
        <f t="shared" si="7"/>
        <v>0</v>
      </c>
      <c r="M74" s="4"/>
    </row>
    <row r="75" spans="1:13">
      <c r="A75" s="10" t="s">
        <v>72</v>
      </c>
      <c r="B75" s="182">
        <f>'KY_Cost Plant Acct-Gas-P20(Tot)'!B75</f>
        <v>11002430.850000007</v>
      </c>
      <c r="C75" s="182"/>
      <c r="D75" s="182">
        <f>'KY_Cost Plant Acct-Gas-P20(Tot)'!D75</f>
        <v>9755190.879999999</v>
      </c>
      <c r="E75" s="182"/>
      <c r="F75" s="182">
        <f>'KY_Cost Plant Acct-Gas-P20(Tot)'!F75</f>
        <v>0</v>
      </c>
      <c r="G75" s="182"/>
      <c r="H75" s="182">
        <f>'KY_Cost Plant Acct-Gas-P20(Tot)'!H75</f>
        <v>0</v>
      </c>
      <c r="I75" s="182"/>
      <c r="J75" s="182">
        <f t="shared" si="6"/>
        <v>9755190.879999999</v>
      </c>
      <c r="K75" s="182"/>
      <c r="L75" s="182">
        <f t="shared" si="7"/>
        <v>20757621.730000004</v>
      </c>
      <c r="M75" s="4"/>
    </row>
    <row r="76" spans="1:13">
      <c r="A76" t="s">
        <v>73</v>
      </c>
      <c r="B76" s="182">
        <f>'KY_Cost Plant Acct-Gas-P20(Tot)'!B76</f>
        <v>824434.66</v>
      </c>
      <c r="C76" s="182"/>
      <c r="D76" s="182">
        <f>'KY_Cost Plant Acct-Gas-P20(Tot)'!D76</f>
        <v>-99250.09</v>
      </c>
      <c r="E76" s="182"/>
      <c r="F76" s="182">
        <f>'KY_Cost Plant Acct-Gas-P20(Tot)'!F76</f>
        <v>0</v>
      </c>
      <c r="G76" s="182"/>
      <c r="H76" s="182">
        <f>'KY_Cost Plant Acct-Gas-P20(Tot)'!H76</f>
        <v>0</v>
      </c>
      <c r="I76" s="182"/>
      <c r="J76" s="182">
        <f t="shared" si="6"/>
        <v>-99250.09</v>
      </c>
      <c r="K76" s="182"/>
      <c r="L76" s="182">
        <f t="shared" si="7"/>
        <v>725184.57000000007</v>
      </c>
      <c r="M76" s="4"/>
    </row>
    <row r="77" spans="1:13">
      <c r="A77" t="s">
        <v>74</v>
      </c>
      <c r="B77" s="182">
        <f>'KY_Cost Plant Acct-Gas-P20(Tot)'!B77</f>
        <v>0</v>
      </c>
      <c r="C77" s="182"/>
      <c r="D77" s="182">
        <f>'KY_Cost Plant Acct-Gas-P20(Tot)'!D77</f>
        <v>76938.37</v>
      </c>
      <c r="E77" s="182"/>
      <c r="F77" s="182">
        <f>'KY_Cost Plant Acct-Gas-P20(Tot)'!F77</f>
        <v>0</v>
      </c>
      <c r="G77" s="182"/>
      <c r="H77" s="182">
        <f>'KY_Cost Plant Acct-Gas-P20(Tot)'!H77</f>
        <v>0</v>
      </c>
      <c r="I77" s="182"/>
      <c r="J77" s="182">
        <f t="shared" si="6"/>
        <v>76938.37</v>
      </c>
      <c r="K77" s="182"/>
      <c r="L77" s="182">
        <f t="shared" si="7"/>
        <v>76938.37</v>
      </c>
      <c r="M77" s="4"/>
    </row>
    <row r="78" spans="1:13">
      <c r="A78" t="s">
        <v>75</v>
      </c>
      <c r="B78" s="182">
        <f>'KY_Cost Plant Acct-Gas-P20(Tot)'!B78</f>
        <v>6698075.2499999991</v>
      </c>
      <c r="C78" s="52"/>
      <c r="D78" s="182">
        <f>'KY_Cost Plant Acct-Gas-P20(Tot)'!D78</f>
        <v>1755480.48</v>
      </c>
      <c r="E78" s="52"/>
      <c r="F78" s="182">
        <f>'KY_Cost Plant Acct-Gas-P20(Tot)'!F78</f>
        <v>0</v>
      </c>
      <c r="G78" s="52"/>
      <c r="H78" s="182">
        <f>'KY_Cost Plant Acct-Gas-P20(Tot)'!H78</f>
        <v>0</v>
      </c>
      <c r="I78" s="52"/>
      <c r="J78" s="52">
        <f t="shared" si="6"/>
        <v>1755480.48</v>
      </c>
      <c r="K78" s="52"/>
      <c r="L78" s="52">
        <f t="shared" si="7"/>
        <v>8453555.7299999986</v>
      </c>
      <c r="M78" s="4"/>
    </row>
    <row r="79" spans="1:13">
      <c r="A79" t="s">
        <v>76</v>
      </c>
      <c r="B79" s="182">
        <f>'KY_Cost Plant Acct-Gas-P20(Tot)'!B79</f>
        <v>0</v>
      </c>
      <c r="C79" s="52"/>
      <c r="D79" s="182">
        <f>'KY_Cost Plant Acct-Gas-P20(Tot)'!D79</f>
        <v>156773.64000000001</v>
      </c>
      <c r="E79" s="52"/>
      <c r="F79" s="182">
        <f>'KY_Cost Plant Acct-Gas-P20(Tot)'!F79</f>
        <v>0</v>
      </c>
      <c r="G79" s="52"/>
      <c r="H79" s="182">
        <f>'KY_Cost Plant Acct-Gas-P20(Tot)'!H79</f>
        <v>0</v>
      </c>
      <c r="I79" s="52"/>
      <c r="J79" s="52">
        <f t="shared" si="6"/>
        <v>156773.64000000001</v>
      </c>
      <c r="K79" s="52"/>
      <c r="L79" s="52">
        <f t="shared" si="7"/>
        <v>156773.64000000001</v>
      </c>
      <c r="M79" s="4"/>
    </row>
    <row r="80" spans="1:13">
      <c r="A80" t="s">
        <v>77</v>
      </c>
      <c r="B80" s="182">
        <f>'KY_Cost Plant Acct-Gas-P20(Tot)'!B80</f>
        <v>332843.38999999873</v>
      </c>
      <c r="C80" s="52"/>
      <c r="D80" s="182">
        <f>'KY_Cost Plant Acct-Gas-P20(Tot)'!D80</f>
        <v>436751.28</v>
      </c>
      <c r="E80" s="52"/>
      <c r="F80" s="182">
        <f>'KY_Cost Plant Acct-Gas-P20(Tot)'!F80</f>
        <v>0</v>
      </c>
      <c r="G80" s="52"/>
      <c r="H80" s="182">
        <f>'KY_Cost Plant Acct-Gas-P20(Tot)'!H80</f>
        <v>0</v>
      </c>
      <c r="I80" s="52"/>
      <c r="J80" s="52">
        <f t="shared" si="6"/>
        <v>436751.28</v>
      </c>
      <c r="K80" s="52"/>
      <c r="L80" s="52">
        <f t="shared" si="7"/>
        <v>769594.66999999876</v>
      </c>
      <c r="M80" s="4"/>
    </row>
    <row r="81" spans="1:13">
      <c r="A81" t="s">
        <v>78</v>
      </c>
      <c r="B81" s="52">
        <f>'KY_Cost Plant Acct-Gas-P20(Tot)'!B81</f>
        <v>0</v>
      </c>
      <c r="C81" s="52"/>
      <c r="D81" s="52">
        <f>'KY_Cost Plant Acct-Gas-P20(Tot)'!D81</f>
        <v>0</v>
      </c>
      <c r="E81" s="52"/>
      <c r="F81" s="52">
        <f>'KY_Cost Plant Acct-Gas-P20(Tot)'!F81</f>
        <v>0</v>
      </c>
      <c r="G81" s="52"/>
      <c r="H81" s="52">
        <f>'KY_Cost Plant Acct-Gas-P20(Tot)'!H81</f>
        <v>0</v>
      </c>
      <c r="I81" s="52"/>
      <c r="J81" s="52">
        <f>H81+F81+D81</f>
        <v>0</v>
      </c>
      <c r="K81" s="52"/>
      <c r="L81" s="52">
        <f>J81+B81</f>
        <v>0</v>
      </c>
      <c r="M81" s="4"/>
    </row>
    <row r="82" spans="1:13">
      <c r="A82" t="s">
        <v>79</v>
      </c>
      <c r="B82" s="90">
        <f>'KY_Cost Plant Acct-Gas-P20(Tot)'!B82</f>
        <v>0</v>
      </c>
      <c r="D82" s="90">
        <f>'KY_Cost Plant Acct-Gas-P20(Tot)'!D82</f>
        <v>0</v>
      </c>
      <c r="F82" s="90">
        <f>'KY_Cost Plant Acct-Gas-P20(Tot)'!F82</f>
        <v>0</v>
      </c>
      <c r="H82" s="90">
        <f>'KY_Cost Plant Acct-Gas-P20(Tot)'!H82</f>
        <v>0</v>
      </c>
      <c r="J82" s="90">
        <f>'KY_Cost Plant Acct-Gas-P20(Tot)'!J82</f>
        <v>0</v>
      </c>
      <c r="L82" s="90">
        <f>'KY_Cost Plant Acct-Gas-P20(Tot)'!L82</f>
        <v>0</v>
      </c>
    </row>
    <row r="83" spans="1:13">
      <c r="B83" s="52">
        <f>SUM(B73:B82)</f>
        <v>18857784.150000006</v>
      </c>
      <c r="C83" s="52"/>
      <c r="D83" s="52">
        <f>SUM(D73:D82)</f>
        <v>12081884.559999999</v>
      </c>
      <c r="E83" s="52"/>
      <c r="F83" s="52">
        <f>SUM(F73:F82)</f>
        <v>0</v>
      </c>
      <c r="G83" s="52"/>
      <c r="H83" s="52">
        <f>SUM(H73:H82)</f>
        <v>0</v>
      </c>
      <c r="I83" s="52"/>
      <c r="J83" s="52">
        <f>SUM(J73:J82)</f>
        <v>12081884.559999999</v>
      </c>
      <c r="K83" s="52"/>
      <c r="L83" s="52">
        <f>SUM(L73:L82)</f>
        <v>30939668.710000005</v>
      </c>
      <c r="M83" s="4"/>
    </row>
    <row r="84" spans="1:13">
      <c r="B84" s="52"/>
      <c r="C84" s="52"/>
      <c r="D84" s="52"/>
      <c r="E84" s="52"/>
      <c r="F84" s="52"/>
      <c r="G84" s="52"/>
      <c r="H84" s="52"/>
      <c r="I84" s="52"/>
      <c r="J84" s="52"/>
      <c r="K84" s="52"/>
      <c r="L84" s="52"/>
      <c r="M84" s="4"/>
    </row>
    <row r="85" spans="1:13">
      <c r="A85" s="3" t="s">
        <v>122</v>
      </c>
      <c r="B85" s="182"/>
      <c r="C85" s="182"/>
      <c r="D85" s="182"/>
      <c r="E85" s="182"/>
      <c r="F85" s="182"/>
      <c r="G85" s="182"/>
      <c r="H85" s="182"/>
      <c r="I85" s="182"/>
      <c r="J85" s="182"/>
      <c r="K85" s="182"/>
      <c r="L85" s="182"/>
      <c r="M85" s="4"/>
    </row>
    <row r="86" spans="1:13">
      <c r="A86" t="s">
        <v>899</v>
      </c>
      <c r="B86" s="182">
        <f>'KY_Cost Plant Acct-Gas-P20(Tot)'!B86</f>
        <v>0</v>
      </c>
      <c r="C86" s="182"/>
      <c r="D86" s="182">
        <f>'KY_Cost Plant Acct-Gas-P20(Tot)'!D86</f>
        <v>0</v>
      </c>
      <c r="E86" s="182"/>
      <c r="F86" s="182">
        <f>'KY_Cost Plant Acct-Gas-P20(Tot)'!F86</f>
        <v>0</v>
      </c>
      <c r="G86" s="182"/>
      <c r="H86" s="182">
        <f>'KY_Cost Plant Acct-Gas-P20(Tot)'!H86</f>
        <v>0</v>
      </c>
      <c r="I86" s="182"/>
      <c r="J86" s="182">
        <f t="shared" ref="J86:J91" si="8">H86+F86+D86</f>
        <v>0</v>
      </c>
      <c r="K86" s="182"/>
      <c r="L86" s="182">
        <f t="shared" ref="L86:L91" si="9">J86+B86</f>
        <v>0</v>
      </c>
      <c r="M86" s="4"/>
    </row>
    <row r="87" spans="1:13">
      <c r="A87" t="s">
        <v>900</v>
      </c>
      <c r="B87" s="182">
        <f>'KY_Cost Plant Acct-Gas-P20(Tot)'!B87</f>
        <v>42896.12</v>
      </c>
      <c r="C87" s="182"/>
      <c r="D87" s="182">
        <f>'KY_Cost Plant Acct-Gas-P20(Tot)'!D87</f>
        <v>-42896.12</v>
      </c>
      <c r="E87" s="182"/>
      <c r="F87" s="182">
        <f>'KY_Cost Plant Acct-Gas-P20(Tot)'!F87</f>
        <v>0</v>
      </c>
      <c r="G87" s="182"/>
      <c r="H87" s="182">
        <f>'KY_Cost Plant Acct-Gas-P20(Tot)'!H87</f>
        <v>0</v>
      </c>
      <c r="I87" s="182"/>
      <c r="J87" s="182">
        <f t="shared" si="8"/>
        <v>-42896.12</v>
      </c>
      <c r="K87" s="182"/>
      <c r="L87" s="182">
        <f t="shared" si="9"/>
        <v>0</v>
      </c>
      <c r="M87" s="4"/>
    </row>
    <row r="88" spans="1:13">
      <c r="A88" t="s">
        <v>901</v>
      </c>
      <c r="B88" s="182">
        <f>'KY_Cost Plant Acct-Gas-P20(Tot)'!B88</f>
        <v>99838.790000000008</v>
      </c>
      <c r="C88" s="182"/>
      <c r="D88" s="182">
        <f>'KY_Cost Plant Acct-Gas-P20(Tot)'!D88</f>
        <v>-35540.99</v>
      </c>
      <c r="E88" s="182"/>
      <c r="F88" s="182">
        <f>'KY_Cost Plant Acct-Gas-P20(Tot)'!F88</f>
        <v>0</v>
      </c>
      <c r="G88" s="182"/>
      <c r="H88" s="182">
        <f>'KY_Cost Plant Acct-Gas-P20(Tot)'!H88</f>
        <v>0</v>
      </c>
      <c r="I88" s="182"/>
      <c r="J88" s="182">
        <f t="shared" si="8"/>
        <v>-35540.99</v>
      </c>
      <c r="K88" s="182"/>
      <c r="L88" s="182">
        <f t="shared" si="9"/>
        <v>64297.80000000001</v>
      </c>
      <c r="M88" s="4"/>
    </row>
    <row r="89" spans="1:13">
      <c r="A89" t="s">
        <v>995</v>
      </c>
      <c r="B89" s="182">
        <f>'KY_Cost Plant Acct-Gas-P20(Tot)'!B89</f>
        <v>0</v>
      </c>
      <c r="C89" s="182"/>
      <c r="D89" s="182">
        <f>'KY_Cost Plant Acct-Gas-P20(Tot)'!D89</f>
        <v>0</v>
      </c>
      <c r="E89" s="182"/>
      <c r="F89" s="182">
        <f>'KY_Cost Plant Acct-Gas-P20(Tot)'!F89</f>
        <v>0</v>
      </c>
      <c r="G89" s="182"/>
      <c r="H89" s="182">
        <f>'KY_Cost Plant Acct-Gas-P20(Tot)'!H89</f>
        <v>0</v>
      </c>
      <c r="I89" s="182"/>
      <c r="J89" s="182">
        <f t="shared" si="8"/>
        <v>0</v>
      </c>
      <c r="K89" s="182"/>
      <c r="L89" s="182">
        <f t="shared" si="9"/>
        <v>0</v>
      </c>
      <c r="M89" s="4"/>
    </row>
    <row r="90" spans="1:13">
      <c r="A90" t="s">
        <v>996</v>
      </c>
      <c r="B90" s="182">
        <f>'KY_Cost Plant Acct-Gas-P20(Tot)'!B90</f>
        <v>0</v>
      </c>
      <c r="C90" s="52"/>
      <c r="D90" s="182">
        <f>'KY_Cost Plant Acct-Gas-P20(Tot)'!D90</f>
        <v>0</v>
      </c>
      <c r="E90" s="52"/>
      <c r="F90" s="182">
        <f>'KY_Cost Plant Acct-Gas-P20(Tot)'!F90</f>
        <v>0</v>
      </c>
      <c r="G90" s="52"/>
      <c r="H90" s="182">
        <f>'KY_Cost Plant Acct-Gas-P20(Tot)'!H90</f>
        <v>0</v>
      </c>
      <c r="I90" s="52"/>
      <c r="J90" s="52">
        <f t="shared" si="8"/>
        <v>0</v>
      </c>
      <c r="K90" s="52"/>
      <c r="L90" s="52">
        <f t="shared" si="9"/>
        <v>0</v>
      </c>
      <c r="M90" s="55"/>
    </row>
    <row r="91" spans="1:13">
      <c r="A91" t="s">
        <v>997</v>
      </c>
      <c r="B91" s="48">
        <f>'KY_Cost Plant Acct-Gas-P20(Tot)'!B91</f>
        <v>114219.07</v>
      </c>
      <c r="C91" s="52"/>
      <c r="D91" s="48">
        <f>'KY_Cost Plant Acct-Gas-P20(Tot)'!D91</f>
        <v>0</v>
      </c>
      <c r="E91" s="52"/>
      <c r="F91" s="48">
        <f>'KY_Cost Plant Acct-Gas-P20(Tot)'!F91</f>
        <v>0</v>
      </c>
      <c r="G91" s="52"/>
      <c r="H91" s="48">
        <f>'KY_Cost Plant Acct-Gas-P20(Tot)'!H91</f>
        <v>0</v>
      </c>
      <c r="I91" s="52"/>
      <c r="J91" s="48">
        <f t="shared" si="8"/>
        <v>0</v>
      </c>
      <c r="K91" s="52"/>
      <c r="L91" s="48">
        <f t="shared" si="9"/>
        <v>114219.07</v>
      </c>
      <c r="M91" s="55"/>
    </row>
    <row r="92" spans="1:13">
      <c r="B92" s="52">
        <f>SUM(B86:B91)</f>
        <v>256953.98</v>
      </c>
      <c r="C92" s="52"/>
      <c r="D92" s="52">
        <f>SUM(D86:D91)</f>
        <v>-78437.11</v>
      </c>
      <c r="E92" s="52"/>
      <c r="F92" s="52">
        <f>SUM(F86:F91)</f>
        <v>0</v>
      </c>
      <c r="G92" s="52"/>
      <c r="H92" s="52">
        <f>SUM(H86:H91)</f>
        <v>0</v>
      </c>
      <c r="I92" s="52"/>
      <c r="J92" s="52">
        <f>SUM(J86:J91)</f>
        <v>-78437.11</v>
      </c>
      <c r="K92" s="52"/>
      <c r="L92" s="52">
        <f>SUM(L86:L91)</f>
        <v>178516.87000000002</v>
      </c>
      <c r="M92" s="55"/>
    </row>
    <row r="93" spans="1:13">
      <c r="B93" s="52"/>
      <c r="C93" s="52"/>
      <c r="D93" s="52"/>
      <c r="E93" s="52"/>
      <c r="F93" s="52"/>
      <c r="G93" s="52"/>
      <c r="H93" s="52"/>
      <c r="I93" s="52"/>
      <c r="J93" s="52"/>
      <c r="K93" s="52"/>
      <c r="L93" s="52"/>
      <c r="M93" s="55"/>
    </row>
    <row r="94" spans="1:13">
      <c r="A94" s="3" t="s">
        <v>124</v>
      </c>
      <c r="B94" s="52"/>
      <c r="C94" s="52"/>
      <c r="D94" s="52"/>
      <c r="E94" s="52"/>
      <c r="F94" s="52"/>
      <c r="G94" s="52"/>
      <c r="H94" s="52"/>
      <c r="I94" s="52"/>
      <c r="J94" s="52"/>
      <c r="K94" s="52"/>
      <c r="L94" s="52"/>
      <c r="M94" s="4"/>
    </row>
    <row r="95" spans="1:13">
      <c r="A95" t="s">
        <v>560</v>
      </c>
      <c r="B95" s="52">
        <f>'KY_Cost Plant Acct-Gas-P20(Tot)'!B95</f>
        <v>0</v>
      </c>
      <c r="C95" s="52"/>
      <c r="D95" s="52">
        <f>'KY_Cost Plant Acct-Gas-P20(Tot)'!D95</f>
        <v>15818.620000000003</v>
      </c>
      <c r="E95" s="52"/>
      <c r="F95" s="52">
        <f>'KY_Cost Plant Acct-Gas-P20(Tot)'!F95</f>
        <v>0</v>
      </c>
      <c r="G95" s="52"/>
      <c r="H95" s="52">
        <f>'KY_Cost Plant Acct-Gas-P20(Tot)'!H95</f>
        <v>0</v>
      </c>
      <c r="I95" s="52"/>
      <c r="J95" s="52">
        <f t="shared" ref="J95:J103" si="10">H95+F95+D95</f>
        <v>15818.620000000003</v>
      </c>
      <c r="K95" s="52"/>
      <c r="L95" s="52">
        <f t="shared" ref="L95:L103" si="11">J95+B95</f>
        <v>15818.620000000003</v>
      </c>
      <c r="M95" s="4"/>
    </row>
    <row r="96" spans="1:13">
      <c r="A96" t="s">
        <v>14</v>
      </c>
      <c r="B96" s="52">
        <f>'KY_Cost Plant Acct-Gas-P20(Tot)'!B96</f>
        <v>0</v>
      </c>
      <c r="C96" s="52"/>
      <c r="D96" s="52">
        <f>'KY_Cost Plant Acct-Gas-P20(Tot)'!D96</f>
        <v>0</v>
      </c>
      <c r="E96" s="52"/>
      <c r="F96" s="52">
        <f>'KY_Cost Plant Acct-Gas-P20(Tot)'!F96</f>
        <v>0</v>
      </c>
      <c r="G96" s="52"/>
      <c r="H96" s="52">
        <f>'KY_Cost Plant Acct-Gas-P20(Tot)'!H96</f>
        <v>0</v>
      </c>
      <c r="I96" s="52"/>
      <c r="J96" s="52">
        <f t="shared" si="10"/>
        <v>0</v>
      </c>
      <c r="K96" s="52"/>
      <c r="L96" s="52">
        <f t="shared" si="11"/>
        <v>0</v>
      </c>
      <c r="M96" s="4"/>
    </row>
    <row r="97" spans="1:13">
      <c r="A97" t="s">
        <v>15</v>
      </c>
      <c r="B97" s="326">
        <f>+'IN_Cost Plant Acct-Gas-P22(Tot)'!B26</f>
        <v>0</v>
      </c>
      <c r="C97" s="326"/>
      <c r="D97" s="326">
        <f>+'IN_Cost Plant Acct-Gas-P22(Tot)'!D26</f>
        <v>244994.24</v>
      </c>
      <c r="E97" s="326"/>
      <c r="F97" s="326">
        <f>+'IN_Cost Plant Acct-Gas-P22(Tot)'!F26</f>
        <v>0</v>
      </c>
      <c r="G97" s="326"/>
      <c r="H97" s="326">
        <f>+'IN_Cost Plant Acct-Gas-P22(Tot)'!H26</f>
        <v>0</v>
      </c>
      <c r="I97" s="326"/>
      <c r="J97" s="326">
        <f t="shared" si="10"/>
        <v>244994.24</v>
      </c>
      <c r="K97" s="326"/>
      <c r="L97" s="326">
        <f t="shared" si="11"/>
        <v>244994.24</v>
      </c>
      <c r="M97" s="323"/>
    </row>
    <row r="98" spans="1:13">
      <c r="A98" t="s">
        <v>1093</v>
      </c>
      <c r="B98" s="326">
        <f>'KY_Cost Plant Acct-Gas-P20(Tot)'!B97+'IN_Cost Plant Acct-Gas-P22(Tot)'!B27</f>
        <v>0</v>
      </c>
      <c r="C98" s="52"/>
      <c r="D98" s="52">
        <f>'KY_Cost Plant Acct-Gas-P20(Tot)'!D97+'IN_Cost Plant Acct-Gas-P22(Tot)'!D27</f>
        <v>2032102.8599999999</v>
      </c>
      <c r="E98" s="52"/>
      <c r="F98" s="326">
        <f>'KY_Cost Plant Acct-Gas-P20(Tot)'!F97+'IN_Cost Plant Acct-Gas-P22(Tot)'!F27</f>
        <v>0</v>
      </c>
      <c r="G98" s="52"/>
      <c r="H98" s="326">
        <f>'KY_Cost Plant Acct-Gas-P20(Tot)'!H97+'IN_Cost Plant Acct-Gas-P22(Tot)'!H27</f>
        <v>0</v>
      </c>
      <c r="I98" s="52"/>
      <c r="J98" s="52">
        <f t="shared" si="10"/>
        <v>2032102.8599999999</v>
      </c>
      <c r="K98" s="52"/>
      <c r="L98" s="52">
        <f t="shared" si="11"/>
        <v>2032102.8599999999</v>
      </c>
      <c r="M98" s="4"/>
    </row>
    <row r="99" spans="1:13">
      <c r="A99" t="s">
        <v>1092</v>
      </c>
      <c r="B99" s="326">
        <f>'KY_Cost Plant Acct-Gas-P20(Tot)'!B98+'IN_Cost Plant Acct-Gas-P22(Tot)'!B28</f>
        <v>94689.33</v>
      </c>
      <c r="C99" s="52"/>
      <c r="D99" s="52">
        <f>'KY_Cost Plant Acct-Gas-P20(Tot)'!D98+'IN_Cost Plant Acct-Gas-P22(Tot)'!D28</f>
        <v>1978267.51</v>
      </c>
      <c r="E99" s="52"/>
      <c r="F99" s="326">
        <f>'KY_Cost Plant Acct-Gas-P20(Tot)'!F98+'IN_Cost Plant Acct-Gas-P22(Tot)'!F28</f>
        <v>0</v>
      </c>
      <c r="G99" s="52"/>
      <c r="H99" s="326">
        <f>'KY_Cost Plant Acct-Gas-P20(Tot)'!H98+'IN_Cost Plant Acct-Gas-P22(Tot)'!H28</f>
        <v>0</v>
      </c>
      <c r="I99" s="52"/>
      <c r="J99" s="52">
        <f t="shared" si="10"/>
        <v>1978267.51</v>
      </c>
      <c r="K99" s="52"/>
      <c r="L99" s="52">
        <f t="shared" si="11"/>
        <v>2072956.84</v>
      </c>
      <c r="M99" s="4"/>
    </row>
    <row r="100" spans="1:13">
      <c r="A100" t="s">
        <v>16</v>
      </c>
      <c r="B100" s="326">
        <f>'KY_Cost Plant Acct-Gas-P20(Tot)'!B99+'IN_Cost Plant Acct-Gas-P22(Tot)'!B29</f>
        <v>147253.93</v>
      </c>
      <c r="C100" s="52"/>
      <c r="D100" s="326">
        <f>'KY_Cost Plant Acct-Gas-P20(Tot)'!D99+'IN_Cost Plant Acct-Gas-P22(Tot)'!D29</f>
        <v>179580.49000000002</v>
      </c>
      <c r="E100" s="52"/>
      <c r="F100" s="326">
        <f>'KY_Cost Plant Acct-Gas-P20(Tot)'!F99+'IN_Cost Plant Acct-Gas-P22(Tot)'!F29</f>
        <v>0</v>
      </c>
      <c r="G100" s="52"/>
      <c r="H100" s="326">
        <f>'KY_Cost Plant Acct-Gas-P20(Tot)'!H99+'IN_Cost Plant Acct-Gas-P22(Tot)'!H29</f>
        <v>0</v>
      </c>
      <c r="I100" s="52"/>
      <c r="J100" s="52">
        <f t="shared" si="10"/>
        <v>179580.49000000002</v>
      </c>
      <c r="K100" s="52"/>
      <c r="L100" s="52">
        <f t="shared" si="11"/>
        <v>326834.42000000004</v>
      </c>
      <c r="M100" s="4"/>
    </row>
    <row r="101" spans="1:13">
      <c r="A101" t="s">
        <v>565</v>
      </c>
      <c r="B101" s="52">
        <f>'KY_Cost Plant Acct-Gas-P20(Tot)'!B100</f>
        <v>121352.84999999995</v>
      </c>
      <c r="C101" s="52"/>
      <c r="D101" s="52">
        <f>'KY_Cost Plant Acct-Gas-P20(Tot)'!D100</f>
        <v>609850.35</v>
      </c>
      <c r="E101" s="52"/>
      <c r="F101" s="52">
        <f>'KY_Cost Plant Acct-Gas-P20(Tot)'!F100</f>
        <v>0</v>
      </c>
      <c r="G101" s="52"/>
      <c r="H101" s="52">
        <f>'KY_Cost Plant Acct-Gas-P20(Tot)'!H100</f>
        <v>0</v>
      </c>
      <c r="I101" s="52"/>
      <c r="J101" s="52">
        <f t="shared" si="10"/>
        <v>609850.35</v>
      </c>
      <c r="K101" s="52"/>
      <c r="L101" s="52">
        <f t="shared" si="11"/>
        <v>731203.2</v>
      </c>
      <c r="M101" s="4"/>
    </row>
    <row r="102" spans="1:13">
      <c r="A102" t="s">
        <v>566</v>
      </c>
      <c r="B102" s="52">
        <f>'KY_Cost Plant Acct-Gas-P20(Tot)'!B101</f>
        <v>132741.44</v>
      </c>
      <c r="C102" s="52"/>
      <c r="D102" s="52">
        <f>'KY_Cost Plant Acct-Gas-P20(Tot)'!D101</f>
        <v>0</v>
      </c>
      <c r="E102" s="52"/>
      <c r="F102" s="52">
        <f>'KY_Cost Plant Acct-Gas-P20(Tot)'!F101</f>
        <v>0</v>
      </c>
      <c r="G102" s="52"/>
      <c r="H102" s="52">
        <f>'KY_Cost Plant Acct-Gas-P20(Tot)'!H101</f>
        <v>0</v>
      </c>
      <c r="I102" s="52"/>
      <c r="J102" s="52">
        <f t="shared" si="10"/>
        <v>0</v>
      </c>
      <c r="K102" s="52"/>
      <c r="L102" s="52">
        <f t="shared" si="11"/>
        <v>132741.44</v>
      </c>
      <c r="M102" s="4"/>
    </row>
    <row r="103" spans="1:13">
      <c r="A103" t="s">
        <v>567</v>
      </c>
      <c r="B103" s="52">
        <f>'KY_Cost Plant Acct-Gas-P20(Tot)'!B102</f>
        <v>0</v>
      </c>
      <c r="C103" s="52"/>
      <c r="D103" s="52">
        <f>'KY_Cost Plant Acct-Gas-P20(Tot)'!D102</f>
        <v>1221105.6200000001</v>
      </c>
      <c r="E103" s="52"/>
      <c r="F103" s="52">
        <f>'KY_Cost Plant Acct-Gas-P20(Tot)'!F102</f>
        <v>0</v>
      </c>
      <c r="G103" s="52"/>
      <c r="H103" s="52">
        <f>'KY_Cost Plant Acct-Gas-P20(Tot)'!H102</f>
        <v>0</v>
      </c>
      <c r="I103" s="52"/>
      <c r="J103" s="52">
        <f t="shared" si="10"/>
        <v>1221105.6200000001</v>
      </c>
      <c r="K103" s="52"/>
      <c r="L103" s="52">
        <f t="shared" si="11"/>
        <v>1221105.6200000001</v>
      </c>
      <c r="M103" s="4"/>
    </row>
    <row r="104" spans="1:13">
      <c r="A104" t="s">
        <v>17</v>
      </c>
      <c r="B104" s="48">
        <f>'KY_Cost Plant Acct-Gas-P20(Tot)'!B103</f>
        <v>16492.54</v>
      </c>
      <c r="C104" s="52"/>
      <c r="D104" s="48">
        <f>'KY_Cost Plant Acct-Gas-P20(Tot)'!D103</f>
        <v>12573.470000000003</v>
      </c>
      <c r="E104" s="52"/>
      <c r="F104" s="48">
        <f>'KY_Cost Plant Acct-Gas-P20(Tot)'!F103</f>
        <v>0</v>
      </c>
      <c r="G104" s="52"/>
      <c r="H104" s="48">
        <f>'KY_Cost Plant Acct-Gas-P20(Tot)'!H103</f>
        <v>0</v>
      </c>
      <c r="I104" s="52"/>
      <c r="J104" s="48">
        <f t="shared" ref="J104" si="12">H104+F104+D104</f>
        <v>12573.470000000003</v>
      </c>
      <c r="K104" s="52"/>
      <c r="L104" s="48">
        <f t="shared" ref="L104" si="13">J104+B104</f>
        <v>29066.010000000002</v>
      </c>
      <c r="M104" s="4"/>
    </row>
    <row r="105" spans="1:13">
      <c r="B105" s="52">
        <f>SUM(B95:B104)</f>
        <v>512530.08999999997</v>
      </c>
      <c r="C105" s="52"/>
      <c r="D105" s="52">
        <f>SUM(D95:D104)</f>
        <v>6294293.1599999992</v>
      </c>
      <c r="E105" s="52"/>
      <c r="F105" s="52">
        <f>SUM(F95:F104)</f>
        <v>0</v>
      </c>
      <c r="G105" s="52"/>
      <c r="H105" s="52">
        <f>SUM(H95:H104)</f>
        <v>0</v>
      </c>
      <c r="I105" s="52"/>
      <c r="J105" s="52">
        <f>SUM(J95:J104)</f>
        <v>6294293.1599999992</v>
      </c>
      <c r="K105" s="52"/>
      <c r="L105" s="52">
        <f>SUM(L95:L104)</f>
        <v>6806823.25</v>
      </c>
      <c r="M105" s="4"/>
    </row>
    <row r="106" spans="1:13">
      <c r="B106" s="52"/>
      <c r="C106" s="52"/>
      <c r="D106" s="52"/>
      <c r="E106" s="52"/>
      <c r="F106" s="52"/>
      <c r="G106" s="52"/>
      <c r="H106" s="52"/>
      <c r="I106" s="52"/>
      <c r="J106" s="52"/>
      <c r="K106" s="52"/>
      <c r="L106" s="52"/>
      <c r="M106" s="4"/>
    </row>
    <row r="107" spans="1:13">
      <c r="A107" s="3" t="s">
        <v>125</v>
      </c>
      <c r="B107" s="52"/>
      <c r="C107" s="52"/>
      <c r="D107" s="52"/>
      <c r="E107" s="52"/>
      <c r="F107" s="52"/>
      <c r="G107" s="52"/>
      <c r="H107" s="52"/>
      <c r="I107" s="52"/>
      <c r="J107" s="52"/>
      <c r="K107" s="52"/>
      <c r="L107" s="52"/>
      <c r="M107" s="4"/>
    </row>
    <row r="108" spans="1:13">
      <c r="A108" t="s">
        <v>571</v>
      </c>
      <c r="B108" s="48">
        <f>'KY_Cost Plant Acct-Gas-P20(Tot)'!B107</f>
        <v>1459528.0299999996</v>
      </c>
      <c r="C108" s="52"/>
      <c r="D108" s="48">
        <f>'KY_Cost Plant Acct-Gas-P20(Tot)'!D107</f>
        <v>-916290.49</v>
      </c>
      <c r="E108" s="52"/>
      <c r="F108" s="48">
        <f>'KY_Cost Plant Acct-Gas-P20(Tot)'!F107</f>
        <v>0</v>
      </c>
      <c r="G108" s="52"/>
      <c r="H108" s="48">
        <f>'KY_Cost Plant Acct-Gas-P20(Tot)'!H107</f>
        <v>0</v>
      </c>
      <c r="I108" s="52"/>
      <c r="J108" s="48">
        <f>H108+F108+D108</f>
        <v>-916290.49</v>
      </c>
      <c r="K108" s="52"/>
      <c r="L108" s="48">
        <f>J108+B108</f>
        <v>543237.53999999957</v>
      </c>
      <c r="M108" s="4"/>
    </row>
    <row r="109" spans="1:13">
      <c r="B109" s="52">
        <f>SUM(B108)</f>
        <v>1459528.0299999996</v>
      </c>
      <c r="C109" s="52"/>
      <c r="D109" s="52">
        <f>SUM(D108)</f>
        <v>-916290.49</v>
      </c>
      <c r="E109" s="52"/>
      <c r="F109" s="52">
        <f>SUM(F108)</f>
        <v>0</v>
      </c>
      <c r="G109" s="52"/>
      <c r="H109" s="52">
        <f>SUM(H108)</f>
        <v>0</v>
      </c>
      <c r="I109" s="52"/>
      <c r="J109" s="52">
        <f>SUM(J108)</f>
        <v>-916290.49</v>
      </c>
      <c r="K109" s="52"/>
      <c r="L109" s="52">
        <f>SUM(L108)</f>
        <v>543237.53999999957</v>
      </c>
      <c r="M109" s="4"/>
    </row>
    <row r="110" spans="1:13">
      <c r="B110" s="52"/>
      <c r="C110" s="52"/>
      <c r="D110" s="52"/>
      <c r="E110" s="52"/>
      <c r="F110" s="52"/>
      <c r="G110" s="52"/>
      <c r="H110" s="52"/>
      <c r="I110" s="52"/>
      <c r="J110" s="52"/>
      <c r="K110" s="52"/>
      <c r="L110" s="52"/>
      <c r="M110" s="4"/>
    </row>
    <row r="111" spans="1:13">
      <c r="B111" s="52"/>
      <c r="C111" s="182"/>
      <c r="D111" s="52"/>
      <c r="E111" s="182"/>
      <c r="F111" s="52"/>
      <c r="G111" s="182"/>
      <c r="H111" s="52"/>
      <c r="I111" s="182"/>
      <c r="J111" s="52"/>
      <c r="K111" s="182"/>
      <c r="L111" s="52"/>
      <c r="M111" s="4"/>
    </row>
    <row r="112" spans="1:13">
      <c r="B112" s="182"/>
      <c r="C112" s="182"/>
      <c r="D112" s="182"/>
      <c r="E112" s="182"/>
      <c r="F112" s="182"/>
      <c r="G112" s="182"/>
      <c r="H112" s="182"/>
      <c r="I112" s="182"/>
      <c r="J112" s="182"/>
      <c r="K112" s="182"/>
      <c r="L112" s="182"/>
      <c r="M112" s="4"/>
    </row>
    <row r="113" spans="1:13">
      <c r="A113" s="3" t="s">
        <v>828</v>
      </c>
      <c r="B113" s="88">
        <f>B105+B83+B92+B109</f>
        <v>21086796.250000007</v>
      </c>
      <c r="C113" s="52"/>
      <c r="D113" s="88">
        <f>D105+D83+D92+D109</f>
        <v>17381450.120000001</v>
      </c>
      <c r="E113" s="52"/>
      <c r="F113" s="88">
        <f>F105+F83+F92+F109</f>
        <v>0</v>
      </c>
      <c r="G113" s="52"/>
      <c r="H113" s="88">
        <f>H105+H83+H92+H109</f>
        <v>0</v>
      </c>
      <c r="I113" s="52"/>
      <c r="J113" s="88">
        <f>J105+J83+J92+J109</f>
        <v>17381450.120000001</v>
      </c>
      <c r="K113" s="52"/>
      <c r="L113" s="88">
        <f>L105+L83+L92+L109</f>
        <v>38468246.370000005</v>
      </c>
      <c r="M113" s="55"/>
    </row>
    <row r="114" spans="1:13">
      <c r="B114" s="52"/>
      <c r="C114" s="182"/>
      <c r="D114" s="52"/>
      <c r="E114" s="182"/>
      <c r="F114" s="52"/>
      <c r="G114" s="182"/>
      <c r="H114" s="52"/>
      <c r="I114" s="182"/>
      <c r="J114" s="52"/>
      <c r="K114" s="182"/>
      <c r="L114" s="52"/>
      <c r="M114" s="4"/>
    </row>
    <row r="115" spans="1:13">
      <c r="B115" s="182"/>
      <c r="C115" s="182"/>
      <c r="D115" s="182"/>
      <c r="E115" s="182"/>
      <c r="F115" s="182"/>
      <c r="G115" s="182"/>
      <c r="H115" s="182"/>
      <c r="I115" s="182"/>
      <c r="J115" s="182"/>
      <c r="K115" s="182"/>
      <c r="L115" s="182"/>
      <c r="M115" s="4"/>
    </row>
    <row r="116" spans="1:13" ht="13.5" thickBot="1">
      <c r="A116" s="3" t="s">
        <v>827</v>
      </c>
      <c r="B116" s="46">
        <f>B113+B68</f>
        <v>555575250.01999986</v>
      </c>
      <c r="C116" s="182"/>
      <c r="D116" s="46">
        <f>D113+D68</f>
        <v>22265896.469999999</v>
      </c>
      <c r="E116" s="182"/>
      <c r="F116" s="46">
        <f>F113+F68</f>
        <v>-29286.46</v>
      </c>
      <c r="G116" s="182"/>
      <c r="H116" s="46">
        <f>H113+H68</f>
        <v>0</v>
      </c>
      <c r="I116" s="182"/>
      <c r="J116" s="46">
        <f>J113+J68</f>
        <v>22236610.010000002</v>
      </c>
      <c r="K116" s="182"/>
      <c r="L116" s="46">
        <f>L113+L68</f>
        <v>577811860.02999985</v>
      </c>
      <c r="M116" s="4"/>
    </row>
    <row r="117" spans="1:13" ht="13.5" thickTop="1">
      <c r="B117" s="182"/>
      <c r="C117" s="182"/>
      <c r="D117" s="182"/>
      <c r="E117" s="182"/>
      <c r="F117" s="182"/>
      <c r="G117" s="182"/>
      <c r="H117" s="182"/>
      <c r="I117" s="182"/>
      <c r="J117" s="182"/>
      <c r="K117" s="182"/>
      <c r="L117" s="182"/>
      <c r="M117" s="4"/>
    </row>
    <row r="118" spans="1:13">
      <c r="B118" s="182"/>
      <c r="C118" s="182"/>
      <c r="D118" s="182"/>
      <c r="E118" s="182"/>
      <c r="F118" s="182"/>
      <c r="G118" s="182"/>
      <c r="H118" s="182"/>
      <c r="I118" s="182"/>
      <c r="J118" s="182"/>
      <c r="K118" s="182"/>
      <c r="L118" s="182"/>
      <c r="M118" s="4"/>
    </row>
    <row r="119" spans="1:13">
      <c r="B119" s="182"/>
      <c r="C119" s="182"/>
      <c r="D119" s="182"/>
      <c r="E119" s="182"/>
      <c r="F119" s="182"/>
      <c r="G119" s="182"/>
      <c r="H119" s="182"/>
      <c r="I119" s="182"/>
      <c r="J119" s="182"/>
      <c r="K119" s="182"/>
      <c r="L119" s="182"/>
      <c r="M119" s="4"/>
    </row>
    <row r="120" spans="1:13">
      <c r="B120" s="4"/>
      <c r="C120" s="4"/>
      <c r="D120" s="4"/>
      <c r="E120" s="4"/>
      <c r="F120" s="4"/>
      <c r="G120" s="4"/>
      <c r="H120" s="4"/>
      <c r="I120" s="4"/>
      <c r="J120" s="4"/>
      <c r="K120" s="4"/>
      <c r="L120" s="4"/>
      <c r="M120" s="4"/>
    </row>
    <row r="121" spans="1:13">
      <c r="B121" s="4"/>
      <c r="C121" s="4"/>
      <c r="D121" s="4"/>
      <c r="E121" s="4"/>
      <c r="F121" s="4"/>
      <c r="G121" s="4"/>
      <c r="H121" s="4"/>
      <c r="I121" s="4"/>
      <c r="J121" s="4"/>
      <c r="K121" s="4"/>
      <c r="L121" s="4"/>
      <c r="M121" s="4"/>
    </row>
    <row r="122" spans="1:13">
      <c r="B122" s="4"/>
      <c r="C122" s="4"/>
      <c r="D122" s="4"/>
      <c r="E122" s="4"/>
      <c r="F122" s="4"/>
      <c r="G122" s="4"/>
      <c r="H122" s="4"/>
      <c r="I122" s="4"/>
      <c r="J122" s="4"/>
      <c r="K122" s="4"/>
      <c r="L122" s="4"/>
      <c r="M122" s="4"/>
    </row>
    <row r="123" spans="1:13">
      <c r="B123" s="4"/>
      <c r="C123" s="4"/>
      <c r="D123" s="4"/>
      <c r="E123" s="4"/>
      <c r="F123" s="4"/>
      <c r="G123" s="4"/>
      <c r="H123" s="4"/>
      <c r="I123" s="4"/>
      <c r="J123" s="4"/>
      <c r="K123" s="4"/>
      <c r="L123" s="4"/>
      <c r="M123" s="4"/>
    </row>
    <row r="124" spans="1:13">
      <c r="B124" s="4"/>
      <c r="C124" s="4"/>
      <c r="D124" s="4"/>
      <c r="E124" s="4"/>
      <c r="F124" s="4"/>
      <c r="G124" s="4"/>
      <c r="H124" s="4"/>
      <c r="I124" s="4"/>
      <c r="J124" s="4"/>
      <c r="K124" s="4"/>
      <c r="L124" s="4"/>
      <c r="M124" s="4"/>
    </row>
    <row r="125" spans="1:13">
      <c r="B125" s="4"/>
      <c r="C125" s="4"/>
      <c r="D125" s="4"/>
      <c r="E125" s="4"/>
      <c r="F125" s="4"/>
      <c r="G125" s="4"/>
      <c r="H125" s="4"/>
      <c r="I125" s="4"/>
      <c r="J125" s="4"/>
      <c r="K125" s="4"/>
      <c r="L125" s="4"/>
      <c r="M125" s="4"/>
    </row>
    <row r="126" spans="1:13">
      <c r="B126" s="4"/>
      <c r="C126" s="4"/>
      <c r="D126" s="4"/>
      <c r="E126" s="4"/>
      <c r="F126" s="4"/>
      <c r="G126" s="4"/>
      <c r="H126" s="4"/>
      <c r="I126" s="4"/>
      <c r="J126" s="4"/>
      <c r="K126" s="4"/>
      <c r="L126" s="4"/>
      <c r="M126" s="4"/>
    </row>
    <row r="127" spans="1:13">
      <c r="B127" s="4"/>
      <c r="C127" s="4"/>
      <c r="D127" s="4"/>
      <c r="E127" s="4"/>
      <c r="F127" s="4"/>
      <c r="G127" s="4"/>
      <c r="H127" s="4"/>
      <c r="I127" s="4"/>
      <c r="J127" s="4"/>
      <c r="K127" s="4"/>
      <c r="L127" s="4"/>
      <c r="M127" s="4"/>
    </row>
    <row r="128" spans="1:13">
      <c r="B128" s="4"/>
      <c r="C128" s="4"/>
      <c r="D128" s="4"/>
      <c r="E128" s="4"/>
      <c r="F128" s="4"/>
      <c r="G128" s="4"/>
      <c r="H128" s="4"/>
      <c r="I128" s="4"/>
      <c r="J128" s="4"/>
      <c r="K128" s="4"/>
      <c r="L128" s="4"/>
      <c r="M128" s="4"/>
    </row>
    <row r="129" spans="2:13">
      <c r="B129" s="4"/>
      <c r="C129" s="4"/>
      <c r="D129" s="4"/>
      <c r="E129" s="4"/>
      <c r="F129" s="4"/>
      <c r="G129" s="4"/>
      <c r="H129" s="4"/>
      <c r="I129" s="4"/>
      <c r="J129" s="4"/>
      <c r="K129" s="4"/>
      <c r="L129" s="4"/>
      <c r="M129" s="4"/>
    </row>
    <row r="130" spans="2:13">
      <c r="B130" s="4"/>
      <c r="C130" s="4"/>
      <c r="D130" s="4"/>
      <c r="E130" s="4"/>
      <c r="F130" s="4"/>
      <c r="G130" s="4"/>
      <c r="H130" s="4"/>
      <c r="I130" s="4"/>
      <c r="J130" s="4"/>
      <c r="K130" s="4"/>
      <c r="L130" s="4"/>
      <c r="M130" s="4"/>
    </row>
    <row r="131" spans="2:13">
      <c r="B131" s="4"/>
      <c r="C131" s="4"/>
      <c r="D131" s="4"/>
      <c r="E131" s="4"/>
      <c r="F131" s="4"/>
      <c r="G131" s="4"/>
      <c r="H131" s="4"/>
      <c r="I131" s="4"/>
      <c r="J131" s="4"/>
      <c r="K131" s="4"/>
      <c r="L131" s="4"/>
      <c r="M131" s="4"/>
    </row>
    <row r="132" spans="2:13">
      <c r="B132" s="4"/>
      <c r="C132" s="4"/>
      <c r="D132" s="4"/>
      <c r="E132" s="4"/>
      <c r="F132" s="4"/>
      <c r="G132" s="4"/>
      <c r="H132" s="4"/>
      <c r="I132" s="4"/>
      <c r="J132" s="4"/>
      <c r="K132" s="4"/>
      <c r="L132" s="4"/>
      <c r="M132" s="4"/>
    </row>
    <row r="133" spans="2:13">
      <c r="B133" s="4"/>
      <c r="C133" s="4"/>
      <c r="D133" s="4"/>
      <c r="E133" s="4"/>
      <c r="F133" s="4"/>
      <c r="G133" s="4"/>
      <c r="H133" s="4"/>
      <c r="I133" s="4"/>
      <c r="J133" s="4"/>
      <c r="K133" s="4"/>
      <c r="L133" s="4"/>
      <c r="M133" s="4"/>
    </row>
    <row r="134" spans="2:13">
      <c r="B134" s="4"/>
      <c r="C134" s="4"/>
      <c r="D134" s="4"/>
      <c r="E134" s="4"/>
      <c r="F134" s="4"/>
      <c r="G134" s="4"/>
      <c r="H134" s="4"/>
      <c r="I134" s="4"/>
      <c r="J134" s="4"/>
      <c r="K134" s="4"/>
      <c r="L134" s="4"/>
      <c r="M134" s="4"/>
    </row>
    <row r="135" spans="2:13">
      <c r="B135" s="4"/>
      <c r="C135" s="4"/>
      <c r="D135" s="4"/>
      <c r="E135" s="4"/>
      <c r="F135" s="4"/>
      <c r="G135" s="4"/>
      <c r="H135" s="4"/>
      <c r="I135" s="4"/>
      <c r="J135" s="4"/>
      <c r="K135" s="4"/>
      <c r="L135" s="4"/>
      <c r="M135" s="4"/>
    </row>
    <row r="136" spans="2:13">
      <c r="B136" s="4"/>
      <c r="C136" s="4"/>
      <c r="D136" s="4"/>
      <c r="E136" s="4"/>
      <c r="F136" s="4"/>
      <c r="G136" s="4"/>
      <c r="H136" s="4"/>
      <c r="I136" s="4"/>
      <c r="J136" s="4"/>
      <c r="K136" s="4"/>
      <c r="L136" s="4"/>
      <c r="M136" s="4"/>
    </row>
    <row r="137" spans="2:13">
      <c r="B137" s="4"/>
      <c r="C137" s="4"/>
      <c r="D137" s="4"/>
      <c r="E137" s="4"/>
      <c r="F137" s="4"/>
      <c r="G137" s="4"/>
      <c r="H137" s="4"/>
      <c r="I137" s="4"/>
      <c r="J137" s="4"/>
      <c r="K137" s="4"/>
      <c r="L137" s="4"/>
      <c r="M137" s="4"/>
    </row>
    <row r="138" spans="2:13">
      <c r="B138" s="4"/>
      <c r="C138" s="4"/>
      <c r="D138" s="4"/>
      <c r="E138" s="4"/>
      <c r="F138" s="4"/>
      <c r="G138" s="4"/>
      <c r="H138" s="4"/>
      <c r="I138" s="4"/>
      <c r="J138" s="4"/>
      <c r="K138" s="4"/>
      <c r="L138" s="4"/>
      <c r="M138" s="4"/>
    </row>
    <row r="139" spans="2:13">
      <c r="B139" s="4"/>
      <c r="C139" s="4"/>
      <c r="D139" s="4"/>
      <c r="E139" s="4"/>
      <c r="F139" s="4"/>
      <c r="G139" s="4"/>
      <c r="H139" s="4"/>
      <c r="I139" s="4"/>
      <c r="J139" s="4"/>
      <c r="K139" s="4"/>
      <c r="L139" s="4"/>
      <c r="M139" s="4"/>
    </row>
    <row r="140" spans="2:13">
      <c r="B140" s="4"/>
      <c r="C140" s="4"/>
      <c r="D140" s="4"/>
      <c r="E140" s="4"/>
      <c r="F140" s="4"/>
      <c r="G140" s="4"/>
      <c r="H140" s="4"/>
      <c r="I140" s="4"/>
      <c r="J140" s="4"/>
      <c r="K140" s="4"/>
      <c r="L140" s="4"/>
      <c r="M140" s="4"/>
    </row>
    <row r="141" spans="2:13">
      <c r="B141" s="4"/>
      <c r="C141" s="4"/>
      <c r="D141" s="4"/>
      <c r="E141" s="4"/>
      <c r="F141" s="4"/>
      <c r="G141" s="4"/>
      <c r="H141" s="4"/>
      <c r="I141" s="4"/>
      <c r="J141" s="4"/>
      <c r="K141" s="4"/>
      <c r="L141" s="4"/>
      <c r="M141" s="4"/>
    </row>
    <row r="142" spans="2:13">
      <c r="B142" s="4"/>
      <c r="C142" s="4"/>
      <c r="D142" s="4"/>
      <c r="E142" s="4"/>
      <c r="F142" s="4"/>
      <c r="G142" s="4"/>
      <c r="H142" s="4"/>
      <c r="I142" s="4"/>
      <c r="J142" s="4"/>
      <c r="K142" s="4"/>
      <c r="L142" s="4"/>
      <c r="M142" s="4"/>
    </row>
    <row r="143" spans="2:13">
      <c r="B143" s="4"/>
      <c r="C143" s="4"/>
      <c r="D143" s="4"/>
      <c r="E143" s="4"/>
      <c r="F143" s="4"/>
      <c r="G143" s="4"/>
      <c r="H143" s="4"/>
      <c r="I143" s="4"/>
      <c r="J143" s="4"/>
      <c r="K143" s="4"/>
      <c r="L143" s="4"/>
      <c r="M143" s="4"/>
    </row>
    <row r="144" spans="2:13">
      <c r="B144" s="4"/>
      <c r="C144" s="4"/>
      <c r="D144" s="4"/>
      <c r="E144" s="4"/>
      <c r="F144" s="4"/>
      <c r="G144" s="4"/>
      <c r="H144" s="4"/>
      <c r="I144" s="4"/>
      <c r="J144" s="4"/>
      <c r="K144" s="4"/>
      <c r="L144" s="4"/>
      <c r="M144" s="4"/>
    </row>
    <row r="145" spans="2:13">
      <c r="B145" s="4"/>
      <c r="C145" s="4"/>
      <c r="D145" s="4"/>
      <c r="E145" s="4"/>
      <c r="F145" s="4"/>
      <c r="G145" s="4"/>
      <c r="H145" s="4"/>
      <c r="I145" s="4"/>
      <c r="J145" s="4"/>
      <c r="K145" s="4"/>
      <c r="L145" s="4"/>
      <c r="M145" s="4"/>
    </row>
    <row r="146" spans="2:13">
      <c r="B146" s="4"/>
      <c r="C146" s="4"/>
      <c r="D146" s="4"/>
      <c r="E146" s="4"/>
      <c r="F146" s="4"/>
      <c r="G146" s="4"/>
      <c r="H146" s="4"/>
      <c r="I146" s="4"/>
      <c r="J146" s="4"/>
      <c r="K146" s="4"/>
      <c r="L146" s="4"/>
      <c r="M146" s="4"/>
    </row>
    <row r="147" spans="2:13">
      <c r="B147" s="4"/>
      <c r="C147" s="4"/>
      <c r="D147" s="4"/>
      <c r="E147" s="4"/>
      <c r="F147" s="4"/>
      <c r="G147" s="4"/>
      <c r="H147" s="4"/>
      <c r="I147" s="4"/>
      <c r="J147" s="4"/>
      <c r="K147" s="4"/>
      <c r="L147" s="4"/>
      <c r="M147" s="4"/>
    </row>
    <row r="148" spans="2:13">
      <c r="B148" s="4"/>
      <c r="C148" s="4"/>
      <c r="D148" s="4"/>
      <c r="E148" s="4"/>
      <c r="F148" s="4"/>
      <c r="G148" s="4"/>
      <c r="H148" s="4"/>
      <c r="I148" s="4"/>
      <c r="J148" s="4"/>
      <c r="K148" s="4"/>
      <c r="L148" s="4"/>
      <c r="M148" s="4"/>
    </row>
    <row r="149" spans="2:13">
      <c r="B149" s="4"/>
      <c r="C149" s="4"/>
      <c r="D149" s="4"/>
      <c r="E149" s="4"/>
      <c r="F149" s="4"/>
      <c r="G149" s="4"/>
      <c r="H149" s="4"/>
      <c r="I149" s="4"/>
      <c r="J149" s="4"/>
      <c r="K149" s="4"/>
      <c r="L149" s="4"/>
      <c r="M149" s="4"/>
    </row>
    <row r="150" spans="2:13">
      <c r="B150" s="4"/>
      <c r="C150" s="4"/>
      <c r="D150" s="4"/>
      <c r="E150" s="4"/>
      <c r="F150" s="4"/>
      <c r="G150" s="4"/>
      <c r="H150" s="4"/>
      <c r="I150" s="4"/>
      <c r="J150" s="4"/>
      <c r="K150" s="4"/>
      <c r="L150" s="4"/>
      <c r="M150" s="4"/>
    </row>
    <row r="151" spans="2:13">
      <c r="B151" s="4"/>
      <c r="C151" s="4"/>
      <c r="D151" s="4"/>
      <c r="E151" s="4"/>
      <c r="F151" s="4"/>
      <c r="G151" s="4"/>
      <c r="H151" s="4"/>
      <c r="I151" s="4"/>
      <c r="J151" s="4"/>
      <c r="K151" s="4"/>
      <c r="L151" s="4"/>
      <c r="M151" s="4"/>
    </row>
    <row r="152" spans="2:13">
      <c r="B152" s="4"/>
      <c r="C152" s="4"/>
      <c r="D152" s="4"/>
      <c r="E152" s="4"/>
      <c r="F152" s="4"/>
      <c r="G152" s="4"/>
      <c r="H152" s="4"/>
      <c r="I152" s="4"/>
      <c r="J152" s="4"/>
      <c r="K152" s="4"/>
      <c r="L152" s="4"/>
      <c r="M152" s="4"/>
    </row>
    <row r="153" spans="2:13">
      <c r="B153" s="4"/>
      <c r="C153" s="4"/>
      <c r="D153" s="4"/>
      <c r="E153" s="4"/>
      <c r="F153" s="4"/>
      <c r="G153" s="4"/>
      <c r="H153" s="4"/>
      <c r="I153" s="4"/>
      <c r="J153" s="4"/>
      <c r="K153" s="4"/>
      <c r="L153" s="4"/>
      <c r="M153" s="4"/>
    </row>
    <row r="154" spans="2:13">
      <c r="B154" s="4"/>
      <c r="C154" s="4"/>
      <c r="D154" s="4"/>
      <c r="E154" s="4"/>
      <c r="F154" s="4"/>
      <c r="G154" s="4"/>
      <c r="H154" s="4"/>
      <c r="I154" s="4"/>
      <c r="J154" s="4"/>
      <c r="K154" s="4"/>
      <c r="L154" s="4"/>
      <c r="M154" s="4"/>
    </row>
  </sheetData>
  <mergeCells count="3">
    <mergeCell ref="A1:L1"/>
    <mergeCell ref="A2:L2"/>
    <mergeCell ref="A3:L3"/>
  </mergeCells>
  <pageMargins left="0.75" right="0.75" top="1" bottom="1" header="0.5" footer="0.5"/>
  <pageSetup scale="75" fitToHeight="0" orientation="landscape" r:id="rId1"/>
  <headerFooter alignWithMargins="0">
    <oddFooter>&amp;L&amp;Z
&amp;F&amp;C&amp;A&amp;R18.&amp;P</oddFooter>
  </headerFooter>
  <rowBreaks count="2" manualBreakCount="2">
    <brk id="39" max="16383" man="1"/>
    <brk id="70" max="16383" man="1"/>
  </rowBreaks>
</worksheet>
</file>

<file path=xl/worksheets/sheet71.xml><?xml version="1.0" encoding="utf-8"?>
<worksheet xmlns="http://schemas.openxmlformats.org/spreadsheetml/2006/main" xmlns:r="http://schemas.openxmlformats.org/officeDocument/2006/relationships">
  <sheetPr codeName="Sheet108">
    <pageSetUpPr fitToPage="1"/>
  </sheetPr>
  <dimension ref="A1:P109"/>
  <sheetViews>
    <sheetView zoomScale="90" zoomScaleNormal="90" workbookViewId="0">
      <pane xSplit="1" ySplit="10" topLeftCell="B11" activePane="bottomRight" state="frozen"/>
      <selection activeCell="A31" sqref="A31"/>
      <selection pane="topRight" activeCell="A31" sqref="A31"/>
      <selection pane="bottomLeft" activeCell="A31" sqref="A31"/>
      <selection pane="bottomRight" activeCell="A31" sqref="A31"/>
    </sheetView>
  </sheetViews>
  <sheetFormatPr defaultRowHeight="12.75"/>
  <cols>
    <col min="1" max="1" width="45.7109375" bestFit="1" customWidth="1"/>
    <col min="2" max="2" width="17.7109375" customWidth="1"/>
    <col min="3" max="3" width="1.7109375" customWidth="1"/>
    <col min="4" max="4" width="17.7109375" customWidth="1"/>
    <col min="5" max="5" width="1.7109375" customWidth="1"/>
    <col min="6" max="6" width="17.7109375" customWidth="1"/>
    <col min="7" max="7" width="1.7109375" customWidth="1"/>
    <col min="8" max="8" width="17.7109375" customWidth="1"/>
    <col min="9" max="9" width="1.7109375" customWidth="1"/>
    <col min="10" max="10" width="17.7109375" customWidth="1"/>
    <col min="11" max="11" width="1.7109375" customWidth="1"/>
    <col min="12" max="12" width="17.7109375" customWidth="1"/>
    <col min="13" max="13" width="1.85546875" customWidth="1"/>
    <col min="14" max="14" width="18.5703125" customWidth="1"/>
    <col min="15" max="15" width="1.7109375" customWidth="1"/>
    <col min="16" max="16" width="23.140625" bestFit="1" customWidth="1"/>
  </cols>
  <sheetData>
    <row r="1" spans="1:16" s="38" customFormat="1" ht="15.75">
      <c r="A1" s="366" t="s">
        <v>134</v>
      </c>
      <c r="B1" s="366"/>
      <c r="C1" s="366"/>
      <c r="D1" s="366"/>
      <c r="E1" s="366"/>
      <c r="F1" s="366"/>
      <c r="G1" s="366"/>
      <c r="H1" s="366"/>
      <c r="I1" s="366"/>
      <c r="J1" s="366"/>
      <c r="K1" s="366"/>
      <c r="L1" s="366"/>
      <c r="M1" s="366"/>
      <c r="N1" s="366"/>
      <c r="O1" s="366"/>
      <c r="P1" s="366"/>
    </row>
    <row r="2" spans="1:16" s="38" customFormat="1" ht="15.75">
      <c r="A2" s="366" t="s">
        <v>1197</v>
      </c>
      <c r="B2" s="366"/>
      <c r="C2" s="366"/>
      <c r="D2" s="366"/>
      <c r="E2" s="366"/>
      <c r="F2" s="366"/>
      <c r="G2" s="366"/>
      <c r="H2" s="366"/>
      <c r="I2" s="366"/>
      <c r="J2" s="366"/>
      <c r="K2" s="366"/>
      <c r="L2" s="366"/>
      <c r="M2" s="366"/>
      <c r="N2" s="366"/>
      <c r="O2" s="366"/>
      <c r="P2" s="366"/>
    </row>
    <row r="3" spans="1:16">
      <c r="A3" s="357" t="str">
        <f>'Summary - Cost - PG 1 (Tot)'!A3:N3</f>
        <v>MARCH 2012</v>
      </c>
      <c r="B3" s="357"/>
      <c r="C3" s="357"/>
      <c r="D3" s="357"/>
      <c r="E3" s="357"/>
      <c r="F3" s="357"/>
      <c r="G3" s="357"/>
      <c r="H3" s="357"/>
      <c r="I3" s="357"/>
      <c r="J3" s="357"/>
      <c r="K3" s="357"/>
      <c r="L3" s="357"/>
      <c r="M3" s="357"/>
      <c r="N3" s="357"/>
      <c r="O3" s="357"/>
      <c r="P3" s="357"/>
    </row>
    <row r="4" spans="1:16">
      <c r="A4" s="190"/>
      <c r="B4" s="190"/>
      <c r="C4" s="190"/>
      <c r="D4" s="190"/>
      <c r="E4" s="190"/>
      <c r="F4" s="190"/>
      <c r="G4" s="190"/>
      <c r="H4" s="190"/>
      <c r="I4" s="190"/>
      <c r="J4" s="190"/>
      <c r="K4" s="190"/>
      <c r="L4" s="190"/>
    </row>
    <row r="6" spans="1:16">
      <c r="B6" s="41" t="s">
        <v>25</v>
      </c>
      <c r="D6" s="182"/>
      <c r="F6" s="182"/>
      <c r="H6" s="41" t="s">
        <v>612</v>
      </c>
      <c r="J6" s="182"/>
      <c r="L6" s="41" t="s">
        <v>26</v>
      </c>
      <c r="P6" s="29" t="s">
        <v>422</v>
      </c>
    </row>
    <row r="7" spans="1:16" s="10" customFormat="1">
      <c r="B7" s="42" t="s">
        <v>27</v>
      </c>
      <c r="C7"/>
      <c r="D7" s="42" t="s">
        <v>107</v>
      </c>
      <c r="E7"/>
      <c r="F7" s="42" t="s">
        <v>108</v>
      </c>
      <c r="G7"/>
      <c r="H7" s="42" t="s">
        <v>613</v>
      </c>
      <c r="I7"/>
      <c r="J7" s="42" t="s">
        <v>109</v>
      </c>
      <c r="K7"/>
      <c r="L7" s="42" t="s">
        <v>27</v>
      </c>
      <c r="N7" s="42" t="s">
        <v>46</v>
      </c>
      <c r="P7" s="42" t="s">
        <v>419</v>
      </c>
    </row>
    <row r="8" spans="1:16" s="10" customFormat="1">
      <c r="A8" s="12" t="s">
        <v>296</v>
      </c>
      <c r="B8" s="54"/>
      <c r="C8"/>
      <c r="D8" s="54"/>
      <c r="E8"/>
      <c r="F8" s="54"/>
      <c r="G8"/>
      <c r="H8" s="54"/>
      <c r="I8"/>
      <c r="J8" s="54"/>
      <c r="K8"/>
      <c r="L8" s="54"/>
    </row>
    <row r="9" spans="1:16" s="10" customFormat="1">
      <c r="A9" s="12" t="s">
        <v>420</v>
      </c>
      <c r="B9" s="54"/>
      <c r="C9"/>
      <c r="D9" s="54"/>
      <c r="E9"/>
      <c r="F9" s="54"/>
      <c r="G9"/>
      <c r="H9" s="54"/>
      <c r="I9"/>
      <c r="J9" s="54"/>
      <c r="K9"/>
      <c r="L9" s="54"/>
    </row>
    <row r="10" spans="1:16">
      <c r="A10" s="3" t="s">
        <v>121</v>
      </c>
    </row>
    <row r="11" spans="1:16">
      <c r="A11" t="s">
        <v>848</v>
      </c>
      <c r="B11" s="182">
        <f>'KY_Cost Plant Acct-Gas-P20(Tot)'!B11</f>
        <v>59724.58</v>
      </c>
      <c r="C11" s="182"/>
      <c r="D11" s="182">
        <f>'KY_Cost Plant Acct-Gas-P20(Tot)'!D11</f>
        <v>0</v>
      </c>
      <c r="E11" s="182"/>
      <c r="F11" s="182">
        <f>'KY_Cost Plant Acct-Gas-P20(Tot)'!F11</f>
        <v>0</v>
      </c>
      <c r="G11" s="182"/>
      <c r="H11" s="182">
        <f>'KY_Cost Plant Acct-Gas-P20(Tot)'!H11</f>
        <v>0</v>
      </c>
      <c r="I11" s="182"/>
      <c r="J11" s="182">
        <f t="shared" ref="J11:J24" si="0">H11+F11+D11</f>
        <v>0</v>
      </c>
      <c r="K11" s="182"/>
      <c r="L11" s="182">
        <f t="shared" ref="L11:L24" si="1">J11+B11</f>
        <v>59724.58</v>
      </c>
      <c r="M11" s="4"/>
      <c r="N11" s="89">
        <f>'KY_Res by Plant Acct-P29 (Tot)'!R339</f>
        <v>0</v>
      </c>
      <c r="P11" s="89">
        <f>L11+N11</f>
        <v>59724.58</v>
      </c>
    </row>
    <row r="12" spans="1:16">
      <c r="A12" t="s">
        <v>849</v>
      </c>
      <c r="B12" s="182">
        <f>'KY_Cost Plant Acct-Gas-P20(Tot)'!B12</f>
        <v>-3357.2400000000052</v>
      </c>
      <c r="C12" s="182"/>
      <c r="D12" s="182">
        <f>'KY_Cost Plant Acct-Gas-P20(Tot)'!D12</f>
        <v>0</v>
      </c>
      <c r="E12" s="182"/>
      <c r="F12" s="182">
        <f>'KY_Cost Plant Acct-Gas-P20(Tot)'!F12</f>
        <v>0</v>
      </c>
      <c r="G12" s="182"/>
      <c r="H12" s="182">
        <f>'KY_Cost Plant Acct-Gas-P20(Tot)'!H12</f>
        <v>0</v>
      </c>
      <c r="I12" s="182"/>
      <c r="J12" s="182">
        <f t="shared" si="0"/>
        <v>0</v>
      </c>
      <c r="K12" s="182"/>
      <c r="L12" s="182">
        <f t="shared" si="1"/>
        <v>-3357.2400000000052</v>
      </c>
      <c r="M12" s="4"/>
      <c r="N12" s="89">
        <f>'KY_Res by Plant Acct-P29 (Tot)'!R340</f>
        <v>-41.990000000001743</v>
      </c>
      <c r="P12" s="89">
        <f t="shared" ref="P12:P24" si="2">L12+N12</f>
        <v>-3399.2300000000068</v>
      </c>
    </row>
    <row r="13" spans="1:16">
      <c r="A13" t="s">
        <v>850</v>
      </c>
      <c r="B13" s="182">
        <f>'KY_Cost Plant Acct-Gas-P20(Tot)'!B13+'KY_Cost Plant Acct-Gas-P20(Tot)'!B73</f>
        <v>274572.55</v>
      </c>
      <c r="C13" s="182"/>
      <c r="D13" s="182">
        <f>'KY_Cost Plant Acct-Gas-P20(Tot)'!D13+'KY_Cost Plant Acct-Gas-P20(Tot)'!D73</f>
        <v>0</v>
      </c>
      <c r="E13" s="182"/>
      <c r="F13" s="182">
        <f>'KY_Cost Plant Acct-Gas-P20(Tot)'!F13</f>
        <v>0</v>
      </c>
      <c r="G13" s="182"/>
      <c r="H13" s="182">
        <f>'KY_Cost Plant Acct-Gas-P20(Tot)'!H13+'KY_Cost Plant Acct-Gas-P20(Tot)'!H73</f>
        <v>0</v>
      </c>
      <c r="I13" s="182"/>
      <c r="J13" s="182">
        <f t="shared" si="0"/>
        <v>0</v>
      </c>
      <c r="K13" s="182"/>
      <c r="L13" s="182">
        <f t="shared" si="1"/>
        <v>274572.55</v>
      </c>
      <c r="M13" s="4"/>
      <c r="N13" s="89">
        <f>'KY_Res by Plant Acct-P29 (Tot)'!R341</f>
        <v>-23591.529999999988</v>
      </c>
      <c r="P13" s="89">
        <f t="shared" si="2"/>
        <v>250981.02</v>
      </c>
    </row>
    <row r="14" spans="1:16">
      <c r="A14" t="s">
        <v>71</v>
      </c>
      <c r="B14" s="182">
        <f>'KY_Cost Plant Acct-Gas-P20(Tot)'!B14</f>
        <v>408380.84000000008</v>
      </c>
      <c r="C14" s="182"/>
      <c r="D14" s="182">
        <f>'KY_Cost Plant Acct-Gas-P20(Tot)'!D14+'KY_Cost Plant Acct-Gas-P20(Tot)'!D74</f>
        <v>0</v>
      </c>
      <c r="E14" s="182"/>
      <c r="F14" s="182">
        <f>'KY_Cost Plant Acct-Gas-P20(Tot)'!F14</f>
        <v>0</v>
      </c>
      <c r="G14" s="182"/>
      <c r="H14" s="182">
        <f>'KY_Cost Plant Acct-Gas-P20(Tot)'!H14+'KY_Cost Plant Acct-Gas-P20(Tot)'!H74</f>
        <v>0</v>
      </c>
      <c r="I14" s="182"/>
      <c r="J14" s="182">
        <f t="shared" si="0"/>
        <v>0</v>
      </c>
      <c r="K14" s="182"/>
      <c r="L14" s="182">
        <f t="shared" si="1"/>
        <v>408380.84000000008</v>
      </c>
      <c r="M14" s="4"/>
      <c r="N14" s="89">
        <f>'KY_Res by Plant Acct-P29 (Tot)'!R342</f>
        <v>-83423.700000000012</v>
      </c>
      <c r="P14" s="89">
        <f t="shared" si="2"/>
        <v>324957.14000000007</v>
      </c>
    </row>
    <row r="15" spans="1:16">
      <c r="A15" t="s">
        <v>72</v>
      </c>
      <c r="B15" s="182">
        <f>'KY_Cost Plant Acct-Gas-P20(Tot)'!B15+'KY_Cost Plant Acct-Gas-P20(Tot)'!B75</f>
        <v>238748125.32000002</v>
      </c>
      <c r="C15" s="182"/>
      <c r="D15" s="182">
        <f>'KY_Cost Plant Acct-Gas-P20(Tot)'!D15+'KY_Cost Plant Acct-Gas-P20(Tot)'!D75</f>
        <v>12137355.799999999</v>
      </c>
      <c r="E15" s="182"/>
      <c r="F15" s="182">
        <f>'KY_Cost Plant Acct-Gas-P20(Tot)'!F15</f>
        <v>-5116.34</v>
      </c>
      <c r="G15" s="182"/>
      <c r="H15" s="182">
        <f>'KY_Cost Plant Acct-Gas-P20(Tot)'!H15+'KY_Cost Plant Acct-Gas-P20(Tot)'!H75</f>
        <v>-134900.23000000001</v>
      </c>
      <c r="I15" s="182"/>
      <c r="J15" s="182">
        <f t="shared" si="0"/>
        <v>11997339.229999999</v>
      </c>
      <c r="K15" s="182"/>
      <c r="L15" s="182">
        <f t="shared" si="1"/>
        <v>250745464.55000001</v>
      </c>
      <c r="M15" s="4"/>
      <c r="N15" s="89">
        <f>'KY_Res by Plant Acct-P29 (Tot)'!R343</f>
        <v>-23225615.039999995</v>
      </c>
      <c r="P15" s="89">
        <f t="shared" si="2"/>
        <v>227519849.51000002</v>
      </c>
    </row>
    <row r="16" spans="1:16">
      <c r="A16" t="s">
        <v>73</v>
      </c>
      <c r="B16" s="182">
        <f>'KY_Cost Plant Acct-Gas-P20(Tot)'!B16+'KY_Cost Plant Acct-Gas-P20(Tot)'!B76</f>
        <v>10140149.719999999</v>
      </c>
      <c r="C16" s="182"/>
      <c r="D16" s="182">
        <f>'KY_Cost Plant Acct-Gas-P20(Tot)'!D16+'KY_Cost Plant Acct-Gas-P20(Tot)'!D76</f>
        <v>32754.869999999995</v>
      </c>
      <c r="E16" s="182"/>
      <c r="F16" s="182">
        <f>'KY_Cost Plant Acct-Gas-P20(Tot)'!F16</f>
        <v>-3295.07</v>
      </c>
      <c r="G16" s="182"/>
      <c r="H16" s="182">
        <f>'KY_Cost Plant Acct-Gas-P20(Tot)'!H16+'KY_Cost Plant Acct-Gas-P20(Tot)'!H76</f>
        <v>0</v>
      </c>
      <c r="I16" s="182"/>
      <c r="J16" s="182">
        <f t="shared" si="0"/>
        <v>29459.799999999996</v>
      </c>
      <c r="K16" s="182"/>
      <c r="L16" s="182">
        <f t="shared" si="1"/>
        <v>10169609.52</v>
      </c>
      <c r="M16" s="4"/>
      <c r="N16" s="89">
        <f>'KY_Res by Plant Acct-P29 (Tot)'!R344</f>
        <v>-531518.18999999994</v>
      </c>
      <c r="P16" s="89">
        <f t="shared" si="2"/>
        <v>9638091.3300000001</v>
      </c>
    </row>
    <row r="17" spans="1:16">
      <c r="A17" t="s">
        <v>74</v>
      </c>
      <c r="B17" s="182">
        <f>'KY_Cost Plant Acct-Gas-P20(Tot)'!B17+'KY_Cost Plant Acct-Gas-P20(Tot)'!B77</f>
        <v>2741518.91</v>
      </c>
      <c r="C17" s="182"/>
      <c r="D17" s="182">
        <f>'KY_Cost Plant Acct-Gas-P20(Tot)'!D17+'KY_Cost Plant Acct-Gas-P20(Tot)'!D77</f>
        <v>76938.37</v>
      </c>
      <c r="E17" s="182"/>
      <c r="F17" s="182">
        <f>'KY_Cost Plant Acct-Gas-P20(Tot)'!F17</f>
        <v>0</v>
      </c>
      <c r="G17" s="182"/>
      <c r="H17" s="182">
        <f>'KY_Cost Plant Acct-Gas-P20(Tot)'!H17+'KY_Cost Plant Acct-Gas-P20(Tot)'!H77</f>
        <v>0</v>
      </c>
      <c r="I17" s="182"/>
      <c r="J17" s="182">
        <f t="shared" si="0"/>
        <v>76938.37</v>
      </c>
      <c r="K17" s="182"/>
      <c r="L17" s="182">
        <f t="shared" si="1"/>
        <v>2818457.2800000003</v>
      </c>
      <c r="M17" s="4"/>
      <c r="N17" s="89">
        <f>'KY_Res by Plant Acct-P29 (Tot)'!R345</f>
        <v>-52000.069999999832</v>
      </c>
      <c r="P17" s="89">
        <f t="shared" si="2"/>
        <v>2766457.2100000004</v>
      </c>
    </row>
    <row r="18" spans="1:16">
      <c r="A18" t="s">
        <v>75</v>
      </c>
      <c r="B18" s="182">
        <f>'KY_Cost Plant Acct-Gas-P20(Tot)'!B18+'KY_Cost Plant Acct-Gas-P20(Tot)'!B78</f>
        <v>165618136.22</v>
      </c>
      <c r="C18" s="182"/>
      <c r="D18" s="182">
        <f>'KY_Cost Plant Acct-Gas-P20(Tot)'!D18+'KY_Cost Plant Acct-Gas-P20(Tot)'!D78</f>
        <v>2023213.46</v>
      </c>
      <c r="E18" s="182"/>
      <c r="F18" s="182">
        <f>'KY_Cost Plant Acct-Gas-P20(Tot)'!F18</f>
        <v>-720.31</v>
      </c>
      <c r="G18" s="182"/>
      <c r="H18" s="182">
        <f>'KY_Cost Plant Acct-Gas-P20(Tot)'!H18+'KY_Cost Plant Acct-Gas-P20(Tot)'!H78</f>
        <v>0</v>
      </c>
      <c r="I18" s="182"/>
      <c r="J18" s="182">
        <f t="shared" si="0"/>
        <v>2022493.15</v>
      </c>
      <c r="K18" s="182"/>
      <c r="L18" s="182">
        <f t="shared" si="1"/>
        <v>167640629.37</v>
      </c>
      <c r="M18" s="4"/>
      <c r="N18" s="89">
        <f>'KY_Res by Plant Acct-P29 (Tot)'!R346</f>
        <v>-43576367.729999997</v>
      </c>
      <c r="P18" s="89">
        <f t="shared" si="2"/>
        <v>124064261.64000002</v>
      </c>
    </row>
    <row r="19" spans="1:16">
      <c r="A19" t="s">
        <v>76</v>
      </c>
      <c r="B19" s="182">
        <f>'KY_Cost Plant Acct-Gas-P20(Tot)'!B19+'KY_Cost Plant Acct-Gas-P20(Tot)'!B79</f>
        <v>34944119.940000005</v>
      </c>
      <c r="C19" s="182"/>
      <c r="D19" s="182">
        <f>'KY_Cost Plant Acct-Gas-P20(Tot)'!D19+'KY_Cost Plant Acct-Gas-P20(Tot)'!D79</f>
        <v>156773.64000000001</v>
      </c>
      <c r="E19" s="182"/>
      <c r="F19" s="182">
        <f>'KY_Cost Plant Acct-Gas-P20(Tot)'!F19</f>
        <v>0</v>
      </c>
      <c r="G19" s="182"/>
      <c r="H19" s="182">
        <f>'KY_Cost Plant Acct-Gas-P20(Tot)'!H19+'KY_Cost Plant Acct-Gas-P20(Tot)'!H79</f>
        <v>0</v>
      </c>
      <c r="I19" s="182"/>
      <c r="J19" s="182">
        <f t="shared" si="0"/>
        <v>156773.64000000001</v>
      </c>
      <c r="K19" s="182"/>
      <c r="L19" s="182">
        <f t="shared" si="1"/>
        <v>35100893.580000006</v>
      </c>
      <c r="M19" s="4"/>
      <c r="N19" s="89">
        <f>'KY_Res by Plant Acct-P29 (Tot)'!R347</f>
        <v>-3069171.0300000003</v>
      </c>
      <c r="P19" s="89">
        <f t="shared" si="2"/>
        <v>32031722.550000004</v>
      </c>
    </row>
    <row r="20" spans="1:16">
      <c r="A20" t="s">
        <v>77</v>
      </c>
      <c r="B20" s="182">
        <f>'KY_Cost Plant Acct-Gas-P20(Tot)'!B20+'KY_Cost Plant Acct-Gas-P20(Tot)'!B80</f>
        <v>22885937.780000001</v>
      </c>
      <c r="C20" s="182"/>
      <c r="D20" s="182">
        <f>'KY_Cost Plant Acct-Gas-P20(Tot)'!D20+'KY_Cost Plant Acct-Gas-P20(Tot)'!D80</f>
        <v>436751.28</v>
      </c>
      <c r="E20" s="182"/>
      <c r="F20" s="182">
        <f>'KY_Cost Plant Acct-Gas-P20(Tot)'!F20</f>
        <v>0</v>
      </c>
      <c r="G20" s="182"/>
      <c r="H20" s="182">
        <f>'KY_Cost Plant Acct-Gas-P20(Tot)'!H20+'KY_Cost Plant Acct-Gas-P20(Tot)'!H80</f>
        <v>0</v>
      </c>
      <c r="I20" s="182"/>
      <c r="J20" s="182">
        <f t="shared" si="0"/>
        <v>436751.28</v>
      </c>
      <c r="K20" s="182"/>
      <c r="L20" s="182">
        <f t="shared" si="1"/>
        <v>23322689.060000002</v>
      </c>
      <c r="M20" s="4"/>
      <c r="N20" s="89">
        <f>'KY_Res by Plant Acct-P29 (Tot)'!R348</f>
        <v>-72053.689999999857</v>
      </c>
      <c r="P20" s="89">
        <f t="shared" si="2"/>
        <v>23250635.370000001</v>
      </c>
    </row>
    <row r="21" spans="1:16">
      <c r="A21" t="s">
        <v>78</v>
      </c>
      <c r="B21" s="182">
        <f>'KY_Cost Plant Acct-Gas-P20(Tot)'!B21+'KY_Cost Plant Acct-Gas-P20(Tot)'!B81</f>
        <v>822514.4</v>
      </c>
      <c r="C21" s="182"/>
      <c r="D21" s="182">
        <f>'KY_Cost Plant Acct-Gas-P20(Tot)'!D21+'KY_Cost Plant Acct-Gas-P20(Tot)'!D81</f>
        <v>0</v>
      </c>
      <c r="E21" s="182"/>
      <c r="F21" s="182">
        <f>'KY_Cost Plant Acct-Gas-P20(Tot)'!F21</f>
        <v>0</v>
      </c>
      <c r="G21" s="182"/>
      <c r="H21" s="182">
        <f>'KY_Cost Plant Acct-Gas-P20(Tot)'!H21+'KY_Cost Plant Acct-Gas-P20(Tot)'!H81</f>
        <v>0</v>
      </c>
      <c r="I21" s="182"/>
      <c r="J21" s="182">
        <f t="shared" si="0"/>
        <v>0</v>
      </c>
      <c r="K21" s="182"/>
      <c r="L21" s="182">
        <f t="shared" si="1"/>
        <v>822514.4</v>
      </c>
      <c r="M21" s="4"/>
      <c r="N21" s="89">
        <f>'KY_Res by Plant Acct-P29 (Tot)'!R349</f>
        <v>20470.630000000005</v>
      </c>
      <c r="P21" s="89">
        <f t="shared" si="2"/>
        <v>842985.03</v>
      </c>
    </row>
    <row r="22" spans="1:16">
      <c r="A22" t="s">
        <v>79</v>
      </c>
      <c r="B22" s="182">
        <f>'KY_Cost Plant Acct-Gas-P20(Tot)'!B22</f>
        <v>50425.84</v>
      </c>
      <c r="C22" s="52"/>
      <c r="D22" s="182">
        <f>'KY_Cost Plant Acct-Gas-P20(Tot)'!D22+'KY_Cost Plant Acct-Gas-P20(Tot)'!D82</f>
        <v>0</v>
      </c>
      <c r="E22" s="52"/>
      <c r="F22" s="182">
        <f>'KY_Cost Plant Acct-Gas-P20(Tot)'!F22</f>
        <v>0</v>
      </c>
      <c r="G22" s="52"/>
      <c r="H22" s="182">
        <f>'KY_Cost Plant Acct-Gas-P20(Tot)'!H22+'KY_Cost Plant Acct-Gas-P20(Tot)'!H82</f>
        <v>0</v>
      </c>
      <c r="I22" s="52"/>
      <c r="J22" s="52">
        <f t="shared" si="0"/>
        <v>0</v>
      </c>
      <c r="K22" s="52"/>
      <c r="L22" s="52">
        <f t="shared" si="1"/>
        <v>50425.84</v>
      </c>
      <c r="M22" s="55"/>
      <c r="N22" s="89">
        <f>'KY_Res by Plant Acct-P29 (Tot)'!R350</f>
        <v>-19380.329999999998</v>
      </c>
      <c r="O22" s="7"/>
      <c r="P22" s="89">
        <f t="shared" si="2"/>
        <v>31045.51</v>
      </c>
    </row>
    <row r="23" spans="1:16">
      <c r="A23" t="s">
        <v>80</v>
      </c>
      <c r="B23" s="182">
        <f>'KY_Cost Plant Acct-Gas-P20(Tot)'!B23</f>
        <v>2962.94</v>
      </c>
      <c r="C23" s="52"/>
      <c r="D23" s="182">
        <f>'KY_Cost Plant Acct-Gas-P20(Tot)'!D23</f>
        <v>0</v>
      </c>
      <c r="E23" s="52"/>
      <c r="F23" s="182">
        <f>'KY_Cost Plant Acct-Gas-P20(Tot)'!F23</f>
        <v>0</v>
      </c>
      <c r="G23" s="52"/>
      <c r="H23" s="182">
        <f>'KY_Cost Plant Acct-Gas-P20(Tot)'!H23</f>
        <v>0</v>
      </c>
      <c r="I23" s="52"/>
      <c r="J23" s="52">
        <f t="shared" si="0"/>
        <v>0</v>
      </c>
      <c r="K23" s="52"/>
      <c r="L23" s="52">
        <f t="shared" si="1"/>
        <v>2962.94</v>
      </c>
      <c r="M23" s="55"/>
      <c r="N23" s="89">
        <f>'KY_Res by Plant Acct-P29 (Tot)'!R351</f>
        <v>-108.59000000000003</v>
      </c>
      <c r="O23" s="7"/>
      <c r="P23" s="89">
        <f t="shared" si="2"/>
        <v>2854.35</v>
      </c>
    </row>
    <row r="24" spans="1:16">
      <c r="A24" t="s">
        <v>898</v>
      </c>
      <c r="B24" s="48">
        <f>'KY_Cost Plant Acct-Gas-P20(Tot)'!B24</f>
        <v>11928646.510000002</v>
      </c>
      <c r="C24" s="52"/>
      <c r="D24" s="48">
        <f>'KY_Cost Plant Acct-Gas-P20(Tot)'!D24</f>
        <v>0</v>
      </c>
      <c r="E24" s="52"/>
      <c r="F24" s="48">
        <f>'KY_Cost Plant Acct-Gas-P20(Tot)'!F24</f>
        <v>0</v>
      </c>
      <c r="G24" s="52"/>
      <c r="H24" s="48">
        <f>'KY_Cost Plant Acct-Gas-P20(Tot)'!H24</f>
        <v>0</v>
      </c>
      <c r="I24" s="52"/>
      <c r="J24" s="48">
        <f t="shared" si="0"/>
        <v>0</v>
      </c>
      <c r="K24" s="52"/>
      <c r="L24" s="48">
        <f t="shared" si="1"/>
        <v>11928646.510000002</v>
      </c>
      <c r="M24" s="55"/>
      <c r="N24" s="90">
        <f>'KY_Res by Plant Acct-P29 (Tot)'!R352</f>
        <v>-420314.85000000155</v>
      </c>
      <c r="O24" s="7"/>
      <c r="P24" s="90">
        <f t="shared" si="2"/>
        <v>11508331.66</v>
      </c>
    </row>
    <row r="25" spans="1:16">
      <c r="B25" s="52">
        <f>SUM(B11:B24)</f>
        <v>488621858.30999994</v>
      </c>
      <c r="C25" s="52"/>
      <c r="D25" s="52">
        <f>SUM(D11:D24)</f>
        <v>14863787.419999996</v>
      </c>
      <c r="E25" s="52"/>
      <c r="F25" s="52">
        <f>SUM(F11:F24)</f>
        <v>-9131.7199999999993</v>
      </c>
      <c r="G25" s="52"/>
      <c r="H25" s="52">
        <f>SUM(H11:H24)</f>
        <v>-134900.23000000001</v>
      </c>
      <c r="I25" s="52"/>
      <c r="J25" s="52">
        <f>SUM(J11:J24)</f>
        <v>14719755.469999999</v>
      </c>
      <c r="K25" s="52"/>
      <c r="L25" s="52">
        <f>SUM(L11:L24)</f>
        <v>503341613.77999997</v>
      </c>
      <c r="M25" s="55"/>
      <c r="N25" s="83">
        <f>SUM(N11:N24)</f>
        <v>-71053116.110000014</v>
      </c>
      <c r="O25" s="7"/>
      <c r="P25" s="83">
        <f>SUM(P11:P24)</f>
        <v>432288497.67000008</v>
      </c>
    </row>
    <row r="26" spans="1:16">
      <c r="B26" s="182"/>
      <c r="C26" s="182"/>
      <c r="D26" s="182"/>
      <c r="E26" s="182"/>
      <c r="F26" s="182"/>
      <c r="G26" s="182"/>
      <c r="H26" s="182"/>
      <c r="I26" s="182"/>
      <c r="J26" s="182"/>
      <c r="K26" s="182"/>
      <c r="L26" s="182"/>
      <c r="M26" s="4"/>
    </row>
    <row r="27" spans="1:16">
      <c r="A27" s="3" t="s">
        <v>122</v>
      </c>
      <c r="B27" s="182"/>
      <c r="C27" s="182"/>
      <c r="D27" s="182"/>
      <c r="E27" s="182"/>
      <c r="F27" s="182"/>
      <c r="G27" s="182"/>
      <c r="H27" s="182"/>
      <c r="I27" s="182"/>
      <c r="J27" s="182"/>
      <c r="K27" s="182"/>
      <c r="L27" s="182"/>
      <c r="M27" s="4"/>
    </row>
    <row r="28" spans="1:16">
      <c r="A28" t="s">
        <v>899</v>
      </c>
      <c r="B28" s="182">
        <f>'KY_Cost Plant Acct-Gas-P20(Tot)'!B28+'KY_Cost Plant Acct-Gas-P20(Tot)'!B86</f>
        <v>277818.58000000031</v>
      </c>
      <c r="C28" s="182"/>
      <c r="D28" s="182">
        <f>'KY_Cost Plant Acct-Gas-P20(Tot)'!D28+'KY_Cost Plant Acct-Gas-P20(Tot)'!D86</f>
        <v>112284.74</v>
      </c>
      <c r="E28" s="182"/>
      <c r="F28" s="182">
        <f>'KY_Cost Plant Acct-Gas-P20(Tot)'!F28</f>
        <v>0</v>
      </c>
      <c r="G28" s="182"/>
      <c r="H28" s="182">
        <f>'KY_Cost Plant Acct-Gas-P20(Tot)'!H28+'KY_Cost Plant Acct-Gas-P20(Tot)'!H86</f>
        <v>0</v>
      </c>
      <c r="I28" s="182"/>
      <c r="J28" s="182">
        <f t="shared" ref="J28:J33" si="3">H28+F28+D28</f>
        <v>112284.74</v>
      </c>
      <c r="K28" s="182"/>
      <c r="L28" s="182">
        <f t="shared" ref="L28:L33" si="4">J28+B28</f>
        <v>390103.3200000003</v>
      </c>
      <c r="M28" s="4"/>
      <c r="N28" s="89">
        <f>'KY_Res by Plant Acct-P29 (Tot)'!R356</f>
        <v>-60735.54000000027</v>
      </c>
      <c r="P28" s="89">
        <f t="shared" ref="P28:P33" si="5">L28+N28</f>
        <v>329367.78000000003</v>
      </c>
    </row>
    <row r="29" spans="1:16">
      <c r="A29" t="s">
        <v>900</v>
      </c>
      <c r="B29" s="182">
        <f>'KY_Cost Plant Acct-Gas-P20(Tot)'!B29+'KY_Cost Plant Acct-Gas-P20(Tot)'!B87</f>
        <v>383644.97</v>
      </c>
      <c r="C29" s="182"/>
      <c r="D29" s="182">
        <f>'KY_Cost Plant Acct-Gas-P20(Tot)'!D29+'KY_Cost Plant Acct-Gas-P20(Tot)'!D87</f>
        <v>14444.049999999996</v>
      </c>
      <c r="E29" s="182"/>
      <c r="F29" s="182">
        <f>'KY_Cost Plant Acct-Gas-P20(Tot)'!F29</f>
        <v>0</v>
      </c>
      <c r="G29" s="182"/>
      <c r="H29" s="182">
        <f>'KY_Cost Plant Acct-Gas-P20(Tot)'!H29+'KY_Cost Plant Acct-Gas-P20(Tot)'!H87</f>
        <v>0</v>
      </c>
      <c r="I29" s="182"/>
      <c r="J29" s="182">
        <f t="shared" si="3"/>
        <v>14444.049999999996</v>
      </c>
      <c r="K29" s="182"/>
      <c r="L29" s="182">
        <f t="shared" si="4"/>
        <v>398089.01999999996</v>
      </c>
      <c r="M29" s="4"/>
      <c r="N29" s="89">
        <f>'KY_Res by Plant Acct-P29 (Tot)'!R357</f>
        <v>-15452.170000000007</v>
      </c>
      <c r="P29" s="89">
        <f t="shared" si="5"/>
        <v>382636.85</v>
      </c>
    </row>
    <row r="30" spans="1:16">
      <c r="A30" t="s">
        <v>901</v>
      </c>
      <c r="B30" s="182">
        <f>'KY_Cost Plant Acct-Gas-P20(Tot)'!B30+'KY_Cost Plant Acct-Gas-P20(Tot)'!B88</f>
        <v>2601950.4400000004</v>
      </c>
      <c r="C30" s="182"/>
      <c r="D30" s="182">
        <f>'KY_Cost Plant Acct-Gas-P20(Tot)'!D30+'KY_Cost Plant Acct-Gas-P20(Tot)'!D88</f>
        <v>386245.94</v>
      </c>
      <c r="E30" s="182"/>
      <c r="F30" s="182">
        <f>'KY_Cost Plant Acct-Gas-P20(Tot)'!F30</f>
        <v>0</v>
      </c>
      <c r="G30" s="182"/>
      <c r="H30" s="182">
        <f>'KY_Cost Plant Acct-Gas-P20(Tot)'!H30+'KY_Cost Plant Acct-Gas-P20(Tot)'!H88</f>
        <v>0</v>
      </c>
      <c r="I30" s="182"/>
      <c r="J30" s="182">
        <f t="shared" si="3"/>
        <v>386245.94</v>
      </c>
      <c r="K30" s="182"/>
      <c r="L30" s="182">
        <f t="shared" si="4"/>
        <v>2988196.3800000004</v>
      </c>
      <c r="M30" s="4"/>
      <c r="N30" s="89">
        <f>'KY_Res by Plant Acct-P29 (Tot)'!R358</f>
        <v>-42551.32999999958</v>
      </c>
      <c r="P30" s="89">
        <f t="shared" si="5"/>
        <v>2945645.0500000007</v>
      </c>
    </row>
    <row r="31" spans="1:16">
      <c r="A31" t="s">
        <v>995</v>
      </c>
      <c r="B31" s="182">
        <f>'KY_Cost Plant Acct-Gas-P20(Tot)'!B31+'KY_Cost Plant Acct-Gas-P20(Tot)'!B89</f>
        <v>-6890.71</v>
      </c>
      <c r="C31" s="182"/>
      <c r="D31" s="182">
        <f>'KY_Cost Plant Acct-Gas-P20(Tot)'!D31+'KY_Cost Plant Acct-Gas-P20(Tot)'!D89</f>
        <v>0</v>
      </c>
      <c r="E31" s="182"/>
      <c r="F31" s="182">
        <f>'KY_Cost Plant Acct-Gas-P20(Tot)'!F31</f>
        <v>0</v>
      </c>
      <c r="G31" s="182"/>
      <c r="H31" s="182">
        <f>'KY_Cost Plant Acct-Gas-P20(Tot)'!H31+'KY_Cost Plant Acct-Gas-P20(Tot)'!H89</f>
        <v>0</v>
      </c>
      <c r="I31" s="182"/>
      <c r="J31" s="182">
        <f t="shared" si="3"/>
        <v>0</v>
      </c>
      <c r="K31" s="182"/>
      <c r="L31" s="182">
        <f t="shared" si="4"/>
        <v>-6890.71</v>
      </c>
      <c r="M31" s="4"/>
      <c r="N31" s="89">
        <f>'KY_Res by Plant Acct-P29 (Tot)'!R359</f>
        <v>6890.71</v>
      </c>
      <c r="P31" s="89">
        <f t="shared" si="5"/>
        <v>0</v>
      </c>
    </row>
    <row r="32" spans="1:16">
      <c r="A32" t="s">
        <v>996</v>
      </c>
      <c r="B32" s="182">
        <f>'KY_Cost Plant Acct-Gas-P20(Tot)'!B32+'KY_Cost Plant Acct-Gas-P20(Tot)'!B90</f>
        <v>349112.87999999989</v>
      </c>
      <c r="C32" s="52"/>
      <c r="D32" s="182">
        <f>'KY_Cost Plant Acct-Gas-P20(Tot)'!D32+'KY_Cost Plant Acct-Gas-P20(Tot)'!D90</f>
        <v>0</v>
      </c>
      <c r="E32" s="52"/>
      <c r="F32" s="182">
        <f>'KY_Cost Plant Acct-Gas-P20(Tot)'!F32</f>
        <v>0</v>
      </c>
      <c r="G32" s="52"/>
      <c r="H32" s="182">
        <f>'KY_Cost Plant Acct-Gas-P20(Tot)'!H32+'KY_Cost Plant Acct-Gas-P20(Tot)'!H90</f>
        <v>0</v>
      </c>
      <c r="I32" s="52"/>
      <c r="J32" s="52">
        <f t="shared" si="3"/>
        <v>0</v>
      </c>
      <c r="K32" s="52"/>
      <c r="L32" s="52">
        <f t="shared" si="4"/>
        <v>349112.87999999989</v>
      </c>
      <c r="M32" s="55"/>
      <c r="N32" s="89">
        <f>'KY_Res by Plant Acct-P29 (Tot)'!R360</f>
        <v>-80070.229999999545</v>
      </c>
      <c r="P32" s="89">
        <f t="shared" si="5"/>
        <v>269042.65000000037</v>
      </c>
    </row>
    <row r="33" spans="1:16">
      <c r="A33" t="s">
        <v>997</v>
      </c>
      <c r="B33" s="48">
        <f>'KY_Cost Plant Acct-Gas-P20(Tot)'!B33+'KY_Cost Plant Acct-Gas-P20(Tot)'!B91</f>
        <v>142529</v>
      </c>
      <c r="C33" s="52"/>
      <c r="D33" s="48">
        <f>'KY_Cost Plant Acct-Gas-P20(Tot)'!D33+'KY_Cost Plant Acct-Gas-P20(Tot)'!D91</f>
        <v>0</v>
      </c>
      <c r="E33" s="52"/>
      <c r="F33" s="48">
        <f>'KY_Cost Plant Acct-Gas-P20(Tot)'!F33</f>
        <v>0</v>
      </c>
      <c r="G33" s="52"/>
      <c r="H33" s="48">
        <f>'KY_Cost Plant Acct-Gas-P20(Tot)'!H33+'KY_Cost Plant Acct-Gas-P20(Tot)'!H91</f>
        <v>0</v>
      </c>
      <c r="I33" s="52"/>
      <c r="J33" s="48">
        <f t="shared" si="3"/>
        <v>0</v>
      </c>
      <c r="K33" s="52"/>
      <c r="L33" s="48">
        <f t="shared" si="4"/>
        <v>142529</v>
      </c>
      <c r="M33" s="55"/>
      <c r="N33" s="90">
        <f>'KY_Res by Plant Acct-P29 (Tot)'!R361</f>
        <v>-2288.8999999999965</v>
      </c>
      <c r="P33" s="90">
        <f t="shared" si="5"/>
        <v>140240.1</v>
      </c>
    </row>
    <row r="34" spans="1:16">
      <c r="B34" s="52">
        <f>SUM(B28:B33)</f>
        <v>3748165.1600000006</v>
      </c>
      <c r="C34" s="52"/>
      <c r="D34" s="52">
        <f>SUM(D28:D33)</f>
        <v>512974.73</v>
      </c>
      <c r="E34" s="52"/>
      <c r="F34" s="52">
        <f>SUM(F28:F33)</f>
        <v>0</v>
      </c>
      <c r="G34" s="52"/>
      <c r="H34" s="52">
        <f>SUM(H28:H33)</f>
        <v>0</v>
      </c>
      <c r="I34" s="52"/>
      <c r="J34" s="52">
        <f>SUM(J28:J33)</f>
        <v>512974.73</v>
      </c>
      <c r="K34" s="52"/>
      <c r="L34" s="52">
        <f>SUM(L28:L33)</f>
        <v>4261139.8900000006</v>
      </c>
      <c r="M34" s="55"/>
      <c r="N34" s="89">
        <f>SUM(N28:N33)</f>
        <v>-194207.45999999941</v>
      </c>
      <c r="P34" s="89">
        <f>SUM(P28:P33)</f>
        <v>4066932.4300000011</v>
      </c>
    </row>
    <row r="35" spans="1:16">
      <c r="B35" s="52"/>
      <c r="C35" s="52"/>
      <c r="D35" s="52"/>
      <c r="E35" s="52"/>
      <c r="F35" s="52"/>
      <c r="G35" s="52"/>
      <c r="H35" s="52"/>
      <c r="I35" s="52"/>
      <c r="J35" s="52"/>
      <c r="K35" s="52"/>
      <c r="L35" s="52"/>
      <c r="M35" s="55"/>
    </row>
    <row r="36" spans="1:16">
      <c r="A36" s="3" t="s">
        <v>123</v>
      </c>
      <c r="B36" s="52"/>
      <c r="C36" s="52"/>
      <c r="D36" s="52"/>
      <c r="E36" s="52"/>
      <c r="F36" s="52"/>
      <c r="G36" s="52"/>
      <c r="H36" s="52"/>
      <c r="I36" s="52"/>
      <c r="J36" s="52"/>
      <c r="K36" s="52"/>
      <c r="L36" s="52"/>
      <c r="M36" s="55"/>
    </row>
    <row r="37" spans="1:16">
      <c r="A37" t="s">
        <v>998</v>
      </c>
      <c r="B37" s="48">
        <f>'KY_Cost Plant Acct-Gas-P20(Tot)'!B37</f>
        <v>268.33000000000004</v>
      </c>
      <c r="C37" s="52"/>
      <c r="D37" s="48">
        <f>'KY_Cost Plant Acct-Gas-P20(Tot)'!D37</f>
        <v>0</v>
      </c>
      <c r="E37" s="52"/>
      <c r="F37" s="48">
        <f>'KY_Cost Plant Acct-Gas-P20(Tot)'!F37</f>
        <v>0</v>
      </c>
      <c r="G37" s="52"/>
      <c r="H37" s="48">
        <f>'KY_Cost Plant Acct-Gas-P20(Tot)'!H37</f>
        <v>0</v>
      </c>
      <c r="I37" s="52"/>
      <c r="J37" s="48">
        <f>H37+F37+D37</f>
        <v>0</v>
      </c>
      <c r="K37" s="52"/>
      <c r="L37" s="48">
        <f>J37+B37</f>
        <v>268.33000000000004</v>
      </c>
      <c r="M37" s="55"/>
      <c r="N37" s="90">
        <f>'KY_Res by Plant Acct-P29 (Tot)'!R397</f>
        <v>119.15999999999997</v>
      </c>
      <c r="P37" s="90">
        <f>L37+N37</f>
        <v>387.49</v>
      </c>
    </row>
    <row r="38" spans="1:16">
      <c r="B38" s="52">
        <f>SUM(B37)</f>
        <v>268.33000000000004</v>
      </c>
      <c r="C38" s="52"/>
      <c r="D38" s="52">
        <f>SUM(D37)</f>
        <v>0</v>
      </c>
      <c r="E38" s="52"/>
      <c r="F38" s="52">
        <f>SUM(F37)</f>
        <v>0</v>
      </c>
      <c r="G38" s="52"/>
      <c r="H38" s="52">
        <f>SUM(H37)</f>
        <v>0</v>
      </c>
      <c r="I38" s="52"/>
      <c r="J38" s="52">
        <f>SUM(J37)</f>
        <v>0</v>
      </c>
      <c r="K38" s="52"/>
      <c r="L38" s="52">
        <f>SUM(L37)</f>
        <v>268.33000000000004</v>
      </c>
      <c r="M38" s="55"/>
      <c r="N38" s="89">
        <f>SUM(N37)</f>
        <v>119.15999999999997</v>
      </c>
      <c r="P38" s="89">
        <f>SUM(P37)</f>
        <v>387.49</v>
      </c>
    </row>
    <row r="39" spans="1:16">
      <c r="B39" s="52"/>
      <c r="C39" s="52"/>
      <c r="D39" s="52"/>
      <c r="E39" s="52"/>
      <c r="F39" s="52"/>
      <c r="G39" s="52"/>
      <c r="H39" s="52"/>
      <c r="I39" s="52"/>
      <c r="J39" s="52"/>
      <c r="K39" s="52"/>
      <c r="L39" s="52"/>
      <c r="M39" s="55"/>
    </row>
    <row r="40" spans="1:16">
      <c r="A40" s="3" t="s">
        <v>124</v>
      </c>
      <c r="B40" s="52"/>
      <c r="C40" s="52"/>
      <c r="D40" s="52"/>
      <c r="E40" s="52"/>
      <c r="F40" s="52"/>
      <c r="G40" s="52"/>
      <c r="H40" s="52"/>
      <c r="I40" s="52"/>
      <c r="J40" s="52"/>
      <c r="K40" s="52"/>
      <c r="L40" s="52"/>
      <c r="M40" s="55"/>
    </row>
    <row r="41" spans="1:16">
      <c r="A41" t="s">
        <v>13</v>
      </c>
      <c r="B41" s="52">
        <f>'KY_Cost Plant Acct-Gas-P20(Tot)'!B41</f>
        <v>29500.57</v>
      </c>
      <c r="C41" s="52"/>
      <c r="D41" s="52">
        <f>'KY_Cost Plant Acct-Gas-P20(Tot)'!D41</f>
        <v>0</v>
      </c>
      <c r="E41" s="52"/>
      <c r="F41" s="52">
        <f>'KY_Cost Plant Acct-Gas-P20(Tot)'!F41</f>
        <v>0</v>
      </c>
      <c r="G41" s="52"/>
      <c r="H41" s="52">
        <f>'KY_Cost Plant Acct-Gas-P20(Tot)'!H41</f>
        <v>0</v>
      </c>
      <c r="I41" s="52"/>
      <c r="J41" s="52">
        <f t="shared" ref="J41:J58" si="6">H41+F41+D41</f>
        <v>0</v>
      </c>
      <c r="K41" s="52"/>
      <c r="L41" s="52">
        <f t="shared" ref="L41:L58" si="7">J41+B41</f>
        <v>29500.57</v>
      </c>
      <c r="M41" s="55"/>
      <c r="N41" s="89">
        <f>'KY_Res by Plant Acct-P29 (Tot)'!R366</f>
        <v>0</v>
      </c>
      <c r="P41" s="89">
        <f t="shared" ref="P41:P58" si="8">L41+N41</f>
        <v>29500.57</v>
      </c>
    </row>
    <row r="42" spans="1:16">
      <c r="A42" t="s">
        <v>559</v>
      </c>
      <c r="B42" s="52">
        <f>'KY_Cost Plant Acct-Gas-P20(Tot)'!B42</f>
        <v>25162.14</v>
      </c>
      <c r="C42" s="52"/>
      <c r="D42" s="52">
        <f>'KY_Cost Plant Acct-Gas-P20(Tot)'!D42</f>
        <v>0</v>
      </c>
      <c r="E42" s="52"/>
      <c r="F42" s="52">
        <f>'KY_Cost Plant Acct-Gas-P20(Tot)'!F42</f>
        <v>0</v>
      </c>
      <c r="G42" s="52"/>
      <c r="H42" s="52">
        <f>'KY_Cost Plant Acct-Gas-P20(Tot)'!H42</f>
        <v>0</v>
      </c>
      <c r="I42" s="52"/>
      <c r="J42" s="52">
        <f t="shared" si="6"/>
        <v>0</v>
      </c>
      <c r="K42" s="52"/>
      <c r="L42" s="52">
        <f t="shared" si="7"/>
        <v>25162.14</v>
      </c>
      <c r="M42" s="55"/>
      <c r="N42" s="89">
        <f>'KY_Res by Plant Acct-P29 (Tot)'!R367</f>
        <v>0</v>
      </c>
      <c r="P42" s="89">
        <f t="shared" si="8"/>
        <v>25162.14</v>
      </c>
    </row>
    <row r="43" spans="1:16">
      <c r="A43" t="s">
        <v>560</v>
      </c>
      <c r="B43" s="52">
        <f>'KY_Cost Plant Acct-Gas-P20(Tot)'!B43+'KY_Cost Plant Acct-Gas-P20(Tot)'!B95</f>
        <v>4600720.5599999987</v>
      </c>
      <c r="C43" s="52"/>
      <c r="D43" s="52">
        <f>'KY_Cost Plant Acct-Gas-P20(Tot)'!D43+'KY_Cost Plant Acct-Gas-P20(Tot)'!D95</f>
        <v>15818.620000000003</v>
      </c>
      <c r="E43" s="52"/>
      <c r="F43" s="52">
        <f>'KY_Cost Plant Acct-Gas-P20(Tot)'!F43</f>
        <v>0</v>
      </c>
      <c r="G43" s="52"/>
      <c r="H43" s="52">
        <f>'KY_Cost Plant Acct-Gas-P20(Tot)'!H43+'KY_Cost Plant Acct-Gas-P20(Tot)'!H95</f>
        <v>0</v>
      </c>
      <c r="I43" s="52"/>
      <c r="J43" s="52">
        <f t="shared" si="6"/>
        <v>15818.620000000003</v>
      </c>
      <c r="K43" s="52"/>
      <c r="L43" s="52">
        <f t="shared" si="7"/>
        <v>4616539.1799999988</v>
      </c>
      <c r="M43" s="55"/>
      <c r="N43" s="89">
        <f>'KY_Res by Plant Acct-P29 (Tot)'!R368</f>
        <v>-141848.56999999989</v>
      </c>
      <c r="P43" s="89">
        <f t="shared" si="8"/>
        <v>4474690.6099999985</v>
      </c>
    </row>
    <row r="44" spans="1:16">
      <c r="A44" t="s">
        <v>561</v>
      </c>
      <c r="B44" s="52">
        <f>'KY_Cost Plant Acct-Gas-P20(Tot)'!B44</f>
        <v>20134.04</v>
      </c>
      <c r="C44" s="52"/>
      <c r="D44" s="52">
        <f>'KY_Cost Plant Acct-Gas-P20(Tot)'!D44</f>
        <v>0</v>
      </c>
      <c r="E44" s="52"/>
      <c r="F44" s="52">
        <f>'KY_Cost Plant Acct-Gas-P20(Tot)'!F44</f>
        <v>0</v>
      </c>
      <c r="G44" s="52"/>
      <c r="H44" s="52">
        <f>'KY_Cost Plant Acct-Gas-P20(Tot)'!H44</f>
        <v>0</v>
      </c>
      <c r="I44" s="52"/>
      <c r="J44" s="52">
        <f t="shared" si="6"/>
        <v>0</v>
      </c>
      <c r="K44" s="52"/>
      <c r="L44" s="52">
        <f t="shared" si="7"/>
        <v>20134.04</v>
      </c>
      <c r="M44" s="55"/>
      <c r="N44" s="89">
        <f>'KY_Res by Plant Acct-P29 (Tot)'!R369</f>
        <v>-1618.92</v>
      </c>
      <c r="P44" s="89">
        <f t="shared" si="8"/>
        <v>18515.120000000003</v>
      </c>
    </row>
    <row r="45" spans="1:16">
      <c r="A45" t="s">
        <v>14</v>
      </c>
      <c r="B45" s="52">
        <f>'KY_Cost Plant Acct-Gas-P20(Tot)'!B45+'KY_Cost Plant Acct-Gas-P20(Tot)'!B96</f>
        <v>1422699.1300000001</v>
      </c>
      <c r="C45" s="52"/>
      <c r="D45" s="52">
        <f>'KY_Cost Plant Acct-Gas-P20(Tot)'!D45+'KY_Cost Plant Acct-Gas-P20(Tot)'!D96</f>
        <v>26259.07</v>
      </c>
      <c r="E45" s="52"/>
      <c r="F45" s="52">
        <f>'KY_Cost Plant Acct-Gas-P20(Tot)'!F45</f>
        <v>0</v>
      </c>
      <c r="G45" s="52"/>
      <c r="H45" s="52">
        <f>'KY_Cost Plant Acct-Gas-P20(Tot)'!H45+'KY_Cost Plant Acct-Gas-P20(Tot)'!H96</f>
        <v>0</v>
      </c>
      <c r="I45" s="52"/>
      <c r="J45" s="52">
        <f t="shared" si="6"/>
        <v>26259.07</v>
      </c>
      <c r="K45" s="52"/>
      <c r="L45" s="52">
        <f t="shared" si="7"/>
        <v>1448958.2000000002</v>
      </c>
      <c r="M45" s="55"/>
      <c r="N45" s="89">
        <f>'KY_Res by Plant Acct-P29 (Tot)'!R370</f>
        <v>-39695.599999999969</v>
      </c>
      <c r="P45" s="89">
        <f t="shared" si="8"/>
        <v>1409262.6000000003</v>
      </c>
    </row>
    <row r="46" spans="1:16">
      <c r="A46" t="s">
        <v>562</v>
      </c>
      <c r="B46" s="52">
        <f>'KY_Cost Plant Acct-Gas-P20(Tot)'!B46</f>
        <v>-21348.819999999949</v>
      </c>
      <c r="C46" s="52"/>
      <c r="D46" s="52">
        <f>'KY_Cost Plant Acct-Gas-P20(Tot)'!D46</f>
        <v>0</v>
      </c>
      <c r="E46" s="52"/>
      <c r="F46" s="52">
        <f>'KY_Cost Plant Acct-Gas-P20(Tot)'!F46</f>
        <v>0</v>
      </c>
      <c r="G46" s="52"/>
      <c r="H46" s="52">
        <f>'KY_Cost Plant Acct-Gas-P20(Tot)'!H46</f>
        <v>0</v>
      </c>
      <c r="I46" s="52"/>
      <c r="J46" s="52">
        <f t="shared" si="6"/>
        <v>0</v>
      </c>
      <c r="K46" s="52"/>
      <c r="L46" s="52">
        <f t="shared" si="7"/>
        <v>-21348.819999999949</v>
      </c>
      <c r="M46" s="55"/>
      <c r="N46" s="89">
        <f>'KY_Res by Plant Acct-P29 (Tot)'!R371</f>
        <v>0</v>
      </c>
      <c r="P46" s="89">
        <f t="shared" si="8"/>
        <v>-21348.819999999949</v>
      </c>
    </row>
    <row r="47" spans="1:16">
      <c r="A47" t="s">
        <v>563</v>
      </c>
      <c r="B47" s="52">
        <f>'KY_Cost Plant Acct-Gas-P20(Tot)'!B47</f>
        <v>-51515.919999999984</v>
      </c>
      <c r="C47" s="52"/>
      <c r="D47" s="52">
        <f>'KY_Cost Plant Acct-Gas-P20(Tot)'!D47</f>
        <v>0</v>
      </c>
      <c r="E47" s="52"/>
      <c r="F47" s="52">
        <f>'KY_Cost Plant Acct-Gas-P20(Tot)'!F47</f>
        <v>0</v>
      </c>
      <c r="G47" s="52"/>
      <c r="H47" s="52">
        <f>'KY_Cost Plant Acct-Gas-P20(Tot)'!H47</f>
        <v>0</v>
      </c>
      <c r="I47" s="52"/>
      <c r="J47" s="52">
        <f t="shared" si="6"/>
        <v>0</v>
      </c>
      <c r="K47" s="52"/>
      <c r="L47" s="52">
        <f t="shared" si="7"/>
        <v>-51515.919999999984</v>
      </c>
      <c r="M47" s="55"/>
      <c r="N47" s="89">
        <f>'KY_Res by Plant Acct-P29 (Tot)'!R372</f>
        <v>3.0000000027939677E-2</v>
      </c>
      <c r="P47" s="89">
        <f t="shared" si="8"/>
        <v>-51515.889999999956</v>
      </c>
    </row>
    <row r="48" spans="1:16">
      <c r="A48" t="s">
        <v>564</v>
      </c>
      <c r="B48" s="52">
        <f>'KY_Cost Plant Acct-Gas-P20(Tot)'!B48</f>
        <v>1980042.9699999997</v>
      </c>
      <c r="C48" s="52"/>
      <c r="D48" s="52">
        <f>'KY_Cost Plant Acct-Gas-P20(Tot)'!D48</f>
        <v>0</v>
      </c>
      <c r="E48" s="52"/>
      <c r="F48" s="52">
        <f>'KY_Cost Plant Acct-Gas-P20(Tot)'!F48</f>
        <v>0</v>
      </c>
      <c r="G48" s="52"/>
      <c r="H48" s="52">
        <f>'KY_Cost Plant Acct-Gas-P20(Tot)'!H48</f>
        <v>0</v>
      </c>
      <c r="I48" s="52"/>
      <c r="J48" s="52">
        <f t="shared" si="6"/>
        <v>0</v>
      </c>
      <c r="K48" s="52"/>
      <c r="L48" s="52">
        <f t="shared" si="7"/>
        <v>1980042.9699999997</v>
      </c>
      <c r="M48" s="55"/>
      <c r="N48" s="89">
        <f>'KY_Res by Plant Acct-P29 (Tot)'!R373</f>
        <v>-125756.96999999892</v>
      </c>
      <c r="P48" s="89">
        <f t="shared" si="8"/>
        <v>1854286.0000000009</v>
      </c>
    </row>
    <row r="49" spans="1:16">
      <c r="A49" t="s">
        <v>15</v>
      </c>
      <c r="B49" s="52">
        <f>'KY_Cost Plant Acct-Gas-P20(Tot)'!B49</f>
        <v>55205.519999999786</v>
      </c>
      <c r="C49" s="52"/>
      <c r="D49" s="52">
        <f>'KY_Cost Plant Acct-Gas-P20(Tot)'!D49</f>
        <v>0</v>
      </c>
      <c r="E49" s="52"/>
      <c r="F49" s="52">
        <f>'KY_Cost Plant Acct-Gas-P20(Tot)'!F49</f>
        <v>0</v>
      </c>
      <c r="G49" s="52"/>
      <c r="H49" s="52">
        <f>'KY_Cost Plant Acct-Gas-P20(Tot)'!H49</f>
        <v>0</v>
      </c>
      <c r="I49" s="52"/>
      <c r="J49" s="52">
        <f t="shared" si="6"/>
        <v>0</v>
      </c>
      <c r="K49" s="52"/>
      <c r="L49" s="52">
        <f t="shared" si="7"/>
        <v>55205.519999999786</v>
      </c>
      <c r="M49" s="55"/>
      <c r="N49" s="89">
        <f>'KY_Res by Plant Acct-P29 (Tot)'!R374</f>
        <v>-57816.739999999947</v>
      </c>
      <c r="P49" s="89">
        <f t="shared" si="8"/>
        <v>-2611.2200000001612</v>
      </c>
    </row>
    <row r="50" spans="1:16">
      <c r="A50" t="s">
        <v>1093</v>
      </c>
      <c r="B50" s="52">
        <f>'KY_Cost Plant Acct-Gas-P20(Tot)'!B50+'KY_Cost Plant Acct-Gas-P20(Tot)'!B97</f>
        <v>2322808.02</v>
      </c>
      <c r="C50" s="52"/>
      <c r="D50" s="52">
        <f>'KY_Cost Plant Acct-Gas-P20(Tot)'!D50+'KY_Cost Plant Acct-Gas-P20(Tot)'!D97</f>
        <v>309537.40000000002</v>
      </c>
      <c r="E50" s="52"/>
      <c r="F50" s="52">
        <f>'KY_Cost Plant Acct-Gas-P20(Tot)'!F50</f>
        <v>0</v>
      </c>
      <c r="G50" s="52"/>
      <c r="H50" s="52">
        <f>'KY_Cost Plant Acct-Gas-P20(Tot)'!H50+'KY_Cost Plant Acct-Gas-P20(Tot)'!H97</f>
        <v>0</v>
      </c>
      <c r="I50" s="52"/>
      <c r="J50" s="52">
        <f t="shared" si="6"/>
        <v>309537.40000000002</v>
      </c>
      <c r="K50" s="52"/>
      <c r="L50" s="52">
        <f t="shared" si="7"/>
        <v>2632345.42</v>
      </c>
      <c r="M50" s="55"/>
      <c r="N50" s="89">
        <f>'KY_Res by Plant Acct-P29 (Tot)'!R375</f>
        <v>494054.64000000007</v>
      </c>
      <c r="P50" s="89">
        <f t="shared" si="8"/>
        <v>3126400.06</v>
      </c>
    </row>
    <row r="51" spans="1:16">
      <c r="A51" t="s">
        <v>1092</v>
      </c>
      <c r="B51" s="52">
        <f>'KY_Cost Plant Acct-Gas-P20(Tot)'!B51+'KY_Cost Plant Acct-Gas-P20(Tot)'!B98</f>
        <v>4115025.13</v>
      </c>
      <c r="C51" s="52"/>
      <c r="D51" s="52">
        <f>'KY_Cost Plant Acct-Gas-P20(Tot)'!D51+'KY_Cost Plant Acct-Gas-P20(Tot)'!D98</f>
        <v>821452.38</v>
      </c>
      <c r="E51" s="52"/>
      <c r="F51" s="52">
        <f>'KY_Cost Plant Acct-Gas-P20(Tot)'!F51</f>
        <v>0</v>
      </c>
      <c r="G51" s="52"/>
      <c r="H51" s="52">
        <f>'KY_Cost Plant Acct-Gas-P20(Tot)'!H51+'KY_Cost Plant Acct-Gas-P20(Tot)'!H98</f>
        <v>0</v>
      </c>
      <c r="I51" s="52"/>
      <c r="J51" s="52">
        <f t="shared" si="6"/>
        <v>821452.38</v>
      </c>
      <c r="K51" s="52"/>
      <c r="L51" s="52">
        <f>J51+B51</f>
        <v>4936477.51</v>
      </c>
      <c r="M51" s="55"/>
      <c r="N51" s="89">
        <f>'KY_Res by Plant Acct-P29 (Tot)'!R376</f>
        <v>1181931.3999999999</v>
      </c>
      <c r="P51" s="89">
        <f t="shared" si="8"/>
        <v>6118408.9100000001</v>
      </c>
    </row>
    <row r="52" spans="1:16">
      <c r="A52" t="s">
        <v>16</v>
      </c>
      <c r="B52" s="52">
        <f>'KY_Cost Plant Acct-Gas-P20(Tot)'!B52+'KY_Cost Plant Acct-Gas-P20(Tot)'!B99</f>
        <v>7307241.1399999978</v>
      </c>
      <c r="C52" s="52"/>
      <c r="D52" s="52">
        <f>'KY_Cost Plant Acct-Gas-P20(Tot)'!D52+'KY_Cost Plant Acct-Gas-P20(Tot)'!D99</f>
        <v>9222.4100000000035</v>
      </c>
      <c r="E52" s="52"/>
      <c r="F52" s="52">
        <f>'KY_Cost Plant Acct-Gas-P20(Tot)'!F52</f>
        <v>-3971.8799999999992</v>
      </c>
      <c r="G52" s="52"/>
      <c r="H52" s="52">
        <f>'KY_Cost Plant Acct-Gas-P20(Tot)'!H52+'KY_Cost Plant Acct-Gas-P20(Tot)'!H99</f>
        <v>0</v>
      </c>
      <c r="I52" s="52"/>
      <c r="J52" s="52">
        <f t="shared" si="6"/>
        <v>5250.5300000000043</v>
      </c>
      <c r="K52" s="52"/>
      <c r="L52" s="52">
        <f t="shared" si="7"/>
        <v>7312491.6699999981</v>
      </c>
      <c r="M52" s="55"/>
      <c r="N52" s="89">
        <f>'KY_Res by Plant Acct-P29 (Tot)'!R377</f>
        <v>-696918.45999999845</v>
      </c>
      <c r="P52" s="89">
        <f t="shared" si="8"/>
        <v>6615573.21</v>
      </c>
    </row>
    <row r="53" spans="1:16">
      <c r="A53" t="s">
        <v>565</v>
      </c>
      <c r="B53" s="52">
        <f>'KY_Cost Plant Acct-Gas-P20(Tot)'!B53+'KY_Cost Plant Acct-Gas-P20(Tot)'!B100</f>
        <v>11248280.220000001</v>
      </c>
      <c r="C53" s="52"/>
      <c r="D53" s="52">
        <f>'KY_Cost Plant Acct-Gas-P20(Tot)'!D53+'KY_Cost Plant Acct-Gas-P20(Tot)'!D100</f>
        <v>803798.99</v>
      </c>
      <c r="E53" s="52"/>
      <c r="F53" s="52">
        <f>'KY_Cost Plant Acct-Gas-P20(Tot)'!F53</f>
        <v>-12423.730000000001</v>
      </c>
      <c r="G53" s="52"/>
      <c r="H53" s="52">
        <f>'KY_Cost Plant Acct-Gas-P20(Tot)'!H53+'KY_Cost Plant Acct-Gas-P20(Tot)'!H100</f>
        <v>-47941.689999999995</v>
      </c>
      <c r="I53" s="52"/>
      <c r="J53" s="52">
        <f t="shared" si="6"/>
        <v>743433.57</v>
      </c>
      <c r="K53" s="52"/>
      <c r="L53" s="52">
        <f t="shared" si="7"/>
        <v>11991713.790000001</v>
      </c>
      <c r="M53" s="55"/>
      <c r="N53" s="89">
        <f>'KY_Res by Plant Acct-P29 (Tot)'!R378</f>
        <v>829659.28999999911</v>
      </c>
      <c r="P53" s="89">
        <f t="shared" si="8"/>
        <v>12821373.08</v>
      </c>
    </row>
    <row r="54" spans="1:16">
      <c r="A54" t="s">
        <v>566</v>
      </c>
      <c r="B54" s="52">
        <f>'KY_Cost Plant Acct-Gas-P20(Tot)'!B54+'KY_Cost Plant Acct-Gas-P20(Tot)'!B101</f>
        <v>244627.33999999997</v>
      </c>
      <c r="C54" s="52"/>
      <c r="D54" s="52">
        <f>'KY_Cost Plant Acct-Gas-P20(Tot)'!D54+'KY_Cost Plant Acct-Gas-P20(Tot)'!D101</f>
        <v>0</v>
      </c>
      <c r="E54" s="52"/>
      <c r="F54" s="52">
        <f>'KY_Cost Plant Acct-Gas-P20(Tot)'!F54</f>
        <v>0</v>
      </c>
      <c r="G54" s="52"/>
      <c r="H54" s="52">
        <f>'KY_Cost Plant Acct-Gas-P20(Tot)'!H54+'KY_Cost Plant Acct-Gas-P20(Tot)'!H101</f>
        <v>0</v>
      </c>
      <c r="I54" s="52"/>
      <c r="J54" s="52">
        <f t="shared" si="6"/>
        <v>0</v>
      </c>
      <c r="K54" s="52"/>
      <c r="L54" s="52">
        <f t="shared" si="7"/>
        <v>244627.33999999997</v>
      </c>
      <c r="M54" s="55"/>
      <c r="N54" s="89">
        <f>'KY_Res by Plant Acct-P29 (Tot)'!R379</f>
        <v>-4387.5800000000281</v>
      </c>
      <c r="P54" s="89">
        <f t="shared" si="8"/>
        <v>240239.75999999995</v>
      </c>
    </row>
    <row r="55" spans="1:16">
      <c r="A55" t="s">
        <v>567</v>
      </c>
      <c r="B55" s="52">
        <f>'KY_Cost Plant Acct-Gas-P20(Tot)'!B55+'KY_Cost Plant Acct-Gas-P20(Tot)'!B102</f>
        <v>7871014.4600000009</v>
      </c>
      <c r="C55" s="52"/>
      <c r="D55" s="52">
        <f>'KY_Cost Plant Acct-Gas-P20(Tot)'!D55+'KY_Cost Plant Acct-Gas-P20(Tot)'!D102</f>
        <v>1326933.4300000002</v>
      </c>
      <c r="E55" s="52"/>
      <c r="F55" s="52">
        <f>'KY_Cost Plant Acct-Gas-P20(Tot)'!F55</f>
        <v>-1719.7699999999995</v>
      </c>
      <c r="G55" s="52"/>
      <c r="H55" s="52">
        <f>'KY_Cost Plant Acct-Gas-P20(Tot)'!H55+'KY_Cost Plant Acct-Gas-P20(Tot)'!H102</f>
        <v>47941.689999999995</v>
      </c>
      <c r="I55" s="52"/>
      <c r="J55" s="52">
        <f t="shared" si="6"/>
        <v>1373155.35</v>
      </c>
      <c r="K55" s="52"/>
      <c r="L55" s="52">
        <f t="shared" si="7"/>
        <v>9244169.8100000005</v>
      </c>
      <c r="M55" s="55"/>
      <c r="N55" s="89">
        <f>'KY_Res by Plant Acct-P29 (Tot)'!R380</f>
        <v>-1254874.6100000008</v>
      </c>
      <c r="P55" s="89">
        <f t="shared" si="8"/>
        <v>7989295.1999999993</v>
      </c>
    </row>
    <row r="56" spans="1:16">
      <c r="A56" t="s">
        <v>17</v>
      </c>
      <c r="B56" s="52">
        <f>'KY_Cost Plant Acct-Gas-P20(Tot)'!B56+'KY_Cost Plant Acct-Gas-P20(Tot)'!B103</f>
        <v>883883.7100000002</v>
      </c>
      <c r="C56" s="52"/>
      <c r="D56" s="52">
        <f>'KY_Cost Plant Acct-Gas-P20(Tot)'!D56+'KY_Cost Plant Acct-Gas-P20(Tot)'!D103</f>
        <v>40844.15</v>
      </c>
      <c r="E56" s="52"/>
      <c r="F56" s="52">
        <f>'KY_Cost Plant Acct-Gas-P20(Tot)'!F56+'KY_Cost Plant Acct-Gas-P20(Tot)'!F103</f>
        <v>0</v>
      </c>
      <c r="G56" s="52"/>
      <c r="H56" s="52">
        <f>'KY_Cost Plant Acct-Gas-P20(Tot)'!H56+'KY_Cost Plant Acct-Gas-P20(Tot)'!H103</f>
        <v>0</v>
      </c>
      <c r="I56" s="52"/>
      <c r="J56" s="52">
        <f t="shared" si="6"/>
        <v>40844.15</v>
      </c>
      <c r="K56" s="52"/>
      <c r="L56" s="52">
        <f t="shared" si="7"/>
        <v>924727.86000000022</v>
      </c>
      <c r="M56" s="55"/>
      <c r="N56" s="89">
        <f>'KY_Res by Plant Acct-P29 (Tot)'!R381</f>
        <v>43477.33999999996</v>
      </c>
      <c r="P56" s="89">
        <f t="shared" si="8"/>
        <v>968205.20000000019</v>
      </c>
    </row>
    <row r="57" spans="1:16">
      <c r="A57" t="s">
        <v>568</v>
      </c>
      <c r="B57" s="52">
        <f>'KY_Cost Plant Acct-Gas-P20(Tot)'!B57</f>
        <v>30876.410000000003</v>
      </c>
      <c r="C57" s="52"/>
      <c r="D57" s="52">
        <f>'KY_Cost Plant Acct-Gas-P20(Tot)'!D57</f>
        <v>0</v>
      </c>
      <c r="E57" s="52"/>
      <c r="F57" s="52">
        <f>'KY_Cost Plant Acct-Gas-P20(Tot)'!F57</f>
        <v>0</v>
      </c>
      <c r="G57" s="52"/>
      <c r="H57" s="52">
        <f>'KY_Cost Plant Acct-Gas-P20(Tot)'!H57</f>
        <v>0</v>
      </c>
      <c r="I57" s="52"/>
      <c r="J57" s="52">
        <f t="shared" si="6"/>
        <v>0</v>
      </c>
      <c r="K57" s="52"/>
      <c r="L57" s="52">
        <f t="shared" si="7"/>
        <v>30876.410000000003</v>
      </c>
      <c r="M57" s="55"/>
      <c r="N57" s="89">
        <f>'KY_Res by Plant Acct-P29 (Tot)'!R382</f>
        <v>-742.03000000000259</v>
      </c>
      <c r="P57" s="89">
        <f t="shared" si="8"/>
        <v>30134.38</v>
      </c>
    </row>
    <row r="58" spans="1:16">
      <c r="A58" t="s">
        <v>569</v>
      </c>
      <c r="B58" s="48">
        <f>'KY_Cost Plant Acct-Gas-P20(Tot)'!B58</f>
        <v>5170297.07</v>
      </c>
      <c r="C58" s="52"/>
      <c r="D58" s="48">
        <f>'KY_Cost Plant Acct-Gas-P20(Tot)'!D58</f>
        <v>0</v>
      </c>
      <c r="E58" s="52"/>
      <c r="F58" s="48">
        <f>'KY_Cost Plant Acct-Gas-P20(Tot)'!F58</f>
        <v>0</v>
      </c>
      <c r="G58" s="52"/>
      <c r="H58" s="48">
        <f>'KY_Cost Plant Acct-Gas-P20(Tot)'!H58</f>
        <v>0</v>
      </c>
      <c r="I58" s="52"/>
      <c r="J58" s="48">
        <f t="shared" si="6"/>
        <v>0</v>
      </c>
      <c r="K58" s="52"/>
      <c r="L58" s="48">
        <f t="shared" si="7"/>
        <v>5170297.07</v>
      </c>
      <c r="M58" s="55"/>
      <c r="N58" s="90">
        <f>'KY_Res by Plant Acct-P29 (Tot)'!R383</f>
        <v>-311854.54999999993</v>
      </c>
      <c r="P58" s="90">
        <f t="shared" si="8"/>
        <v>4858442.5200000005</v>
      </c>
    </row>
    <row r="59" spans="1:16">
      <c r="B59" s="52">
        <f>SUM(B41:B58)</f>
        <v>47254653.689999998</v>
      </c>
      <c r="C59" s="52"/>
      <c r="D59" s="52">
        <f>SUM(D41:D58)</f>
        <v>3353866.4499999997</v>
      </c>
      <c r="E59" s="52"/>
      <c r="F59" s="52">
        <f>SUM(F41:F58)</f>
        <v>-18115.38</v>
      </c>
      <c r="G59" s="52"/>
      <c r="H59" s="52">
        <f>SUM(H41:H58)</f>
        <v>0</v>
      </c>
      <c r="I59" s="52"/>
      <c r="J59" s="52">
        <f>SUM(J41:J58)</f>
        <v>3335751.07</v>
      </c>
      <c r="K59" s="52"/>
      <c r="L59" s="52">
        <f>SUM(L41:L58)</f>
        <v>50590404.759999998</v>
      </c>
      <c r="M59" s="55"/>
      <c r="N59" s="89">
        <f>SUM(N41:N58)</f>
        <v>-86391.329999998881</v>
      </c>
      <c r="P59" s="89">
        <f>SUM(P41:P58)</f>
        <v>50504013.430000007</v>
      </c>
    </row>
    <row r="60" spans="1:16">
      <c r="B60" s="182"/>
      <c r="C60" s="182"/>
      <c r="D60" s="182"/>
      <c r="E60" s="182"/>
      <c r="F60" s="182"/>
      <c r="G60" s="182"/>
      <c r="H60" s="182"/>
      <c r="I60" s="182"/>
      <c r="J60" s="182"/>
      <c r="K60" s="182"/>
      <c r="L60" s="182"/>
      <c r="M60" s="4"/>
    </row>
    <row r="61" spans="1:16">
      <c r="A61" s="3" t="s">
        <v>125</v>
      </c>
      <c r="B61" s="182"/>
      <c r="C61" s="182"/>
      <c r="D61" s="182"/>
      <c r="E61" s="182"/>
      <c r="F61" s="182"/>
      <c r="G61" s="182"/>
      <c r="H61" s="182"/>
      <c r="I61" s="182"/>
      <c r="J61" s="182"/>
      <c r="K61" s="182"/>
      <c r="L61" s="182"/>
      <c r="M61" s="4"/>
    </row>
    <row r="62" spans="1:16">
      <c r="A62" t="s">
        <v>570</v>
      </c>
      <c r="B62" s="182">
        <f>'KY_Cost Plant Acct-Gas-P20(Tot)'!B62</f>
        <v>12516.679999999993</v>
      </c>
      <c r="C62" s="182"/>
      <c r="D62" s="182">
        <f>'KY_Cost Plant Acct-Gas-P20(Tot)'!D62</f>
        <v>0</v>
      </c>
      <c r="E62" s="182"/>
      <c r="F62" s="182">
        <f>'KY_Cost Plant Acct-Gas-P20(Tot)'!F62</f>
        <v>0</v>
      </c>
      <c r="G62" s="182"/>
      <c r="H62" s="182">
        <f>'KY_Cost Plant Acct-Gas-P20(Tot)'!H62</f>
        <v>0</v>
      </c>
      <c r="I62" s="182"/>
      <c r="J62" s="182">
        <f>H62+F62+D62</f>
        <v>0</v>
      </c>
      <c r="K62" s="182"/>
      <c r="L62" s="182">
        <f>J62+B62</f>
        <v>12516.679999999993</v>
      </c>
      <c r="M62" s="4"/>
      <c r="N62" s="89">
        <f>'KY_Res by Plant Acct-P29 (Tot)'!R387</f>
        <v>-844.04999999997676</v>
      </c>
      <c r="P62" s="89">
        <f>L62+N62</f>
        <v>11672.630000000016</v>
      </c>
    </row>
    <row r="63" spans="1:16">
      <c r="A63" t="s">
        <v>571</v>
      </c>
      <c r="B63" s="182">
        <f>'KY_Cost Plant Acct-Gas-P20(Tot)'!B63+'KY_Cost Plant Acct-Gas-P20(Tot)'!B107</f>
        <v>9620835.9199999999</v>
      </c>
      <c r="C63" s="182"/>
      <c r="D63" s="182">
        <f>'KY_Cost Plant Acct-Gas-P20(Tot)'!D63+'KY_Cost Plant Acct-Gas-P20(Tot)'!D107</f>
        <v>-33343.020000000019</v>
      </c>
      <c r="E63" s="182"/>
      <c r="F63" s="182">
        <f>'KY_Cost Plant Acct-Gas-P20(Tot)'!F63</f>
        <v>-691.69</v>
      </c>
      <c r="G63" s="182"/>
      <c r="H63" s="182">
        <f>'KY_Cost Plant Acct-Gas-P20(Tot)'!H63</f>
        <v>134900.23000000001</v>
      </c>
      <c r="I63" s="182"/>
      <c r="J63" s="182">
        <f>H63+F63+D63</f>
        <v>100865.51999999999</v>
      </c>
      <c r="K63" s="182"/>
      <c r="L63" s="182">
        <f>J63+B63</f>
        <v>9721701.4399999995</v>
      </c>
      <c r="M63" s="4"/>
      <c r="N63" s="89">
        <f>'KY_Res by Plant Acct-P29 (Tot)'!R388</f>
        <v>-2817582.3200000012</v>
      </c>
      <c r="P63" s="89">
        <f>L63+N63</f>
        <v>6904119.1199999982</v>
      </c>
    </row>
    <row r="64" spans="1:16">
      <c r="A64" t="s">
        <v>1444</v>
      </c>
      <c r="B64" s="48">
        <f>'KY_Cost Plant Acct-Gas-P20(Tot)'!B64</f>
        <v>3941518.65</v>
      </c>
      <c r="C64" s="182"/>
      <c r="D64" s="48">
        <f>'KY_Cost Plant Acct-Gas-P20(Tot)'!D64</f>
        <v>0</v>
      </c>
      <c r="E64" s="182"/>
      <c r="F64" s="48">
        <f>'KY_Cost Plant Acct-Gas-P20(Tot)'!F64</f>
        <v>0</v>
      </c>
      <c r="G64" s="182"/>
      <c r="H64" s="48">
        <f>'KY_Cost Plant Acct-Gas-P20(Tot)'!H64</f>
        <v>0</v>
      </c>
      <c r="I64" s="182"/>
      <c r="J64" s="48">
        <f>H64+F64+D64</f>
        <v>0</v>
      </c>
      <c r="K64" s="182"/>
      <c r="L64" s="48">
        <f>J64+B64</f>
        <v>3941518.65</v>
      </c>
      <c r="M64" s="4"/>
      <c r="N64" s="90">
        <f>'KY_Res by Plant Acct-P29 (Tot)'!R389</f>
        <v>-61723.990000000005</v>
      </c>
      <c r="P64" s="90">
        <f>L64+N64</f>
        <v>3879794.6599999997</v>
      </c>
    </row>
    <row r="65" spans="1:16">
      <c r="B65" s="52">
        <f>SUM(B62:B64)</f>
        <v>13574871.25</v>
      </c>
      <c r="C65" s="52"/>
      <c r="D65" s="52">
        <f>SUM(D62:D64)</f>
        <v>-33343.020000000019</v>
      </c>
      <c r="E65" s="52"/>
      <c r="F65" s="52">
        <f>SUM(F62:F64)</f>
        <v>-691.69</v>
      </c>
      <c r="G65" s="52"/>
      <c r="H65" s="52">
        <f>SUM(H62:H64)</f>
        <v>134900.23000000001</v>
      </c>
      <c r="I65" s="52"/>
      <c r="J65" s="52">
        <f>SUM(J62:J64)</f>
        <v>100865.51999999999</v>
      </c>
      <c r="K65" s="52"/>
      <c r="L65" s="52">
        <f>SUM(L62:L64)</f>
        <v>13675736.77</v>
      </c>
      <c r="M65" s="55"/>
      <c r="N65" s="52">
        <f>SUM(N62:N64)</f>
        <v>-2880150.3600000013</v>
      </c>
      <c r="P65" s="52">
        <f>SUM(P62:P64)</f>
        <v>10795586.409999998</v>
      </c>
    </row>
    <row r="66" spans="1:16">
      <c r="B66" s="52"/>
      <c r="C66" s="52"/>
      <c r="D66" s="52"/>
      <c r="E66" s="52"/>
      <c r="F66" s="52"/>
      <c r="G66" s="52"/>
      <c r="H66" s="52"/>
      <c r="I66" s="52"/>
      <c r="J66" s="52"/>
      <c r="K66" s="52"/>
      <c r="L66" s="52"/>
      <c r="M66" s="55"/>
    </row>
    <row r="67" spans="1:16">
      <c r="B67" s="52"/>
      <c r="C67" s="52"/>
      <c r="D67" s="52"/>
      <c r="E67" s="52"/>
      <c r="F67" s="52"/>
      <c r="G67" s="52"/>
      <c r="H67" s="52"/>
      <c r="I67" s="52"/>
      <c r="J67" s="52"/>
      <c r="K67" s="52"/>
      <c r="L67" s="52"/>
      <c r="M67" s="4"/>
    </row>
    <row r="68" spans="1:16" ht="13.5" thickBot="1">
      <c r="A68" s="3" t="s">
        <v>140</v>
      </c>
      <c r="B68" s="46">
        <f>B65+B59+B38+B34+B25</f>
        <v>553199816.73999989</v>
      </c>
      <c r="C68" s="52"/>
      <c r="D68" s="46">
        <f>D65+D59+D38+D34+D25</f>
        <v>18697285.579999994</v>
      </c>
      <c r="E68" s="52"/>
      <c r="F68" s="46">
        <f>F65+F59+F38+F34+F25</f>
        <v>-27938.79</v>
      </c>
      <c r="G68" s="52"/>
      <c r="H68" s="46">
        <f>H65+H59+H38+H34+H25</f>
        <v>0</v>
      </c>
      <c r="I68" s="52"/>
      <c r="J68" s="46">
        <f>J65+J59+J38+J34+J25</f>
        <v>18669346.789999999</v>
      </c>
      <c r="K68" s="52"/>
      <c r="L68" s="46">
        <f>L65+L59+L38+L34+L25</f>
        <v>571869163.52999997</v>
      </c>
      <c r="M68" s="4"/>
      <c r="N68" s="46">
        <f>N65+N59+N38+N34+N25</f>
        <v>-74213746.100000009</v>
      </c>
      <c r="P68" s="46">
        <f>P65+P59+P38+P34+P25</f>
        <v>497655417.43000007</v>
      </c>
    </row>
    <row r="69" spans="1:16" ht="13.5" thickTop="1">
      <c r="B69" s="52"/>
      <c r="C69" s="52"/>
      <c r="D69" s="52"/>
      <c r="E69" s="52"/>
      <c r="F69" s="52"/>
      <c r="G69" s="52"/>
      <c r="H69" s="52"/>
      <c r="I69" s="52"/>
      <c r="J69" s="52"/>
      <c r="K69" s="52"/>
      <c r="L69" s="52"/>
      <c r="M69" s="4"/>
    </row>
    <row r="70" spans="1:16">
      <c r="B70" s="182"/>
      <c r="C70" s="182"/>
      <c r="D70" s="182"/>
      <c r="E70" s="182"/>
      <c r="F70" s="182"/>
      <c r="G70" s="182"/>
      <c r="H70" s="182"/>
      <c r="I70" s="182"/>
      <c r="J70" s="182"/>
      <c r="K70" s="182"/>
      <c r="L70" s="182"/>
      <c r="M70" s="4"/>
    </row>
    <row r="71" spans="1:16">
      <c r="B71" s="182"/>
      <c r="C71" s="182"/>
      <c r="D71" s="182"/>
      <c r="E71" s="182"/>
      <c r="F71" s="182"/>
      <c r="G71" s="182"/>
      <c r="H71" s="182"/>
      <c r="I71" s="182"/>
      <c r="J71" s="182"/>
      <c r="K71" s="182"/>
      <c r="L71" s="182"/>
      <c r="M71" s="4"/>
    </row>
    <row r="72" spans="1:16">
      <c r="B72" s="182"/>
      <c r="C72" s="182"/>
      <c r="D72" s="182"/>
      <c r="E72" s="182"/>
      <c r="F72" s="182"/>
      <c r="G72" s="182"/>
      <c r="H72" s="182"/>
      <c r="I72" s="182"/>
      <c r="J72" s="182"/>
      <c r="K72" s="182"/>
      <c r="L72" s="182"/>
      <c r="M72" s="4"/>
    </row>
    <row r="73" spans="1:16">
      <c r="B73" s="182"/>
      <c r="C73" s="182"/>
      <c r="D73" s="182"/>
      <c r="E73" s="182"/>
      <c r="F73" s="182"/>
      <c r="G73" s="182"/>
      <c r="H73" s="182"/>
      <c r="I73" s="182"/>
      <c r="J73" s="182"/>
      <c r="K73" s="182"/>
      <c r="L73" s="182"/>
      <c r="M73" s="4"/>
    </row>
    <row r="74" spans="1:16">
      <c r="B74" s="182"/>
      <c r="C74" s="182"/>
      <c r="D74" s="182"/>
      <c r="E74" s="182"/>
      <c r="F74" s="182"/>
      <c r="G74" s="182"/>
      <c r="H74" s="182"/>
      <c r="I74" s="182"/>
      <c r="J74" s="182"/>
      <c r="K74" s="182"/>
      <c r="L74" s="182"/>
      <c r="M74" s="4"/>
    </row>
    <row r="75" spans="1:16">
      <c r="B75" s="4"/>
      <c r="C75" s="4"/>
      <c r="D75" s="4"/>
      <c r="E75" s="4"/>
      <c r="F75" s="4"/>
      <c r="G75" s="4"/>
      <c r="H75" s="4"/>
      <c r="I75" s="4"/>
      <c r="J75" s="4"/>
      <c r="K75" s="4"/>
      <c r="L75" s="4"/>
      <c r="M75" s="4"/>
    </row>
    <row r="76" spans="1:16">
      <c r="B76" s="4"/>
      <c r="C76" s="4"/>
      <c r="D76" s="4"/>
      <c r="E76" s="4"/>
      <c r="F76" s="4"/>
      <c r="G76" s="4"/>
      <c r="H76" s="4"/>
      <c r="I76" s="4"/>
      <c r="J76" s="4"/>
      <c r="K76" s="4"/>
      <c r="L76" s="4"/>
      <c r="M76" s="4"/>
    </row>
    <row r="77" spans="1:16">
      <c r="B77" s="4"/>
      <c r="C77" s="4"/>
      <c r="D77" s="4"/>
      <c r="E77" s="4"/>
      <c r="F77" s="4"/>
      <c r="G77" s="4"/>
      <c r="H77" s="4"/>
      <c r="I77" s="4"/>
      <c r="J77" s="4"/>
      <c r="K77" s="4"/>
      <c r="L77" s="4"/>
      <c r="M77" s="4"/>
    </row>
    <row r="78" spans="1:16">
      <c r="B78" s="4"/>
      <c r="C78" s="4"/>
      <c r="D78" s="4"/>
      <c r="E78" s="4"/>
      <c r="F78" s="4"/>
      <c r="G78" s="4"/>
      <c r="H78" s="4"/>
      <c r="I78" s="4"/>
      <c r="J78" s="4"/>
      <c r="K78" s="4"/>
      <c r="L78" s="4"/>
      <c r="M78" s="4"/>
    </row>
    <row r="79" spans="1:16">
      <c r="B79" s="4"/>
      <c r="C79" s="4"/>
      <c r="D79" s="4"/>
      <c r="E79" s="4"/>
      <c r="F79" s="4"/>
      <c r="G79" s="4"/>
      <c r="H79" s="4"/>
      <c r="I79" s="4"/>
      <c r="J79" s="4"/>
      <c r="K79" s="4"/>
      <c r="L79" s="4"/>
      <c r="M79" s="4"/>
    </row>
    <row r="80" spans="1:16">
      <c r="B80" s="4"/>
      <c r="C80" s="4"/>
      <c r="D80" s="4"/>
      <c r="E80" s="4"/>
      <c r="F80" s="4"/>
      <c r="G80" s="4"/>
      <c r="H80" s="4"/>
      <c r="I80" s="4"/>
      <c r="J80" s="4"/>
      <c r="K80" s="4"/>
      <c r="L80" s="4"/>
      <c r="M80" s="4"/>
    </row>
    <row r="81" spans="2:13">
      <c r="B81" s="4"/>
      <c r="C81" s="4"/>
      <c r="D81" s="4"/>
      <c r="E81" s="4"/>
      <c r="F81" s="4"/>
      <c r="G81" s="4"/>
      <c r="H81" s="4"/>
      <c r="I81" s="4"/>
      <c r="J81" s="4"/>
      <c r="K81" s="4"/>
      <c r="L81" s="4"/>
      <c r="M81" s="4"/>
    </row>
    <row r="82" spans="2:13">
      <c r="B82" s="4"/>
      <c r="C82" s="4"/>
      <c r="D82" s="4"/>
      <c r="E82" s="4"/>
      <c r="F82" s="4"/>
      <c r="G82" s="4"/>
      <c r="H82" s="4"/>
      <c r="I82" s="4"/>
      <c r="J82" s="4"/>
      <c r="K82" s="4"/>
      <c r="L82" s="4"/>
      <c r="M82" s="4"/>
    </row>
    <row r="83" spans="2:13">
      <c r="B83" s="4"/>
      <c r="C83" s="4"/>
      <c r="D83" s="4"/>
      <c r="E83" s="4"/>
      <c r="F83" s="4"/>
      <c r="G83" s="4"/>
      <c r="H83" s="4"/>
      <c r="I83" s="4"/>
      <c r="J83" s="4"/>
      <c r="K83" s="4"/>
      <c r="L83" s="4"/>
      <c r="M83" s="4"/>
    </row>
    <row r="84" spans="2:13">
      <c r="B84" s="4"/>
      <c r="C84" s="4"/>
      <c r="D84" s="4"/>
      <c r="E84" s="4"/>
      <c r="F84" s="4"/>
      <c r="G84" s="4"/>
      <c r="H84" s="4"/>
      <c r="I84" s="4"/>
      <c r="J84" s="4"/>
      <c r="K84" s="4"/>
      <c r="L84" s="4"/>
      <c r="M84" s="4"/>
    </row>
    <row r="85" spans="2:13">
      <c r="B85" s="4"/>
      <c r="C85" s="4"/>
      <c r="D85" s="4"/>
      <c r="E85" s="4"/>
      <c r="F85" s="4"/>
      <c r="G85" s="4"/>
      <c r="H85" s="4"/>
      <c r="I85" s="4"/>
      <c r="J85" s="4"/>
      <c r="K85" s="4"/>
      <c r="L85" s="4"/>
      <c r="M85" s="4"/>
    </row>
    <row r="86" spans="2:13">
      <c r="B86" s="4"/>
      <c r="C86" s="4"/>
      <c r="D86" s="4"/>
      <c r="E86" s="4"/>
      <c r="F86" s="4"/>
      <c r="G86" s="4"/>
      <c r="H86" s="4"/>
      <c r="I86" s="4"/>
      <c r="J86" s="4"/>
      <c r="K86" s="4"/>
      <c r="L86" s="4"/>
      <c r="M86" s="4"/>
    </row>
    <row r="87" spans="2:13">
      <c r="B87" s="4"/>
      <c r="C87" s="4"/>
      <c r="D87" s="4"/>
      <c r="E87" s="4"/>
      <c r="F87" s="4"/>
      <c r="G87" s="4"/>
      <c r="H87" s="4"/>
      <c r="I87" s="4"/>
      <c r="J87" s="4"/>
      <c r="K87" s="4"/>
      <c r="L87" s="4"/>
      <c r="M87" s="4"/>
    </row>
    <row r="88" spans="2:13">
      <c r="B88" s="4"/>
      <c r="C88" s="4"/>
      <c r="D88" s="4"/>
      <c r="E88" s="4"/>
      <c r="F88" s="4"/>
      <c r="G88" s="4"/>
      <c r="H88" s="4"/>
      <c r="I88" s="4"/>
      <c r="J88" s="4"/>
      <c r="K88" s="4"/>
      <c r="L88" s="4"/>
      <c r="M88" s="4"/>
    </row>
    <row r="89" spans="2:13">
      <c r="B89" s="4"/>
      <c r="C89" s="4"/>
      <c r="D89" s="4"/>
      <c r="E89" s="4"/>
      <c r="F89" s="4"/>
      <c r="G89" s="4"/>
      <c r="H89" s="4"/>
      <c r="I89" s="4"/>
      <c r="J89" s="4"/>
      <c r="K89" s="4"/>
      <c r="L89" s="4"/>
      <c r="M89" s="4"/>
    </row>
    <row r="90" spans="2:13">
      <c r="B90" s="4"/>
      <c r="C90" s="4"/>
      <c r="D90" s="4"/>
      <c r="E90" s="4"/>
      <c r="F90" s="4"/>
      <c r="G90" s="4"/>
      <c r="H90" s="4"/>
      <c r="I90" s="4"/>
      <c r="J90" s="4"/>
      <c r="K90" s="4"/>
      <c r="L90" s="4"/>
      <c r="M90" s="4"/>
    </row>
    <row r="91" spans="2:13">
      <c r="B91" s="4"/>
      <c r="C91" s="4"/>
      <c r="D91" s="4"/>
      <c r="E91" s="4"/>
      <c r="F91" s="4"/>
      <c r="G91" s="4"/>
      <c r="H91" s="4"/>
      <c r="I91" s="4"/>
      <c r="J91" s="4"/>
      <c r="K91" s="4"/>
      <c r="L91" s="4"/>
      <c r="M91" s="4"/>
    </row>
    <row r="92" spans="2:13">
      <c r="B92" s="4"/>
      <c r="C92" s="4"/>
      <c r="D92" s="4"/>
      <c r="E92" s="4"/>
      <c r="F92" s="4"/>
      <c r="G92" s="4"/>
      <c r="H92" s="4"/>
      <c r="I92" s="4"/>
      <c r="J92" s="4"/>
      <c r="K92" s="4"/>
      <c r="L92" s="4"/>
      <c r="M92" s="4"/>
    </row>
    <row r="93" spans="2:13">
      <c r="B93" s="4"/>
      <c r="C93" s="4"/>
      <c r="D93" s="4"/>
      <c r="E93" s="4"/>
      <c r="F93" s="4"/>
      <c r="G93" s="4"/>
      <c r="H93" s="4"/>
      <c r="I93" s="4"/>
      <c r="J93" s="4"/>
      <c r="K93" s="4"/>
      <c r="L93" s="4"/>
      <c r="M93" s="4"/>
    </row>
    <row r="94" spans="2:13">
      <c r="B94" s="4"/>
      <c r="C94" s="4"/>
      <c r="D94" s="4"/>
      <c r="E94" s="4"/>
      <c r="F94" s="4"/>
      <c r="G94" s="4"/>
      <c r="H94" s="4"/>
      <c r="I94" s="4"/>
      <c r="J94" s="4"/>
      <c r="K94" s="4"/>
      <c r="L94" s="4"/>
      <c r="M94" s="4"/>
    </row>
    <row r="95" spans="2:13">
      <c r="B95" s="4"/>
      <c r="C95" s="4"/>
      <c r="D95" s="4"/>
      <c r="E95" s="4"/>
      <c r="F95" s="4"/>
      <c r="G95" s="4"/>
      <c r="H95" s="4"/>
      <c r="I95" s="4"/>
      <c r="J95" s="4"/>
      <c r="K95" s="4"/>
      <c r="L95" s="4"/>
      <c r="M95" s="4"/>
    </row>
    <row r="96" spans="2:13">
      <c r="B96" s="4"/>
      <c r="C96" s="4"/>
      <c r="D96" s="4"/>
      <c r="E96" s="4"/>
      <c r="F96" s="4"/>
      <c r="G96" s="4"/>
      <c r="H96" s="4"/>
      <c r="I96" s="4"/>
      <c r="J96" s="4"/>
      <c r="K96" s="4"/>
      <c r="L96" s="4"/>
      <c r="M96" s="4"/>
    </row>
    <row r="97" spans="2:13">
      <c r="B97" s="4"/>
      <c r="C97" s="4"/>
      <c r="D97" s="4"/>
      <c r="E97" s="4"/>
      <c r="F97" s="4"/>
      <c r="G97" s="4"/>
      <c r="H97" s="4"/>
      <c r="I97" s="4"/>
      <c r="J97" s="4"/>
      <c r="K97" s="4"/>
      <c r="L97" s="4"/>
      <c r="M97" s="4"/>
    </row>
    <row r="98" spans="2:13">
      <c r="B98" s="4"/>
      <c r="C98" s="4"/>
      <c r="D98" s="4"/>
      <c r="E98" s="4"/>
      <c r="F98" s="4"/>
      <c r="G98" s="4"/>
      <c r="H98" s="4"/>
      <c r="I98" s="4"/>
      <c r="J98" s="4"/>
      <c r="K98" s="4"/>
      <c r="L98" s="4"/>
      <c r="M98" s="4"/>
    </row>
    <row r="99" spans="2:13">
      <c r="B99" s="4"/>
      <c r="C99" s="4"/>
      <c r="D99" s="4"/>
      <c r="E99" s="4"/>
      <c r="F99" s="4"/>
      <c r="G99" s="4"/>
      <c r="H99" s="4"/>
      <c r="I99" s="4"/>
      <c r="J99" s="4"/>
      <c r="K99" s="4"/>
      <c r="L99" s="4"/>
      <c r="M99" s="4"/>
    </row>
    <row r="100" spans="2:13">
      <c r="B100" s="4"/>
      <c r="C100" s="4"/>
      <c r="D100" s="4"/>
      <c r="E100" s="4"/>
      <c r="F100" s="4"/>
      <c r="G100" s="4"/>
      <c r="H100" s="4"/>
      <c r="I100" s="4"/>
      <c r="J100" s="4"/>
      <c r="K100" s="4"/>
      <c r="L100" s="4"/>
      <c r="M100" s="4"/>
    </row>
    <row r="101" spans="2:13">
      <c r="B101" s="4"/>
      <c r="C101" s="4"/>
      <c r="D101" s="4"/>
      <c r="E101" s="4"/>
      <c r="F101" s="4"/>
      <c r="G101" s="4"/>
      <c r="H101" s="4"/>
      <c r="I101" s="4"/>
      <c r="J101" s="4"/>
      <c r="K101" s="4"/>
      <c r="L101" s="4"/>
      <c r="M101" s="4"/>
    </row>
    <row r="102" spans="2:13">
      <c r="B102" s="4"/>
      <c r="C102" s="4"/>
      <c r="D102" s="4"/>
      <c r="E102" s="4"/>
      <c r="F102" s="4"/>
      <c r="G102" s="4"/>
      <c r="H102" s="4"/>
      <c r="I102" s="4"/>
      <c r="J102" s="4"/>
      <c r="K102" s="4"/>
      <c r="L102" s="4"/>
      <c r="M102" s="4"/>
    </row>
    <row r="103" spans="2:13">
      <c r="B103" s="4"/>
      <c r="C103" s="4"/>
      <c r="D103" s="4"/>
      <c r="E103" s="4"/>
      <c r="F103" s="4"/>
      <c r="G103" s="4"/>
      <c r="H103" s="4"/>
      <c r="I103" s="4"/>
      <c r="J103" s="4"/>
      <c r="K103" s="4"/>
      <c r="L103" s="4"/>
      <c r="M103" s="4"/>
    </row>
    <row r="104" spans="2:13">
      <c r="B104" s="4"/>
      <c r="C104" s="4"/>
      <c r="D104" s="4"/>
      <c r="E104" s="4"/>
      <c r="F104" s="4"/>
      <c r="G104" s="4"/>
      <c r="H104" s="4"/>
      <c r="I104" s="4"/>
      <c r="J104" s="4"/>
      <c r="K104" s="4"/>
      <c r="L104" s="4"/>
      <c r="M104" s="4"/>
    </row>
    <row r="105" spans="2:13">
      <c r="B105" s="4"/>
      <c r="C105" s="4"/>
      <c r="D105" s="4"/>
      <c r="E105" s="4"/>
      <c r="F105" s="4"/>
      <c r="G105" s="4"/>
      <c r="H105" s="4"/>
      <c r="I105" s="4"/>
      <c r="J105" s="4"/>
      <c r="K105" s="4"/>
      <c r="L105" s="4"/>
      <c r="M105" s="4"/>
    </row>
    <row r="106" spans="2:13">
      <c r="B106" s="4"/>
      <c r="C106" s="4"/>
      <c r="D106" s="4"/>
      <c r="E106" s="4"/>
      <c r="F106" s="4"/>
      <c r="G106" s="4"/>
      <c r="H106" s="4"/>
      <c r="I106" s="4"/>
      <c r="J106" s="4"/>
      <c r="K106" s="4"/>
      <c r="L106" s="4"/>
      <c r="M106" s="4"/>
    </row>
    <row r="107" spans="2:13">
      <c r="B107" s="4"/>
      <c r="C107" s="4"/>
      <c r="D107" s="4"/>
      <c r="E107" s="4"/>
      <c r="F107" s="4"/>
      <c r="G107" s="4"/>
      <c r="H107" s="4"/>
      <c r="I107" s="4"/>
      <c r="J107" s="4"/>
      <c r="K107" s="4"/>
      <c r="L107" s="4"/>
      <c r="M107" s="4"/>
    </row>
    <row r="108" spans="2:13">
      <c r="B108" s="4"/>
      <c r="C108" s="4"/>
      <c r="D108" s="4"/>
      <c r="E108" s="4"/>
      <c r="F108" s="4"/>
      <c r="G108" s="4"/>
      <c r="H108" s="4"/>
      <c r="I108" s="4"/>
      <c r="J108" s="4"/>
      <c r="K108" s="4"/>
      <c r="L108" s="4"/>
      <c r="M108" s="4"/>
    </row>
    <row r="109" spans="2:13">
      <c r="B109" s="4"/>
      <c r="C109" s="4"/>
      <c r="D109" s="4"/>
      <c r="E109" s="4"/>
      <c r="F109" s="4"/>
      <c r="G109" s="4"/>
      <c r="H109" s="4"/>
      <c r="I109" s="4"/>
      <c r="J109" s="4"/>
      <c r="K109" s="4"/>
      <c r="L109" s="4"/>
      <c r="M109" s="4"/>
    </row>
  </sheetData>
  <mergeCells count="3">
    <mergeCell ref="A1:P1"/>
    <mergeCell ref="A2:P2"/>
    <mergeCell ref="A3:P3"/>
  </mergeCells>
  <pageMargins left="0.75" right="0.75" top="1" bottom="1" header="0.5" footer="0.5"/>
  <pageSetup scale="60" fitToHeight="0" orientation="landscape" r:id="rId1"/>
  <headerFooter alignWithMargins="0">
    <oddFooter>&amp;L&amp;Z
&amp;F&amp;C&amp;A&amp;R19.&amp;P</oddFooter>
  </headerFooter>
  <rowBreaks count="1" manualBreakCount="1">
    <brk id="39" max="16383" man="1"/>
  </rowBreaks>
</worksheet>
</file>

<file path=xl/worksheets/sheet72.xml><?xml version="1.0" encoding="utf-8"?>
<worksheet xmlns="http://schemas.openxmlformats.org/spreadsheetml/2006/main" xmlns:r="http://schemas.openxmlformats.org/officeDocument/2006/relationships">
  <sheetPr codeName="Sheet109">
    <tabColor indexed="32"/>
    <pageSetUpPr fitToPage="1"/>
  </sheetPr>
  <dimension ref="A1:O153"/>
  <sheetViews>
    <sheetView zoomScaleNormal="100" workbookViewId="0">
      <pane xSplit="1" ySplit="8" topLeftCell="B9" activePane="bottomRight" state="frozen"/>
      <selection activeCell="A31" sqref="A31"/>
      <selection pane="topRight" activeCell="A31" sqref="A31"/>
      <selection pane="bottomLeft" activeCell="A31" sqref="A31"/>
      <selection pane="bottomRight" activeCell="A31" sqref="A31"/>
    </sheetView>
  </sheetViews>
  <sheetFormatPr defaultRowHeight="12.75"/>
  <cols>
    <col min="1" max="1" width="45.7109375" bestFit="1" customWidth="1"/>
    <col min="2" max="2" width="17.7109375" customWidth="1"/>
    <col min="3" max="3" width="1.7109375" customWidth="1"/>
    <col min="4" max="4" width="17.7109375" customWidth="1"/>
    <col min="5" max="5" width="1.7109375" customWidth="1"/>
    <col min="6" max="6" width="17.7109375" customWidth="1"/>
    <col min="7" max="7" width="1.7109375" customWidth="1"/>
    <col min="8" max="8" width="17.7109375" customWidth="1"/>
    <col min="9" max="9" width="1.7109375" customWidth="1"/>
    <col min="10" max="10" width="17.7109375" customWidth="1"/>
    <col min="11" max="11" width="1.7109375" customWidth="1"/>
    <col min="12" max="12" width="17.7109375" customWidth="1"/>
    <col min="13" max="13" width="15" bestFit="1" customWidth="1"/>
    <col min="14" max="14" width="11.28515625" bestFit="1" customWidth="1"/>
  </cols>
  <sheetData>
    <row r="1" spans="1:13" s="38" customFormat="1" ht="15.75">
      <c r="A1" s="366" t="s">
        <v>134</v>
      </c>
      <c r="B1" s="366"/>
      <c r="C1" s="366"/>
      <c r="D1" s="366"/>
      <c r="E1" s="366"/>
      <c r="F1" s="366"/>
      <c r="G1" s="366"/>
      <c r="H1" s="366"/>
      <c r="I1" s="366"/>
      <c r="J1" s="366"/>
      <c r="K1" s="366"/>
      <c r="L1" s="366"/>
    </row>
    <row r="2" spans="1:13" s="38" customFormat="1" ht="15.75">
      <c r="A2" s="366" t="s">
        <v>1198</v>
      </c>
      <c r="B2" s="366"/>
      <c r="C2" s="366"/>
      <c r="D2" s="366"/>
      <c r="E2" s="366"/>
      <c r="F2" s="366"/>
      <c r="G2" s="366"/>
      <c r="H2" s="366"/>
      <c r="I2" s="366"/>
      <c r="J2" s="366"/>
      <c r="K2" s="366"/>
      <c r="L2" s="366"/>
    </row>
    <row r="3" spans="1:13">
      <c r="A3" s="357" t="str">
        <f>'Summary - Cost - PG 1 (Tot)'!A3:N3</f>
        <v>MARCH 2012</v>
      </c>
      <c r="B3" s="357"/>
      <c r="C3" s="357"/>
      <c r="D3" s="357"/>
      <c r="E3" s="357"/>
      <c r="F3" s="357"/>
      <c r="G3" s="357"/>
      <c r="H3" s="357"/>
      <c r="I3" s="357"/>
      <c r="J3" s="357"/>
      <c r="K3" s="357"/>
      <c r="L3" s="357"/>
    </row>
    <row r="4" spans="1:13">
      <c r="A4" s="190"/>
      <c r="B4" s="190"/>
      <c r="C4" s="190"/>
      <c r="D4" s="190"/>
      <c r="E4" s="190"/>
      <c r="F4" s="190"/>
      <c r="G4" s="190"/>
      <c r="H4" s="190"/>
      <c r="I4" s="190"/>
      <c r="J4" s="190"/>
      <c r="K4" s="190"/>
      <c r="L4" s="190"/>
    </row>
    <row r="6" spans="1:13">
      <c r="B6" s="41" t="s">
        <v>25</v>
      </c>
      <c r="D6" s="33"/>
      <c r="F6" s="33"/>
      <c r="H6" s="41" t="s">
        <v>612</v>
      </c>
      <c r="J6" s="33"/>
      <c r="L6" s="41" t="s">
        <v>26</v>
      </c>
    </row>
    <row r="7" spans="1:13" s="10" customFormat="1">
      <c r="B7" s="42" t="s">
        <v>27</v>
      </c>
      <c r="C7"/>
      <c r="D7" s="42" t="s">
        <v>107</v>
      </c>
      <c r="E7"/>
      <c r="F7" s="42" t="s">
        <v>108</v>
      </c>
      <c r="G7"/>
      <c r="H7" s="42" t="s">
        <v>613</v>
      </c>
      <c r="I7"/>
      <c r="J7" s="42" t="s">
        <v>109</v>
      </c>
      <c r="K7"/>
      <c r="L7" s="42" t="s">
        <v>27</v>
      </c>
    </row>
    <row r="8" spans="1:13" s="10" customFormat="1">
      <c r="A8" s="3"/>
      <c r="B8" s="54"/>
      <c r="C8"/>
      <c r="D8" s="54"/>
      <c r="E8"/>
      <c r="F8" s="54"/>
      <c r="G8"/>
      <c r="H8" s="54"/>
      <c r="I8"/>
      <c r="J8" s="54"/>
      <c r="K8"/>
      <c r="L8" s="54"/>
    </row>
    <row r="9" spans="1:13" s="10" customFormat="1">
      <c r="A9" s="3" t="s">
        <v>572</v>
      </c>
      <c r="B9" s="54"/>
      <c r="C9"/>
      <c r="D9" s="54"/>
      <c r="E9"/>
      <c r="F9" s="54"/>
      <c r="G9"/>
      <c r="H9" s="54"/>
      <c r="I9"/>
      <c r="J9" s="54"/>
      <c r="K9"/>
      <c r="L9" s="54"/>
    </row>
    <row r="10" spans="1:13">
      <c r="A10" s="3" t="s">
        <v>121</v>
      </c>
    </row>
    <row r="11" spans="1:13">
      <c r="A11" t="s">
        <v>848</v>
      </c>
      <c r="B11" s="33">
        <f>+'KY_Cost Plant Acct-Gas-P20(Fin)'!B11+'KY_Cost-Plant Acct-Gas-P20 (PA)'!B11</f>
        <v>59724.58</v>
      </c>
      <c r="C11" s="33"/>
      <c r="D11" s="33">
        <f>+'KY_Cost Plant Acct-Gas-P20(Fin)'!D11+'KY_Cost-Plant Acct-Gas-P20 (PA)'!D11</f>
        <v>0</v>
      </c>
      <c r="E11" s="33"/>
      <c r="F11" s="33">
        <f>+'KY_Cost Plant Acct-Gas-P20(Fin)'!F11+'KY_Cost-Plant Acct-Gas-P20 (PA)'!F11</f>
        <v>0</v>
      </c>
      <c r="G11" s="33"/>
      <c r="H11" s="33">
        <f>+'KY_Cost Plant Acct-Gas-P20(Fin)'!H11+'KY_Cost-Plant Acct-Gas-P20 (PA)'!H11</f>
        <v>0</v>
      </c>
      <c r="I11" s="33"/>
      <c r="J11" s="33">
        <f>H11+F11+D11</f>
        <v>0</v>
      </c>
      <c r="K11" s="33"/>
      <c r="L11" s="33">
        <f>J11+B11</f>
        <v>59724.58</v>
      </c>
      <c r="M11" s="1"/>
    </row>
    <row r="12" spans="1:13">
      <c r="A12" t="s">
        <v>849</v>
      </c>
      <c r="B12" s="33">
        <f>+'KY_Cost Plant Acct-Gas-P20(Fin)'!B12+'KY_Cost-Plant Acct-Gas-P20 (PA)'!B12</f>
        <v>-3357.2400000000052</v>
      </c>
      <c r="C12" s="33"/>
      <c r="D12" s="33">
        <f>+'KY_Cost Plant Acct-Gas-P20(Fin)'!D12+'KY_Cost-Plant Acct-Gas-P20 (PA)'!D12</f>
        <v>0</v>
      </c>
      <c r="E12" s="33"/>
      <c r="F12" s="33">
        <f>+'KY_Cost Plant Acct-Gas-P20(Fin)'!F12+'KY_Cost-Plant Acct-Gas-P20 (PA)'!F12</f>
        <v>0</v>
      </c>
      <c r="G12" s="33"/>
      <c r="H12" s="33">
        <f>+'KY_Cost Plant Acct-Gas-P20(Fin)'!H12+'KY_Cost-Plant Acct-Gas-P20 (PA)'!H12</f>
        <v>0</v>
      </c>
      <c r="I12" s="33"/>
      <c r="J12" s="33">
        <f t="shared" ref="J12:J24" si="0">H12+F12+D12</f>
        <v>0</v>
      </c>
      <c r="K12" s="33"/>
      <c r="L12" s="33">
        <f t="shared" ref="L12:L24" si="1">J12+B12</f>
        <v>-3357.2400000000052</v>
      </c>
      <c r="M12" s="1"/>
    </row>
    <row r="13" spans="1:13">
      <c r="A13" t="s">
        <v>850</v>
      </c>
      <c r="B13" s="33">
        <f>+'KY_Cost Plant Acct-Gas-P20(Fin)'!B13+'KY_Cost-Plant Acct-Gas-P20 (PA)'!B13</f>
        <v>274572.55</v>
      </c>
      <c r="C13" s="33"/>
      <c r="D13" s="33">
        <f>+'KY_Cost Plant Acct-Gas-P20(Fin)'!D13+'KY_Cost-Plant Acct-Gas-P20 (PA)'!D13</f>
        <v>0</v>
      </c>
      <c r="E13" s="33"/>
      <c r="F13" s="33">
        <f>+'KY_Cost Plant Acct-Gas-P20(Fin)'!F13+'KY_Cost-Plant Acct-Gas-P20 (PA)'!F13</f>
        <v>0</v>
      </c>
      <c r="G13" s="33"/>
      <c r="H13" s="33">
        <f>+'KY_Cost Plant Acct-Gas-P20(Fin)'!H13+'KY_Cost-Plant Acct-Gas-P20 (PA)'!H13</f>
        <v>0</v>
      </c>
      <c r="I13" s="33"/>
      <c r="J13" s="33">
        <f t="shared" si="0"/>
        <v>0</v>
      </c>
      <c r="K13" s="33"/>
      <c r="L13" s="33">
        <f t="shared" si="1"/>
        <v>274572.55</v>
      </c>
      <c r="M13" s="1"/>
    </row>
    <row r="14" spans="1:13">
      <c r="A14" t="s">
        <v>71</v>
      </c>
      <c r="B14" s="33">
        <f>+'KY_Cost Plant Acct-Gas-P20(Fin)'!B14+'KY_Cost-Plant Acct-Gas-P20 (PA)'!B14</f>
        <v>408380.84000000008</v>
      </c>
      <c r="C14" s="33"/>
      <c r="D14" s="33">
        <f>+'KY_Cost Plant Acct-Gas-P20(Fin)'!D14+'KY_Cost-Plant Acct-Gas-P20 (PA)'!D14</f>
        <v>0</v>
      </c>
      <c r="E14" s="33"/>
      <c r="F14" s="33">
        <f>+'KY_Cost Plant Acct-Gas-P20(Fin)'!F14+'KY_Cost-Plant Acct-Gas-P20 (PA)'!F14</f>
        <v>0</v>
      </c>
      <c r="G14" s="33"/>
      <c r="H14" s="33">
        <f>+'KY_Cost Plant Acct-Gas-P20(Fin)'!H14+'KY_Cost-Plant Acct-Gas-P20 (PA)'!H14</f>
        <v>0</v>
      </c>
      <c r="I14" s="33"/>
      <c r="J14" s="33">
        <f t="shared" si="0"/>
        <v>0</v>
      </c>
      <c r="K14" s="33"/>
      <c r="L14" s="33">
        <f t="shared" si="1"/>
        <v>408380.84000000008</v>
      </c>
      <c r="M14" s="1"/>
    </row>
    <row r="15" spans="1:13">
      <c r="A15" t="s">
        <v>72</v>
      </c>
      <c r="B15" s="33">
        <f>+'KY_Cost Plant Acct-Gas-P20(Fin)'!B15+'KY_Cost-Plant Acct-Gas-P20 (PA)'!B15</f>
        <v>227745694.47000003</v>
      </c>
      <c r="C15" s="33"/>
      <c r="D15" s="33">
        <f>+'KY_Cost Plant Acct-Gas-P20(Fin)'!D15+'KY_Cost-Plant Acct-Gas-P20 (PA)'!D15</f>
        <v>2382164.92</v>
      </c>
      <c r="E15" s="33"/>
      <c r="F15" s="33">
        <f>+'KY_Cost Plant Acct-Gas-P20(Fin)'!F15+'KY_Cost-Plant Acct-Gas-P20 (PA)'!F15</f>
        <v>-5116.34</v>
      </c>
      <c r="G15" s="33"/>
      <c r="H15" s="33">
        <f>+'KY_Cost Plant Acct-Gas-P20(Fin)'!H15+'KY_Cost-Plant Acct-Gas-P20 (PA)'!H15</f>
        <v>-134900.23000000001</v>
      </c>
      <c r="I15" s="33"/>
      <c r="J15" s="33">
        <f t="shared" si="0"/>
        <v>2242148.35</v>
      </c>
      <c r="K15" s="33"/>
      <c r="L15" s="33">
        <f t="shared" si="1"/>
        <v>229987842.82000002</v>
      </c>
      <c r="M15" s="1"/>
    </row>
    <row r="16" spans="1:13">
      <c r="A16" t="s">
        <v>73</v>
      </c>
      <c r="B16" s="33">
        <f>+'KY_Cost Plant Acct-Gas-P20(Fin)'!B16+'KY_Cost-Plant Acct-Gas-P20 (PA)'!B16</f>
        <v>9315715.0599999987</v>
      </c>
      <c r="C16" s="33"/>
      <c r="D16" s="33">
        <f>+'KY_Cost Plant Acct-Gas-P20(Fin)'!D16+'KY_Cost-Plant Acct-Gas-P20 (PA)'!D16</f>
        <v>132004.96</v>
      </c>
      <c r="E16" s="33"/>
      <c r="F16" s="33">
        <f>+'KY_Cost Plant Acct-Gas-P20(Fin)'!F16+'KY_Cost-Plant Acct-Gas-P20 (PA)'!F16</f>
        <v>-3295.07</v>
      </c>
      <c r="G16" s="33"/>
      <c r="H16" s="33">
        <f>+'KY_Cost Plant Acct-Gas-P20(Fin)'!H16+'KY_Cost-Plant Acct-Gas-P20 (PA)'!H16</f>
        <v>0</v>
      </c>
      <c r="I16" s="33"/>
      <c r="J16" s="33">
        <f t="shared" si="0"/>
        <v>128709.88999999998</v>
      </c>
      <c r="K16" s="33"/>
      <c r="L16" s="33">
        <f t="shared" si="1"/>
        <v>9444424.9499999993</v>
      </c>
      <c r="M16" s="1"/>
    </row>
    <row r="17" spans="1:15">
      <c r="A17" t="s">
        <v>74</v>
      </c>
      <c r="B17" s="33">
        <f>+'KY_Cost Plant Acct-Gas-P20(Fin)'!B17+'KY_Cost-Plant Acct-Gas-P20 (PA)'!B17</f>
        <v>2741518.91</v>
      </c>
      <c r="C17" s="33"/>
      <c r="D17" s="33">
        <f>+'KY_Cost Plant Acct-Gas-P20(Fin)'!D17+'KY_Cost-Plant Acct-Gas-P20 (PA)'!D17</f>
        <v>0</v>
      </c>
      <c r="E17" s="33"/>
      <c r="F17" s="33">
        <f>+'KY_Cost Plant Acct-Gas-P20(Fin)'!F17+'KY_Cost-Plant Acct-Gas-P20 (PA)'!F17</f>
        <v>0</v>
      </c>
      <c r="G17" s="33"/>
      <c r="H17" s="33">
        <f>+'KY_Cost Plant Acct-Gas-P20(Fin)'!H17+'KY_Cost-Plant Acct-Gas-P20 (PA)'!H17</f>
        <v>0</v>
      </c>
      <c r="I17" s="33"/>
      <c r="J17" s="33">
        <f t="shared" si="0"/>
        <v>0</v>
      </c>
      <c r="K17" s="33"/>
      <c r="L17" s="33">
        <f t="shared" si="1"/>
        <v>2741518.91</v>
      </c>
      <c r="M17" s="1"/>
    </row>
    <row r="18" spans="1:15">
      <c r="A18" t="s">
        <v>75</v>
      </c>
      <c r="B18" s="33">
        <f>+'KY_Cost Plant Acct-Gas-P20(Fin)'!B18+'KY_Cost-Plant Acct-Gas-P20 (PA)'!B18</f>
        <v>158920060.97</v>
      </c>
      <c r="C18" s="33"/>
      <c r="D18" s="33">
        <f>+'KY_Cost Plant Acct-Gas-P20(Fin)'!D18+'KY_Cost-Plant Acct-Gas-P20 (PA)'!D18</f>
        <v>267732.98</v>
      </c>
      <c r="E18" s="33"/>
      <c r="F18" s="33">
        <f>+'KY_Cost Plant Acct-Gas-P20(Fin)'!F18+'KY_Cost-Plant Acct-Gas-P20 (PA)'!F18</f>
        <v>-720.31</v>
      </c>
      <c r="G18" s="33"/>
      <c r="H18" s="33">
        <f>+'KY_Cost Plant Acct-Gas-P20(Fin)'!H18+'KY_Cost-Plant Acct-Gas-P20 (PA)'!H18</f>
        <v>0</v>
      </c>
      <c r="I18" s="33"/>
      <c r="J18" s="33">
        <f t="shared" si="0"/>
        <v>267012.67</v>
      </c>
      <c r="K18" s="33"/>
      <c r="L18" s="33">
        <f t="shared" si="1"/>
        <v>159187073.63999999</v>
      </c>
      <c r="M18" s="1"/>
    </row>
    <row r="19" spans="1:15">
      <c r="A19" t="s">
        <v>76</v>
      </c>
      <c r="B19" s="33">
        <f>+'KY_Cost Plant Acct-Gas-P20(Fin)'!B19+'KY_Cost-Plant Acct-Gas-P20 (PA)'!B19</f>
        <v>34944119.940000005</v>
      </c>
      <c r="C19" s="33"/>
      <c r="D19" s="33">
        <f>+'KY_Cost Plant Acct-Gas-P20(Fin)'!D19+'KY_Cost-Plant Acct-Gas-P20 (PA)'!D19</f>
        <v>0</v>
      </c>
      <c r="E19" s="33"/>
      <c r="F19" s="33">
        <f>+'KY_Cost Plant Acct-Gas-P20(Fin)'!F19+'KY_Cost-Plant Acct-Gas-P20 (PA)'!F19</f>
        <v>0</v>
      </c>
      <c r="G19" s="33"/>
      <c r="H19" s="33">
        <f>+'KY_Cost Plant Acct-Gas-P20(Fin)'!H19+'KY_Cost-Plant Acct-Gas-P20 (PA)'!H19</f>
        <v>0</v>
      </c>
      <c r="I19" s="33"/>
      <c r="J19" s="33">
        <f t="shared" si="0"/>
        <v>0</v>
      </c>
      <c r="K19" s="33"/>
      <c r="L19" s="33">
        <f t="shared" si="1"/>
        <v>34944119.940000005</v>
      </c>
      <c r="M19" s="1"/>
    </row>
    <row r="20" spans="1:15">
      <c r="A20" t="s">
        <v>77</v>
      </c>
      <c r="B20" s="33">
        <f>+'KY_Cost Plant Acct-Gas-P20(Fin)'!B20+'KY_Cost-Plant Acct-Gas-P20 (PA)'!B20</f>
        <v>22553094.390000001</v>
      </c>
      <c r="C20" s="33"/>
      <c r="D20" s="33">
        <f>+'KY_Cost Plant Acct-Gas-P20(Fin)'!D20+'KY_Cost-Plant Acct-Gas-P20 (PA)'!D20</f>
        <v>0</v>
      </c>
      <c r="E20" s="33"/>
      <c r="F20" s="33">
        <f>+'KY_Cost Plant Acct-Gas-P20(Fin)'!F20+'KY_Cost-Plant Acct-Gas-P20 (PA)'!F20</f>
        <v>0</v>
      </c>
      <c r="G20" s="33"/>
      <c r="H20" s="33">
        <f>+'KY_Cost Plant Acct-Gas-P20(Fin)'!H20+'KY_Cost-Plant Acct-Gas-P20 (PA)'!H20</f>
        <v>0</v>
      </c>
      <c r="I20" s="33"/>
      <c r="J20" s="33">
        <f t="shared" si="0"/>
        <v>0</v>
      </c>
      <c r="K20" s="33"/>
      <c r="L20" s="33">
        <f t="shared" si="1"/>
        <v>22553094.390000001</v>
      </c>
      <c r="M20" s="1"/>
    </row>
    <row r="21" spans="1:15">
      <c r="A21" t="s">
        <v>78</v>
      </c>
      <c r="B21" s="33">
        <f>+'KY_Cost Plant Acct-Gas-P20(Fin)'!B21+'KY_Cost-Plant Acct-Gas-P20 (PA)'!B21</f>
        <v>822514.4</v>
      </c>
      <c r="C21" s="33"/>
      <c r="D21" s="33">
        <f>+'KY_Cost Plant Acct-Gas-P20(Fin)'!D21+'KY_Cost-Plant Acct-Gas-P20 (PA)'!D21</f>
        <v>0</v>
      </c>
      <c r="E21" s="33"/>
      <c r="F21" s="33">
        <f>+'KY_Cost Plant Acct-Gas-P20(Fin)'!F21+'KY_Cost-Plant Acct-Gas-P20 (PA)'!F21</f>
        <v>0</v>
      </c>
      <c r="G21" s="33"/>
      <c r="H21" s="33">
        <f>+'KY_Cost Plant Acct-Gas-P20(Fin)'!H21+'KY_Cost-Plant Acct-Gas-P20 (PA)'!H21</f>
        <v>0</v>
      </c>
      <c r="I21" s="33"/>
      <c r="J21" s="33">
        <f t="shared" si="0"/>
        <v>0</v>
      </c>
      <c r="K21" s="33"/>
      <c r="L21" s="33">
        <f t="shared" si="1"/>
        <v>822514.4</v>
      </c>
      <c r="M21" s="1"/>
    </row>
    <row r="22" spans="1:15">
      <c r="A22" t="s">
        <v>79</v>
      </c>
      <c r="B22" s="37">
        <f>+'KY_Cost Plant Acct-Gas-P20(Fin)'!B22+'KY_Cost-Plant Acct-Gas-P20 (PA)'!B22</f>
        <v>50425.84</v>
      </c>
      <c r="C22" s="37"/>
      <c r="D22" s="37">
        <f>+'KY_Cost Plant Acct-Gas-P20(Fin)'!D22+'KY_Cost-Plant Acct-Gas-P20 (PA)'!D22</f>
        <v>0</v>
      </c>
      <c r="E22" s="37"/>
      <c r="F22" s="37">
        <f>+'KY_Cost Plant Acct-Gas-P20(Fin)'!F22+'KY_Cost-Plant Acct-Gas-P20 (PA)'!F22</f>
        <v>0</v>
      </c>
      <c r="G22" s="37"/>
      <c r="H22" s="37">
        <f>+'KY_Cost Plant Acct-Gas-P20(Fin)'!H22+'KY_Cost-Plant Acct-Gas-P20 (PA)'!H22</f>
        <v>0</v>
      </c>
      <c r="I22" s="37"/>
      <c r="J22" s="37">
        <f t="shared" si="0"/>
        <v>0</v>
      </c>
      <c r="K22" s="37"/>
      <c r="L22" s="37">
        <f t="shared" si="1"/>
        <v>50425.84</v>
      </c>
      <c r="M22" s="6"/>
      <c r="N22" s="7"/>
      <c r="O22" s="7"/>
    </row>
    <row r="23" spans="1:15">
      <c r="A23" t="s">
        <v>80</v>
      </c>
      <c r="B23" s="37">
        <f>+'KY_Cost Plant Acct-Gas-P20(Fin)'!B23+'KY_Cost-Plant Acct-Gas-P20 (PA)'!B23</f>
        <v>2962.94</v>
      </c>
      <c r="C23" s="37"/>
      <c r="D23" s="37">
        <f>+'KY_Cost Plant Acct-Gas-P20(Fin)'!D23+'KY_Cost-Plant Acct-Gas-P20 (PA)'!D23</f>
        <v>0</v>
      </c>
      <c r="E23" s="37"/>
      <c r="F23" s="37">
        <f>+'KY_Cost Plant Acct-Gas-P20(Fin)'!F23+'KY_Cost-Plant Acct-Gas-P20 (PA)'!F23</f>
        <v>0</v>
      </c>
      <c r="G23" s="37"/>
      <c r="H23" s="37">
        <f>+'KY_Cost Plant Acct-Gas-P20(Fin)'!H23+'KY_Cost-Plant Acct-Gas-P20 (PA)'!H23</f>
        <v>0</v>
      </c>
      <c r="I23" s="37"/>
      <c r="J23" s="37">
        <f t="shared" si="0"/>
        <v>0</v>
      </c>
      <c r="K23" s="37"/>
      <c r="L23" s="37">
        <f t="shared" si="1"/>
        <v>2962.94</v>
      </c>
      <c r="M23" s="6"/>
      <c r="N23" s="7"/>
      <c r="O23" s="7"/>
    </row>
    <row r="24" spans="1:15">
      <c r="A24" t="s">
        <v>898</v>
      </c>
      <c r="B24" s="35">
        <f>+'KY_Cost Plant Acct-Gas-P20(Fin)'!B24+'KY_Cost-Plant Acct-Gas-P20 (PA)'!B24</f>
        <v>11928646.510000002</v>
      </c>
      <c r="C24" s="37"/>
      <c r="D24" s="35">
        <f>+'KY_Cost Plant Acct-Gas-P20(Fin)'!D24+'KY_Cost-Plant Acct-Gas-P20 (PA)'!D24</f>
        <v>0</v>
      </c>
      <c r="E24" s="37"/>
      <c r="F24" s="35">
        <f>+'KY_Cost Plant Acct-Gas-P20(Fin)'!F24+'KY_Cost-Plant Acct-Gas-P20 (PA)'!F24</f>
        <v>0</v>
      </c>
      <c r="G24" s="37"/>
      <c r="H24" s="35">
        <f>+'KY_Cost Plant Acct-Gas-P20(Fin)'!H24+'KY_Cost-Plant Acct-Gas-P20 (PA)'!H24</f>
        <v>0</v>
      </c>
      <c r="I24" s="37"/>
      <c r="J24" s="35">
        <f t="shared" si="0"/>
        <v>0</v>
      </c>
      <c r="K24" s="37"/>
      <c r="L24" s="35">
        <f t="shared" si="1"/>
        <v>11928646.510000002</v>
      </c>
      <c r="M24" s="6"/>
      <c r="N24" s="7"/>
      <c r="O24" s="7"/>
    </row>
    <row r="25" spans="1:15">
      <c r="B25" s="37">
        <f>SUM(B11:B24)</f>
        <v>469764074.15999991</v>
      </c>
      <c r="C25" s="37"/>
      <c r="D25" s="37">
        <f>SUM(D11:D24)</f>
        <v>2781902.86</v>
      </c>
      <c r="E25" s="37"/>
      <c r="F25" s="37">
        <f>SUM(F11:F24)</f>
        <v>-9131.7199999999993</v>
      </c>
      <c r="G25" s="37"/>
      <c r="H25" s="37">
        <f>SUM(H11:H24)</f>
        <v>-134900.23000000001</v>
      </c>
      <c r="I25" s="37"/>
      <c r="J25" s="37">
        <f>SUM(J11:J24)</f>
        <v>2637870.91</v>
      </c>
      <c r="K25" s="37"/>
      <c r="L25" s="37">
        <f>SUM(L11:L24)</f>
        <v>472401945.06999987</v>
      </c>
      <c r="M25" s="6"/>
      <c r="N25" s="7"/>
      <c r="O25" s="7"/>
    </row>
    <row r="26" spans="1:15">
      <c r="B26" s="33"/>
      <c r="C26" s="33"/>
      <c r="D26" s="33"/>
      <c r="E26" s="33"/>
      <c r="F26" s="33"/>
      <c r="G26" s="33"/>
      <c r="H26" s="33"/>
      <c r="I26" s="33"/>
      <c r="J26" s="33"/>
      <c r="K26" s="33"/>
      <c r="L26" s="33"/>
      <c r="M26" s="1"/>
    </row>
    <row r="27" spans="1:15">
      <c r="A27" s="3" t="s">
        <v>122</v>
      </c>
      <c r="B27" s="33"/>
      <c r="C27" s="33"/>
      <c r="D27" s="33"/>
      <c r="E27" s="33"/>
      <c r="F27" s="33"/>
      <c r="G27" s="33"/>
      <c r="H27" s="33"/>
      <c r="I27" s="33"/>
      <c r="J27" s="33"/>
      <c r="K27" s="33"/>
      <c r="L27" s="33"/>
      <c r="M27" s="1"/>
    </row>
    <row r="28" spans="1:15">
      <c r="A28" t="s">
        <v>899</v>
      </c>
      <c r="B28" s="33">
        <f>+'KY_Cost Plant Acct-Gas-P20(Fin)'!B28+'KY_Cost-Plant Acct-Gas-P20 (PA)'!B28</f>
        <v>277818.58000000031</v>
      </c>
      <c r="C28" s="33"/>
      <c r="D28" s="33">
        <f>+'KY_Cost Plant Acct-Gas-P20(Fin)'!D28+'KY_Cost-Plant Acct-Gas-P20 (PA)'!D28</f>
        <v>112284.74</v>
      </c>
      <c r="E28" s="33"/>
      <c r="F28" s="33">
        <f>+'KY_Cost Plant Acct-Gas-P20(Fin)'!F28+'KY_Cost-Plant Acct-Gas-P20 (PA)'!F28</f>
        <v>0</v>
      </c>
      <c r="G28" s="33"/>
      <c r="H28" s="33">
        <f>+'KY_Cost Plant Acct-Gas-P20(Fin)'!H28+'KY_Cost-Plant Acct-Gas-P20 (PA)'!H28</f>
        <v>0</v>
      </c>
      <c r="I28" s="33"/>
      <c r="J28" s="33">
        <f t="shared" ref="J28:J33" si="2">H28+F28+D28</f>
        <v>112284.74</v>
      </c>
      <c r="K28" s="33"/>
      <c r="L28" s="33">
        <f t="shared" ref="L28:L33" si="3">J28+B28</f>
        <v>390103.3200000003</v>
      </c>
      <c r="M28" s="1"/>
    </row>
    <row r="29" spans="1:15">
      <c r="A29" t="s">
        <v>900</v>
      </c>
      <c r="B29" s="33">
        <f>+'KY_Cost Plant Acct-Gas-P20(Fin)'!B29+'KY_Cost-Plant Acct-Gas-P20 (PA)'!B29</f>
        <v>340748.85</v>
      </c>
      <c r="C29" s="33"/>
      <c r="D29" s="33">
        <f>+'KY_Cost Plant Acct-Gas-P20(Fin)'!D29+'KY_Cost-Plant Acct-Gas-P20 (PA)'!D29</f>
        <v>57340.17</v>
      </c>
      <c r="E29" s="33"/>
      <c r="F29" s="33">
        <f>+'KY_Cost Plant Acct-Gas-P20(Fin)'!F29+'KY_Cost-Plant Acct-Gas-P20 (PA)'!F29</f>
        <v>0</v>
      </c>
      <c r="G29" s="33"/>
      <c r="H29" s="33">
        <f>+'KY_Cost Plant Acct-Gas-P20(Fin)'!H29+'KY_Cost-Plant Acct-Gas-P20 (PA)'!H29</f>
        <v>0</v>
      </c>
      <c r="I29" s="33"/>
      <c r="J29" s="33">
        <f t="shared" si="2"/>
        <v>57340.17</v>
      </c>
      <c r="K29" s="33"/>
      <c r="L29" s="33">
        <f t="shared" si="3"/>
        <v>398089.01999999996</v>
      </c>
      <c r="M29" s="1"/>
    </row>
    <row r="30" spans="1:15">
      <c r="A30" t="s">
        <v>901</v>
      </c>
      <c r="B30" s="33">
        <f>+'KY_Cost Plant Acct-Gas-P20(Fin)'!B30+'KY_Cost-Plant Acct-Gas-P20 (PA)'!B30</f>
        <v>2502111.6500000004</v>
      </c>
      <c r="C30" s="33"/>
      <c r="D30" s="33">
        <f>+'KY_Cost Plant Acct-Gas-P20(Fin)'!D30+'KY_Cost-Plant Acct-Gas-P20 (PA)'!D30</f>
        <v>421786.93</v>
      </c>
      <c r="E30" s="33"/>
      <c r="F30" s="33">
        <f>+'KY_Cost Plant Acct-Gas-P20(Fin)'!F30+'KY_Cost-Plant Acct-Gas-P20 (PA)'!F30</f>
        <v>0</v>
      </c>
      <c r="G30" s="33"/>
      <c r="H30" s="33">
        <f>+'KY_Cost Plant Acct-Gas-P20(Fin)'!H30+'KY_Cost-Plant Acct-Gas-P20 (PA)'!H30</f>
        <v>0</v>
      </c>
      <c r="I30" s="33"/>
      <c r="J30" s="33">
        <f t="shared" si="2"/>
        <v>421786.93</v>
      </c>
      <c r="K30" s="33"/>
      <c r="L30" s="33">
        <f t="shared" si="3"/>
        <v>2923898.5800000005</v>
      </c>
      <c r="M30" s="1"/>
    </row>
    <row r="31" spans="1:15">
      <c r="A31" t="s">
        <v>995</v>
      </c>
      <c r="B31" s="33">
        <f>+'KY_Cost Plant Acct-Gas-P20(Fin)'!B31+'KY_Cost-Plant Acct-Gas-P20 (PA)'!B31</f>
        <v>-6890.71</v>
      </c>
      <c r="C31" s="33"/>
      <c r="D31" s="33">
        <f>+'KY_Cost Plant Acct-Gas-P20(Fin)'!D31+'KY_Cost-Plant Acct-Gas-P20 (PA)'!D31</f>
        <v>0</v>
      </c>
      <c r="E31" s="33"/>
      <c r="F31" s="33">
        <f>+'KY_Cost Plant Acct-Gas-P20(Fin)'!F31+'KY_Cost-Plant Acct-Gas-P20 (PA)'!F31</f>
        <v>0</v>
      </c>
      <c r="G31" s="33"/>
      <c r="H31" s="33">
        <f>+'KY_Cost Plant Acct-Gas-P20(Fin)'!H31+'KY_Cost-Plant Acct-Gas-P20 (PA)'!H31</f>
        <v>0</v>
      </c>
      <c r="I31" s="33"/>
      <c r="J31" s="33">
        <f t="shared" si="2"/>
        <v>0</v>
      </c>
      <c r="K31" s="33"/>
      <c r="L31" s="33">
        <f t="shared" si="3"/>
        <v>-6890.71</v>
      </c>
      <c r="M31" s="1"/>
    </row>
    <row r="32" spans="1:15">
      <c r="A32" t="s">
        <v>996</v>
      </c>
      <c r="B32" s="37">
        <f>+'KY_Cost Plant Acct-Gas-P20(Fin)'!B32+'KY_Cost-Plant Acct-Gas-P20 (PA)'!B32</f>
        <v>349112.87999999989</v>
      </c>
      <c r="C32" s="37"/>
      <c r="D32" s="37">
        <f>+'KY_Cost Plant Acct-Gas-P20(Fin)'!D32+'KY_Cost-Plant Acct-Gas-P20 (PA)'!D32</f>
        <v>0</v>
      </c>
      <c r="E32" s="37"/>
      <c r="F32" s="37">
        <f>+'KY_Cost Plant Acct-Gas-P20(Fin)'!F32+'KY_Cost-Plant Acct-Gas-P20 (PA)'!F32</f>
        <v>0</v>
      </c>
      <c r="G32" s="37"/>
      <c r="H32" s="37">
        <f>+'KY_Cost Plant Acct-Gas-P20(Fin)'!H32+'KY_Cost-Plant Acct-Gas-P20 (PA)'!H32</f>
        <v>0</v>
      </c>
      <c r="I32" s="37"/>
      <c r="J32" s="37">
        <f t="shared" si="2"/>
        <v>0</v>
      </c>
      <c r="K32" s="37"/>
      <c r="L32" s="37">
        <f t="shared" si="3"/>
        <v>349112.87999999989</v>
      </c>
      <c r="M32" s="6"/>
    </row>
    <row r="33" spans="1:13">
      <c r="A33" t="s">
        <v>997</v>
      </c>
      <c r="B33" s="35">
        <f>+'KY_Cost Plant Acct-Gas-P20(Fin)'!B33+'KY_Cost-Plant Acct-Gas-P20 (PA)'!B33</f>
        <v>28309.929999999993</v>
      </c>
      <c r="C33" s="37"/>
      <c r="D33" s="35">
        <f>+'KY_Cost Plant Acct-Gas-P20(Fin)'!D33+'KY_Cost-Plant Acct-Gas-P20 (PA)'!D33</f>
        <v>0</v>
      </c>
      <c r="E33" s="37"/>
      <c r="F33" s="35">
        <f>+'KY_Cost Plant Acct-Gas-P20(Fin)'!F33+'KY_Cost-Plant Acct-Gas-P20 (PA)'!F33</f>
        <v>0</v>
      </c>
      <c r="G33" s="37"/>
      <c r="H33" s="35">
        <f>+'KY_Cost Plant Acct-Gas-P20(Fin)'!H33+'KY_Cost-Plant Acct-Gas-P20 (PA)'!H33</f>
        <v>0</v>
      </c>
      <c r="I33" s="37"/>
      <c r="J33" s="35">
        <f t="shared" si="2"/>
        <v>0</v>
      </c>
      <c r="K33" s="37"/>
      <c r="L33" s="35">
        <f t="shared" si="3"/>
        <v>28309.929999999993</v>
      </c>
      <c r="M33" s="6"/>
    </row>
    <row r="34" spans="1:13">
      <c r="B34" s="37">
        <f>SUM(B28:B33)</f>
        <v>3491211.1800000006</v>
      </c>
      <c r="C34" s="37"/>
      <c r="D34" s="37">
        <f>SUM(D28:D33)</f>
        <v>591411.84</v>
      </c>
      <c r="E34" s="37"/>
      <c r="F34" s="37">
        <f>SUM(F28:F33)</f>
        <v>0</v>
      </c>
      <c r="G34" s="37"/>
      <c r="H34" s="37">
        <f>SUM(H28:H33)</f>
        <v>0</v>
      </c>
      <c r="I34" s="37"/>
      <c r="J34" s="37">
        <f>SUM(J28:J33)</f>
        <v>591411.84</v>
      </c>
      <c r="K34" s="37"/>
      <c r="L34" s="37">
        <f>SUM(L28:L33)</f>
        <v>4082623.0200000009</v>
      </c>
      <c r="M34" s="6"/>
    </row>
    <row r="35" spans="1:13">
      <c r="B35" s="37"/>
      <c r="C35" s="37"/>
      <c r="D35" s="37"/>
      <c r="E35" s="37"/>
      <c r="F35" s="37"/>
      <c r="G35" s="37"/>
      <c r="H35" s="37"/>
      <c r="I35" s="37"/>
      <c r="J35" s="37"/>
      <c r="K35" s="37"/>
      <c r="L35" s="37"/>
      <c r="M35" s="6"/>
    </row>
    <row r="36" spans="1:13">
      <c r="A36" s="3" t="s">
        <v>123</v>
      </c>
      <c r="B36" s="37"/>
      <c r="C36" s="37"/>
      <c r="D36" s="37"/>
      <c r="E36" s="37"/>
      <c r="F36" s="37"/>
      <c r="G36" s="37"/>
      <c r="H36" s="37"/>
      <c r="I36" s="37"/>
      <c r="J36" s="37"/>
      <c r="K36" s="37"/>
      <c r="L36" s="37"/>
      <c r="M36" s="6"/>
    </row>
    <row r="37" spans="1:13">
      <c r="A37" t="s">
        <v>998</v>
      </c>
      <c r="B37" s="35">
        <f>+'KY_Cost Plant Acct-Gas-P20(Fin)'!B37+'KY_Cost-Plant Acct-Gas-P20 (PA)'!B37</f>
        <v>268.33000000000004</v>
      </c>
      <c r="C37" s="37"/>
      <c r="D37" s="35">
        <f>+'KY_Cost Plant Acct-Gas-P20(Fin)'!D37+'KY_Cost-Plant Acct-Gas-P20 (PA)'!D37</f>
        <v>0</v>
      </c>
      <c r="E37" s="37"/>
      <c r="F37" s="35">
        <f>+'KY_Cost Plant Acct-Gas-P20(Fin)'!F37+'KY_Cost-Plant Acct-Gas-P20 (PA)'!F37</f>
        <v>0</v>
      </c>
      <c r="G37" s="37"/>
      <c r="H37" s="35">
        <f>+'KY_Cost Plant Acct-Gas-P20(Fin)'!H37+'KY_Cost-Plant Acct-Gas-P20 (PA)'!H37</f>
        <v>0</v>
      </c>
      <c r="I37" s="37"/>
      <c r="J37" s="35">
        <f>H37+F37+D37</f>
        <v>0</v>
      </c>
      <c r="K37" s="37"/>
      <c r="L37" s="35">
        <f>J37+B37</f>
        <v>268.33000000000004</v>
      </c>
      <c r="M37" s="6"/>
    </row>
    <row r="38" spans="1:13">
      <c r="B38" s="37">
        <f>SUM(B37)</f>
        <v>268.33000000000004</v>
      </c>
      <c r="C38" s="37"/>
      <c r="D38" s="37">
        <f>SUM(D37)</f>
        <v>0</v>
      </c>
      <c r="E38" s="37"/>
      <c r="F38" s="37">
        <f>SUM(F37)</f>
        <v>0</v>
      </c>
      <c r="G38" s="37"/>
      <c r="H38" s="37">
        <f>SUM(H37)</f>
        <v>0</v>
      </c>
      <c r="I38" s="37"/>
      <c r="J38" s="37">
        <f>SUM(J37)</f>
        <v>0</v>
      </c>
      <c r="K38" s="37"/>
      <c r="L38" s="37">
        <f>SUM(L37)</f>
        <v>268.33000000000004</v>
      </c>
      <c r="M38" s="6"/>
    </row>
    <row r="39" spans="1:13">
      <c r="B39" s="37"/>
      <c r="C39" s="37"/>
      <c r="D39" s="37"/>
      <c r="E39" s="37"/>
      <c r="F39" s="37"/>
      <c r="G39" s="37"/>
      <c r="H39" s="37"/>
      <c r="I39" s="37"/>
      <c r="J39" s="37"/>
      <c r="K39" s="37"/>
      <c r="L39" s="37"/>
      <c r="M39" s="6"/>
    </row>
    <row r="40" spans="1:13">
      <c r="A40" s="3" t="s">
        <v>124</v>
      </c>
      <c r="B40" s="37"/>
      <c r="C40" s="37"/>
      <c r="D40" s="37"/>
      <c r="E40" s="37"/>
      <c r="F40" s="37"/>
      <c r="G40" s="37"/>
      <c r="H40" s="37"/>
      <c r="I40" s="37"/>
      <c r="J40" s="37"/>
      <c r="K40" s="37"/>
      <c r="L40" s="37"/>
      <c r="M40" s="6"/>
    </row>
    <row r="41" spans="1:13">
      <c r="A41" t="s">
        <v>13</v>
      </c>
      <c r="B41" s="37">
        <f>+'KY_Cost Plant Acct-Gas-P20(Fin)'!B41+'KY_Cost-Plant Acct-Gas-P20 (PA)'!B41</f>
        <v>29500.57</v>
      </c>
      <c r="C41" s="37"/>
      <c r="D41" s="37">
        <f>+'KY_Cost Plant Acct-Gas-P20(Fin)'!D41+'KY_Cost-Plant Acct-Gas-P20 (PA)'!D41</f>
        <v>0</v>
      </c>
      <c r="E41" s="37"/>
      <c r="F41" s="37">
        <f>+'KY_Cost Plant Acct-Gas-P20(Fin)'!F41+'KY_Cost-Plant Acct-Gas-P20 (PA)'!F41</f>
        <v>0</v>
      </c>
      <c r="G41" s="37"/>
      <c r="H41" s="37">
        <f>+'KY_Cost Plant Acct-Gas-P20(Fin)'!H41+'KY_Cost-Plant Acct-Gas-P20 (PA)'!H41</f>
        <v>0</v>
      </c>
      <c r="I41" s="37"/>
      <c r="J41" s="37">
        <f t="shared" ref="J41:J58" si="4">H41+F41+D41</f>
        <v>0</v>
      </c>
      <c r="K41" s="37"/>
      <c r="L41" s="37">
        <f t="shared" ref="L41:L58" si="5">J41+B41</f>
        <v>29500.57</v>
      </c>
      <c r="M41" s="6"/>
    </row>
    <row r="42" spans="1:13">
      <c r="A42" t="s">
        <v>559</v>
      </c>
      <c r="B42" s="37">
        <f>+'KY_Cost Plant Acct-Gas-P20(Fin)'!B42+'KY_Cost-Plant Acct-Gas-P20 (PA)'!B42</f>
        <v>25162.14</v>
      </c>
      <c r="C42" s="37"/>
      <c r="D42" s="37">
        <f>+'KY_Cost Plant Acct-Gas-P20(Fin)'!D42+'KY_Cost-Plant Acct-Gas-P20 (PA)'!D42</f>
        <v>0</v>
      </c>
      <c r="E42" s="37"/>
      <c r="F42" s="37">
        <f>+'KY_Cost Plant Acct-Gas-P20(Fin)'!F42+'KY_Cost-Plant Acct-Gas-P20 (PA)'!F42</f>
        <v>0</v>
      </c>
      <c r="G42" s="37"/>
      <c r="H42" s="37">
        <f>+'KY_Cost Plant Acct-Gas-P20(Fin)'!H42+'KY_Cost-Plant Acct-Gas-P20 (PA)'!H42</f>
        <v>0</v>
      </c>
      <c r="I42" s="37"/>
      <c r="J42" s="37">
        <f t="shared" si="4"/>
        <v>0</v>
      </c>
      <c r="K42" s="37"/>
      <c r="L42" s="37">
        <f t="shared" si="5"/>
        <v>25162.14</v>
      </c>
      <c r="M42" s="6"/>
    </row>
    <row r="43" spans="1:13">
      <c r="A43" t="s">
        <v>560</v>
      </c>
      <c r="B43" s="37">
        <f>+'KY_Cost Plant Acct-Gas-P20(Fin)'!B43+'KY_Cost-Plant Acct-Gas-P20 (PA)'!B43</f>
        <v>4600720.5599999987</v>
      </c>
      <c r="C43" s="37"/>
      <c r="D43" s="37">
        <f>+'KY_Cost Plant Acct-Gas-P20(Fin)'!D43+'KY_Cost-Plant Acct-Gas-P20 (PA)'!D43</f>
        <v>0</v>
      </c>
      <c r="E43" s="37"/>
      <c r="F43" s="37">
        <f>+'KY_Cost Plant Acct-Gas-P20(Fin)'!F43+'KY_Cost-Plant Acct-Gas-P20 (PA)'!F43</f>
        <v>0</v>
      </c>
      <c r="G43" s="37"/>
      <c r="H43" s="37">
        <f>+'KY_Cost Plant Acct-Gas-P20(Fin)'!H43+'KY_Cost-Plant Acct-Gas-P20 (PA)'!H43</f>
        <v>0</v>
      </c>
      <c r="I43" s="37"/>
      <c r="J43" s="37">
        <f t="shared" si="4"/>
        <v>0</v>
      </c>
      <c r="K43" s="37"/>
      <c r="L43" s="37">
        <f t="shared" si="5"/>
        <v>4600720.5599999987</v>
      </c>
      <c r="M43" s="6"/>
    </row>
    <row r="44" spans="1:13">
      <c r="A44" t="s">
        <v>561</v>
      </c>
      <c r="B44" s="37">
        <f>+'KY_Cost Plant Acct-Gas-P20(Fin)'!B44+'KY_Cost-Plant Acct-Gas-P20 (PA)'!B44</f>
        <v>20134.04</v>
      </c>
      <c r="C44" s="37"/>
      <c r="D44" s="37">
        <f>+'KY_Cost Plant Acct-Gas-P20(Fin)'!D44+'KY_Cost-Plant Acct-Gas-P20 (PA)'!D44</f>
        <v>0</v>
      </c>
      <c r="E44" s="37"/>
      <c r="F44" s="37">
        <f>+'KY_Cost Plant Acct-Gas-P20(Fin)'!F44+'KY_Cost-Plant Acct-Gas-P20 (PA)'!F44</f>
        <v>0</v>
      </c>
      <c r="G44" s="37"/>
      <c r="H44" s="37">
        <f>+'KY_Cost Plant Acct-Gas-P20(Fin)'!H44+'KY_Cost-Plant Acct-Gas-P20 (PA)'!H44</f>
        <v>0</v>
      </c>
      <c r="I44" s="37"/>
      <c r="J44" s="37">
        <f t="shared" si="4"/>
        <v>0</v>
      </c>
      <c r="K44" s="37"/>
      <c r="L44" s="37">
        <f t="shared" si="5"/>
        <v>20134.04</v>
      </c>
      <c r="M44" s="6"/>
    </row>
    <row r="45" spans="1:13">
      <c r="A45" t="s">
        <v>14</v>
      </c>
      <c r="B45" s="37">
        <f>+'KY_Cost Plant Acct-Gas-P20(Fin)'!B45+'KY_Cost-Plant Acct-Gas-P20 (PA)'!B45</f>
        <v>1422699.1300000001</v>
      </c>
      <c r="C45" s="37"/>
      <c r="D45" s="37">
        <f>+'KY_Cost Plant Acct-Gas-P20(Fin)'!D45+'KY_Cost-Plant Acct-Gas-P20 (PA)'!D45</f>
        <v>26259.07</v>
      </c>
      <c r="E45" s="37"/>
      <c r="F45" s="37">
        <f>+'KY_Cost Plant Acct-Gas-P20(Fin)'!F45+'KY_Cost-Plant Acct-Gas-P20 (PA)'!F45</f>
        <v>0</v>
      </c>
      <c r="G45" s="37"/>
      <c r="H45" s="37">
        <f>+'KY_Cost Plant Acct-Gas-P20(Fin)'!H45+'KY_Cost-Plant Acct-Gas-P20 (PA)'!H45</f>
        <v>0</v>
      </c>
      <c r="I45" s="37"/>
      <c r="J45" s="37">
        <f t="shared" si="4"/>
        <v>26259.07</v>
      </c>
      <c r="K45" s="37"/>
      <c r="L45" s="37">
        <f t="shared" si="5"/>
        <v>1448958.2000000002</v>
      </c>
      <c r="M45" s="6"/>
    </row>
    <row r="46" spans="1:13">
      <c r="A46" t="s">
        <v>562</v>
      </c>
      <c r="B46" s="37">
        <f>+'KY_Cost Plant Acct-Gas-P20(Fin)'!B46+'KY_Cost-Plant Acct-Gas-P20 (PA)'!B46</f>
        <v>-21348.819999999949</v>
      </c>
      <c r="C46" s="37"/>
      <c r="D46" s="37">
        <f>+'KY_Cost Plant Acct-Gas-P20(Fin)'!D46+'KY_Cost-Plant Acct-Gas-P20 (PA)'!D46</f>
        <v>0</v>
      </c>
      <c r="E46" s="37"/>
      <c r="F46" s="37">
        <f>+'KY_Cost Plant Acct-Gas-P20(Fin)'!F46+'KY_Cost-Plant Acct-Gas-P20 (PA)'!F46</f>
        <v>0</v>
      </c>
      <c r="G46" s="37"/>
      <c r="H46" s="37">
        <f>+'KY_Cost Plant Acct-Gas-P20(Fin)'!H46+'KY_Cost-Plant Acct-Gas-P20 (PA)'!H46</f>
        <v>0</v>
      </c>
      <c r="I46" s="37"/>
      <c r="J46" s="37">
        <f t="shared" si="4"/>
        <v>0</v>
      </c>
      <c r="K46" s="37"/>
      <c r="L46" s="37">
        <f t="shared" si="5"/>
        <v>-21348.819999999949</v>
      </c>
      <c r="M46" s="6"/>
    </row>
    <row r="47" spans="1:13">
      <c r="A47" t="s">
        <v>563</v>
      </c>
      <c r="B47" s="37">
        <f>+'KY_Cost Plant Acct-Gas-P20(Fin)'!B47+'KY_Cost-Plant Acct-Gas-P20 (PA)'!B47</f>
        <v>-51515.919999999984</v>
      </c>
      <c r="C47" s="37"/>
      <c r="D47" s="37">
        <f>+'KY_Cost Plant Acct-Gas-P20(Fin)'!D47+'KY_Cost-Plant Acct-Gas-P20 (PA)'!D47</f>
        <v>0</v>
      </c>
      <c r="E47" s="37"/>
      <c r="F47" s="37">
        <f>+'KY_Cost Plant Acct-Gas-P20(Fin)'!F47+'KY_Cost-Plant Acct-Gas-P20 (PA)'!F47</f>
        <v>0</v>
      </c>
      <c r="G47" s="37"/>
      <c r="H47" s="37">
        <f>+'KY_Cost Plant Acct-Gas-P20(Fin)'!H47+'KY_Cost-Plant Acct-Gas-P20 (PA)'!H47</f>
        <v>0</v>
      </c>
      <c r="I47" s="37"/>
      <c r="J47" s="37">
        <f t="shared" si="4"/>
        <v>0</v>
      </c>
      <c r="K47" s="37"/>
      <c r="L47" s="37">
        <f t="shared" si="5"/>
        <v>-51515.919999999984</v>
      </c>
      <c r="M47" s="6"/>
    </row>
    <row r="48" spans="1:13">
      <c r="A48" t="s">
        <v>564</v>
      </c>
      <c r="B48" s="37">
        <f>+'KY_Cost Plant Acct-Gas-P20(Fin)'!B48+'KY_Cost-Plant Acct-Gas-P20 (PA)'!B48</f>
        <v>1980042.9699999997</v>
      </c>
      <c r="C48" s="37"/>
      <c r="D48" s="37">
        <f>+'KY_Cost Plant Acct-Gas-P20(Fin)'!D48+'KY_Cost-Plant Acct-Gas-P20 (PA)'!D48</f>
        <v>0</v>
      </c>
      <c r="E48" s="37"/>
      <c r="F48" s="37">
        <f>+'KY_Cost Plant Acct-Gas-P20(Fin)'!F48+'KY_Cost-Plant Acct-Gas-P20 (PA)'!F48</f>
        <v>0</v>
      </c>
      <c r="G48" s="37"/>
      <c r="H48" s="37">
        <f>+'KY_Cost Plant Acct-Gas-P20(Fin)'!H48+'KY_Cost-Plant Acct-Gas-P20 (PA)'!H48</f>
        <v>0</v>
      </c>
      <c r="I48" s="37"/>
      <c r="J48" s="37">
        <f t="shared" si="4"/>
        <v>0</v>
      </c>
      <c r="K48" s="37"/>
      <c r="L48" s="37">
        <f t="shared" si="5"/>
        <v>1980042.9699999997</v>
      </c>
      <c r="M48" s="6"/>
    </row>
    <row r="49" spans="1:13">
      <c r="A49" t="s">
        <v>15</v>
      </c>
      <c r="B49" s="37">
        <f>+'KY_Cost Plant Acct-Gas-P20(Fin)'!B49+'KY_Cost-Plant Acct-Gas-P20 (PA)'!B49</f>
        <v>55205.519999999786</v>
      </c>
      <c r="C49" s="37"/>
      <c r="D49" s="37">
        <f>+'KY_Cost Plant Acct-Gas-P20(Fin)'!D49+'KY_Cost-Plant Acct-Gas-P20 (PA)'!D49</f>
        <v>0</v>
      </c>
      <c r="E49" s="37"/>
      <c r="F49" s="37">
        <f>+'KY_Cost Plant Acct-Gas-P20(Fin)'!F49+'KY_Cost-Plant Acct-Gas-P20 (PA)'!F49</f>
        <v>0</v>
      </c>
      <c r="G49" s="37"/>
      <c r="H49" s="37">
        <f>+'KY_Cost Plant Acct-Gas-P20(Fin)'!H49+'KY_Cost-Plant Acct-Gas-P20 (PA)'!H49</f>
        <v>0</v>
      </c>
      <c r="I49" s="37"/>
      <c r="J49" s="37">
        <f t="shared" si="4"/>
        <v>0</v>
      </c>
      <c r="K49" s="37"/>
      <c r="L49" s="37">
        <f t="shared" si="5"/>
        <v>55205.519999999786</v>
      </c>
      <c r="M49" s="6"/>
    </row>
    <row r="50" spans="1:13">
      <c r="A50" t="s">
        <v>1089</v>
      </c>
      <c r="B50" s="37">
        <f>+'KY_Cost Plant Acct-Gas-P20(Fin)'!B50+'KY_Cost-Plant Acct-Gas-P20 (PA)'!B50</f>
        <v>2322808.02</v>
      </c>
      <c r="C50" s="37"/>
      <c r="D50" s="37">
        <f>+'KY_Cost Plant Acct-Gas-P20(Fin)'!D50+'KY_Cost-Plant Acct-Gas-P20 (PA)'!D50</f>
        <v>0</v>
      </c>
      <c r="E50" s="37"/>
      <c r="F50" s="37">
        <f>+'KY_Cost Plant Acct-Gas-P20(Fin)'!F50+'KY_Cost-Plant Acct-Gas-P20 (PA)'!F50</f>
        <v>0</v>
      </c>
      <c r="G50" s="37"/>
      <c r="H50" s="37">
        <f>+'KY_Cost Plant Acct-Gas-P20(Fin)'!H50+'KY_Cost-Plant Acct-Gas-P20 (PA)'!H50</f>
        <v>0</v>
      </c>
      <c r="I50" s="37"/>
      <c r="J50" s="37">
        <f t="shared" si="4"/>
        <v>0</v>
      </c>
      <c r="K50" s="37"/>
      <c r="L50" s="37">
        <f t="shared" si="5"/>
        <v>2322808.02</v>
      </c>
      <c r="M50" s="6"/>
    </row>
    <row r="51" spans="1:13">
      <c r="A51" t="s">
        <v>1092</v>
      </c>
      <c r="B51" s="37">
        <f>+'KY_Cost Plant Acct-Gas-P20(Fin)'!B51+'KY_Cost-Plant Acct-Gas-P20 (PA)'!B51</f>
        <v>4020335.8</v>
      </c>
      <c r="C51" s="37"/>
      <c r="D51" s="37">
        <f>+'KY_Cost Plant Acct-Gas-P20(Fin)'!D51+'KY_Cost-Plant Acct-Gas-P20 (PA)'!D51</f>
        <v>4559.62</v>
      </c>
      <c r="E51" s="37"/>
      <c r="F51" s="37">
        <f>+'KY_Cost Plant Acct-Gas-P20(Fin)'!F51+'KY_Cost-Plant Acct-Gas-P20 (PA)'!F51</f>
        <v>0</v>
      </c>
      <c r="G51" s="37"/>
      <c r="H51" s="37">
        <f>+'KY_Cost Plant Acct-Gas-P20(Fin)'!H51+'KY_Cost-Plant Acct-Gas-P20 (PA)'!H51</f>
        <v>0</v>
      </c>
      <c r="I51" s="37"/>
      <c r="J51" s="37">
        <f t="shared" si="4"/>
        <v>4559.62</v>
      </c>
      <c r="K51" s="37"/>
      <c r="L51" s="37">
        <f t="shared" si="5"/>
        <v>4024895.42</v>
      </c>
      <c r="M51" s="6"/>
    </row>
    <row r="52" spans="1:13">
      <c r="A52" t="s">
        <v>16</v>
      </c>
      <c r="B52" s="37">
        <f>+'KY_Cost Plant Acct-Gas-P20(Fin)'!B52+'KY_Cost-Plant Acct-Gas-P20 (PA)'!B52</f>
        <v>7159987.2099999981</v>
      </c>
      <c r="C52" s="37"/>
      <c r="D52" s="37">
        <f>+'KY_Cost Plant Acct-Gas-P20(Fin)'!D52+'KY_Cost-Plant Acct-Gas-P20 (PA)'!D52</f>
        <v>147253.93</v>
      </c>
      <c r="E52" s="37"/>
      <c r="F52" s="37">
        <f>+'KY_Cost Plant Acct-Gas-P20(Fin)'!F52+'KY_Cost-Plant Acct-Gas-P20 (PA)'!F52</f>
        <v>-3971.8799999999992</v>
      </c>
      <c r="G52" s="37"/>
      <c r="H52" s="37">
        <f>+'KY_Cost Plant Acct-Gas-P20(Fin)'!H52+'KY_Cost-Plant Acct-Gas-P20 (PA)'!H52</f>
        <v>0</v>
      </c>
      <c r="I52" s="37"/>
      <c r="J52" s="37">
        <f t="shared" si="4"/>
        <v>143282.04999999999</v>
      </c>
      <c r="K52" s="37"/>
      <c r="L52" s="37">
        <f t="shared" si="5"/>
        <v>7303269.2599999979</v>
      </c>
      <c r="M52" s="6"/>
    </row>
    <row r="53" spans="1:13">
      <c r="A53" t="s">
        <v>565</v>
      </c>
      <c r="B53" s="37">
        <f>+'KY_Cost Plant Acct-Gas-P20(Fin)'!B53+'KY_Cost-Plant Acct-Gas-P20 (PA)'!B53</f>
        <v>11126927.370000001</v>
      </c>
      <c r="C53" s="37"/>
      <c r="D53" s="37">
        <f>+'KY_Cost Plant Acct-Gas-P20(Fin)'!D53+'KY_Cost-Plant Acct-Gas-P20 (PA)'!D53</f>
        <v>193948.64</v>
      </c>
      <c r="E53" s="37"/>
      <c r="F53" s="37">
        <f>+'KY_Cost Plant Acct-Gas-P20(Fin)'!F53+'KY_Cost-Plant Acct-Gas-P20 (PA)'!F53</f>
        <v>-12423.730000000001</v>
      </c>
      <c r="G53" s="37"/>
      <c r="H53" s="37">
        <f>+'KY_Cost Plant Acct-Gas-P20(Fin)'!H53+'KY_Cost-Plant Acct-Gas-P20 (PA)'!H53</f>
        <v>-47941.689999999995</v>
      </c>
      <c r="I53" s="37"/>
      <c r="J53" s="37">
        <f t="shared" si="4"/>
        <v>133583.22000000003</v>
      </c>
      <c r="K53" s="37"/>
      <c r="L53" s="37">
        <f t="shared" si="5"/>
        <v>11260510.590000002</v>
      </c>
      <c r="M53" s="6"/>
    </row>
    <row r="54" spans="1:13">
      <c r="A54" t="s">
        <v>566</v>
      </c>
      <c r="B54" s="37">
        <f>+'KY_Cost Plant Acct-Gas-P20(Fin)'!B54+'KY_Cost-Plant Acct-Gas-P20 (PA)'!B54</f>
        <v>111885.89999999997</v>
      </c>
      <c r="C54" s="37"/>
      <c r="D54" s="37">
        <f>+'KY_Cost Plant Acct-Gas-P20(Fin)'!D54+'KY_Cost-Plant Acct-Gas-P20 (PA)'!D54</f>
        <v>0</v>
      </c>
      <c r="E54" s="37"/>
      <c r="F54" s="37">
        <f>+'KY_Cost Plant Acct-Gas-P20(Fin)'!F54+'KY_Cost-Plant Acct-Gas-P20 (PA)'!F54</f>
        <v>0</v>
      </c>
      <c r="G54" s="37"/>
      <c r="H54" s="37">
        <f>+'KY_Cost Plant Acct-Gas-P20(Fin)'!H54+'KY_Cost-Plant Acct-Gas-P20 (PA)'!H54</f>
        <v>0</v>
      </c>
      <c r="I54" s="37"/>
      <c r="J54" s="37">
        <f t="shared" si="4"/>
        <v>0</v>
      </c>
      <c r="K54" s="37"/>
      <c r="L54" s="37">
        <f t="shared" si="5"/>
        <v>111885.89999999997</v>
      </c>
      <c r="M54" s="6"/>
    </row>
    <row r="55" spans="1:13">
      <c r="A55" t="s">
        <v>567</v>
      </c>
      <c r="B55" s="37">
        <f>+'KY_Cost Plant Acct-Gas-P20(Fin)'!B55+'KY_Cost-Plant Acct-Gas-P20 (PA)'!B55</f>
        <v>7871014.4600000009</v>
      </c>
      <c r="C55" s="37"/>
      <c r="D55" s="37">
        <f>+'KY_Cost Plant Acct-Gas-P20(Fin)'!D55+'KY_Cost-Plant Acct-Gas-P20 (PA)'!D55</f>
        <v>105827.81</v>
      </c>
      <c r="E55" s="37"/>
      <c r="F55" s="37">
        <f>+'KY_Cost Plant Acct-Gas-P20(Fin)'!F55+'KY_Cost-Plant Acct-Gas-P20 (PA)'!F55</f>
        <v>-1719.7699999999995</v>
      </c>
      <c r="G55" s="37"/>
      <c r="H55" s="37">
        <f>+'KY_Cost Plant Acct-Gas-P20(Fin)'!H55+'KY_Cost-Plant Acct-Gas-P20 (PA)'!H55</f>
        <v>47941.689999999995</v>
      </c>
      <c r="I55" s="37"/>
      <c r="J55" s="37">
        <f t="shared" si="4"/>
        <v>152049.72999999998</v>
      </c>
      <c r="K55" s="37"/>
      <c r="L55" s="37">
        <f t="shared" si="5"/>
        <v>8023064.1900000013</v>
      </c>
      <c r="M55" s="6"/>
    </row>
    <row r="56" spans="1:13">
      <c r="A56" t="s">
        <v>17</v>
      </c>
      <c r="B56" s="37">
        <f>+'KY_Cost Plant Acct-Gas-P20(Fin)'!B56+'KY_Cost-Plant Acct-Gas-P20 (PA)'!B56</f>
        <v>867391.17000000016</v>
      </c>
      <c r="C56" s="37"/>
      <c r="D56" s="37">
        <f>+'KY_Cost Plant Acct-Gas-P20(Fin)'!D56+'KY_Cost-Plant Acct-Gas-P20 (PA)'!D56</f>
        <v>28270.68</v>
      </c>
      <c r="E56" s="37"/>
      <c r="F56" s="37">
        <f>+'KY_Cost Plant Acct-Gas-P20(Fin)'!F56+'KY_Cost-Plant Acct-Gas-P20 (PA)'!F56</f>
        <v>0</v>
      </c>
      <c r="G56" s="37"/>
      <c r="H56" s="37">
        <f>+'KY_Cost Plant Acct-Gas-P20(Fin)'!H56+'KY_Cost-Plant Acct-Gas-P20 (PA)'!H56</f>
        <v>0</v>
      </c>
      <c r="I56" s="37"/>
      <c r="J56" s="37">
        <f t="shared" si="4"/>
        <v>28270.68</v>
      </c>
      <c r="K56" s="37"/>
      <c r="L56" s="37">
        <f t="shared" si="5"/>
        <v>895661.85000000021</v>
      </c>
      <c r="M56" s="6"/>
    </row>
    <row r="57" spans="1:13">
      <c r="A57" t="s">
        <v>568</v>
      </c>
      <c r="B57" s="37">
        <f>+'KY_Cost Plant Acct-Gas-P20(Fin)'!B57+'KY_Cost-Plant Acct-Gas-P20 (PA)'!B57</f>
        <v>30876.410000000003</v>
      </c>
      <c r="C57" s="37"/>
      <c r="D57" s="37">
        <f>+'KY_Cost Plant Acct-Gas-P20(Fin)'!D57+'KY_Cost-Plant Acct-Gas-P20 (PA)'!D57</f>
        <v>0</v>
      </c>
      <c r="E57" s="37"/>
      <c r="F57" s="37">
        <f>+'KY_Cost Plant Acct-Gas-P20(Fin)'!F57+'KY_Cost-Plant Acct-Gas-P20 (PA)'!F57</f>
        <v>0</v>
      </c>
      <c r="G57" s="37"/>
      <c r="H57" s="37">
        <f>+'KY_Cost Plant Acct-Gas-P20(Fin)'!H57+'KY_Cost-Plant Acct-Gas-P20 (PA)'!H57</f>
        <v>0</v>
      </c>
      <c r="I57" s="37"/>
      <c r="J57" s="37">
        <f t="shared" si="4"/>
        <v>0</v>
      </c>
      <c r="K57" s="37"/>
      <c r="L57" s="37">
        <f t="shared" si="5"/>
        <v>30876.410000000003</v>
      </c>
      <c r="M57" s="6"/>
    </row>
    <row r="58" spans="1:13">
      <c r="A58" t="s">
        <v>569</v>
      </c>
      <c r="B58" s="35">
        <f>+'KY_Cost Plant Acct-Gas-P20(Fin)'!B58+'KY_Cost-Plant Acct-Gas-P20 (PA)'!B58</f>
        <v>5170297.07</v>
      </c>
      <c r="C58" s="37"/>
      <c r="D58" s="35">
        <f>+'KY_Cost Plant Acct-Gas-P20(Fin)'!D58+'KY_Cost-Plant Acct-Gas-P20 (PA)'!D58</f>
        <v>0</v>
      </c>
      <c r="E58" s="37"/>
      <c r="F58" s="35">
        <f>+'KY_Cost Plant Acct-Gas-P20(Fin)'!F58+'KY_Cost-Plant Acct-Gas-P20 (PA)'!F58</f>
        <v>0</v>
      </c>
      <c r="G58" s="37"/>
      <c r="H58" s="35">
        <f>+'KY_Cost Plant Acct-Gas-P20(Fin)'!H58+'KY_Cost-Plant Acct-Gas-P20 (PA)'!H58</f>
        <v>0</v>
      </c>
      <c r="I58" s="37"/>
      <c r="J58" s="35">
        <f t="shared" si="4"/>
        <v>0</v>
      </c>
      <c r="K58" s="37"/>
      <c r="L58" s="35">
        <f t="shared" si="5"/>
        <v>5170297.07</v>
      </c>
      <c r="M58" s="6"/>
    </row>
    <row r="59" spans="1:13">
      <c r="B59" s="37">
        <f>SUM(B41:B58)</f>
        <v>46742123.599999994</v>
      </c>
      <c r="C59" s="37"/>
      <c r="D59" s="37">
        <f>SUM(D41:D58)</f>
        <v>506119.75</v>
      </c>
      <c r="E59" s="37"/>
      <c r="F59" s="37">
        <f>SUM(F41:F58)</f>
        <v>-18115.38</v>
      </c>
      <c r="G59" s="37"/>
      <c r="H59" s="37">
        <f>SUM(H41:H58)</f>
        <v>0</v>
      </c>
      <c r="I59" s="37"/>
      <c r="J59" s="37">
        <f>SUM(J41:J58)</f>
        <v>488004.37</v>
      </c>
      <c r="K59" s="37"/>
      <c r="L59" s="37">
        <f>SUM(L41:L58)</f>
        <v>47230127.969999999</v>
      </c>
      <c r="M59" s="6"/>
    </row>
    <row r="60" spans="1:13">
      <c r="B60" s="33"/>
      <c r="C60" s="33"/>
      <c r="D60" s="33"/>
      <c r="E60" s="33"/>
      <c r="F60" s="33"/>
      <c r="G60" s="33"/>
      <c r="H60" s="33"/>
      <c r="I60" s="33"/>
      <c r="J60" s="33"/>
      <c r="K60" s="33"/>
      <c r="L60" s="33"/>
      <c r="M60" s="1"/>
    </row>
    <row r="61" spans="1:13">
      <c r="A61" s="3" t="s">
        <v>125</v>
      </c>
      <c r="B61" s="33"/>
      <c r="C61" s="33"/>
      <c r="D61" s="33"/>
      <c r="E61" s="33"/>
      <c r="F61" s="33"/>
      <c r="G61" s="33"/>
      <c r="H61" s="33"/>
      <c r="I61" s="33"/>
      <c r="J61" s="33"/>
      <c r="K61" s="33"/>
      <c r="L61" s="33"/>
      <c r="M61" s="1"/>
    </row>
    <row r="62" spans="1:13">
      <c r="A62" t="s">
        <v>570</v>
      </c>
      <c r="B62" s="33">
        <f>+'KY_Cost Plant Acct-Gas-P20(Fin)'!B62+'KY_Cost-Plant Acct-Gas-P20 (PA)'!B62</f>
        <v>12516.679999999993</v>
      </c>
      <c r="C62" s="33"/>
      <c r="D62" s="33">
        <f>+'KY_Cost Plant Acct-Gas-P20(Fin)'!D62+'KY_Cost-Plant Acct-Gas-P20 (PA)'!D62</f>
        <v>0</v>
      </c>
      <c r="E62" s="33"/>
      <c r="F62" s="33">
        <f>+'KY_Cost Plant Acct-Gas-P20(Fin)'!F62+'KY_Cost-Plant Acct-Gas-P20 (PA)'!F62</f>
        <v>0</v>
      </c>
      <c r="G62" s="33"/>
      <c r="H62" s="33">
        <f>+'KY_Cost Plant Acct-Gas-P20(Fin)'!H62+'KY_Cost-Plant Acct-Gas-P20 (PA)'!H62</f>
        <v>0</v>
      </c>
      <c r="I62" s="33"/>
      <c r="J62" s="33">
        <f>H62+F62+D62</f>
        <v>0</v>
      </c>
      <c r="K62" s="33"/>
      <c r="L62" s="33">
        <f>J62+B62</f>
        <v>12516.679999999993</v>
      </c>
      <c r="M62" s="1"/>
    </row>
    <row r="63" spans="1:13">
      <c r="A63" t="s">
        <v>571</v>
      </c>
      <c r="B63" s="300">
        <f>+'KY_Cost Plant Acct-Gas-P20(Fin)'!B63+'KY_Cost-Plant Acct-Gas-P20 (PA)'!B63</f>
        <v>8161307.8900000006</v>
      </c>
      <c r="C63" s="300"/>
      <c r="D63" s="300">
        <f>+'KY_Cost Plant Acct-Gas-P20(Fin)'!D63+'KY_Cost-Plant Acct-Gas-P20 (PA)'!D63</f>
        <v>882947.47</v>
      </c>
      <c r="E63" s="300"/>
      <c r="F63" s="300">
        <f>+'KY_Cost Plant Acct-Gas-P20(Fin)'!F63+'KY_Cost-Plant Acct-Gas-P20 (PA)'!F63</f>
        <v>-691.69</v>
      </c>
      <c r="G63" s="300"/>
      <c r="H63" s="300">
        <f>+'KY_Cost Plant Acct-Gas-P20(Fin)'!H63+'KY_Cost-Plant Acct-Gas-P20 (PA)'!H63</f>
        <v>134900.23000000001</v>
      </c>
      <c r="I63" s="300"/>
      <c r="J63" s="300">
        <f>H63+F63+D63</f>
        <v>1017156.01</v>
      </c>
      <c r="K63" s="300"/>
      <c r="L63" s="300">
        <f>J63+B63</f>
        <v>9178463.9000000004</v>
      </c>
      <c r="M63" s="1"/>
    </row>
    <row r="64" spans="1:13">
      <c r="A64" s="179" t="s">
        <v>1444</v>
      </c>
      <c r="B64" s="35">
        <f>+'KY_Cost Plant Acct-Gas-P20(Fin)'!B64+'KY_Cost-Plant Acct-Gas-P20 (PA)'!B64</f>
        <v>3941518.65</v>
      </c>
      <c r="C64" s="300"/>
      <c r="D64" s="35">
        <f>+'KY_Cost Plant Acct-Gas-P20(Fin)'!D64+'KY_Cost-Plant Acct-Gas-P20 (PA)'!D64</f>
        <v>0</v>
      </c>
      <c r="E64" s="300"/>
      <c r="F64" s="35">
        <f>+'KY_Cost Plant Acct-Gas-P20(Fin)'!F64+'KY_Cost-Plant Acct-Gas-P20 (PA)'!F64</f>
        <v>0</v>
      </c>
      <c r="G64" s="300"/>
      <c r="H64" s="35">
        <f>+'KY_Cost Plant Acct-Gas-P20(Fin)'!H64+'KY_Cost-Plant Acct-Gas-P20 (PA)'!H64</f>
        <v>0</v>
      </c>
      <c r="I64" s="300"/>
      <c r="J64" s="35">
        <f>H64+F64+D64</f>
        <v>0</v>
      </c>
      <c r="K64" s="300"/>
      <c r="L64" s="35">
        <f>J64+B64</f>
        <v>3941518.65</v>
      </c>
      <c r="M64" s="1"/>
    </row>
    <row r="65" spans="1:14">
      <c r="B65" s="37">
        <f>SUM(B62:B64)</f>
        <v>12115343.220000001</v>
      </c>
      <c r="C65" s="37"/>
      <c r="D65" s="37">
        <f>SUM(D62:D64)</f>
        <v>882947.47</v>
      </c>
      <c r="E65" s="37"/>
      <c r="F65" s="37">
        <f>SUM(F62:F64)</f>
        <v>-691.69</v>
      </c>
      <c r="G65" s="37"/>
      <c r="H65" s="37">
        <f>SUM(H62:H64)</f>
        <v>134900.23000000001</v>
      </c>
      <c r="I65" s="37"/>
      <c r="J65" s="37">
        <f>SUM(J62:J64)</f>
        <v>1017156.01</v>
      </c>
      <c r="K65" s="37"/>
      <c r="L65" s="37">
        <f>SUM(L62:L64)</f>
        <v>13132499.23</v>
      </c>
      <c r="M65" s="6"/>
    </row>
    <row r="66" spans="1:14">
      <c r="B66" s="37"/>
      <c r="C66" s="37"/>
      <c r="D66" s="37"/>
      <c r="E66" s="37"/>
      <c r="F66" s="37"/>
      <c r="G66" s="37"/>
      <c r="H66" s="37"/>
      <c r="I66" s="37"/>
      <c r="J66" s="37"/>
      <c r="K66" s="37"/>
      <c r="L66" s="37"/>
      <c r="M66" s="6"/>
    </row>
    <row r="67" spans="1:14">
      <c r="B67" s="37"/>
      <c r="C67" s="37"/>
      <c r="D67" s="37"/>
      <c r="E67" s="37"/>
      <c r="F67" s="37"/>
      <c r="G67" s="37"/>
      <c r="H67" s="37"/>
      <c r="I67" s="37"/>
      <c r="J67" s="37"/>
      <c r="K67" s="37"/>
      <c r="L67" s="37"/>
      <c r="M67" s="1"/>
    </row>
    <row r="68" spans="1:14">
      <c r="A68" s="3" t="s">
        <v>763</v>
      </c>
      <c r="B68" s="34">
        <f>B65+B59+B38+B34+B25</f>
        <v>532113020.48999989</v>
      </c>
      <c r="C68" s="37"/>
      <c r="D68" s="34">
        <f>D65+D59+D38+D34+D25</f>
        <v>4762381.92</v>
      </c>
      <c r="E68" s="37"/>
      <c r="F68" s="34">
        <f>F65+F59+F38+F34+F25</f>
        <v>-27938.79</v>
      </c>
      <c r="G68" s="37"/>
      <c r="H68" s="34">
        <f>H65+H59+H38+H34+H25</f>
        <v>0</v>
      </c>
      <c r="I68" s="37"/>
      <c r="J68" s="34">
        <f>J65+J59+J38+J34+J25</f>
        <v>4734443.13</v>
      </c>
      <c r="K68" s="37"/>
      <c r="L68" s="34">
        <f>L65+L59+L38+L34+L25</f>
        <v>536847463.61999989</v>
      </c>
      <c r="M68" s="1"/>
    </row>
    <row r="69" spans="1:14">
      <c r="B69" s="37"/>
      <c r="C69" s="37"/>
      <c r="D69" s="37"/>
      <c r="E69" s="37"/>
      <c r="F69" s="37"/>
      <c r="G69" s="37"/>
      <c r="H69" s="37"/>
      <c r="I69" s="37"/>
      <c r="J69" s="37"/>
      <c r="K69" s="37"/>
      <c r="L69" s="37"/>
      <c r="M69" s="1"/>
    </row>
    <row r="70" spans="1:14">
      <c r="B70" s="33"/>
      <c r="C70" s="33"/>
      <c r="D70" s="33"/>
      <c r="E70" s="33"/>
      <c r="F70" s="33"/>
      <c r="G70" s="33"/>
      <c r="H70" s="33"/>
      <c r="I70" s="33"/>
      <c r="J70" s="33"/>
      <c r="K70" s="33"/>
      <c r="L70" s="33"/>
      <c r="M70" s="1"/>
    </row>
    <row r="71" spans="1:14">
      <c r="A71" s="3" t="s">
        <v>689</v>
      </c>
      <c r="B71" s="33"/>
      <c r="C71" s="33"/>
      <c r="D71" s="33"/>
      <c r="E71" s="33"/>
      <c r="F71" s="33"/>
      <c r="G71" s="33"/>
      <c r="H71" s="33"/>
      <c r="I71" s="33"/>
      <c r="J71" s="33"/>
      <c r="K71" s="33"/>
      <c r="L71" s="33"/>
      <c r="M71" s="1"/>
    </row>
    <row r="72" spans="1:14">
      <c r="A72" s="3" t="s">
        <v>121</v>
      </c>
      <c r="B72" s="33"/>
      <c r="C72" s="33"/>
      <c r="D72" s="33"/>
      <c r="E72" s="33"/>
      <c r="F72" s="33"/>
      <c r="G72" s="33"/>
      <c r="H72" s="33"/>
      <c r="I72" s="33"/>
      <c r="J72" s="33"/>
      <c r="K72" s="33"/>
      <c r="L72" s="33"/>
      <c r="M72" s="1"/>
    </row>
    <row r="73" spans="1:14">
      <c r="A73" s="10" t="s">
        <v>850</v>
      </c>
      <c r="B73" s="33">
        <f>+'KY_Cost Plant Acct-Gas-P20(Fin)'!B73+'KY_Cost-Plant Acct-Gas-P20 (PA)'!B73</f>
        <v>0</v>
      </c>
      <c r="C73" s="33"/>
      <c r="D73" s="33">
        <f>+'KY_Cost Plant Acct-Gas-P20(Fin)'!D73+'KY_Cost-Plant Acct-Gas-P20 (PA)'!D73</f>
        <v>0</v>
      </c>
      <c r="E73" s="33"/>
      <c r="F73" s="33">
        <f>+'KY_Cost Plant Acct-Gas-P20(Fin)'!F73+'KY_Cost-Plant Acct-Gas-P20 (PA)'!F73</f>
        <v>0</v>
      </c>
      <c r="G73" s="33"/>
      <c r="H73" s="33">
        <f>+'KY_Cost Plant Acct-Gas-P20(Fin)'!H73+'KY_Cost-Plant Acct-Gas-P20 (PA)'!H73</f>
        <v>0</v>
      </c>
      <c r="I73" s="33"/>
      <c r="J73" s="33">
        <f t="shared" ref="J73:J82" si="6">H73+F73+D73</f>
        <v>0</v>
      </c>
      <c r="K73" s="33"/>
      <c r="L73" s="33">
        <f t="shared" ref="L73:L82" si="7">J73+B73</f>
        <v>0</v>
      </c>
      <c r="M73" s="1"/>
    </row>
    <row r="74" spans="1:14">
      <c r="A74" s="10" t="s">
        <v>83</v>
      </c>
      <c r="B74" s="33">
        <f>+'KY_Cost Plant Acct-Gas-P20(Fin)'!B74+'KY_Cost-Plant Acct-Gas-P20 (PA)'!B74</f>
        <v>0</v>
      </c>
      <c r="C74" s="33"/>
      <c r="D74" s="33">
        <f>+'KY_Cost Plant Acct-Gas-P20(Fin)'!D74+'KY_Cost-Plant Acct-Gas-P20 (PA)'!D74</f>
        <v>0</v>
      </c>
      <c r="E74" s="33"/>
      <c r="F74" s="33">
        <f>+'KY_Cost Plant Acct-Gas-P20(Fin)'!F74+'KY_Cost-Plant Acct-Gas-P20 (PA)'!F74</f>
        <v>0</v>
      </c>
      <c r="G74" s="33"/>
      <c r="H74" s="33">
        <f>+'KY_Cost Plant Acct-Gas-P20(Fin)'!H74+'KY_Cost-Plant Acct-Gas-P20 (PA)'!H74</f>
        <v>0</v>
      </c>
      <c r="I74" s="33"/>
      <c r="J74" s="33">
        <f t="shared" si="6"/>
        <v>0</v>
      </c>
      <c r="K74" s="33"/>
      <c r="L74" s="33">
        <f t="shared" si="7"/>
        <v>0</v>
      </c>
      <c r="M74" s="1"/>
    </row>
    <row r="75" spans="1:14">
      <c r="A75" s="10" t="s">
        <v>72</v>
      </c>
      <c r="B75" s="33">
        <f>+'KY_Cost Plant Acct-Gas-P20(Fin)'!B75+'KY_Cost-Plant Acct-Gas-P20 (PA)'!B75</f>
        <v>11002430.850000007</v>
      </c>
      <c r="C75" s="33"/>
      <c r="D75" s="33">
        <f>+'KY_Cost Plant Acct-Gas-P20(Fin)'!D75+'KY_Cost-Plant Acct-Gas-P20 (PA)'!D75</f>
        <v>9755190.879999999</v>
      </c>
      <c r="E75" s="33"/>
      <c r="F75" s="33">
        <f>+'KY_Cost Plant Acct-Gas-P20(Fin)'!F75+'KY_Cost-Plant Acct-Gas-P20 (PA)'!F75</f>
        <v>0</v>
      </c>
      <c r="G75" s="33"/>
      <c r="H75" s="33">
        <f>+'KY_Cost Plant Acct-Gas-P20(Fin)'!H75+'KY_Cost-Plant Acct-Gas-P20 (PA)'!H75</f>
        <v>0</v>
      </c>
      <c r="I75" s="33"/>
      <c r="J75" s="33">
        <f t="shared" si="6"/>
        <v>9755190.879999999</v>
      </c>
      <c r="K75" s="33"/>
      <c r="L75" s="33">
        <f t="shared" si="7"/>
        <v>20757621.730000004</v>
      </c>
      <c r="M75" s="1"/>
      <c r="N75" s="89"/>
    </row>
    <row r="76" spans="1:14">
      <c r="A76" t="s">
        <v>73</v>
      </c>
      <c r="B76" s="33">
        <f>+'KY_Cost Plant Acct-Gas-P20(Fin)'!B76+'KY_Cost-Plant Acct-Gas-P20 (PA)'!B76</f>
        <v>824434.66</v>
      </c>
      <c r="C76" s="33"/>
      <c r="D76" s="33">
        <f>+'KY_Cost Plant Acct-Gas-P20(Fin)'!D76+'KY_Cost-Plant Acct-Gas-P20 (PA)'!D76</f>
        <v>-99250.09</v>
      </c>
      <c r="E76" s="33"/>
      <c r="F76" s="33">
        <f>+'KY_Cost Plant Acct-Gas-P20(Fin)'!F76+'KY_Cost-Plant Acct-Gas-P20 (PA)'!F76</f>
        <v>0</v>
      </c>
      <c r="G76" s="33"/>
      <c r="H76" s="33">
        <f>+'KY_Cost Plant Acct-Gas-P20(Fin)'!H76+'KY_Cost-Plant Acct-Gas-P20 (PA)'!H76</f>
        <v>0</v>
      </c>
      <c r="I76" s="33"/>
      <c r="J76" s="33">
        <f t="shared" si="6"/>
        <v>-99250.09</v>
      </c>
      <c r="K76" s="33"/>
      <c r="L76" s="33">
        <f t="shared" si="7"/>
        <v>725184.57000000007</v>
      </c>
      <c r="M76" s="1"/>
      <c r="N76" s="89"/>
    </row>
    <row r="77" spans="1:14">
      <c r="A77" t="s">
        <v>74</v>
      </c>
      <c r="B77" s="33">
        <f>+'KY_Cost Plant Acct-Gas-P20(Fin)'!B77+'KY_Cost-Plant Acct-Gas-P20 (PA)'!B77</f>
        <v>0</v>
      </c>
      <c r="C77" s="33"/>
      <c r="D77" s="33">
        <f>+'KY_Cost Plant Acct-Gas-P20(Fin)'!D77+'KY_Cost-Plant Acct-Gas-P20 (PA)'!D77</f>
        <v>76938.37</v>
      </c>
      <c r="E77" s="33"/>
      <c r="F77" s="33">
        <f>+'KY_Cost Plant Acct-Gas-P20(Fin)'!F77+'KY_Cost-Plant Acct-Gas-P20 (PA)'!F77</f>
        <v>0</v>
      </c>
      <c r="G77" s="33"/>
      <c r="H77" s="33">
        <f>+'KY_Cost Plant Acct-Gas-P20(Fin)'!H77+'KY_Cost-Plant Acct-Gas-P20 (PA)'!H77</f>
        <v>0</v>
      </c>
      <c r="I77" s="33"/>
      <c r="J77" s="33">
        <f t="shared" si="6"/>
        <v>76938.37</v>
      </c>
      <c r="K77" s="33"/>
      <c r="L77" s="33">
        <f t="shared" si="7"/>
        <v>76938.37</v>
      </c>
      <c r="M77" s="1"/>
    </row>
    <row r="78" spans="1:14">
      <c r="A78" t="s">
        <v>75</v>
      </c>
      <c r="B78" s="37">
        <f>+'KY_Cost Plant Acct-Gas-P20(Fin)'!B78+'KY_Cost-Plant Acct-Gas-P20 (PA)'!B78</f>
        <v>6698075.2499999991</v>
      </c>
      <c r="C78" s="37"/>
      <c r="D78" s="37">
        <f>+'KY_Cost Plant Acct-Gas-P20(Fin)'!D78+'KY_Cost-Plant Acct-Gas-P20 (PA)'!D78</f>
        <v>1755480.48</v>
      </c>
      <c r="E78" s="37"/>
      <c r="F78" s="37">
        <f>+'KY_Cost Plant Acct-Gas-P20(Fin)'!F78+'KY_Cost-Plant Acct-Gas-P20 (PA)'!F78</f>
        <v>0</v>
      </c>
      <c r="G78" s="37"/>
      <c r="H78" s="37">
        <f>+'KY_Cost Plant Acct-Gas-P20(Fin)'!H78+'KY_Cost-Plant Acct-Gas-P20 (PA)'!H78</f>
        <v>0</v>
      </c>
      <c r="I78" s="37"/>
      <c r="J78" s="37">
        <f t="shared" si="6"/>
        <v>1755480.48</v>
      </c>
      <c r="K78" s="37"/>
      <c r="L78" s="37">
        <f t="shared" si="7"/>
        <v>8453555.7299999986</v>
      </c>
      <c r="M78" s="1"/>
      <c r="N78" s="89"/>
    </row>
    <row r="79" spans="1:14">
      <c r="A79" t="s">
        <v>76</v>
      </c>
      <c r="B79" s="37">
        <f>+'KY_Cost Plant Acct-Gas-P20(Fin)'!B79+'KY_Cost-Plant Acct-Gas-P20 (PA)'!B79</f>
        <v>0</v>
      </c>
      <c r="C79" s="37"/>
      <c r="D79" s="37">
        <f>+'KY_Cost Plant Acct-Gas-P20(Fin)'!D79+'KY_Cost-Plant Acct-Gas-P20 (PA)'!D79</f>
        <v>156773.64000000001</v>
      </c>
      <c r="E79" s="37"/>
      <c r="F79" s="37">
        <f>+'KY_Cost Plant Acct-Gas-P20(Fin)'!F79+'KY_Cost-Plant Acct-Gas-P20 (PA)'!F79</f>
        <v>0</v>
      </c>
      <c r="G79" s="37"/>
      <c r="H79" s="37">
        <f>+'KY_Cost Plant Acct-Gas-P20(Fin)'!H79+'KY_Cost-Plant Acct-Gas-P20 (PA)'!H79</f>
        <v>0</v>
      </c>
      <c r="I79" s="37"/>
      <c r="J79" s="37">
        <f t="shared" si="6"/>
        <v>156773.64000000001</v>
      </c>
      <c r="K79" s="37"/>
      <c r="L79" s="37">
        <f t="shared" si="7"/>
        <v>156773.64000000001</v>
      </c>
      <c r="M79" s="1"/>
    </row>
    <row r="80" spans="1:14">
      <c r="A80" t="s">
        <v>77</v>
      </c>
      <c r="B80" s="37">
        <f>+'KY_Cost Plant Acct-Gas-P20(Fin)'!B80+'KY_Cost-Plant Acct-Gas-P20 (PA)'!B80</f>
        <v>332843.38999999873</v>
      </c>
      <c r="C80" s="37"/>
      <c r="D80" s="37">
        <f>+'KY_Cost Plant Acct-Gas-P20(Fin)'!D80+'KY_Cost-Plant Acct-Gas-P20 (PA)'!D80</f>
        <v>436751.28</v>
      </c>
      <c r="E80" s="37"/>
      <c r="F80" s="37">
        <f>+'KY_Cost Plant Acct-Gas-P20(Fin)'!F80+'KY_Cost-Plant Acct-Gas-P20 (PA)'!F80</f>
        <v>0</v>
      </c>
      <c r="G80" s="37"/>
      <c r="H80" s="37">
        <f>+'KY_Cost Plant Acct-Gas-P20(Fin)'!H80+'KY_Cost-Plant Acct-Gas-P20 (PA)'!H80</f>
        <v>0</v>
      </c>
      <c r="I80" s="37"/>
      <c r="J80" s="37">
        <f t="shared" si="6"/>
        <v>436751.28</v>
      </c>
      <c r="K80" s="37"/>
      <c r="L80" s="37">
        <f t="shared" si="7"/>
        <v>769594.66999999876</v>
      </c>
      <c r="M80" s="1"/>
      <c r="N80" s="89"/>
    </row>
    <row r="81" spans="1:14">
      <c r="A81" t="s">
        <v>78</v>
      </c>
      <c r="B81" s="37">
        <f>+'KY_Cost Plant Acct-Gas-P20(Fin)'!B81+'KY_Cost-Plant Acct-Gas-P20 (PA)'!B81</f>
        <v>0</v>
      </c>
      <c r="C81" s="37"/>
      <c r="D81" s="37">
        <f>+'KY_Cost Plant Acct-Gas-P20(Fin)'!D81+'KY_Cost-Plant Acct-Gas-P20 (PA)'!D81</f>
        <v>0</v>
      </c>
      <c r="E81" s="37"/>
      <c r="F81" s="37">
        <f>+'KY_Cost Plant Acct-Gas-P20(Fin)'!F81+'KY_Cost-Plant Acct-Gas-P20 (PA)'!F81</f>
        <v>0</v>
      </c>
      <c r="G81" s="37"/>
      <c r="H81" s="37">
        <f>+'KY_Cost Plant Acct-Gas-P20(Fin)'!H81+'KY_Cost-Plant Acct-Gas-P20 (PA)'!H81</f>
        <v>0</v>
      </c>
      <c r="I81" s="37"/>
      <c r="J81" s="37">
        <f t="shared" si="6"/>
        <v>0</v>
      </c>
      <c r="K81" s="37"/>
      <c r="L81" s="37">
        <f t="shared" si="7"/>
        <v>0</v>
      </c>
      <c r="M81" s="1"/>
      <c r="N81" s="89"/>
    </row>
    <row r="82" spans="1:14">
      <c r="A82" t="s">
        <v>79</v>
      </c>
      <c r="B82" s="35">
        <f>+'KY_Cost Plant Acct-Gas-P20(Fin)'!B82+'KY_Cost-Plant Acct-Gas-P20 (PA)'!B82</f>
        <v>0</v>
      </c>
      <c r="C82" s="37"/>
      <c r="D82" s="35">
        <f>+'KY_Cost Plant Acct-Gas-P20(Fin)'!D82+'KY_Cost-Plant Acct-Gas-P20 (PA)'!D82</f>
        <v>0</v>
      </c>
      <c r="E82" s="37"/>
      <c r="F82" s="35">
        <f>+'KY_Cost Plant Acct-Gas-P20(Fin)'!F82+'KY_Cost-Plant Acct-Gas-P20 (PA)'!F82</f>
        <v>0</v>
      </c>
      <c r="G82" s="37"/>
      <c r="H82" s="35">
        <f>+'KY_Cost Plant Acct-Gas-P20(Fin)'!H82+'KY_Cost-Plant Acct-Gas-P20 (PA)'!H82</f>
        <v>0</v>
      </c>
      <c r="I82" s="37"/>
      <c r="J82" s="35">
        <f t="shared" si="6"/>
        <v>0</v>
      </c>
      <c r="K82" s="37"/>
      <c r="L82" s="35">
        <f t="shared" si="7"/>
        <v>0</v>
      </c>
      <c r="M82" s="1"/>
      <c r="N82" s="89"/>
    </row>
    <row r="83" spans="1:14">
      <c r="B83" s="37">
        <f>SUM(B73:B82)</f>
        <v>18857784.150000006</v>
      </c>
      <c r="C83" s="37"/>
      <c r="D83" s="37">
        <f>SUM(D73:D82)</f>
        <v>12081884.559999999</v>
      </c>
      <c r="E83" s="37"/>
      <c r="F83" s="37">
        <f>SUM(F75:F81)</f>
        <v>0</v>
      </c>
      <c r="G83" s="37"/>
      <c r="H83" s="37">
        <f>SUM(H75:H81)</f>
        <v>0</v>
      </c>
      <c r="I83" s="37"/>
      <c r="J83" s="37">
        <f>SUM(J73:J82)</f>
        <v>12081884.559999999</v>
      </c>
      <c r="K83" s="37"/>
      <c r="L83" s="37">
        <f>SUM(L73:L82)</f>
        <v>30939668.710000005</v>
      </c>
      <c r="M83" s="1"/>
    </row>
    <row r="84" spans="1:14">
      <c r="B84" s="37"/>
      <c r="C84" s="37"/>
      <c r="D84" s="37"/>
      <c r="E84" s="37"/>
      <c r="F84" s="37"/>
      <c r="G84" s="37"/>
      <c r="H84" s="37"/>
      <c r="I84" s="37"/>
      <c r="J84" s="37"/>
      <c r="K84" s="37"/>
      <c r="L84" s="37"/>
      <c r="M84" s="1"/>
    </row>
    <row r="85" spans="1:14">
      <c r="A85" s="3" t="s">
        <v>122</v>
      </c>
      <c r="B85" s="33"/>
      <c r="C85" s="33"/>
      <c r="D85" s="33"/>
      <c r="E85" s="33"/>
      <c r="F85" s="33"/>
      <c r="G85" s="33"/>
      <c r="H85" s="33"/>
      <c r="I85" s="33"/>
      <c r="J85" s="33"/>
      <c r="K85" s="33"/>
      <c r="L85" s="33"/>
      <c r="M85" s="1"/>
    </row>
    <row r="86" spans="1:14">
      <c r="A86" t="s">
        <v>899</v>
      </c>
      <c r="B86" s="33">
        <f>+'KY_Cost Plant Acct-Gas-P20(Fin)'!B86+'KY_Cost-Plant Acct-Gas-P20 (PA)'!B86</f>
        <v>0</v>
      </c>
      <c r="C86" s="33"/>
      <c r="D86" s="33">
        <f>+'KY_Cost Plant Acct-Gas-P20(Fin)'!D86+'KY_Cost-Plant Acct-Gas-P20 (PA)'!D86</f>
        <v>0</v>
      </c>
      <c r="E86" s="33"/>
      <c r="F86" s="33">
        <f>+'KY_Cost Plant Acct-Gas-P20(Fin)'!F86+'KY_Cost-Plant Acct-Gas-P20 (PA)'!F86</f>
        <v>0</v>
      </c>
      <c r="G86" s="33"/>
      <c r="H86" s="33">
        <f>+'KY_Cost Plant Acct-Gas-P20(Fin)'!H86+'KY_Cost-Plant Acct-Gas-P20 (PA)'!H86</f>
        <v>0</v>
      </c>
      <c r="I86" s="33"/>
      <c r="J86" s="33">
        <f t="shared" ref="J86:J91" si="8">H86+F86+D86</f>
        <v>0</v>
      </c>
      <c r="K86" s="33"/>
      <c r="L86" s="33">
        <f t="shared" ref="L86:L91" si="9">J86+B86</f>
        <v>0</v>
      </c>
      <c r="M86" s="1"/>
    </row>
    <row r="87" spans="1:14">
      <c r="A87" t="s">
        <v>900</v>
      </c>
      <c r="B87" s="33">
        <f>+'KY_Cost Plant Acct-Gas-P20(Fin)'!B87+'KY_Cost-Plant Acct-Gas-P20 (PA)'!B87</f>
        <v>42896.12</v>
      </c>
      <c r="C87" s="33"/>
      <c r="D87" s="33">
        <f>+'KY_Cost Plant Acct-Gas-P20(Fin)'!D87+'KY_Cost-Plant Acct-Gas-P20 (PA)'!D87</f>
        <v>-42896.12</v>
      </c>
      <c r="E87" s="33"/>
      <c r="F87" s="33">
        <f>+'KY_Cost Plant Acct-Gas-P20(Fin)'!F87+'KY_Cost-Plant Acct-Gas-P20 (PA)'!F87</f>
        <v>0</v>
      </c>
      <c r="G87" s="33"/>
      <c r="H87" s="33">
        <f>+'KY_Cost Plant Acct-Gas-P20(Fin)'!H87+'KY_Cost-Plant Acct-Gas-P20 (PA)'!H87</f>
        <v>0</v>
      </c>
      <c r="I87" s="33"/>
      <c r="J87" s="33">
        <f t="shared" si="8"/>
        <v>-42896.12</v>
      </c>
      <c r="K87" s="33"/>
      <c r="L87" s="33">
        <f t="shared" si="9"/>
        <v>0</v>
      </c>
      <c r="M87" s="1"/>
    </row>
    <row r="88" spans="1:14">
      <c r="A88" t="s">
        <v>901</v>
      </c>
      <c r="B88" s="33">
        <f>+'KY_Cost Plant Acct-Gas-P20(Fin)'!B88+'KY_Cost-Plant Acct-Gas-P20 (PA)'!B88</f>
        <v>99838.790000000008</v>
      </c>
      <c r="C88" s="33"/>
      <c r="D88" s="33">
        <f>+'KY_Cost Plant Acct-Gas-P20(Fin)'!D88+'KY_Cost-Plant Acct-Gas-P20 (PA)'!D88</f>
        <v>-35540.99</v>
      </c>
      <c r="E88" s="33"/>
      <c r="F88" s="33">
        <f>+'KY_Cost Plant Acct-Gas-P20(Fin)'!F88+'KY_Cost-Plant Acct-Gas-P20 (PA)'!F88</f>
        <v>0</v>
      </c>
      <c r="G88" s="33"/>
      <c r="H88" s="33">
        <f>+'KY_Cost Plant Acct-Gas-P20(Fin)'!H88+'KY_Cost-Plant Acct-Gas-P20 (PA)'!H88</f>
        <v>0</v>
      </c>
      <c r="I88" s="33"/>
      <c r="J88" s="33">
        <f t="shared" si="8"/>
        <v>-35540.99</v>
      </c>
      <c r="K88" s="33"/>
      <c r="L88" s="33">
        <f t="shared" si="9"/>
        <v>64297.80000000001</v>
      </c>
      <c r="M88" s="1"/>
    </row>
    <row r="89" spans="1:14">
      <c r="A89" t="s">
        <v>995</v>
      </c>
      <c r="B89" s="33">
        <f>+'KY_Cost Plant Acct-Gas-P20(Fin)'!B89+'KY_Cost-Plant Acct-Gas-P20 (PA)'!B89</f>
        <v>0</v>
      </c>
      <c r="C89" s="33"/>
      <c r="D89" s="33">
        <f>+'KY_Cost Plant Acct-Gas-P20(Fin)'!D89+'KY_Cost-Plant Acct-Gas-P20 (PA)'!D89</f>
        <v>0</v>
      </c>
      <c r="E89" s="33"/>
      <c r="F89" s="33">
        <f>+'KY_Cost Plant Acct-Gas-P20(Fin)'!F89+'KY_Cost-Plant Acct-Gas-P20 (PA)'!F89</f>
        <v>0</v>
      </c>
      <c r="G89" s="33"/>
      <c r="H89" s="33">
        <f>+'KY_Cost Plant Acct-Gas-P20(Fin)'!H89+'KY_Cost-Plant Acct-Gas-P20 (PA)'!H89</f>
        <v>0</v>
      </c>
      <c r="I89" s="33"/>
      <c r="J89" s="33">
        <f t="shared" si="8"/>
        <v>0</v>
      </c>
      <c r="K89" s="33"/>
      <c r="L89" s="33">
        <f t="shared" si="9"/>
        <v>0</v>
      </c>
      <c r="M89" s="1"/>
    </row>
    <row r="90" spans="1:14">
      <c r="A90" t="s">
        <v>996</v>
      </c>
      <c r="B90" s="37">
        <f>+'KY_Cost Plant Acct-Gas-P20(Fin)'!B90+'KY_Cost-Plant Acct-Gas-P20 (PA)'!B90</f>
        <v>0</v>
      </c>
      <c r="C90" s="37"/>
      <c r="D90" s="37">
        <f>+'KY_Cost Plant Acct-Gas-P20(Fin)'!D90+'KY_Cost-Plant Acct-Gas-P20 (PA)'!D90</f>
        <v>0</v>
      </c>
      <c r="E90" s="37"/>
      <c r="F90" s="37">
        <f>+'KY_Cost Plant Acct-Gas-P20(Fin)'!F90+'KY_Cost-Plant Acct-Gas-P20 (PA)'!F90</f>
        <v>0</v>
      </c>
      <c r="G90" s="37"/>
      <c r="H90" s="37">
        <f>+'KY_Cost Plant Acct-Gas-P20(Fin)'!H90+'KY_Cost-Plant Acct-Gas-P20 (PA)'!H90</f>
        <v>0</v>
      </c>
      <c r="I90" s="37"/>
      <c r="J90" s="37">
        <f t="shared" si="8"/>
        <v>0</v>
      </c>
      <c r="K90" s="37"/>
      <c r="L90" s="37">
        <f t="shared" si="9"/>
        <v>0</v>
      </c>
      <c r="M90" s="6"/>
    </row>
    <row r="91" spans="1:14">
      <c r="A91" t="s">
        <v>997</v>
      </c>
      <c r="B91" s="35">
        <f>+'KY_Cost Plant Acct-Gas-P20(Fin)'!B91+'KY_Cost-Plant Acct-Gas-P20 (PA)'!B91</f>
        <v>114219.07</v>
      </c>
      <c r="C91" s="37"/>
      <c r="D91" s="35">
        <f>+'KY_Cost Plant Acct-Gas-P20(Fin)'!D91+'KY_Cost-Plant Acct-Gas-P20 (PA)'!D91</f>
        <v>0</v>
      </c>
      <c r="E91" s="37"/>
      <c r="F91" s="35">
        <f>+'KY_Cost Plant Acct-Gas-P20(Fin)'!F91+'KY_Cost-Plant Acct-Gas-P20 (PA)'!F91</f>
        <v>0</v>
      </c>
      <c r="G91" s="37"/>
      <c r="H91" s="35">
        <f>+'KY_Cost Plant Acct-Gas-P20(Fin)'!H91+'KY_Cost-Plant Acct-Gas-P20 (PA)'!H91</f>
        <v>0</v>
      </c>
      <c r="I91" s="37"/>
      <c r="J91" s="35">
        <f t="shared" si="8"/>
        <v>0</v>
      </c>
      <c r="K91" s="37"/>
      <c r="L91" s="35">
        <f t="shared" si="9"/>
        <v>114219.07</v>
      </c>
      <c r="M91" s="6"/>
    </row>
    <row r="92" spans="1:14">
      <c r="B92" s="37">
        <f>SUM(B86:B91)</f>
        <v>256953.98</v>
      </c>
      <c r="C92" s="37"/>
      <c r="D92" s="37">
        <f>SUM(D86:D91)</f>
        <v>-78437.11</v>
      </c>
      <c r="E92" s="37"/>
      <c r="F92" s="37">
        <f>SUM(F86:F91)</f>
        <v>0</v>
      </c>
      <c r="G92" s="37"/>
      <c r="H92" s="37">
        <f>SUM(H86:H91)</f>
        <v>0</v>
      </c>
      <c r="I92" s="37"/>
      <c r="J92" s="37">
        <f>SUM(J86:J91)</f>
        <v>-78437.11</v>
      </c>
      <c r="K92" s="37"/>
      <c r="L92" s="37">
        <f>SUM(L86:L91)</f>
        <v>178516.87000000002</v>
      </c>
      <c r="M92" s="6"/>
    </row>
    <row r="93" spans="1:14">
      <c r="B93" s="37"/>
      <c r="C93" s="37"/>
      <c r="D93" s="37"/>
      <c r="E93" s="37"/>
      <c r="F93" s="37"/>
      <c r="G93" s="37"/>
      <c r="H93" s="37"/>
      <c r="I93" s="37"/>
      <c r="J93" s="37"/>
      <c r="K93" s="37"/>
      <c r="L93" s="37"/>
      <c r="M93" s="6"/>
    </row>
    <row r="94" spans="1:14">
      <c r="A94" s="3" t="s">
        <v>124</v>
      </c>
      <c r="B94" s="37"/>
      <c r="C94" s="37"/>
      <c r="D94" s="37"/>
      <c r="E94" s="37"/>
      <c r="F94" s="37"/>
      <c r="G94" s="37"/>
      <c r="H94" s="37"/>
      <c r="I94" s="37"/>
      <c r="J94" s="37"/>
      <c r="K94" s="37"/>
      <c r="L94" s="37"/>
      <c r="M94" s="1"/>
    </row>
    <row r="95" spans="1:14">
      <c r="A95" t="s">
        <v>560</v>
      </c>
      <c r="B95" s="37">
        <f>+'KY_Cost Plant Acct-Gas-P20(Fin)'!B95+'KY_Cost-Plant Acct-Gas-P20 (PA)'!B95</f>
        <v>0</v>
      </c>
      <c r="C95" s="37"/>
      <c r="D95" s="37">
        <f>+'KY_Cost Plant Acct-Gas-P20(Fin)'!D95+'KY_Cost-Plant Acct-Gas-P20 (PA)'!D95</f>
        <v>15818.620000000003</v>
      </c>
      <c r="E95" s="37"/>
      <c r="F95" s="37">
        <f>+'KY_Cost Plant Acct-Gas-P20(Fin)'!F95+'KY_Cost-Plant Acct-Gas-P20 (PA)'!F95</f>
        <v>0</v>
      </c>
      <c r="G95" s="37"/>
      <c r="H95" s="37">
        <f>+'KY_Cost Plant Acct-Gas-P20(Fin)'!H95+'KY_Cost-Plant Acct-Gas-P20 (PA)'!H95</f>
        <v>0</v>
      </c>
      <c r="I95" s="37"/>
      <c r="J95" s="37">
        <f t="shared" ref="J95:J102" si="10">H95+F95+D95</f>
        <v>15818.620000000003</v>
      </c>
      <c r="K95" s="37"/>
      <c r="L95" s="37">
        <f t="shared" ref="L95:L102" si="11">J95+B95</f>
        <v>15818.620000000003</v>
      </c>
      <c r="M95" s="1"/>
    </row>
    <row r="96" spans="1:14">
      <c r="A96" t="s">
        <v>14</v>
      </c>
      <c r="B96" s="37">
        <f>+'KY_Cost Plant Acct-Gas-P20(Fin)'!B96+'KY_Cost-Plant Acct-Gas-P20 (PA)'!B96</f>
        <v>0</v>
      </c>
      <c r="C96" s="37"/>
      <c r="D96" s="37">
        <f>+'KY_Cost Plant Acct-Gas-P20(Fin)'!D96+'KY_Cost-Plant Acct-Gas-P20 (PA)'!D96</f>
        <v>0</v>
      </c>
      <c r="E96" s="37"/>
      <c r="F96" s="37">
        <f>+'KY_Cost Plant Acct-Gas-P20(Fin)'!F96+'KY_Cost-Plant Acct-Gas-P20 (PA)'!F96</f>
        <v>0</v>
      </c>
      <c r="G96" s="37"/>
      <c r="H96" s="37">
        <f>+'KY_Cost Plant Acct-Gas-P20(Fin)'!H96+'KY_Cost-Plant Acct-Gas-P20 (PA)'!H96</f>
        <v>0</v>
      </c>
      <c r="I96" s="37"/>
      <c r="J96" s="37">
        <f t="shared" si="10"/>
        <v>0</v>
      </c>
      <c r="K96" s="37"/>
      <c r="L96" s="37">
        <f t="shared" si="11"/>
        <v>0</v>
      </c>
      <c r="M96" s="1"/>
    </row>
    <row r="97" spans="1:13">
      <c r="A97" s="179" t="s">
        <v>1093</v>
      </c>
      <c r="B97" s="37">
        <f>+'KY_Cost Plant Acct-Gas-P20(Fin)'!B97+'KY_Cost-Plant Acct-Gas-P20 (PA)'!B97</f>
        <v>0</v>
      </c>
      <c r="C97" s="37"/>
      <c r="D97" s="37">
        <f>+'KY_Cost Plant Acct-Gas-P20(Fin)'!D97+'KY_Cost-Plant Acct-Gas-P20 (PA)'!D97</f>
        <v>309537.40000000002</v>
      </c>
      <c r="E97" s="37"/>
      <c r="F97" s="37">
        <f>+'KY_Cost Plant Acct-Gas-P20(Fin)'!F97+'KY_Cost-Plant Acct-Gas-P20 (PA)'!F97</f>
        <v>0</v>
      </c>
      <c r="G97" s="37"/>
      <c r="H97" s="37">
        <f>+'KY_Cost Plant Acct-Gas-P20(Fin)'!H97+'KY_Cost-Plant Acct-Gas-P20 (PA)'!H97</f>
        <v>0</v>
      </c>
      <c r="I97" s="37"/>
      <c r="J97" s="37">
        <f t="shared" si="10"/>
        <v>309537.40000000002</v>
      </c>
      <c r="K97" s="37"/>
      <c r="L97" s="37">
        <f t="shared" si="11"/>
        <v>309537.40000000002</v>
      </c>
      <c r="M97" s="1"/>
    </row>
    <row r="98" spans="1:13">
      <c r="A98" s="179" t="s">
        <v>1092</v>
      </c>
      <c r="B98" s="37">
        <f>+'KY_Cost Plant Acct-Gas-P20(Fin)'!B98+'KY_Cost-Plant Acct-Gas-P20 (PA)'!B98</f>
        <v>94689.33</v>
      </c>
      <c r="C98" s="37"/>
      <c r="D98" s="37">
        <f>+'KY_Cost Plant Acct-Gas-P20(Fin)'!D98+'KY_Cost-Plant Acct-Gas-P20 (PA)'!D98</f>
        <v>816892.76</v>
      </c>
      <c r="E98" s="37"/>
      <c r="F98" s="37">
        <f>+'KY_Cost Plant Acct-Gas-P20(Fin)'!F98+'KY_Cost-Plant Acct-Gas-P20 (PA)'!F98</f>
        <v>0</v>
      </c>
      <c r="G98" s="37"/>
      <c r="H98" s="37">
        <f>+'KY_Cost Plant Acct-Gas-P20(Fin)'!H98+'KY_Cost-Plant Acct-Gas-P20 (PA)'!H98</f>
        <v>0</v>
      </c>
      <c r="I98" s="37"/>
      <c r="J98" s="37">
        <f t="shared" si="10"/>
        <v>816892.76</v>
      </c>
      <c r="K98" s="37"/>
      <c r="L98" s="37">
        <f t="shared" si="11"/>
        <v>911582.09</v>
      </c>
      <c r="M98" s="1"/>
    </row>
    <row r="99" spans="1:13">
      <c r="A99" t="s">
        <v>16</v>
      </c>
      <c r="B99" s="37">
        <f>+'KY_Cost Plant Acct-Gas-P20(Fin)'!B99+'KY_Cost-Plant Acct-Gas-P20 (PA)'!B99</f>
        <v>147253.93</v>
      </c>
      <c r="C99" s="37"/>
      <c r="D99" s="37">
        <f>+'KY_Cost Plant Acct-Gas-P20(Fin)'!D99+'KY_Cost-Plant Acct-Gas-P20 (PA)'!D99</f>
        <v>-138031.51999999999</v>
      </c>
      <c r="E99" s="37"/>
      <c r="F99" s="37">
        <f>+'KY_Cost Plant Acct-Gas-P20(Fin)'!F99+'KY_Cost-Plant Acct-Gas-P20 (PA)'!F99</f>
        <v>0</v>
      </c>
      <c r="G99" s="37"/>
      <c r="H99" s="37">
        <f>+'KY_Cost Plant Acct-Gas-P20(Fin)'!H99+'KY_Cost-Plant Acct-Gas-P20 (PA)'!H99</f>
        <v>0</v>
      </c>
      <c r="I99" s="37"/>
      <c r="J99" s="37">
        <f t="shared" si="10"/>
        <v>-138031.51999999999</v>
      </c>
      <c r="K99" s="37"/>
      <c r="L99" s="37">
        <f t="shared" si="11"/>
        <v>9222.4100000000035</v>
      </c>
      <c r="M99" s="1"/>
    </row>
    <row r="100" spans="1:13">
      <c r="A100" t="s">
        <v>565</v>
      </c>
      <c r="B100" s="37">
        <f>+'KY_Cost Plant Acct-Gas-P20(Fin)'!B100+'KY_Cost-Plant Acct-Gas-P20 (PA)'!B100</f>
        <v>121352.84999999995</v>
      </c>
      <c r="C100" s="37"/>
      <c r="D100" s="37">
        <f>+'KY_Cost Plant Acct-Gas-P20(Fin)'!D100+'KY_Cost-Plant Acct-Gas-P20 (PA)'!D100</f>
        <v>609850.35</v>
      </c>
      <c r="E100" s="37"/>
      <c r="F100" s="37">
        <f>+'KY_Cost Plant Acct-Gas-P20(Fin)'!F100+'KY_Cost-Plant Acct-Gas-P20 (PA)'!F100</f>
        <v>0</v>
      </c>
      <c r="G100" s="37"/>
      <c r="H100" s="37">
        <f>+'KY_Cost Plant Acct-Gas-P20(Fin)'!H100+'KY_Cost-Plant Acct-Gas-P20 (PA)'!H100</f>
        <v>0</v>
      </c>
      <c r="I100" s="37"/>
      <c r="J100" s="37">
        <f t="shared" si="10"/>
        <v>609850.35</v>
      </c>
      <c r="K100" s="37"/>
      <c r="L100" s="37">
        <f t="shared" si="11"/>
        <v>731203.2</v>
      </c>
      <c r="M100" s="1"/>
    </row>
    <row r="101" spans="1:13">
      <c r="A101" t="s">
        <v>566</v>
      </c>
      <c r="B101" s="37">
        <f>+'KY_Cost Plant Acct-Gas-P20(Fin)'!B101+'KY_Cost-Plant Acct-Gas-P20 (PA)'!B101</f>
        <v>132741.44</v>
      </c>
      <c r="C101" s="37"/>
      <c r="D101" s="37">
        <f>+'KY_Cost Plant Acct-Gas-P20(Fin)'!D101+'KY_Cost-Plant Acct-Gas-P20 (PA)'!D101</f>
        <v>0</v>
      </c>
      <c r="E101" s="37"/>
      <c r="F101" s="37">
        <f>+'KY_Cost Plant Acct-Gas-P20(Fin)'!F101+'KY_Cost-Plant Acct-Gas-P20 (PA)'!F101</f>
        <v>0</v>
      </c>
      <c r="G101" s="37"/>
      <c r="H101" s="37">
        <f>+'KY_Cost Plant Acct-Gas-P20(Fin)'!H101+'KY_Cost-Plant Acct-Gas-P20 (PA)'!H101</f>
        <v>0</v>
      </c>
      <c r="I101" s="37"/>
      <c r="J101" s="37">
        <f t="shared" si="10"/>
        <v>0</v>
      </c>
      <c r="K101" s="37"/>
      <c r="L101" s="37">
        <f t="shared" si="11"/>
        <v>132741.44</v>
      </c>
      <c r="M101" s="1"/>
    </row>
    <row r="102" spans="1:13">
      <c r="A102" t="s">
        <v>567</v>
      </c>
      <c r="B102" s="37">
        <f>+'KY_Cost Plant Acct-Gas-P20(Fin)'!B102+'KY_Cost-Plant Acct-Gas-P20 (PA)'!B102</f>
        <v>0</v>
      </c>
      <c r="C102" s="37"/>
      <c r="D102" s="37">
        <f>+'KY_Cost Plant Acct-Gas-P20(Fin)'!D102+'KY_Cost-Plant Acct-Gas-P20 (PA)'!D102</f>
        <v>1221105.6200000001</v>
      </c>
      <c r="E102" s="37"/>
      <c r="F102" s="37">
        <f>+'KY_Cost Plant Acct-Gas-P20(Fin)'!F102+'KY_Cost-Plant Acct-Gas-P20 (PA)'!F102</f>
        <v>0</v>
      </c>
      <c r="G102" s="37"/>
      <c r="H102" s="37">
        <f>+'KY_Cost Plant Acct-Gas-P20(Fin)'!H102+'KY_Cost-Plant Acct-Gas-P20 (PA)'!H102</f>
        <v>0</v>
      </c>
      <c r="I102" s="37"/>
      <c r="J102" s="37">
        <f t="shared" si="10"/>
        <v>1221105.6200000001</v>
      </c>
      <c r="K102" s="37"/>
      <c r="L102" s="37">
        <f t="shared" si="11"/>
        <v>1221105.6200000001</v>
      </c>
      <c r="M102" s="1"/>
    </row>
    <row r="103" spans="1:13">
      <c r="A103" t="s">
        <v>17</v>
      </c>
      <c r="B103" s="35">
        <f>+'KY_Cost Plant Acct-Gas-P20(Fin)'!B103</f>
        <v>16492.54</v>
      </c>
      <c r="C103" s="37"/>
      <c r="D103" s="35">
        <f>+'KY_Cost Plant Acct-Gas-P20(Fin)'!D103</f>
        <v>12573.470000000003</v>
      </c>
      <c r="E103" s="37"/>
      <c r="F103" s="35">
        <f>+'KY_Cost Plant Acct-Gas-P20(Fin)'!F103</f>
        <v>0</v>
      </c>
      <c r="G103" s="37"/>
      <c r="H103" s="35">
        <f>+'KY_Cost Plant Acct-Gas-P20(Fin)'!H103</f>
        <v>0</v>
      </c>
      <c r="I103" s="37"/>
      <c r="J103" s="35">
        <f t="shared" ref="J103" si="12">H103+F103+D103</f>
        <v>12573.470000000003</v>
      </c>
      <c r="K103" s="37"/>
      <c r="L103" s="35">
        <f t="shared" ref="L103" si="13">J103+B103</f>
        <v>29066.010000000002</v>
      </c>
      <c r="M103" s="1"/>
    </row>
    <row r="104" spans="1:13">
      <c r="B104" s="37">
        <f>SUM(B95:B103)</f>
        <v>512530.08999999997</v>
      </c>
      <c r="C104" s="37"/>
      <c r="D104" s="37">
        <f>SUM(D95:D103)</f>
        <v>2847746.7</v>
      </c>
      <c r="E104" s="37"/>
      <c r="F104" s="37">
        <f>SUM(F95:F103)</f>
        <v>0</v>
      </c>
      <c r="G104" s="37"/>
      <c r="H104" s="37">
        <f>SUM(H95:H103)</f>
        <v>0</v>
      </c>
      <c r="I104" s="37"/>
      <c r="J104" s="37">
        <f>SUM(J95:J103)</f>
        <v>2847746.7</v>
      </c>
      <c r="K104" s="37"/>
      <c r="L104" s="37">
        <f>SUM(L95:L103)</f>
        <v>3360276.7899999996</v>
      </c>
      <c r="M104" s="1"/>
    </row>
    <row r="105" spans="1:13">
      <c r="B105" s="37"/>
      <c r="C105" s="37"/>
      <c r="D105" s="37"/>
      <c r="E105" s="37"/>
      <c r="F105" s="37"/>
      <c r="G105" s="37"/>
      <c r="H105" s="37"/>
      <c r="I105" s="37"/>
      <c r="J105" s="37"/>
      <c r="K105" s="37"/>
      <c r="L105" s="37"/>
      <c r="M105" s="1"/>
    </row>
    <row r="106" spans="1:13">
      <c r="A106" s="3" t="s">
        <v>125</v>
      </c>
      <c r="B106" s="37"/>
      <c r="C106" s="37"/>
      <c r="D106" s="37"/>
      <c r="E106" s="37"/>
      <c r="F106" s="37"/>
      <c r="G106" s="37"/>
      <c r="H106" s="37"/>
      <c r="I106" s="37"/>
      <c r="J106" s="37"/>
      <c r="K106" s="37"/>
      <c r="L106" s="37"/>
      <c r="M106" s="1"/>
    </row>
    <row r="107" spans="1:13">
      <c r="A107" t="s">
        <v>571</v>
      </c>
      <c r="B107" s="35">
        <f>+'KY_Cost Plant Acct-Gas-P20(Fin)'!B107+'KY_Cost-Plant Acct-Gas-P20 (PA)'!B106</f>
        <v>1459528.0299999996</v>
      </c>
      <c r="C107" s="37"/>
      <c r="D107" s="35">
        <f>+'KY_Cost Plant Acct-Gas-P20(Fin)'!D107+'KY_Cost-Plant Acct-Gas-P20 (PA)'!D106</f>
        <v>-916290.49</v>
      </c>
      <c r="E107" s="37"/>
      <c r="F107" s="35">
        <f>+'KY_Cost Plant Acct-Gas-P20(Fin)'!F107+'KY_Cost-Plant Acct-Gas-P20 (PA)'!F106</f>
        <v>0</v>
      </c>
      <c r="G107" s="37"/>
      <c r="H107" s="35">
        <f>+'KY_Cost Plant Acct-Gas-P20(Fin)'!H107+'KY_Cost-Plant Acct-Gas-P20 (PA)'!H106</f>
        <v>0</v>
      </c>
      <c r="I107" s="37"/>
      <c r="J107" s="35">
        <f>H107+F107+D107</f>
        <v>-916290.49</v>
      </c>
      <c r="K107" s="37"/>
      <c r="L107" s="35">
        <f>J107+B107</f>
        <v>543237.53999999957</v>
      </c>
      <c r="M107" s="1"/>
    </row>
    <row r="108" spans="1:13">
      <c r="B108" s="37">
        <f>SUM(B107)</f>
        <v>1459528.0299999996</v>
      </c>
      <c r="C108" s="37"/>
      <c r="D108" s="37">
        <f>SUM(D107)</f>
        <v>-916290.49</v>
      </c>
      <c r="E108" s="37"/>
      <c r="F108" s="37">
        <f>SUM(F107)</f>
        <v>0</v>
      </c>
      <c r="G108" s="37"/>
      <c r="H108" s="37">
        <f>SUM(H107)</f>
        <v>0</v>
      </c>
      <c r="I108" s="37"/>
      <c r="J108" s="37">
        <f>SUM(J107)</f>
        <v>-916290.49</v>
      </c>
      <c r="K108" s="37"/>
      <c r="L108" s="37">
        <f>SUM(L107)</f>
        <v>543237.53999999957</v>
      </c>
      <c r="M108" s="1"/>
    </row>
    <row r="109" spans="1:13">
      <c r="B109" s="37"/>
      <c r="C109" s="37"/>
      <c r="D109" s="37"/>
      <c r="E109" s="37"/>
      <c r="F109" s="37"/>
      <c r="G109" s="37"/>
      <c r="H109" s="37"/>
      <c r="I109" s="37"/>
      <c r="J109" s="37"/>
      <c r="K109" s="37"/>
      <c r="L109" s="37"/>
      <c r="M109" s="1"/>
    </row>
    <row r="110" spans="1:13">
      <c r="B110" s="37"/>
      <c r="C110" s="33"/>
      <c r="D110" s="37"/>
      <c r="E110" s="33"/>
      <c r="F110" s="37"/>
      <c r="G110" s="33"/>
      <c r="H110" s="37"/>
      <c r="I110" s="33"/>
      <c r="J110" s="37"/>
      <c r="K110" s="33"/>
      <c r="L110" s="37"/>
      <c r="M110" s="1"/>
    </row>
    <row r="111" spans="1:13">
      <c r="B111" s="33"/>
      <c r="C111" s="33"/>
      <c r="D111" s="33"/>
      <c r="E111" s="33"/>
      <c r="F111" s="33"/>
      <c r="G111" s="33"/>
      <c r="H111" s="33"/>
      <c r="I111" s="33"/>
      <c r="J111" s="33"/>
      <c r="K111" s="33"/>
      <c r="L111" s="33"/>
      <c r="M111" s="1"/>
    </row>
    <row r="112" spans="1:13">
      <c r="A112" s="3" t="s">
        <v>764</v>
      </c>
      <c r="B112" s="34">
        <f>B104+B83+B92+B108</f>
        <v>21086796.250000007</v>
      </c>
      <c r="C112" s="37"/>
      <c r="D112" s="34">
        <f>D104+D83+D92+D108</f>
        <v>13934903.659999998</v>
      </c>
      <c r="E112" s="37"/>
      <c r="F112" s="34">
        <f>F104+F83+F92+F108</f>
        <v>0</v>
      </c>
      <c r="G112" s="37"/>
      <c r="H112" s="34">
        <f>H104+H83+H92+H108</f>
        <v>0</v>
      </c>
      <c r="I112" s="37"/>
      <c r="J112" s="34">
        <f>J104+J83+J92+J108</f>
        <v>13934903.659999998</v>
      </c>
      <c r="K112" s="37"/>
      <c r="L112" s="34">
        <f>L104+L83+L92+L108</f>
        <v>35021699.910000004</v>
      </c>
      <c r="M112" s="6"/>
    </row>
    <row r="113" spans="1:13">
      <c r="B113" s="37"/>
      <c r="C113" s="33"/>
      <c r="D113" s="37"/>
      <c r="E113" s="33"/>
      <c r="F113" s="37"/>
      <c r="G113" s="33"/>
      <c r="H113" s="37"/>
      <c r="I113" s="33"/>
      <c r="J113" s="37"/>
      <c r="K113" s="33"/>
      <c r="L113" s="37"/>
      <c r="M113" s="1"/>
    </row>
    <row r="114" spans="1:13">
      <c r="B114" s="33"/>
      <c r="C114" s="33"/>
      <c r="D114" s="33"/>
      <c r="E114" s="33"/>
      <c r="F114" s="33"/>
      <c r="G114" s="33"/>
      <c r="H114" s="33"/>
      <c r="I114" s="33"/>
      <c r="J114" s="33"/>
      <c r="K114" s="33"/>
      <c r="L114" s="33"/>
      <c r="M114" s="1"/>
    </row>
    <row r="115" spans="1:13" ht="13.5" thickBot="1">
      <c r="A115" s="3" t="s">
        <v>692</v>
      </c>
      <c r="B115" s="44">
        <f>B112+B68</f>
        <v>553199816.73999989</v>
      </c>
      <c r="C115" s="33"/>
      <c r="D115" s="44">
        <f>D112+D68</f>
        <v>18697285.579999998</v>
      </c>
      <c r="E115" s="33"/>
      <c r="F115" s="44">
        <f>F112+F68</f>
        <v>-27938.79</v>
      </c>
      <c r="G115" s="33"/>
      <c r="H115" s="44">
        <f>H112+H68</f>
        <v>0</v>
      </c>
      <c r="I115" s="33"/>
      <c r="J115" s="44">
        <f>J112+J68</f>
        <v>18669346.789999999</v>
      </c>
      <c r="K115" s="33"/>
      <c r="L115" s="44">
        <f>L112+L68</f>
        <v>571869163.52999985</v>
      </c>
      <c r="M115" s="1"/>
    </row>
    <row r="116" spans="1:13" ht="13.5" thickTop="1">
      <c r="B116" s="33"/>
      <c r="C116" s="33"/>
      <c r="D116" s="33"/>
      <c r="E116" s="33"/>
      <c r="F116" s="33"/>
      <c r="G116" s="33"/>
      <c r="H116" s="33"/>
      <c r="I116" s="33"/>
      <c r="J116" s="33"/>
      <c r="K116" s="33"/>
      <c r="L116" s="33"/>
      <c r="M116" s="1"/>
    </row>
    <row r="117" spans="1:13">
      <c r="B117" s="33"/>
      <c r="C117" s="33"/>
      <c r="D117" s="33"/>
      <c r="E117" s="33"/>
      <c r="F117" s="33"/>
      <c r="G117" s="33"/>
      <c r="H117" s="33"/>
      <c r="I117" s="33"/>
      <c r="J117" s="33"/>
      <c r="K117" s="33"/>
      <c r="L117" s="33"/>
      <c r="M117" s="1"/>
    </row>
    <row r="118" spans="1:13">
      <c r="B118" s="33"/>
      <c r="C118" s="33"/>
      <c r="D118" s="33"/>
      <c r="E118" s="33"/>
      <c r="F118" s="33"/>
      <c r="G118" s="33"/>
      <c r="H118" s="33"/>
      <c r="I118" s="33"/>
      <c r="J118" s="33"/>
      <c r="K118" s="33"/>
      <c r="L118" s="33"/>
      <c r="M118" s="1"/>
    </row>
    <row r="119" spans="1:13">
      <c r="B119" s="1"/>
      <c r="C119" s="1"/>
      <c r="D119" s="1"/>
      <c r="E119" s="1"/>
      <c r="F119" s="1"/>
      <c r="G119" s="1"/>
      <c r="H119" s="1"/>
      <c r="I119" s="1"/>
      <c r="J119" s="1"/>
      <c r="K119" s="1"/>
      <c r="L119" s="1"/>
      <c r="M119" s="1"/>
    </row>
    <row r="120" spans="1:13">
      <c r="B120" s="1"/>
      <c r="C120" s="1"/>
      <c r="D120" s="1"/>
      <c r="E120" s="1"/>
      <c r="F120" s="1"/>
      <c r="G120" s="1"/>
      <c r="H120" s="1"/>
      <c r="I120" s="1"/>
      <c r="J120" s="1"/>
      <c r="K120" s="1"/>
      <c r="L120" s="1"/>
      <c r="M120" s="1"/>
    </row>
    <row r="121" spans="1:13">
      <c r="B121" s="1"/>
      <c r="C121" s="1"/>
      <c r="D121" s="1"/>
      <c r="E121" s="1"/>
      <c r="F121" s="1"/>
      <c r="G121" s="1"/>
      <c r="H121" s="1"/>
      <c r="I121" s="1"/>
      <c r="J121" s="1"/>
      <c r="K121" s="1"/>
      <c r="L121" s="1"/>
      <c r="M121" s="1"/>
    </row>
    <row r="122" spans="1:13">
      <c r="B122" s="1"/>
      <c r="C122" s="1"/>
      <c r="D122" s="1"/>
      <c r="E122" s="1"/>
      <c r="F122" s="1"/>
      <c r="G122" s="1"/>
      <c r="H122" s="1"/>
      <c r="I122" s="1"/>
      <c r="J122" s="1"/>
      <c r="K122" s="1"/>
      <c r="L122" s="1"/>
      <c r="M122" s="1"/>
    </row>
    <row r="123" spans="1:13">
      <c r="B123" s="1"/>
      <c r="C123" s="1"/>
      <c r="D123" s="1"/>
      <c r="E123" s="1"/>
      <c r="F123" s="1"/>
      <c r="G123" s="1"/>
      <c r="H123" s="1"/>
      <c r="I123" s="1"/>
      <c r="J123" s="1"/>
      <c r="K123" s="1"/>
      <c r="L123" s="1"/>
      <c r="M123" s="1"/>
    </row>
    <row r="124" spans="1:13">
      <c r="B124" s="1"/>
      <c r="C124" s="1"/>
      <c r="D124" s="1"/>
      <c r="E124" s="1"/>
      <c r="F124" s="1"/>
      <c r="G124" s="1"/>
      <c r="H124" s="1"/>
      <c r="I124" s="1"/>
      <c r="J124" s="1"/>
      <c r="K124" s="1"/>
      <c r="L124" s="1"/>
      <c r="M124" s="1"/>
    </row>
    <row r="125" spans="1:13">
      <c r="B125" s="1"/>
      <c r="C125" s="1"/>
      <c r="D125" s="1"/>
      <c r="E125" s="1"/>
      <c r="F125" s="1"/>
      <c r="G125" s="1"/>
      <c r="H125" s="1"/>
      <c r="I125" s="1"/>
      <c r="J125" s="1"/>
      <c r="K125" s="1"/>
      <c r="L125" s="1"/>
      <c r="M125" s="1"/>
    </row>
    <row r="126" spans="1:13">
      <c r="B126" s="1"/>
      <c r="C126" s="1"/>
      <c r="D126" s="1"/>
      <c r="E126" s="1"/>
      <c r="F126" s="1"/>
      <c r="G126" s="1"/>
      <c r="H126" s="1"/>
      <c r="I126" s="1"/>
      <c r="J126" s="1"/>
      <c r="K126" s="1"/>
      <c r="L126" s="1"/>
      <c r="M126" s="1"/>
    </row>
    <row r="127" spans="1:13">
      <c r="B127" s="1"/>
      <c r="C127" s="1"/>
      <c r="D127" s="1"/>
      <c r="E127" s="1"/>
      <c r="F127" s="1"/>
      <c r="G127" s="1"/>
      <c r="H127" s="1"/>
      <c r="I127" s="1"/>
      <c r="J127" s="1"/>
      <c r="K127" s="1"/>
      <c r="L127" s="1"/>
      <c r="M127" s="1"/>
    </row>
    <row r="128" spans="1:13">
      <c r="B128" s="1"/>
      <c r="C128" s="1"/>
      <c r="D128" s="1"/>
      <c r="E128" s="1"/>
      <c r="F128" s="1"/>
      <c r="G128" s="1"/>
      <c r="H128" s="1"/>
      <c r="I128" s="1"/>
      <c r="J128" s="1"/>
      <c r="K128" s="1"/>
      <c r="L128" s="1"/>
      <c r="M128" s="1"/>
    </row>
    <row r="129" spans="2:13">
      <c r="B129" s="1"/>
      <c r="C129" s="1"/>
      <c r="D129" s="1"/>
      <c r="E129" s="1"/>
      <c r="F129" s="1"/>
      <c r="G129" s="1"/>
      <c r="H129" s="1"/>
      <c r="I129" s="1"/>
      <c r="J129" s="1"/>
      <c r="K129" s="1"/>
      <c r="L129" s="1"/>
      <c r="M129" s="1"/>
    </row>
    <row r="130" spans="2:13">
      <c r="B130" s="1"/>
      <c r="C130" s="1"/>
      <c r="D130" s="1"/>
      <c r="E130" s="1"/>
      <c r="F130" s="1"/>
      <c r="G130" s="1"/>
      <c r="H130" s="1"/>
      <c r="I130" s="1"/>
      <c r="J130" s="1"/>
      <c r="K130" s="1"/>
      <c r="L130" s="1"/>
      <c r="M130" s="1"/>
    </row>
    <row r="131" spans="2:13">
      <c r="B131" s="1"/>
      <c r="C131" s="1"/>
      <c r="D131" s="1"/>
      <c r="E131" s="1"/>
      <c r="F131" s="1"/>
      <c r="G131" s="1"/>
      <c r="H131" s="1"/>
      <c r="I131" s="1"/>
      <c r="J131" s="1"/>
      <c r="K131" s="1"/>
      <c r="L131" s="1"/>
      <c r="M131" s="1"/>
    </row>
    <row r="132" spans="2:13">
      <c r="B132" s="1"/>
      <c r="C132" s="1"/>
      <c r="D132" s="1"/>
      <c r="E132" s="1"/>
      <c r="F132" s="1"/>
      <c r="G132" s="1"/>
      <c r="H132" s="1"/>
      <c r="I132" s="1"/>
      <c r="J132" s="1"/>
      <c r="K132" s="1"/>
      <c r="L132" s="1"/>
      <c r="M132" s="1"/>
    </row>
    <row r="133" spans="2:13">
      <c r="B133" s="1"/>
      <c r="C133" s="1"/>
      <c r="D133" s="1"/>
      <c r="E133" s="1"/>
      <c r="F133" s="1"/>
      <c r="G133" s="1"/>
      <c r="H133" s="1"/>
      <c r="I133" s="1"/>
      <c r="J133" s="1"/>
      <c r="K133" s="1"/>
      <c r="L133" s="1"/>
      <c r="M133" s="1"/>
    </row>
    <row r="134" spans="2:13">
      <c r="B134" s="1"/>
      <c r="C134" s="1"/>
      <c r="D134" s="1"/>
      <c r="E134" s="1"/>
      <c r="F134" s="1"/>
      <c r="G134" s="1"/>
      <c r="H134" s="1"/>
      <c r="I134" s="1"/>
      <c r="J134" s="1"/>
      <c r="K134" s="1"/>
      <c r="L134" s="1"/>
      <c r="M134" s="1"/>
    </row>
    <row r="135" spans="2:13">
      <c r="B135" s="1"/>
      <c r="C135" s="1"/>
      <c r="D135" s="1"/>
      <c r="E135" s="1"/>
      <c r="F135" s="1"/>
      <c r="G135" s="1"/>
      <c r="H135" s="1"/>
      <c r="I135" s="1"/>
      <c r="J135" s="1"/>
      <c r="K135" s="1"/>
      <c r="L135" s="1"/>
      <c r="M135" s="1"/>
    </row>
    <row r="136" spans="2:13">
      <c r="B136" s="1"/>
      <c r="C136" s="1"/>
      <c r="D136" s="1"/>
      <c r="E136" s="1"/>
      <c r="F136" s="1"/>
      <c r="G136" s="1"/>
      <c r="H136" s="1"/>
      <c r="I136" s="1"/>
      <c r="J136" s="1"/>
      <c r="K136" s="1"/>
      <c r="L136" s="1"/>
      <c r="M136" s="1"/>
    </row>
    <row r="137" spans="2:13">
      <c r="B137" s="1"/>
      <c r="C137" s="1"/>
      <c r="D137" s="1"/>
      <c r="E137" s="1"/>
      <c r="F137" s="1"/>
      <c r="G137" s="1"/>
      <c r="H137" s="1"/>
      <c r="I137" s="1"/>
      <c r="J137" s="1"/>
      <c r="K137" s="1"/>
      <c r="L137" s="1"/>
      <c r="M137" s="1"/>
    </row>
    <row r="138" spans="2:13">
      <c r="B138" s="1"/>
      <c r="C138" s="1"/>
      <c r="D138" s="1"/>
      <c r="E138" s="1"/>
      <c r="F138" s="1"/>
      <c r="G138" s="1"/>
      <c r="H138" s="1"/>
      <c r="I138" s="1"/>
      <c r="J138" s="1"/>
      <c r="K138" s="1"/>
      <c r="L138" s="1"/>
      <c r="M138" s="1"/>
    </row>
    <row r="139" spans="2:13">
      <c r="B139" s="1"/>
      <c r="C139" s="1"/>
      <c r="D139" s="1"/>
      <c r="E139" s="1"/>
      <c r="F139" s="1"/>
      <c r="G139" s="1"/>
      <c r="H139" s="1"/>
      <c r="I139" s="1"/>
      <c r="J139" s="1"/>
      <c r="K139" s="1"/>
      <c r="L139" s="1"/>
      <c r="M139" s="1"/>
    </row>
    <row r="140" spans="2:13">
      <c r="B140" s="1"/>
      <c r="C140" s="1"/>
      <c r="D140" s="1"/>
      <c r="E140" s="1"/>
      <c r="F140" s="1"/>
      <c r="G140" s="1"/>
      <c r="H140" s="1"/>
      <c r="I140" s="1"/>
      <c r="J140" s="1"/>
      <c r="K140" s="1"/>
      <c r="L140" s="1"/>
      <c r="M140" s="1"/>
    </row>
    <row r="141" spans="2:13">
      <c r="B141" s="1"/>
      <c r="C141" s="1"/>
      <c r="D141" s="1"/>
      <c r="E141" s="1"/>
      <c r="F141" s="1"/>
      <c r="G141" s="1"/>
      <c r="H141" s="1"/>
      <c r="I141" s="1"/>
      <c r="J141" s="1"/>
      <c r="K141" s="1"/>
      <c r="L141" s="1"/>
      <c r="M141" s="1"/>
    </row>
    <row r="142" spans="2:13">
      <c r="B142" s="1"/>
      <c r="C142" s="1"/>
      <c r="D142" s="1"/>
      <c r="E142" s="1"/>
      <c r="F142" s="1"/>
      <c r="G142" s="1"/>
      <c r="H142" s="1"/>
      <c r="I142" s="1"/>
      <c r="J142" s="1"/>
      <c r="K142" s="1"/>
      <c r="L142" s="1"/>
      <c r="M142" s="1"/>
    </row>
    <row r="143" spans="2:13">
      <c r="B143" s="1"/>
      <c r="C143" s="1"/>
      <c r="D143" s="1"/>
      <c r="E143" s="1"/>
      <c r="F143" s="1"/>
      <c r="G143" s="1"/>
      <c r="H143" s="1"/>
      <c r="I143" s="1"/>
      <c r="J143" s="1"/>
      <c r="K143" s="1"/>
      <c r="L143" s="1"/>
      <c r="M143" s="1"/>
    </row>
    <row r="144" spans="2:13">
      <c r="B144" s="1"/>
      <c r="C144" s="1"/>
      <c r="D144" s="1"/>
      <c r="E144" s="1"/>
      <c r="F144" s="1"/>
      <c r="G144" s="1"/>
      <c r="H144" s="1"/>
      <c r="I144" s="1"/>
      <c r="J144" s="1"/>
      <c r="K144" s="1"/>
      <c r="L144" s="1"/>
      <c r="M144" s="1"/>
    </row>
    <row r="145" spans="2:13">
      <c r="B145" s="1"/>
      <c r="C145" s="1"/>
      <c r="D145" s="1"/>
      <c r="E145" s="1"/>
      <c r="F145" s="1"/>
      <c r="G145" s="1"/>
      <c r="H145" s="1"/>
      <c r="I145" s="1"/>
      <c r="J145" s="1"/>
      <c r="K145" s="1"/>
      <c r="L145" s="1"/>
      <c r="M145" s="1"/>
    </row>
    <row r="146" spans="2:13">
      <c r="B146" s="1"/>
      <c r="C146" s="1"/>
      <c r="D146" s="1"/>
      <c r="E146" s="1"/>
      <c r="F146" s="1"/>
      <c r="G146" s="1"/>
      <c r="H146" s="1"/>
      <c r="I146" s="1"/>
      <c r="J146" s="1"/>
      <c r="K146" s="1"/>
      <c r="L146" s="1"/>
      <c r="M146" s="1"/>
    </row>
    <row r="147" spans="2:13">
      <c r="B147" s="1"/>
      <c r="C147" s="1"/>
      <c r="D147" s="1"/>
      <c r="E147" s="1"/>
      <c r="F147" s="1"/>
      <c r="G147" s="1"/>
      <c r="H147" s="1"/>
      <c r="I147" s="1"/>
      <c r="J147" s="1"/>
      <c r="K147" s="1"/>
      <c r="L147" s="1"/>
      <c r="M147" s="1"/>
    </row>
    <row r="148" spans="2:13">
      <c r="B148" s="1"/>
      <c r="C148" s="1"/>
      <c r="D148" s="1"/>
      <c r="E148" s="1"/>
      <c r="F148" s="1"/>
      <c r="G148" s="1"/>
      <c r="H148" s="1"/>
      <c r="I148" s="1"/>
      <c r="J148" s="1"/>
      <c r="K148" s="1"/>
      <c r="L148" s="1"/>
      <c r="M148" s="1"/>
    </row>
    <row r="149" spans="2:13">
      <c r="B149" s="1"/>
      <c r="C149" s="1"/>
      <c r="D149" s="1"/>
      <c r="E149" s="1"/>
      <c r="F149" s="1"/>
      <c r="G149" s="1"/>
      <c r="H149" s="1"/>
      <c r="I149" s="1"/>
      <c r="J149" s="1"/>
      <c r="K149" s="1"/>
      <c r="L149" s="1"/>
      <c r="M149" s="1"/>
    </row>
    <row r="150" spans="2:13">
      <c r="B150" s="1"/>
      <c r="C150" s="1"/>
      <c r="D150" s="1"/>
      <c r="E150" s="1"/>
      <c r="F150" s="1"/>
      <c r="G150" s="1"/>
      <c r="H150" s="1"/>
      <c r="I150" s="1"/>
      <c r="J150" s="1"/>
      <c r="K150" s="1"/>
      <c r="L150" s="1"/>
      <c r="M150" s="1"/>
    </row>
    <row r="151" spans="2:13">
      <c r="B151" s="1"/>
      <c r="C151" s="1"/>
      <c r="D151" s="1"/>
      <c r="E151" s="1"/>
      <c r="F151" s="1"/>
      <c r="G151" s="1"/>
      <c r="H151" s="1"/>
      <c r="I151" s="1"/>
      <c r="J151" s="1"/>
      <c r="K151" s="1"/>
      <c r="L151" s="1"/>
      <c r="M151" s="1"/>
    </row>
    <row r="152" spans="2:13">
      <c r="B152" s="1"/>
      <c r="C152" s="1"/>
      <c r="D152" s="1"/>
      <c r="E152" s="1"/>
      <c r="F152" s="1"/>
      <c r="G152" s="1"/>
      <c r="H152" s="1"/>
      <c r="I152" s="1"/>
      <c r="J152" s="1"/>
      <c r="K152" s="1"/>
      <c r="L152" s="1"/>
      <c r="M152" s="1"/>
    </row>
    <row r="153" spans="2:13">
      <c r="B153" s="1"/>
      <c r="C153" s="1"/>
      <c r="D153" s="1"/>
      <c r="E153" s="1"/>
      <c r="F153" s="1"/>
      <c r="G153" s="1"/>
      <c r="H153" s="1"/>
      <c r="I153" s="1"/>
      <c r="J153" s="1"/>
      <c r="K153" s="1"/>
      <c r="L153" s="1"/>
      <c r="M153" s="1"/>
    </row>
  </sheetData>
  <mergeCells count="3">
    <mergeCell ref="A1:L1"/>
    <mergeCell ref="A2:L2"/>
    <mergeCell ref="A3:L3"/>
  </mergeCells>
  <pageMargins left="0.75" right="0.75" top="1" bottom="1" header="0.5" footer="0.5"/>
  <pageSetup scale="76" fitToHeight="0" orientation="landscape" r:id="rId1"/>
  <headerFooter alignWithMargins="0">
    <oddFooter>&amp;L&amp;Z
&amp;F&amp;C&amp;A&amp;R20.&amp;P</oddFooter>
  </headerFooter>
  <rowBreaks count="2" manualBreakCount="2">
    <brk id="39" max="16383" man="1"/>
    <brk id="70" max="16383" man="1"/>
  </rowBreaks>
</worksheet>
</file>

<file path=xl/worksheets/sheet73.xml><?xml version="1.0" encoding="utf-8"?>
<worksheet xmlns="http://schemas.openxmlformats.org/spreadsheetml/2006/main" xmlns:r="http://schemas.openxmlformats.org/officeDocument/2006/relationships">
  <sheetPr codeName="Sheet110">
    <pageSetUpPr fitToPage="1"/>
  </sheetPr>
  <dimension ref="A1:Q24"/>
  <sheetViews>
    <sheetView zoomScaleNormal="100" workbookViewId="0">
      <selection activeCell="A31" sqref="A31"/>
    </sheetView>
  </sheetViews>
  <sheetFormatPr defaultRowHeight="12.75"/>
  <cols>
    <col min="1" max="1" width="40.5703125" bestFit="1" customWidth="1"/>
    <col min="2" max="2" width="17.7109375" customWidth="1"/>
    <col min="3" max="3" width="1.7109375" customWidth="1"/>
    <col min="4" max="4" width="17.7109375" customWidth="1"/>
    <col min="5" max="5" width="1.7109375" customWidth="1"/>
    <col min="6" max="6" width="17.7109375" customWidth="1"/>
    <col min="7" max="7" width="1.7109375" customWidth="1"/>
    <col min="8" max="8" width="17.7109375" customWidth="1"/>
    <col min="9" max="9" width="1.7109375" customWidth="1"/>
    <col min="10" max="10" width="17.7109375" customWidth="1"/>
    <col min="11" max="11" width="1.7109375" customWidth="1"/>
    <col min="12" max="12" width="17.7109375" customWidth="1"/>
    <col min="13" max="13" width="2.28515625" customWidth="1"/>
    <col min="14" max="14" width="13.5703125" bestFit="1" customWidth="1"/>
    <col min="15" max="15" width="1.85546875" customWidth="1"/>
    <col min="16" max="16" width="23.140625" bestFit="1" customWidth="1"/>
  </cols>
  <sheetData>
    <row r="1" spans="1:17" s="38" customFormat="1" ht="15.75">
      <c r="A1" s="366" t="s">
        <v>134</v>
      </c>
      <c r="B1" s="366"/>
      <c r="C1" s="366"/>
      <c r="D1" s="366"/>
      <c r="E1" s="366"/>
      <c r="F1" s="366"/>
      <c r="G1" s="366"/>
      <c r="H1" s="366"/>
      <c r="I1" s="366"/>
      <c r="J1" s="366"/>
      <c r="K1" s="366"/>
      <c r="L1" s="366"/>
      <c r="M1" s="366"/>
      <c r="N1" s="366"/>
      <c r="O1" s="366"/>
      <c r="P1" s="366"/>
      <c r="Q1" s="366"/>
    </row>
    <row r="2" spans="1:17" s="38" customFormat="1" ht="15.75">
      <c r="A2" s="366" t="s">
        <v>1199</v>
      </c>
      <c r="B2" s="366"/>
      <c r="C2" s="366"/>
      <c r="D2" s="366"/>
      <c r="E2" s="366"/>
      <c r="F2" s="366"/>
      <c r="G2" s="366"/>
      <c r="H2" s="366"/>
      <c r="I2" s="366"/>
      <c r="J2" s="366"/>
      <c r="K2" s="366"/>
      <c r="L2" s="366"/>
      <c r="M2" s="366"/>
      <c r="N2" s="366"/>
      <c r="O2" s="366"/>
      <c r="P2" s="366"/>
      <c r="Q2" s="366"/>
    </row>
    <row r="3" spans="1:17">
      <c r="A3" s="357" t="str">
        <f>'Summary - Cost - PG 1 (Tot)'!A3:N3</f>
        <v>MARCH 2012</v>
      </c>
      <c r="B3" s="357"/>
      <c r="C3" s="357"/>
      <c r="D3" s="357"/>
      <c r="E3" s="357"/>
      <c r="F3" s="357"/>
      <c r="G3" s="357"/>
      <c r="H3" s="357"/>
      <c r="I3" s="357"/>
      <c r="J3" s="357"/>
      <c r="K3" s="357"/>
      <c r="L3" s="357"/>
      <c r="M3" s="357"/>
      <c r="N3" s="357"/>
      <c r="O3" s="357"/>
      <c r="P3" s="357"/>
      <c r="Q3" s="357"/>
    </row>
    <row r="4" spans="1:17">
      <c r="A4" s="190"/>
      <c r="B4" s="190"/>
      <c r="C4" s="190"/>
      <c r="D4" s="190"/>
      <c r="E4" s="190"/>
      <c r="F4" s="190"/>
      <c r="G4" s="190"/>
      <c r="H4" s="190"/>
      <c r="I4" s="190"/>
      <c r="J4" s="190"/>
      <c r="K4" s="190"/>
      <c r="L4" s="190"/>
    </row>
    <row r="6" spans="1:17">
      <c r="B6" s="41" t="s">
        <v>25</v>
      </c>
      <c r="D6" s="182"/>
      <c r="F6" s="182"/>
      <c r="H6" s="41" t="s">
        <v>612</v>
      </c>
      <c r="J6" s="182"/>
      <c r="L6" s="41" t="s">
        <v>26</v>
      </c>
      <c r="P6" s="3" t="s">
        <v>422</v>
      </c>
    </row>
    <row r="7" spans="1:17" s="10" customFormat="1">
      <c r="B7" s="42" t="s">
        <v>27</v>
      </c>
      <c r="C7"/>
      <c r="D7" s="42" t="s">
        <v>107</v>
      </c>
      <c r="E7"/>
      <c r="F7" s="42" t="s">
        <v>108</v>
      </c>
      <c r="G7"/>
      <c r="H7" s="42" t="s">
        <v>613</v>
      </c>
      <c r="I7"/>
      <c r="J7" s="42" t="s">
        <v>109</v>
      </c>
      <c r="K7"/>
      <c r="L7" s="42" t="s">
        <v>27</v>
      </c>
      <c r="N7" s="42" t="s">
        <v>46</v>
      </c>
      <c r="P7" s="42" t="s">
        <v>419</v>
      </c>
    </row>
    <row r="8" spans="1:17" s="10" customFormat="1">
      <c r="A8" s="12" t="s">
        <v>296</v>
      </c>
      <c r="B8" s="54"/>
      <c r="C8"/>
      <c r="D8" s="54"/>
      <c r="E8"/>
      <c r="F8" s="54"/>
      <c r="G8"/>
      <c r="H8" s="54"/>
      <c r="I8"/>
      <c r="J8" s="54"/>
      <c r="K8"/>
      <c r="L8" s="54"/>
    </row>
    <row r="9" spans="1:17">
      <c r="A9" s="12" t="s">
        <v>420</v>
      </c>
    </row>
    <row r="10" spans="1:17">
      <c r="A10" s="3" t="s">
        <v>124</v>
      </c>
    </row>
    <row r="11" spans="1:17">
      <c r="A11" t="s">
        <v>13</v>
      </c>
      <c r="B11" s="182">
        <f>'IN_Cost Plant Acct-Gas-P22(Tot)'!B11</f>
        <v>3363.5</v>
      </c>
      <c r="C11" s="182"/>
      <c r="D11" s="182">
        <f>'IN_Cost Plant Acct-Gas-P22(Tot)'!D11</f>
        <v>0</v>
      </c>
      <c r="E11" s="182"/>
      <c r="F11" s="182">
        <f>'IN_Cost Plant Acct-Gas-P22(Tot)'!F11</f>
        <v>0</v>
      </c>
      <c r="G11" s="182"/>
      <c r="H11" s="182">
        <f>'IN_Cost Plant Acct-Gas-P22(Tot)'!H11</f>
        <v>0</v>
      </c>
      <c r="I11" s="182">
        <v>0</v>
      </c>
      <c r="J11" s="182">
        <f t="shared" ref="J11:J18" si="0">D11+F11+H11</f>
        <v>0</v>
      </c>
      <c r="K11" s="182"/>
      <c r="L11" s="182">
        <f t="shared" ref="L11:L18" si="1">B11+J11</f>
        <v>3363.5</v>
      </c>
      <c r="N11" s="182">
        <v>0</v>
      </c>
      <c r="O11" s="4"/>
      <c r="P11" s="89">
        <f t="shared" ref="P11:P18" si="2">L11+N11</f>
        <v>3363.5</v>
      </c>
    </row>
    <row r="12" spans="1:17">
      <c r="A12" t="s">
        <v>14</v>
      </c>
      <c r="B12" s="182">
        <f>'IN_Cost Plant Acct-Gas-P22(Tot)'!B12</f>
        <v>453435.95999999996</v>
      </c>
      <c r="C12" s="182"/>
      <c r="D12" s="182">
        <f>'IN_Cost Plant Acct-Gas-P22(Tot)'!D12</f>
        <v>0</v>
      </c>
      <c r="E12" s="182"/>
      <c r="F12" s="182">
        <f>'IN_Cost Plant Acct-Gas-P22(Tot)'!F12</f>
        <v>0</v>
      </c>
      <c r="G12" s="182"/>
      <c r="H12" s="182">
        <f>'IN_Cost Plant Acct-Gas-P22(Tot)'!H12</f>
        <v>0</v>
      </c>
      <c r="I12" s="182">
        <v>0</v>
      </c>
      <c r="J12" s="182">
        <f t="shared" si="0"/>
        <v>0</v>
      </c>
      <c r="K12" s="182"/>
      <c r="L12" s="182">
        <f t="shared" si="1"/>
        <v>453435.95999999996</v>
      </c>
      <c r="N12" s="89">
        <f>'IN_Res by Plant Acct-P30 (Tot)'!R29</f>
        <v>-14030.669999999998</v>
      </c>
      <c r="O12" s="4"/>
      <c r="P12" s="89">
        <f t="shared" si="2"/>
        <v>439405.29</v>
      </c>
    </row>
    <row r="13" spans="1:17">
      <c r="A13" t="s">
        <v>15</v>
      </c>
      <c r="B13" s="325">
        <f>'IN_Cost Plant Acct-Gas-P22(Tot)'!B13+'IN_Cost Plant Acct-Gas-P22(Tot)'!B26</f>
        <v>151778.31999999998</v>
      </c>
      <c r="C13" s="182"/>
      <c r="D13" s="325">
        <f>'IN_Cost Plant Acct-Gas-P22(Tot)'!D13+'IN_Cost Plant Acct-Gas-P22(Tot)'!D26</f>
        <v>244994.24</v>
      </c>
      <c r="E13" s="182"/>
      <c r="F13" s="325">
        <f>'IN_Cost Plant Acct-Gas-P22(Tot)'!F13+'IN_Cost Plant Acct-Gas-P22(Tot)'!F26</f>
        <v>0</v>
      </c>
      <c r="G13" s="182"/>
      <c r="H13" s="325">
        <f>'IN_Cost Plant Acct-Gas-P22(Tot)'!H13+'IN_Cost Plant Acct-Gas-P22(Tot)'!H26</f>
        <v>0</v>
      </c>
      <c r="I13" s="182">
        <v>0</v>
      </c>
      <c r="J13" s="182">
        <f t="shared" si="0"/>
        <v>244994.24</v>
      </c>
      <c r="K13" s="182"/>
      <c r="L13" s="182">
        <f t="shared" si="1"/>
        <v>396772.55999999994</v>
      </c>
      <c r="N13" s="89">
        <f>'IN_Res by Plant Acct-P30 (Tot)'!R30</f>
        <v>-34976.290000000045</v>
      </c>
      <c r="O13" s="4"/>
      <c r="P13" s="89">
        <f t="shared" si="2"/>
        <v>361796.2699999999</v>
      </c>
    </row>
    <row r="14" spans="1:17">
      <c r="A14" t="s">
        <v>1105</v>
      </c>
      <c r="B14" s="325">
        <f>'IN_Cost Plant Acct-Gas-P22(Tot)'!B14+'IN_Cost Plant Acct-Gas-P22(Tot)'!B27</f>
        <v>-96180.730000000098</v>
      </c>
      <c r="C14" s="182"/>
      <c r="D14" s="325">
        <f>'IN_Cost Plant Acct-Gas-P22(Tot)'!D14+'IN_Cost Plant Acct-Gas-P22(Tot)'!D27</f>
        <v>1722565.46</v>
      </c>
      <c r="E14" s="182"/>
      <c r="F14" s="325">
        <f>'IN_Cost Plant Acct-Gas-P22(Tot)'!F14+'IN_Cost Plant Acct-Gas-P22(Tot)'!F27</f>
        <v>0</v>
      </c>
      <c r="G14" s="182"/>
      <c r="H14" s="325">
        <f>'IN_Cost Plant Acct-Gas-P22(Tot)'!H14+'IN_Cost Plant Acct-Gas-P22(Tot)'!H27</f>
        <v>0</v>
      </c>
      <c r="I14" s="182">
        <v>0</v>
      </c>
      <c r="J14" s="182">
        <f t="shared" si="0"/>
        <v>1722565.46</v>
      </c>
      <c r="K14" s="182"/>
      <c r="L14" s="182">
        <f t="shared" si="1"/>
        <v>1626384.73</v>
      </c>
      <c r="N14" s="89">
        <f>'IN_Res by Plant Acct-P30 (Tot)'!R31</f>
        <v>333952.26000000013</v>
      </c>
      <c r="O14" s="4"/>
      <c r="P14" s="89">
        <f t="shared" si="2"/>
        <v>1960336.9900000002</v>
      </c>
    </row>
    <row r="15" spans="1:17">
      <c r="A15" t="s">
        <v>1092</v>
      </c>
      <c r="B15" s="325">
        <f>'IN_Cost Plant Acct-Gas-P22(Tot)'!B15+'IN_Cost Plant Acct-Gas-P22(Tot)'!B28</f>
        <v>460843.63999999996</v>
      </c>
      <c r="C15" s="182"/>
      <c r="D15" s="182">
        <f>'IN_Cost Plant Acct-Gas-P22(Tot)'!D15+'IN_Cost Plant Acct-Gas-P22(Tot)'!D28</f>
        <v>1161374.75</v>
      </c>
      <c r="E15" s="182"/>
      <c r="F15" s="325">
        <f>'IN_Cost Plant Acct-Gas-P22(Tot)'!F15+'IN_Cost Plant Acct-Gas-P22(Tot)'!F28</f>
        <v>0</v>
      </c>
      <c r="G15" s="182"/>
      <c r="H15" s="325">
        <f>'IN_Cost Plant Acct-Gas-P22(Tot)'!H15+'IN_Cost Plant Acct-Gas-P22(Tot)'!H28</f>
        <v>0</v>
      </c>
      <c r="I15" s="182"/>
      <c r="J15" s="182">
        <f t="shared" si="0"/>
        <v>1161374.75</v>
      </c>
      <c r="K15" s="182"/>
      <c r="L15" s="182">
        <f t="shared" si="1"/>
        <v>1622218.39</v>
      </c>
      <c r="N15" s="89">
        <f>'IN_Res by Plant Acct-P30 (Tot)'!R32</f>
        <v>224859.52000000002</v>
      </c>
      <c r="O15" s="4"/>
      <c r="P15" s="89">
        <f t="shared" si="2"/>
        <v>1847077.91</v>
      </c>
    </row>
    <row r="16" spans="1:17">
      <c r="A16" t="s">
        <v>16</v>
      </c>
      <c r="B16" s="325">
        <f>'IN_Cost Plant Acct-Gas-P22(Tot)'!B16+'IN_Cost Plant Acct-Gas-P22(Tot)'!B29</f>
        <v>1000207.3200000001</v>
      </c>
      <c r="C16" s="182"/>
      <c r="D16" s="325">
        <f>'IN_Cost Plant Acct-Gas-P22(Tot)'!D16+'IN_Cost Plant Acct-Gas-P22(Tot)'!D29</f>
        <v>439676.44</v>
      </c>
      <c r="E16" s="182"/>
      <c r="F16" s="325">
        <f>'IN_Cost Plant Acct-Gas-P22(Tot)'!F16+'IN_Cost Plant Acct-Gas-P22(Tot)'!F29</f>
        <v>-1347.67</v>
      </c>
      <c r="G16" s="182"/>
      <c r="H16" s="325">
        <f>'IN_Cost Plant Acct-Gas-P22(Tot)'!H16+'IN_Cost Plant Acct-Gas-P22(Tot)'!H29</f>
        <v>0</v>
      </c>
      <c r="I16" s="182">
        <v>0</v>
      </c>
      <c r="J16" s="182">
        <f t="shared" si="0"/>
        <v>438328.77</v>
      </c>
      <c r="K16" s="182"/>
      <c r="L16" s="182">
        <f t="shared" si="1"/>
        <v>1438536.09</v>
      </c>
      <c r="N16" s="89">
        <f>'IN_Res by Plant Acct-P30 (Tot)'!R33</f>
        <v>-95301.739999999991</v>
      </c>
      <c r="O16" s="4"/>
      <c r="P16" s="89">
        <f t="shared" si="2"/>
        <v>1343234.35</v>
      </c>
    </row>
    <row r="17" spans="1:16">
      <c r="A17" t="s">
        <v>21</v>
      </c>
      <c r="B17" s="182">
        <f>'IN_Cost Plant Acct-Gas-P22(Tot)'!B17</f>
        <v>0</v>
      </c>
      <c r="C17" s="182"/>
      <c r="D17" s="182">
        <f>'IN_Cost Plant Acct-Gas-P22(Tot)'!D17</f>
        <v>0</v>
      </c>
      <c r="E17" s="182"/>
      <c r="F17" s="182">
        <f>'IN_Cost Plant Acct-Gas-P22(Tot)'!F17</f>
        <v>0</v>
      </c>
      <c r="G17" s="182"/>
      <c r="H17" s="182">
        <f>'IN_Cost Plant Acct-Gas-P22(Tot)'!H17</f>
        <v>0</v>
      </c>
      <c r="I17" s="182"/>
      <c r="J17" s="182">
        <f t="shared" si="0"/>
        <v>0</v>
      </c>
      <c r="K17" s="182"/>
      <c r="L17" s="182">
        <f t="shared" si="1"/>
        <v>0</v>
      </c>
      <c r="N17" s="89">
        <v>0</v>
      </c>
      <c r="O17" s="4"/>
      <c r="P17" s="89">
        <f t="shared" si="2"/>
        <v>0</v>
      </c>
    </row>
    <row r="18" spans="1:16">
      <c r="A18" t="s">
        <v>17</v>
      </c>
      <c r="B18" s="48">
        <f>'IN_Cost Plant Acct-Gas-P22(Tot)'!B18</f>
        <v>401985.27</v>
      </c>
      <c r="C18" s="52"/>
      <c r="D18" s="48">
        <f>'IN_Cost Plant Acct-Gas-P22(Tot)'!D18</f>
        <v>0</v>
      </c>
      <c r="E18" s="52"/>
      <c r="F18" s="48">
        <f>'IN_Cost Plant Acct-Gas-P22(Tot)'!F18</f>
        <v>0</v>
      </c>
      <c r="G18" s="52"/>
      <c r="H18" s="48">
        <f>'IN_Cost Plant Acct-Gas-P22(Tot)'!H18</f>
        <v>0</v>
      </c>
      <c r="I18" s="52">
        <v>0</v>
      </c>
      <c r="J18" s="48">
        <f t="shared" si="0"/>
        <v>0</v>
      </c>
      <c r="K18" s="52"/>
      <c r="L18" s="48">
        <f t="shared" si="1"/>
        <v>401985.27</v>
      </c>
      <c r="M18" s="7"/>
      <c r="N18" s="90">
        <f>'IN_Res by Plant Acct-P30 (Tot)'!R35</f>
        <v>-13619.330000000002</v>
      </c>
      <c r="O18" s="4"/>
      <c r="P18" s="90">
        <f t="shared" si="2"/>
        <v>388365.94</v>
      </c>
    </row>
    <row r="19" spans="1:16">
      <c r="B19" s="52">
        <f>SUM(B11:B18)</f>
        <v>2375433.2799999998</v>
      </c>
      <c r="C19" s="52"/>
      <c r="D19" s="52">
        <f>SUM(D11:D18)</f>
        <v>3568610.89</v>
      </c>
      <c r="E19" s="52"/>
      <c r="F19" s="52">
        <f>SUM(F11:F18)</f>
        <v>-1347.67</v>
      </c>
      <c r="G19" s="52"/>
      <c r="H19" s="52">
        <f>SUM(H11:H18)</f>
        <v>0</v>
      </c>
      <c r="I19" s="52"/>
      <c r="J19" s="52">
        <f>SUM(J11:J18)</f>
        <v>3567263.22</v>
      </c>
      <c r="K19" s="52"/>
      <c r="L19" s="52">
        <f>SUM(L11:L18)</f>
        <v>5942696.5</v>
      </c>
      <c r="M19" s="7"/>
      <c r="N19" s="52">
        <f>SUM(N11:N18)</f>
        <v>400883.75000000012</v>
      </c>
      <c r="O19" s="4"/>
      <c r="P19" s="52">
        <f>SUM(P11:P18)</f>
        <v>6343580.2500000009</v>
      </c>
    </row>
    <row r="20" spans="1:16">
      <c r="B20" s="52"/>
      <c r="C20" s="52"/>
      <c r="D20" s="52"/>
      <c r="E20" s="52"/>
      <c r="F20" s="52"/>
      <c r="G20" s="52"/>
      <c r="H20" s="52"/>
      <c r="I20" s="52"/>
      <c r="J20" s="52"/>
      <c r="K20" s="52"/>
      <c r="L20" s="52"/>
      <c r="M20" s="7"/>
      <c r="O20" s="4"/>
    </row>
    <row r="21" spans="1:16">
      <c r="B21" s="182"/>
      <c r="C21" s="182"/>
      <c r="D21" s="182"/>
      <c r="E21" s="182"/>
      <c r="F21" s="182"/>
      <c r="G21" s="182"/>
      <c r="H21" s="182"/>
      <c r="I21" s="182"/>
      <c r="J21" s="182"/>
      <c r="K21" s="182"/>
      <c r="L21" s="182"/>
      <c r="O21" s="4"/>
    </row>
    <row r="22" spans="1:16" ht="13.5" thickBot="1">
      <c r="A22" s="3" t="s">
        <v>370</v>
      </c>
      <c r="B22" s="46">
        <f>B19</f>
        <v>2375433.2799999998</v>
      </c>
      <c r="C22" s="182"/>
      <c r="D22" s="46">
        <f>D19</f>
        <v>3568610.89</v>
      </c>
      <c r="E22" s="182"/>
      <c r="F22" s="46">
        <f>F19</f>
        <v>-1347.67</v>
      </c>
      <c r="G22" s="182"/>
      <c r="H22" s="46">
        <f>H19</f>
        <v>0</v>
      </c>
      <c r="I22" s="182"/>
      <c r="J22" s="46">
        <f>J19</f>
        <v>3567263.22</v>
      </c>
      <c r="K22" s="182"/>
      <c r="L22" s="46">
        <f>L19</f>
        <v>5942696.5</v>
      </c>
      <c r="M22" s="4"/>
      <c r="N22" s="46">
        <f>N19</f>
        <v>400883.75000000012</v>
      </c>
      <c r="O22" s="4"/>
      <c r="P22" s="46">
        <f>P19</f>
        <v>6343580.2500000009</v>
      </c>
    </row>
    <row r="23" spans="1:16" ht="13.5" thickTop="1">
      <c r="B23" s="182"/>
      <c r="C23" s="182"/>
      <c r="D23" s="182"/>
      <c r="E23" s="182"/>
      <c r="F23" s="182"/>
      <c r="G23" s="182"/>
      <c r="H23" s="182"/>
      <c r="I23" s="182"/>
      <c r="J23" s="182"/>
      <c r="K23" s="182"/>
      <c r="L23" s="182"/>
      <c r="M23" s="4"/>
      <c r="N23" s="4"/>
      <c r="O23" s="4"/>
    </row>
    <row r="24" spans="1:16">
      <c r="B24" s="4"/>
      <c r="C24" s="4"/>
      <c r="D24" s="4"/>
      <c r="E24" s="4"/>
      <c r="F24" s="4"/>
      <c r="G24" s="4"/>
      <c r="H24" s="4"/>
      <c r="I24" s="4"/>
      <c r="J24" s="4"/>
      <c r="K24" s="4"/>
      <c r="L24" s="4"/>
      <c r="M24" s="4"/>
      <c r="N24" s="4"/>
      <c r="O24" s="4"/>
      <c r="P24" s="89"/>
    </row>
  </sheetData>
  <mergeCells count="3">
    <mergeCell ref="A1:Q1"/>
    <mergeCell ref="A2:Q2"/>
    <mergeCell ref="A3:Q3"/>
  </mergeCells>
  <pageMargins left="0.75" right="0.75" top="1" bottom="1" header="0.5" footer="0.5"/>
  <pageSetup scale="60" orientation="landscape" r:id="rId1"/>
  <headerFooter alignWithMargins="0">
    <oddFooter>&amp;L&amp;Z
&amp;F&amp;C&amp;A&amp;R21.&amp;P</oddFooter>
  </headerFooter>
</worksheet>
</file>

<file path=xl/worksheets/sheet74.xml><?xml version="1.0" encoding="utf-8"?>
<worksheet xmlns="http://schemas.openxmlformats.org/spreadsheetml/2006/main" xmlns:r="http://schemas.openxmlformats.org/officeDocument/2006/relationships">
  <sheetPr codeName="Sheet111">
    <tabColor indexed="33"/>
    <pageSetUpPr fitToPage="1"/>
  </sheetPr>
  <dimension ref="A1:O34"/>
  <sheetViews>
    <sheetView zoomScaleNormal="100" workbookViewId="0">
      <selection activeCell="A31" sqref="A31"/>
    </sheetView>
  </sheetViews>
  <sheetFormatPr defaultRowHeight="12.75"/>
  <cols>
    <col min="1" max="1" width="40.5703125" bestFit="1" customWidth="1"/>
    <col min="2" max="2" width="17.7109375" customWidth="1"/>
    <col min="3" max="3" width="1.7109375" customWidth="1"/>
    <col min="4" max="4" width="17.7109375" customWidth="1"/>
    <col min="5" max="5" width="1.7109375" customWidth="1"/>
    <col min="6" max="6" width="17.7109375" customWidth="1"/>
    <col min="7" max="7" width="1.7109375" customWidth="1"/>
    <col min="8" max="8" width="17.7109375" customWidth="1"/>
    <col min="9" max="9" width="1.7109375" customWidth="1"/>
    <col min="10" max="10" width="17.7109375" customWidth="1"/>
    <col min="11" max="11" width="1.7109375" customWidth="1"/>
    <col min="12" max="12" width="17.7109375" customWidth="1"/>
  </cols>
  <sheetData>
    <row r="1" spans="1:15" s="38" customFormat="1" ht="15.75">
      <c r="A1" s="366" t="s">
        <v>134</v>
      </c>
      <c r="B1" s="366"/>
      <c r="C1" s="366"/>
      <c r="D1" s="366"/>
      <c r="E1" s="366"/>
      <c r="F1" s="366"/>
      <c r="G1" s="366"/>
      <c r="H1" s="366"/>
      <c r="I1" s="366"/>
      <c r="J1" s="366"/>
      <c r="K1" s="366"/>
      <c r="L1" s="366"/>
    </row>
    <row r="2" spans="1:15" s="38" customFormat="1" ht="15.75">
      <c r="A2" s="366" t="s">
        <v>1200</v>
      </c>
      <c r="B2" s="366"/>
      <c r="C2" s="366"/>
      <c r="D2" s="366"/>
      <c r="E2" s="366"/>
      <c r="F2" s="366"/>
      <c r="G2" s="366"/>
      <c r="H2" s="366"/>
      <c r="I2" s="366"/>
      <c r="J2" s="366"/>
      <c r="K2" s="366"/>
      <c r="L2" s="366"/>
    </row>
    <row r="3" spans="1:15">
      <c r="A3" s="357" t="str">
        <f>'Summary - Cost - PG 1 (Tot)'!A3:N3</f>
        <v>MARCH 2012</v>
      </c>
      <c r="B3" s="357"/>
      <c r="C3" s="357"/>
      <c r="D3" s="357"/>
      <c r="E3" s="357"/>
      <c r="F3" s="357"/>
      <c r="G3" s="357"/>
      <c r="H3" s="357"/>
      <c r="I3" s="357"/>
      <c r="J3" s="357"/>
      <c r="K3" s="357"/>
      <c r="L3" s="357"/>
    </row>
    <row r="4" spans="1:15">
      <c r="A4" s="190"/>
      <c r="B4" s="190"/>
      <c r="C4" s="190"/>
      <c r="D4" s="190"/>
      <c r="E4" s="190"/>
      <c r="F4" s="190"/>
      <c r="G4" s="190"/>
      <c r="H4" s="190"/>
      <c r="I4" s="190"/>
      <c r="J4" s="190"/>
      <c r="K4" s="190"/>
      <c r="L4" s="190"/>
    </row>
    <row r="6" spans="1:15">
      <c r="B6" s="41" t="s">
        <v>25</v>
      </c>
      <c r="D6" s="33"/>
      <c r="F6" s="33"/>
      <c r="H6" s="41" t="s">
        <v>612</v>
      </c>
      <c r="J6" s="33"/>
      <c r="L6" s="41" t="s">
        <v>26</v>
      </c>
    </row>
    <row r="7" spans="1:15" s="10" customFormat="1">
      <c r="B7" s="42" t="s">
        <v>27</v>
      </c>
      <c r="C7"/>
      <c r="D7" s="42" t="s">
        <v>107</v>
      </c>
      <c r="E7"/>
      <c r="F7" s="42" t="s">
        <v>108</v>
      </c>
      <c r="G7"/>
      <c r="H7" s="42" t="s">
        <v>613</v>
      </c>
      <c r="I7"/>
      <c r="J7" s="42" t="s">
        <v>109</v>
      </c>
      <c r="K7"/>
      <c r="L7" s="42" t="s">
        <v>27</v>
      </c>
    </row>
    <row r="8" spans="1:15" s="10" customFormat="1">
      <c r="B8" s="54"/>
      <c r="C8"/>
      <c r="D8" s="54"/>
      <c r="E8"/>
      <c r="F8" s="54"/>
      <c r="G8"/>
      <c r="H8" s="54"/>
      <c r="I8"/>
      <c r="J8" s="54"/>
      <c r="K8"/>
      <c r="L8" s="54"/>
    </row>
    <row r="9" spans="1:15">
      <c r="A9" s="3" t="s">
        <v>681</v>
      </c>
    </row>
    <row r="10" spans="1:15">
      <c r="A10" s="3" t="s">
        <v>124</v>
      </c>
    </row>
    <row r="11" spans="1:15">
      <c r="A11" t="s">
        <v>13</v>
      </c>
      <c r="B11" s="33">
        <f>+'IN_Cost Plant Acct-Gas-P22(Fin)'!B11+'IN_Cost-Plant Acct-Gas-P22 (PA)'!B11</f>
        <v>3363.5</v>
      </c>
      <c r="C11" s="33"/>
      <c r="D11" s="33">
        <f>+'IN_Cost Plant Acct-Gas-P22(Fin)'!D11+'IN_Cost-Plant Acct-Gas-P22 (PA)'!D11</f>
        <v>0</v>
      </c>
      <c r="E11" s="33"/>
      <c r="F11" s="33">
        <f>+'IN_Cost Plant Acct-Gas-P22(Fin)'!F11+'IN_Cost-Plant Acct-Gas-P22 (PA)'!F11</f>
        <v>0</v>
      </c>
      <c r="G11" s="33"/>
      <c r="H11" s="33">
        <f>+'IN_Cost Plant Acct-Gas-P22(Fin)'!H11+'IN_Cost-Plant Acct-Gas-P22 (PA)'!H11</f>
        <v>0</v>
      </c>
      <c r="I11" s="33">
        <v>0</v>
      </c>
      <c r="J11" s="33">
        <f t="shared" ref="J11:J18" si="0">D11+F11+H11</f>
        <v>0</v>
      </c>
      <c r="K11" s="33"/>
      <c r="L11" s="33">
        <f t="shared" ref="L11:L18" si="1">B11+J11</f>
        <v>3363.5</v>
      </c>
      <c r="O11" s="1"/>
    </row>
    <row r="12" spans="1:15">
      <c r="A12" t="s">
        <v>14</v>
      </c>
      <c r="B12" s="33">
        <f>+'IN_Cost Plant Acct-Gas-P22(Fin)'!B12+'IN_Cost-Plant Acct-Gas-P22 (PA)'!B12</f>
        <v>453435.95999999996</v>
      </c>
      <c r="C12" s="33"/>
      <c r="D12" s="33">
        <f>+'IN_Cost Plant Acct-Gas-P22(Fin)'!D12+'IN_Cost-Plant Acct-Gas-P22 (PA)'!D12</f>
        <v>0</v>
      </c>
      <c r="E12" s="33"/>
      <c r="F12" s="33">
        <f>+'IN_Cost Plant Acct-Gas-P22(Fin)'!F12+'IN_Cost-Plant Acct-Gas-P22 (PA)'!F12</f>
        <v>0</v>
      </c>
      <c r="G12" s="33"/>
      <c r="H12" s="33">
        <f>+'IN_Cost Plant Acct-Gas-P22(Fin)'!H12+'IN_Cost-Plant Acct-Gas-P22 (PA)'!H12</f>
        <v>0</v>
      </c>
      <c r="I12" s="33">
        <v>0</v>
      </c>
      <c r="J12" s="33">
        <f t="shared" si="0"/>
        <v>0</v>
      </c>
      <c r="K12" s="33"/>
      <c r="L12" s="33">
        <f t="shared" si="1"/>
        <v>453435.95999999996</v>
      </c>
      <c r="O12" s="1"/>
    </row>
    <row r="13" spans="1:15">
      <c r="A13" t="s">
        <v>15</v>
      </c>
      <c r="B13" s="33">
        <f>+'IN_Cost Plant Acct-Gas-P22(Fin)'!B13+'IN_Cost-Plant Acct-Gas-P22 (PA)'!B13</f>
        <v>151778.31999999998</v>
      </c>
      <c r="C13" s="33"/>
      <c r="D13" s="33">
        <f>+'IN_Cost Plant Acct-Gas-P22(Fin)'!D13+'IN_Cost-Plant Acct-Gas-P22 (PA)'!D13</f>
        <v>0</v>
      </c>
      <c r="E13" s="33"/>
      <c r="F13" s="33">
        <f>+'IN_Cost Plant Acct-Gas-P22(Fin)'!F13+'IN_Cost-Plant Acct-Gas-P22 (PA)'!F13</f>
        <v>0</v>
      </c>
      <c r="G13" s="33"/>
      <c r="H13" s="33">
        <f>+'IN_Cost Plant Acct-Gas-P22(Fin)'!H13+'IN_Cost-Plant Acct-Gas-P22 (PA)'!H13</f>
        <v>0</v>
      </c>
      <c r="I13" s="33">
        <v>0</v>
      </c>
      <c r="J13" s="33">
        <f t="shared" si="0"/>
        <v>0</v>
      </c>
      <c r="K13" s="33"/>
      <c r="L13" s="33">
        <f t="shared" si="1"/>
        <v>151778.31999999998</v>
      </c>
      <c r="O13" s="1"/>
    </row>
    <row r="14" spans="1:15">
      <c r="A14" t="s">
        <v>1089</v>
      </c>
      <c r="B14" s="33">
        <f>+'IN_Cost Plant Acct-Gas-P22(Fin)'!B14+'IN_Cost-Plant Acct-Gas-P22 (PA)'!B14</f>
        <v>-96180.730000000098</v>
      </c>
      <c r="C14" s="33"/>
      <c r="D14" s="33">
        <f>+'IN_Cost Plant Acct-Gas-P22(Fin)'!D14+'IN_Cost-Plant Acct-Gas-P22 (PA)'!D14</f>
        <v>0</v>
      </c>
      <c r="E14" s="33"/>
      <c r="F14" s="33">
        <f>+'IN_Cost Plant Acct-Gas-P22(Fin)'!F14+'IN_Cost-Plant Acct-Gas-P22 (PA)'!F14</f>
        <v>0</v>
      </c>
      <c r="G14" s="33"/>
      <c r="H14" s="33">
        <f>+'IN_Cost Plant Acct-Gas-P22(Fin)'!H14+'IN_Cost-Plant Acct-Gas-P22 (PA)'!H14</f>
        <v>0</v>
      </c>
      <c r="I14" s="33">
        <v>0</v>
      </c>
      <c r="J14" s="33">
        <f t="shared" si="0"/>
        <v>0</v>
      </c>
      <c r="K14" s="33"/>
      <c r="L14" s="33">
        <f t="shared" si="1"/>
        <v>-96180.730000000098</v>
      </c>
      <c r="O14" s="1"/>
    </row>
    <row r="15" spans="1:15">
      <c r="A15" t="s">
        <v>1092</v>
      </c>
      <c r="B15" s="33">
        <f>+'IN_Cost Plant Acct-Gas-P22(Fin)'!B15+'IN_Cost-Plant Acct-Gas-P22 (PA)'!B15</f>
        <v>460843.63999999996</v>
      </c>
      <c r="C15" s="33"/>
      <c r="D15" s="33">
        <f>+'IN_Cost Plant Acct-Gas-P22(Fin)'!D15+'IN_Cost-Plant Acct-Gas-P22 (PA)'!D15</f>
        <v>0</v>
      </c>
      <c r="E15" s="33"/>
      <c r="F15" s="33">
        <f>+'IN_Cost Plant Acct-Gas-P22(Fin)'!F15+'IN_Cost-Plant Acct-Gas-P22 (PA)'!F15</f>
        <v>0</v>
      </c>
      <c r="G15" s="33"/>
      <c r="H15" s="33">
        <f>+'IN_Cost Plant Acct-Gas-P22(Fin)'!H15+'IN_Cost-Plant Acct-Gas-P22 (PA)'!H15</f>
        <v>0</v>
      </c>
      <c r="I15" s="33">
        <v>0</v>
      </c>
      <c r="J15" s="33">
        <f t="shared" si="0"/>
        <v>0</v>
      </c>
      <c r="K15" s="33"/>
      <c r="L15" s="33">
        <f t="shared" si="1"/>
        <v>460843.63999999996</v>
      </c>
      <c r="O15" s="1"/>
    </row>
    <row r="16" spans="1:15">
      <c r="A16" t="s">
        <v>16</v>
      </c>
      <c r="B16" s="33">
        <f>+'IN_Cost Plant Acct-Gas-P22(Fin)'!B16+'IN_Cost-Plant Acct-Gas-P22 (PA)'!B16</f>
        <v>1000207.3200000001</v>
      </c>
      <c r="C16" s="33"/>
      <c r="D16" s="33">
        <f>+'IN_Cost Plant Acct-Gas-P22(Fin)'!D16+'IN_Cost-Plant Acct-Gas-P22 (PA)'!D16</f>
        <v>122064.43</v>
      </c>
      <c r="E16" s="33"/>
      <c r="F16" s="33">
        <f>+'IN_Cost Plant Acct-Gas-P22(Fin)'!F16+'IN_Cost-Plant Acct-Gas-P22 (PA)'!F16</f>
        <v>-1347.67</v>
      </c>
      <c r="G16" s="33"/>
      <c r="H16" s="33">
        <f>+'IN_Cost Plant Acct-Gas-P22(Fin)'!H16+'IN_Cost-Plant Acct-Gas-P22 (PA)'!H16</f>
        <v>0</v>
      </c>
      <c r="I16" s="33">
        <v>0</v>
      </c>
      <c r="J16" s="33">
        <f>D16+F16+H16</f>
        <v>120716.76</v>
      </c>
      <c r="K16" s="33"/>
      <c r="L16" s="33">
        <f t="shared" si="1"/>
        <v>1120924.08</v>
      </c>
      <c r="O16" s="1"/>
    </row>
    <row r="17" spans="1:15">
      <c r="A17" t="s">
        <v>21</v>
      </c>
      <c r="B17" s="33">
        <f>+'IN_Cost Plant Acct-Gas-P22(Fin)'!B17+'IN_Cost-Plant Acct-Gas-P22 (PA)'!B17</f>
        <v>0</v>
      </c>
      <c r="C17" s="33"/>
      <c r="D17" s="33">
        <f>+'IN_Cost Plant Acct-Gas-P22(Fin)'!D17+'IN_Cost-Plant Acct-Gas-P22 (PA)'!D17</f>
        <v>0</v>
      </c>
      <c r="E17" s="33"/>
      <c r="F17" s="33">
        <f>+'IN_Cost Plant Acct-Gas-P22(Fin)'!F17+'IN_Cost-Plant Acct-Gas-P22 (PA)'!F17</f>
        <v>0</v>
      </c>
      <c r="G17" s="33"/>
      <c r="H17" s="33">
        <f>+'IN_Cost Plant Acct-Gas-P22(Fin)'!H17+'IN_Cost-Plant Acct-Gas-P22 (PA)'!H17</f>
        <v>0</v>
      </c>
      <c r="I17" s="33"/>
      <c r="J17" s="33">
        <f t="shared" si="0"/>
        <v>0</v>
      </c>
      <c r="K17" s="33"/>
      <c r="L17" s="33">
        <f t="shared" si="1"/>
        <v>0</v>
      </c>
      <c r="O17" s="1"/>
    </row>
    <row r="18" spans="1:15">
      <c r="A18" t="s">
        <v>17</v>
      </c>
      <c r="B18" s="35">
        <f>+'IN_Cost Plant Acct-Gas-P22(Fin)'!B18+'IN_Cost-Plant Acct-Gas-P22 (PA)'!B18</f>
        <v>401985.27</v>
      </c>
      <c r="C18" s="37"/>
      <c r="D18" s="35">
        <f>+'IN_Cost Plant Acct-Gas-P22(Fin)'!D18+'IN_Cost-Plant Acct-Gas-P22 (PA)'!D18</f>
        <v>0</v>
      </c>
      <c r="E18" s="37"/>
      <c r="F18" s="35">
        <f>+'IN_Cost Plant Acct-Gas-P22(Fin)'!F18+'IN_Cost-Plant Acct-Gas-P22 (PA)'!F18</f>
        <v>0</v>
      </c>
      <c r="G18" s="37"/>
      <c r="H18" s="35">
        <f>+'IN_Cost Plant Acct-Gas-P22(Fin)'!H18+'IN_Cost-Plant Acct-Gas-P22 (PA)'!H18</f>
        <v>0</v>
      </c>
      <c r="I18" s="37">
        <v>0</v>
      </c>
      <c r="J18" s="35">
        <f t="shared" si="0"/>
        <v>0</v>
      </c>
      <c r="K18" s="37"/>
      <c r="L18" s="35">
        <f t="shared" si="1"/>
        <v>401985.27</v>
      </c>
      <c r="M18" s="7"/>
      <c r="O18" s="1"/>
    </row>
    <row r="19" spans="1:15">
      <c r="B19" s="37">
        <f>SUM(B11:B18)</f>
        <v>2375433.2799999998</v>
      </c>
      <c r="C19" s="37"/>
      <c r="D19" s="37">
        <f>SUM(D11:D18)</f>
        <v>122064.43</v>
      </c>
      <c r="E19" s="37"/>
      <c r="F19" s="37">
        <f>SUM(F11:F18)</f>
        <v>-1347.67</v>
      </c>
      <c r="G19" s="37"/>
      <c r="H19" s="37">
        <f>SUM(H11:H18)</f>
        <v>0</v>
      </c>
      <c r="I19" s="37"/>
      <c r="J19" s="37">
        <f>SUM(J11:J18)</f>
        <v>120716.76</v>
      </c>
      <c r="K19" s="37"/>
      <c r="L19" s="37">
        <f>SUM(L11:L18)</f>
        <v>2496150.04</v>
      </c>
      <c r="M19" s="7"/>
      <c r="O19" s="1"/>
    </row>
    <row r="20" spans="1:15">
      <c r="B20" s="37"/>
      <c r="C20" s="37"/>
      <c r="D20" s="37"/>
      <c r="E20" s="37"/>
      <c r="F20" s="37"/>
      <c r="G20" s="37"/>
      <c r="H20" s="37"/>
      <c r="I20" s="37"/>
      <c r="J20" s="37"/>
      <c r="K20" s="37"/>
      <c r="L20" s="37"/>
      <c r="M20" s="7"/>
      <c r="O20" s="1"/>
    </row>
    <row r="21" spans="1:15">
      <c r="B21" s="33"/>
      <c r="C21" s="33"/>
      <c r="D21" s="33"/>
      <c r="E21" s="33"/>
      <c r="F21" s="33"/>
      <c r="G21" s="33"/>
      <c r="H21" s="33"/>
      <c r="I21" s="33"/>
      <c r="J21" s="33"/>
      <c r="K21" s="33"/>
      <c r="L21" s="33"/>
      <c r="O21" s="1"/>
    </row>
    <row r="22" spans="1:15">
      <c r="A22" s="3" t="s">
        <v>605</v>
      </c>
      <c r="B22" s="34">
        <f>B19</f>
        <v>2375433.2799999998</v>
      </c>
      <c r="C22" s="33"/>
      <c r="D22" s="34">
        <f>D19</f>
        <v>122064.43</v>
      </c>
      <c r="E22" s="33"/>
      <c r="F22" s="34">
        <f>F19</f>
        <v>-1347.67</v>
      </c>
      <c r="G22" s="33"/>
      <c r="H22" s="34">
        <f>H19</f>
        <v>0</v>
      </c>
      <c r="I22" s="33"/>
      <c r="J22" s="34">
        <f>J19</f>
        <v>120716.76</v>
      </c>
      <c r="K22" s="33"/>
      <c r="L22" s="34">
        <f>L19</f>
        <v>2496150.04</v>
      </c>
      <c r="M22" s="1"/>
      <c r="N22" s="1"/>
      <c r="O22" s="1"/>
    </row>
    <row r="23" spans="1:15">
      <c r="B23" s="33"/>
      <c r="C23" s="33"/>
      <c r="D23" s="33"/>
      <c r="E23" s="33"/>
      <c r="F23" s="33"/>
      <c r="G23" s="33"/>
      <c r="H23" s="33"/>
      <c r="I23" s="33"/>
      <c r="J23" s="33"/>
      <c r="K23" s="33"/>
      <c r="L23" s="33"/>
      <c r="M23" s="1"/>
      <c r="N23" s="1"/>
      <c r="O23" s="1"/>
    </row>
    <row r="24" spans="1:15">
      <c r="A24" s="3" t="s">
        <v>689</v>
      </c>
      <c r="B24" s="1"/>
      <c r="C24" s="1"/>
      <c r="D24" s="1"/>
      <c r="E24" s="1"/>
      <c r="F24" s="1"/>
      <c r="G24" s="1"/>
      <c r="H24" s="1"/>
      <c r="I24" s="1"/>
      <c r="J24" s="1"/>
      <c r="K24" s="1"/>
      <c r="L24" s="1"/>
      <c r="M24" s="1"/>
      <c r="N24" s="1"/>
      <c r="O24" s="1"/>
    </row>
    <row r="25" spans="1:15">
      <c r="A25" s="3" t="s">
        <v>124</v>
      </c>
      <c r="B25" s="1"/>
      <c r="C25" s="1"/>
      <c r="D25" s="1"/>
      <c r="E25" s="1"/>
      <c r="F25" s="1"/>
      <c r="G25" s="1"/>
      <c r="H25" s="1"/>
      <c r="I25" s="1"/>
      <c r="J25" s="1"/>
      <c r="K25" s="1"/>
      <c r="L25" s="1"/>
      <c r="M25" s="1"/>
      <c r="N25" s="1"/>
      <c r="O25" s="1"/>
    </row>
    <row r="26" spans="1:15">
      <c r="A26" s="179" t="s">
        <v>15</v>
      </c>
      <c r="B26" s="37">
        <f>+'IN_Cost Plant Acct-Gas-P22(Fin)'!B26</f>
        <v>0</v>
      </c>
      <c r="C26" s="37"/>
      <c r="D26" s="37">
        <f>+'IN_Cost Plant Acct-Gas-P22(Fin)'!D26</f>
        <v>244994.24</v>
      </c>
      <c r="E26" s="37"/>
      <c r="F26" s="37">
        <f>+'IN_Cost Plant Acct-Gas-P22(Fin)'!F26</f>
        <v>0</v>
      </c>
      <c r="G26" s="37"/>
      <c r="H26" s="37">
        <f>+'IN_Cost Plant Acct-Gas-P22(Fin)'!H26</f>
        <v>0</v>
      </c>
      <c r="I26" s="37"/>
      <c r="J26" s="37">
        <f t="shared" ref="J26" si="2">H26+F26+D26</f>
        <v>244994.24</v>
      </c>
      <c r="K26" s="37"/>
      <c r="L26" s="37">
        <f t="shared" ref="L26" si="3">J26+B26</f>
        <v>244994.24</v>
      </c>
      <c r="M26" s="1"/>
      <c r="N26" s="1"/>
      <c r="O26" s="1"/>
    </row>
    <row r="27" spans="1:15">
      <c r="A27" s="179" t="s">
        <v>1089</v>
      </c>
      <c r="B27" s="37">
        <f>+'IN_Cost Plant Acct-Gas-P22(Fin)'!B27+'IN_Cost-Plant Acct-Gas-P22 (PA)'!B26</f>
        <v>0</v>
      </c>
      <c r="C27" s="37"/>
      <c r="D27" s="37">
        <f>+'IN_Cost Plant Acct-Gas-P22(Fin)'!D27+'IN_Cost-Plant Acct-Gas-P22 (PA)'!D26</f>
        <v>1722565.46</v>
      </c>
      <c r="E27" s="37"/>
      <c r="F27" s="37">
        <f>+'IN_Cost Plant Acct-Gas-P22(Fin)'!F27+'IN_Cost-Plant Acct-Gas-P22 (PA)'!F26</f>
        <v>0</v>
      </c>
      <c r="G27" s="37"/>
      <c r="H27" s="37">
        <f>+'IN_Cost Plant Acct-Gas-P22(Fin)'!H27+'IN_Cost-Plant Acct-Gas-P22 (PA)'!H26</f>
        <v>0</v>
      </c>
      <c r="I27" s="37"/>
      <c r="J27" s="37">
        <f t="shared" ref="J27:J28" si="4">H27+F27+D27</f>
        <v>1722565.46</v>
      </c>
      <c r="K27" s="37"/>
      <c r="L27" s="37">
        <f t="shared" ref="L27:L28" si="5">J27+B27</f>
        <v>1722565.46</v>
      </c>
      <c r="M27" s="1"/>
    </row>
    <row r="28" spans="1:15">
      <c r="A28" s="179" t="s">
        <v>1092</v>
      </c>
      <c r="B28" s="37">
        <f>+'IN_Cost Plant Acct-Gas-P22(Fin)'!B28+'IN_Cost-Plant Acct-Gas-P22 (PA)'!B27</f>
        <v>0</v>
      </c>
      <c r="C28" s="37"/>
      <c r="D28" s="37">
        <f>+'IN_Cost Plant Acct-Gas-P22(Fin)'!D28+'IN_Cost-Plant Acct-Gas-P22 (PA)'!D27</f>
        <v>1161374.75</v>
      </c>
      <c r="E28" s="37"/>
      <c r="F28" s="37">
        <f>+'IN_Cost Plant Acct-Gas-P22(Fin)'!F28+'IN_Cost-Plant Acct-Gas-P22 (PA)'!F27</f>
        <v>0</v>
      </c>
      <c r="G28" s="37"/>
      <c r="H28" s="37">
        <f>+'IN_Cost Plant Acct-Gas-P22(Fin)'!H28+'IN_Cost-Plant Acct-Gas-P22 (PA)'!H27</f>
        <v>0</v>
      </c>
      <c r="I28" s="37"/>
      <c r="J28" s="37">
        <f t="shared" si="4"/>
        <v>1161374.75</v>
      </c>
      <c r="K28" s="37"/>
      <c r="L28" s="37">
        <f t="shared" si="5"/>
        <v>1161374.75</v>
      </c>
      <c r="M28" s="1"/>
    </row>
    <row r="29" spans="1:15">
      <c r="A29" s="179" t="s">
        <v>16</v>
      </c>
      <c r="B29" s="37">
        <f>+'IN_Cost Plant Acct-Gas-P22(Fin)'!B29</f>
        <v>0</v>
      </c>
      <c r="C29" s="37"/>
      <c r="D29" s="37">
        <f>+'IN_Cost Plant Acct-Gas-P22(Fin)'!D29</f>
        <v>317612.01</v>
      </c>
      <c r="E29" s="37"/>
      <c r="F29" s="37">
        <f>+'IN_Cost Plant Acct-Gas-P22(Fin)'!F29</f>
        <v>0</v>
      </c>
      <c r="G29" s="37"/>
      <c r="H29" s="37">
        <f>+'IN_Cost Plant Acct-Gas-P22(Fin)'!H29</f>
        <v>0</v>
      </c>
      <c r="I29" s="37"/>
      <c r="J29" s="37">
        <f t="shared" ref="J29" si="6">H29+F29+D29</f>
        <v>317612.01</v>
      </c>
      <c r="K29" s="37"/>
      <c r="L29" s="37">
        <f t="shared" ref="L29" si="7">J29+B29</f>
        <v>317612.01</v>
      </c>
      <c r="M29" s="1"/>
    </row>
    <row r="30" spans="1:15">
      <c r="A30" s="3" t="s">
        <v>1087</v>
      </c>
      <c r="B30" s="34">
        <f>SUM(B26:B29)</f>
        <v>0</v>
      </c>
      <c r="C30" s="33"/>
      <c r="D30" s="34">
        <f>SUM(D26:D29)</f>
        <v>3446546.46</v>
      </c>
      <c r="E30" s="33"/>
      <c r="F30" s="34">
        <f>SUM(F26:F29)</f>
        <v>0</v>
      </c>
      <c r="G30" s="33"/>
      <c r="H30" s="34">
        <f>SUM(H26:H29)</f>
        <v>0</v>
      </c>
      <c r="I30" s="33"/>
      <c r="J30" s="34">
        <f>SUM(J26:J29)</f>
        <v>3446546.46</v>
      </c>
      <c r="K30" s="33"/>
      <c r="L30" s="34">
        <f>SUM(L26:L29)</f>
        <v>3446546.46</v>
      </c>
      <c r="M30" s="1"/>
      <c r="N30" s="1"/>
      <c r="O30" s="1"/>
    </row>
    <row r="32" spans="1:15" ht="13.5" thickBot="1">
      <c r="A32" s="3" t="s">
        <v>1088</v>
      </c>
      <c r="B32" s="44">
        <f>B30+B22</f>
        <v>2375433.2799999998</v>
      </c>
      <c r="C32" s="33"/>
      <c r="D32" s="44">
        <f>D30+D22</f>
        <v>3568610.89</v>
      </c>
      <c r="E32" s="33"/>
      <c r="F32" s="44">
        <f>F30+F22</f>
        <v>-1347.67</v>
      </c>
      <c r="G32" s="33"/>
      <c r="H32" s="44">
        <f>H30+H22</f>
        <v>0</v>
      </c>
      <c r="I32" s="33"/>
      <c r="J32" s="44">
        <f>J30+J22</f>
        <v>3567263.2199999997</v>
      </c>
      <c r="K32" s="33"/>
      <c r="L32" s="44">
        <f>L30+L22</f>
        <v>5942696.5</v>
      </c>
      <c r="M32" s="1"/>
    </row>
    <row r="33" spans="12:12" ht="13.5" thickTop="1"/>
    <row r="34" spans="12:12">
      <c r="L34" s="89"/>
    </row>
  </sheetData>
  <mergeCells count="3">
    <mergeCell ref="A1:L1"/>
    <mergeCell ref="A2:L2"/>
    <mergeCell ref="A3:L3"/>
  </mergeCells>
  <pageMargins left="0.75" right="0.75" top="1" bottom="1" header="0.5" footer="0.5"/>
  <pageSetup scale="79" orientation="landscape" r:id="rId1"/>
  <headerFooter alignWithMargins="0">
    <oddFooter>&amp;L&amp;Z
&amp;F&amp;C&amp;A&amp;R22.&amp;P</oddFooter>
  </headerFooter>
  <legacyDrawing r:id="rId2"/>
</worksheet>
</file>

<file path=xl/worksheets/sheet75.xml><?xml version="1.0" encoding="utf-8"?>
<worksheet xmlns="http://schemas.openxmlformats.org/spreadsheetml/2006/main" xmlns:r="http://schemas.openxmlformats.org/officeDocument/2006/relationships">
  <sheetPr codeName="Sheet112">
    <pageSetUpPr fitToPage="1"/>
  </sheetPr>
  <dimension ref="A1:M51"/>
  <sheetViews>
    <sheetView zoomScale="90" zoomScaleNormal="90" workbookViewId="0">
      <selection activeCell="A31" sqref="A31"/>
    </sheetView>
  </sheetViews>
  <sheetFormatPr defaultRowHeight="12.75"/>
  <cols>
    <col min="1" max="1" width="40.5703125" bestFit="1" customWidth="1"/>
    <col min="2" max="2" width="17.7109375" customWidth="1"/>
    <col min="3" max="3" width="1.7109375" customWidth="1"/>
    <col min="4" max="4" width="17.7109375" customWidth="1"/>
    <col min="5" max="5" width="1.7109375" customWidth="1"/>
    <col min="6" max="6" width="17.7109375" customWidth="1"/>
    <col min="7" max="7" width="1.7109375" customWidth="1"/>
    <col min="8" max="8" width="17.7109375" customWidth="1"/>
    <col min="9" max="9" width="1.7109375" customWidth="1"/>
    <col min="10" max="10" width="17.7109375" customWidth="1"/>
    <col min="11" max="11" width="1.7109375" customWidth="1"/>
    <col min="12" max="12" width="17.7109375" customWidth="1"/>
  </cols>
  <sheetData>
    <row r="1" spans="1:13" s="38" customFormat="1" ht="15.75">
      <c r="A1" s="366" t="s">
        <v>134</v>
      </c>
      <c r="B1" s="366"/>
      <c r="C1" s="366"/>
      <c r="D1" s="366"/>
      <c r="E1" s="366"/>
      <c r="F1" s="366"/>
      <c r="G1" s="366"/>
      <c r="H1" s="366"/>
      <c r="I1" s="366"/>
      <c r="J1" s="366"/>
      <c r="K1" s="366"/>
      <c r="L1" s="366"/>
    </row>
    <row r="2" spans="1:13" s="38" customFormat="1" ht="15.75">
      <c r="A2" s="367" t="s">
        <v>1201</v>
      </c>
      <c r="B2" s="366"/>
      <c r="C2" s="366"/>
      <c r="D2" s="366"/>
      <c r="E2" s="366"/>
      <c r="F2" s="366"/>
      <c r="G2" s="366"/>
      <c r="H2" s="366"/>
      <c r="I2" s="366"/>
      <c r="J2" s="366"/>
      <c r="K2" s="366"/>
      <c r="L2" s="366"/>
    </row>
    <row r="3" spans="1:13">
      <c r="A3" s="357" t="str">
        <f>'Summary - Cost - PG 1 (Tot)'!A3:N3</f>
        <v>MARCH 2012</v>
      </c>
      <c r="B3" s="357"/>
      <c r="C3" s="357"/>
      <c r="D3" s="357"/>
      <c r="E3" s="357"/>
      <c r="F3" s="357"/>
      <c r="G3" s="357"/>
      <c r="H3" s="357"/>
      <c r="I3" s="357"/>
      <c r="J3" s="357"/>
      <c r="K3" s="357"/>
      <c r="L3" s="357"/>
    </row>
    <row r="4" spans="1:13">
      <c r="A4" s="190"/>
      <c r="B4" s="190"/>
      <c r="C4" s="190"/>
      <c r="D4" s="190"/>
      <c r="E4" s="190"/>
      <c r="F4" s="190"/>
      <c r="G4" s="190"/>
      <c r="H4" s="190"/>
      <c r="I4" s="190"/>
      <c r="J4" s="190"/>
      <c r="K4" s="190"/>
      <c r="L4" s="190"/>
    </row>
    <row r="6" spans="1:13">
      <c r="B6" s="41" t="s">
        <v>25</v>
      </c>
      <c r="D6" s="33"/>
      <c r="F6" s="33"/>
      <c r="H6" s="41" t="s">
        <v>612</v>
      </c>
      <c r="J6" s="33"/>
      <c r="L6" s="41" t="s">
        <v>26</v>
      </c>
    </row>
    <row r="7" spans="1:13" s="10" customFormat="1">
      <c r="A7" s="12"/>
      <c r="B7" s="42" t="s">
        <v>27</v>
      </c>
      <c r="C7"/>
      <c r="D7" s="42" t="s">
        <v>107</v>
      </c>
      <c r="E7"/>
      <c r="F7" s="42" t="s">
        <v>108</v>
      </c>
      <c r="G7"/>
      <c r="H7" s="42" t="s">
        <v>613</v>
      </c>
      <c r="I7"/>
      <c r="J7" s="42" t="s">
        <v>109</v>
      </c>
      <c r="K7"/>
      <c r="L7" s="42" t="s">
        <v>27</v>
      </c>
    </row>
    <row r="8" spans="1:13" s="10" customFormat="1">
      <c r="B8"/>
      <c r="C8"/>
      <c r="D8"/>
      <c r="E8"/>
      <c r="F8"/>
      <c r="G8"/>
      <c r="H8"/>
      <c r="I8"/>
      <c r="J8"/>
      <c r="K8"/>
      <c r="L8"/>
    </row>
    <row r="9" spans="1:13">
      <c r="A9" s="95" t="s">
        <v>993</v>
      </c>
      <c r="B9" s="4"/>
      <c r="C9" s="4"/>
      <c r="D9" s="4"/>
      <c r="E9" s="4"/>
      <c r="F9" s="4"/>
      <c r="G9" s="4"/>
      <c r="H9" s="4"/>
      <c r="I9" s="4"/>
      <c r="J9" s="4"/>
      <c r="K9" s="4"/>
      <c r="L9" s="4"/>
      <c r="M9" s="4"/>
    </row>
    <row r="10" spans="1:13">
      <c r="A10" t="s">
        <v>18</v>
      </c>
      <c r="B10" s="182">
        <f>+'Gas Stored NonRecov-KY P23(Fin)'!B10+'Gas Stored NonRecov-KY P23 (PA)'!B10</f>
        <v>1882661.68</v>
      </c>
      <c r="C10" s="182"/>
      <c r="D10" s="182">
        <f>+'Gas Stored NonRecov-KY P23(Fin)'!D10+'Gas Stored NonRecov-KY P23 (PA)'!D10</f>
        <v>0</v>
      </c>
      <c r="E10" s="182"/>
      <c r="F10" s="182">
        <f>+'Gas Stored NonRecov-KY P23(Fin)'!F10+'Gas Stored NonRecov-KY P23 (PA)'!F10</f>
        <v>0</v>
      </c>
      <c r="G10" s="182"/>
      <c r="H10" s="182">
        <f>+'Gas Stored NonRecov-KY P23(Fin)'!H10+'Gas Stored NonRecov-KY P23 (PA)'!H10</f>
        <v>0</v>
      </c>
      <c r="I10" s="182"/>
      <c r="J10" s="182">
        <f>+D10+F10+H10</f>
        <v>0</v>
      </c>
      <c r="K10" s="182"/>
      <c r="L10" s="182">
        <f>+B10+J10</f>
        <v>1882661.68</v>
      </c>
      <c r="M10" s="4"/>
    </row>
    <row r="11" spans="1:13" ht="13.5" thickBot="1">
      <c r="B11" s="46">
        <f>SUM(B10)</f>
        <v>1882661.68</v>
      </c>
      <c r="C11" s="182"/>
      <c r="D11" s="46">
        <f>SUM(D10)</f>
        <v>0</v>
      </c>
      <c r="E11" s="182"/>
      <c r="F11" s="46">
        <f>SUM(F10)</f>
        <v>0</v>
      </c>
      <c r="G11" s="182"/>
      <c r="H11" s="46">
        <f>SUM(H10)</f>
        <v>0</v>
      </c>
      <c r="I11" s="182"/>
      <c r="J11" s="46">
        <f>SUM(J10)</f>
        <v>0</v>
      </c>
      <c r="K11" s="182"/>
      <c r="L11" s="46">
        <f>SUM(L10)</f>
        <v>1882661.68</v>
      </c>
      <c r="M11" s="4"/>
    </row>
    <row r="12" spans="1:13" ht="13.5" thickTop="1">
      <c r="B12" s="4"/>
      <c r="C12" s="4"/>
      <c r="D12" s="4"/>
      <c r="E12" s="4"/>
      <c r="F12" s="4"/>
      <c r="G12" s="4"/>
      <c r="H12" s="4"/>
      <c r="I12" s="4"/>
      <c r="J12" s="4"/>
      <c r="K12" s="4"/>
      <c r="L12" s="4"/>
      <c r="M12" s="4"/>
    </row>
    <row r="13" spans="1:13">
      <c r="B13" s="4"/>
      <c r="C13" s="4"/>
      <c r="D13" s="4"/>
      <c r="E13" s="4"/>
      <c r="F13" s="4"/>
      <c r="G13" s="4"/>
      <c r="H13" s="4"/>
      <c r="I13" s="4"/>
      <c r="J13" s="4"/>
      <c r="K13" s="4"/>
      <c r="L13" s="4"/>
      <c r="M13" s="4"/>
    </row>
    <row r="14" spans="1:13">
      <c r="B14" s="4"/>
      <c r="C14" s="4"/>
      <c r="D14" s="4"/>
      <c r="E14" s="4"/>
      <c r="F14" s="4"/>
      <c r="G14" s="4"/>
      <c r="H14" s="4"/>
      <c r="I14" s="4"/>
      <c r="J14" s="4"/>
      <c r="K14" s="4"/>
      <c r="L14" s="4"/>
      <c r="M14" s="4"/>
    </row>
    <row r="15" spans="1:13">
      <c r="B15" s="4"/>
      <c r="C15" s="4"/>
      <c r="D15" s="4"/>
      <c r="E15" s="4"/>
      <c r="F15" s="4"/>
      <c r="G15" s="4"/>
      <c r="H15" s="4"/>
      <c r="I15" s="4"/>
      <c r="J15" s="4"/>
      <c r="K15" s="4"/>
      <c r="L15" s="4"/>
      <c r="M15" s="4"/>
    </row>
    <row r="16" spans="1:13">
      <c r="B16" s="4"/>
      <c r="C16" s="4"/>
      <c r="D16" s="4"/>
      <c r="E16" s="4"/>
      <c r="F16" s="4"/>
      <c r="G16" s="4"/>
      <c r="H16" s="4"/>
      <c r="I16" s="4"/>
      <c r="J16" s="4"/>
      <c r="K16" s="4"/>
      <c r="L16" s="4"/>
      <c r="M16" s="4"/>
    </row>
    <row r="17" spans="2:13">
      <c r="B17" s="4"/>
      <c r="C17" s="4"/>
      <c r="D17" s="4"/>
      <c r="E17" s="4"/>
      <c r="F17" s="4"/>
      <c r="G17" s="4"/>
      <c r="H17" s="4"/>
      <c r="I17" s="4"/>
      <c r="J17" s="4"/>
      <c r="K17" s="4"/>
      <c r="L17" s="4"/>
      <c r="M17" s="4"/>
    </row>
    <row r="18" spans="2:13">
      <c r="B18" s="4"/>
      <c r="C18" s="4"/>
      <c r="D18" s="4"/>
      <c r="E18" s="4"/>
      <c r="F18" s="4"/>
      <c r="G18" s="4"/>
      <c r="H18" s="4"/>
      <c r="I18" s="4"/>
      <c r="J18" s="4"/>
      <c r="K18" s="4"/>
      <c r="L18" s="4"/>
      <c r="M18" s="4"/>
    </row>
    <row r="19" spans="2:13">
      <c r="B19" s="4"/>
      <c r="C19" s="4"/>
      <c r="D19" s="4"/>
      <c r="E19" s="4"/>
      <c r="F19" s="4"/>
      <c r="G19" s="4"/>
      <c r="H19" s="4"/>
      <c r="I19" s="4"/>
      <c r="J19" s="4"/>
      <c r="K19" s="4"/>
      <c r="L19" s="4"/>
      <c r="M19" s="4"/>
    </row>
    <row r="20" spans="2:13">
      <c r="B20" s="4"/>
      <c r="C20" s="4"/>
      <c r="D20" s="4"/>
      <c r="E20" s="4"/>
      <c r="F20" s="4"/>
      <c r="G20" s="4"/>
      <c r="H20" s="4"/>
      <c r="I20" s="4"/>
      <c r="J20" s="4"/>
      <c r="K20" s="4"/>
      <c r="L20" s="4"/>
      <c r="M20" s="4"/>
    </row>
    <row r="21" spans="2:13">
      <c r="B21" s="4"/>
      <c r="C21" s="4"/>
      <c r="D21" s="4"/>
      <c r="E21" s="4"/>
      <c r="F21" s="4"/>
      <c r="G21" s="4"/>
      <c r="H21" s="4"/>
      <c r="I21" s="4"/>
      <c r="J21" s="4"/>
      <c r="K21" s="4"/>
      <c r="L21" s="4"/>
      <c r="M21" s="4"/>
    </row>
    <row r="22" spans="2:13">
      <c r="B22" s="4"/>
      <c r="C22" s="4"/>
      <c r="D22" s="4"/>
      <c r="E22" s="4"/>
      <c r="F22" s="4"/>
      <c r="G22" s="4"/>
      <c r="H22" s="4"/>
      <c r="I22" s="4"/>
      <c r="J22" s="4"/>
      <c r="K22" s="4"/>
      <c r="L22" s="4"/>
      <c r="M22" s="4"/>
    </row>
    <row r="23" spans="2:13">
      <c r="B23" s="4"/>
      <c r="C23" s="4"/>
      <c r="D23" s="4"/>
      <c r="E23" s="4"/>
      <c r="F23" s="4"/>
      <c r="G23" s="4"/>
      <c r="H23" s="4"/>
      <c r="I23" s="4"/>
      <c r="J23" s="4"/>
      <c r="K23" s="4"/>
      <c r="L23" s="4"/>
      <c r="M23" s="4"/>
    </row>
    <row r="24" spans="2:13">
      <c r="B24" s="4"/>
      <c r="C24" s="4"/>
      <c r="D24" s="4"/>
      <c r="E24" s="4"/>
      <c r="F24" s="4"/>
      <c r="G24" s="4"/>
      <c r="H24" s="4"/>
      <c r="I24" s="4"/>
      <c r="J24" s="4"/>
      <c r="K24" s="4"/>
      <c r="L24" s="4"/>
      <c r="M24" s="4"/>
    </row>
    <row r="25" spans="2:13">
      <c r="B25" s="4"/>
      <c r="C25" s="4"/>
      <c r="D25" s="4"/>
      <c r="E25" s="4"/>
      <c r="F25" s="4"/>
      <c r="G25" s="4"/>
      <c r="H25" s="4"/>
      <c r="I25" s="4"/>
      <c r="J25" s="4"/>
      <c r="K25" s="4"/>
      <c r="L25" s="4"/>
      <c r="M25" s="4"/>
    </row>
    <row r="26" spans="2:13">
      <c r="B26" s="4"/>
      <c r="C26" s="4"/>
      <c r="D26" s="4"/>
      <c r="E26" s="4"/>
      <c r="F26" s="4"/>
      <c r="G26" s="4"/>
      <c r="H26" s="4"/>
      <c r="I26" s="4"/>
      <c r="J26" s="4"/>
      <c r="K26" s="4"/>
      <c r="L26" s="4"/>
      <c r="M26" s="4"/>
    </row>
    <row r="27" spans="2:13">
      <c r="B27" s="4"/>
      <c r="C27" s="4"/>
      <c r="D27" s="4"/>
      <c r="E27" s="4"/>
      <c r="F27" s="4"/>
      <c r="G27" s="4"/>
      <c r="H27" s="4"/>
      <c r="I27" s="4"/>
      <c r="J27" s="4"/>
      <c r="K27" s="4"/>
      <c r="L27" s="4"/>
      <c r="M27" s="4"/>
    </row>
    <row r="28" spans="2:13">
      <c r="B28" s="4"/>
      <c r="C28" s="4"/>
      <c r="D28" s="4"/>
      <c r="E28" s="4"/>
      <c r="F28" s="4"/>
      <c r="G28" s="4"/>
      <c r="H28" s="4"/>
      <c r="I28" s="4"/>
      <c r="J28" s="4"/>
      <c r="K28" s="4"/>
      <c r="L28" s="4"/>
      <c r="M28" s="4"/>
    </row>
    <row r="29" spans="2:13">
      <c r="B29" s="4"/>
      <c r="C29" s="4"/>
      <c r="D29" s="4"/>
      <c r="E29" s="4"/>
      <c r="F29" s="4"/>
      <c r="G29" s="4"/>
      <c r="H29" s="4"/>
      <c r="I29" s="4"/>
      <c r="J29" s="4"/>
      <c r="K29" s="4"/>
      <c r="L29" s="4"/>
      <c r="M29" s="4"/>
    </row>
    <row r="30" spans="2:13">
      <c r="B30" s="4"/>
      <c r="C30" s="4"/>
      <c r="D30" s="4"/>
      <c r="E30" s="4"/>
      <c r="F30" s="4"/>
      <c r="G30" s="4"/>
      <c r="H30" s="4"/>
      <c r="I30" s="4"/>
      <c r="J30" s="4"/>
      <c r="K30" s="4"/>
      <c r="L30" s="4"/>
      <c r="M30" s="4"/>
    </row>
    <row r="31" spans="2:13">
      <c r="B31" s="4"/>
      <c r="C31" s="4"/>
      <c r="D31" s="4"/>
      <c r="E31" s="4"/>
      <c r="F31" s="4"/>
      <c r="G31" s="4"/>
      <c r="H31" s="4"/>
      <c r="I31" s="4"/>
      <c r="J31" s="4"/>
      <c r="K31" s="4"/>
      <c r="L31" s="4"/>
      <c r="M31" s="4"/>
    </row>
    <row r="32" spans="2:13">
      <c r="B32" s="4"/>
      <c r="C32" s="4"/>
      <c r="D32" s="4"/>
      <c r="E32" s="4"/>
      <c r="F32" s="4"/>
      <c r="G32" s="4"/>
      <c r="H32" s="4"/>
      <c r="I32" s="4"/>
      <c r="J32" s="4"/>
      <c r="K32" s="4"/>
      <c r="L32" s="4"/>
      <c r="M32" s="4"/>
    </row>
    <row r="33" spans="2:13">
      <c r="B33" s="4"/>
      <c r="C33" s="4"/>
      <c r="D33" s="4"/>
      <c r="E33" s="4"/>
      <c r="F33" s="4"/>
      <c r="G33" s="4"/>
      <c r="H33" s="4"/>
      <c r="I33" s="4"/>
      <c r="J33" s="4"/>
      <c r="K33" s="4"/>
      <c r="L33" s="4"/>
      <c r="M33" s="4"/>
    </row>
    <row r="34" spans="2:13">
      <c r="B34" s="4"/>
      <c r="C34" s="4"/>
      <c r="D34" s="4"/>
      <c r="E34" s="4"/>
      <c r="F34" s="4"/>
      <c r="G34" s="4"/>
      <c r="H34" s="4"/>
      <c r="I34" s="4"/>
      <c r="J34" s="4"/>
      <c r="K34" s="4"/>
      <c r="L34" s="4"/>
      <c r="M34" s="4"/>
    </row>
    <row r="35" spans="2:13">
      <c r="B35" s="4"/>
      <c r="C35" s="4"/>
      <c r="D35" s="4"/>
      <c r="E35" s="4"/>
      <c r="F35" s="4"/>
      <c r="G35" s="4"/>
      <c r="H35" s="4"/>
      <c r="I35" s="4"/>
      <c r="J35" s="4"/>
      <c r="K35" s="4"/>
      <c r="L35" s="4"/>
      <c r="M35" s="4"/>
    </row>
    <row r="36" spans="2:13">
      <c r="B36" s="4"/>
      <c r="C36" s="4"/>
      <c r="D36" s="4"/>
      <c r="E36" s="4"/>
      <c r="F36" s="4"/>
      <c r="G36" s="4"/>
      <c r="H36" s="4"/>
      <c r="I36" s="4"/>
      <c r="J36" s="4"/>
      <c r="K36" s="4"/>
      <c r="L36" s="4"/>
      <c r="M36" s="4"/>
    </row>
    <row r="37" spans="2:13">
      <c r="B37" s="4"/>
      <c r="C37" s="4"/>
      <c r="D37" s="4"/>
      <c r="E37" s="4"/>
      <c r="F37" s="4"/>
      <c r="G37" s="4"/>
      <c r="H37" s="4"/>
      <c r="I37" s="4"/>
      <c r="J37" s="4"/>
      <c r="K37" s="4"/>
      <c r="L37" s="4"/>
      <c r="M37" s="4"/>
    </row>
    <row r="38" spans="2:13">
      <c r="B38" s="4"/>
      <c r="C38" s="4"/>
      <c r="D38" s="4"/>
      <c r="E38" s="4"/>
      <c r="F38" s="4"/>
      <c r="G38" s="4"/>
      <c r="H38" s="4"/>
      <c r="I38" s="4"/>
      <c r="J38" s="4"/>
      <c r="K38" s="4"/>
      <c r="L38" s="4"/>
      <c r="M38" s="4"/>
    </row>
    <row r="39" spans="2:13">
      <c r="B39" s="4"/>
      <c r="C39" s="4"/>
      <c r="D39" s="4"/>
      <c r="E39" s="4"/>
      <c r="F39" s="4"/>
      <c r="G39" s="4"/>
      <c r="H39" s="4"/>
      <c r="I39" s="4"/>
      <c r="J39" s="4"/>
      <c r="K39" s="4"/>
      <c r="L39" s="4"/>
      <c r="M39" s="4"/>
    </row>
    <row r="40" spans="2:13">
      <c r="B40" s="4"/>
      <c r="C40" s="4"/>
      <c r="D40" s="4"/>
      <c r="E40" s="4"/>
      <c r="F40" s="4"/>
      <c r="G40" s="4"/>
      <c r="H40" s="4"/>
      <c r="I40" s="4"/>
      <c r="J40" s="4"/>
      <c r="K40" s="4"/>
      <c r="L40" s="4"/>
      <c r="M40" s="4"/>
    </row>
    <row r="41" spans="2:13">
      <c r="B41" s="4"/>
      <c r="C41" s="4"/>
      <c r="D41" s="4"/>
      <c r="E41" s="4"/>
      <c r="F41" s="4"/>
      <c r="G41" s="4"/>
      <c r="H41" s="4"/>
      <c r="I41" s="4"/>
      <c r="J41" s="4"/>
      <c r="K41" s="4"/>
      <c r="L41" s="4"/>
      <c r="M41" s="4"/>
    </row>
    <row r="42" spans="2:13">
      <c r="B42" s="4"/>
      <c r="C42" s="4"/>
      <c r="D42" s="4"/>
      <c r="E42" s="4"/>
      <c r="F42" s="4"/>
      <c r="G42" s="4"/>
      <c r="H42" s="4"/>
      <c r="I42" s="4"/>
      <c r="J42" s="4"/>
      <c r="K42" s="4"/>
      <c r="L42" s="4"/>
      <c r="M42" s="4"/>
    </row>
    <row r="43" spans="2:13">
      <c r="B43" s="4"/>
      <c r="C43" s="4"/>
      <c r="D43" s="4"/>
      <c r="E43" s="4"/>
      <c r="F43" s="4"/>
      <c r="G43" s="4"/>
      <c r="H43" s="4"/>
      <c r="I43" s="4"/>
      <c r="J43" s="4"/>
      <c r="K43" s="4"/>
      <c r="L43" s="4"/>
      <c r="M43" s="4"/>
    </row>
    <row r="44" spans="2:13">
      <c r="B44" s="4"/>
      <c r="C44" s="4"/>
      <c r="D44" s="4"/>
      <c r="E44" s="4"/>
      <c r="F44" s="4"/>
      <c r="G44" s="4"/>
      <c r="H44" s="4"/>
      <c r="I44" s="4"/>
      <c r="J44" s="4"/>
      <c r="K44" s="4"/>
      <c r="L44" s="4"/>
      <c r="M44" s="4"/>
    </row>
    <row r="45" spans="2:13">
      <c r="B45" s="4"/>
      <c r="C45" s="4"/>
      <c r="D45" s="4"/>
      <c r="E45" s="4"/>
      <c r="F45" s="4"/>
      <c r="G45" s="4"/>
      <c r="H45" s="4"/>
      <c r="I45" s="4"/>
      <c r="J45" s="4"/>
      <c r="K45" s="4"/>
      <c r="L45" s="4"/>
      <c r="M45" s="4"/>
    </row>
    <row r="46" spans="2:13">
      <c r="B46" s="4"/>
      <c r="C46" s="4"/>
      <c r="D46" s="4"/>
      <c r="E46" s="4"/>
      <c r="F46" s="4"/>
      <c r="G46" s="4"/>
      <c r="H46" s="4"/>
      <c r="I46" s="4"/>
      <c r="J46" s="4"/>
      <c r="K46" s="4"/>
      <c r="L46" s="4"/>
      <c r="M46" s="4"/>
    </row>
    <row r="47" spans="2:13">
      <c r="B47" s="4"/>
      <c r="C47" s="4"/>
      <c r="D47" s="4"/>
      <c r="E47" s="4"/>
      <c r="F47" s="4"/>
      <c r="G47" s="4"/>
      <c r="H47" s="4"/>
      <c r="I47" s="4"/>
      <c r="J47" s="4"/>
      <c r="K47" s="4"/>
      <c r="L47" s="4"/>
      <c r="M47" s="4"/>
    </row>
    <row r="48" spans="2:13">
      <c r="B48" s="4"/>
      <c r="C48" s="4"/>
      <c r="D48" s="4"/>
      <c r="E48" s="4"/>
      <c r="F48" s="4"/>
      <c r="G48" s="4"/>
      <c r="H48" s="4"/>
      <c r="I48" s="4"/>
      <c r="J48" s="4"/>
      <c r="K48" s="4"/>
      <c r="L48" s="4"/>
      <c r="M48" s="4"/>
    </row>
    <row r="49" spans="2:13">
      <c r="B49" s="4"/>
      <c r="C49" s="4"/>
      <c r="D49" s="4"/>
      <c r="E49" s="4"/>
      <c r="F49" s="4"/>
      <c r="G49" s="4"/>
      <c r="H49" s="4"/>
      <c r="I49" s="4"/>
      <c r="J49" s="4"/>
      <c r="K49" s="4"/>
      <c r="L49" s="4"/>
      <c r="M49" s="4"/>
    </row>
    <row r="50" spans="2:13">
      <c r="B50" s="4"/>
      <c r="C50" s="4"/>
      <c r="D50" s="4"/>
      <c r="E50" s="4"/>
      <c r="F50" s="4"/>
      <c r="G50" s="4"/>
      <c r="H50" s="4"/>
      <c r="I50" s="4"/>
      <c r="J50" s="4"/>
      <c r="K50" s="4"/>
      <c r="L50" s="4"/>
      <c r="M50" s="4"/>
    </row>
    <row r="51" spans="2:13">
      <c r="B51" s="4"/>
      <c r="C51" s="4"/>
      <c r="D51" s="4"/>
      <c r="E51" s="4"/>
      <c r="F51" s="4"/>
      <c r="G51" s="4"/>
      <c r="H51" s="4"/>
      <c r="I51" s="4"/>
      <c r="J51" s="4"/>
      <c r="K51" s="4"/>
      <c r="L51" s="4"/>
      <c r="M51" s="4"/>
    </row>
  </sheetData>
  <mergeCells count="3">
    <mergeCell ref="A1:L1"/>
    <mergeCell ref="A2:L2"/>
    <mergeCell ref="A3:L3"/>
  </mergeCells>
  <pageMargins left="0.75" right="0.75" top="1" bottom="1" header="0.5" footer="0.5"/>
  <pageSetup scale="79" orientation="landscape" r:id="rId1"/>
  <headerFooter alignWithMargins="0">
    <oddFooter>&amp;L&amp;Z
&amp;F&amp;C&amp;A&amp;R23.&amp;P</oddFooter>
  </headerFooter>
</worksheet>
</file>

<file path=xl/worksheets/sheet76.xml><?xml version="1.0" encoding="utf-8"?>
<worksheet xmlns="http://schemas.openxmlformats.org/spreadsheetml/2006/main" xmlns:r="http://schemas.openxmlformats.org/officeDocument/2006/relationships">
  <sheetPr codeName="Sheet113">
    <pageSetUpPr fitToPage="1"/>
  </sheetPr>
  <dimension ref="A1:M51"/>
  <sheetViews>
    <sheetView zoomScale="90" zoomScaleNormal="90" workbookViewId="0">
      <selection activeCell="A31" sqref="A31"/>
    </sheetView>
  </sheetViews>
  <sheetFormatPr defaultRowHeight="12.75"/>
  <cols>
    <col min="1" max="1" width="40.5703125" bestFit="1" customWidth="1"/>
    <col min="2" max="2" width="17.7109375" customWidth="1"/>
    <col min="3" max="3" width="1.7109375" customWidth="1"/>
    <col min="4" max="4" width="17.7109375" customWidth="1"/>
    <col min="5" max="5" width="1.7109375" customWidth="1"/>
    <col min="6" max="6" width="17.7109375" customWidth="1"/>
    <col min="7" max="7" width="1.7109375" customWidth="1"/>
    <col min="8" max="8" width="17.7109375" customWidth="1"/>
    <col min="9" max="9" width="1.7109375" customWidth="1"/>
    <col min="10" max="10" width="17.7109375" customWidth="1"/>
    <col min="11" max="11" width="1.7109375" customWidth="1"/>
    <col min="12" max="12" width="17.7109375" customWidth="1"/>
  </cols>
  <sheetData>
    <row r="1" spans="1:13" s="38" customFormat="1" ht="15.75">
      <c r="A1" s="366" t="s">
        <v>134</v>
      </c>
      <c r="B1" s="366"/>
      <c r="C1" s="366"/>
      <c r="D1" s="366"/>
      <c r="E1" s="366"/>
      <c r="F1" s="366"/>
      <c r="G1" s="366"/>
      <c r="H1" s="366"/>
      <c r="I1" s="366"/>
      <c r="J1" s="366"/>
      <c r="K1" s="366"/>
      <c r="L1" s="366"/>
    </row>
    <row r="2" spans="1:13" s="38" customFormat="1" ht="15.75">
      <c r="A2" s="367" t="s">
        <v>1202</v>
      </c>
      <c r="B2" s="366"/>
      <c r="C2" s="366"/>
      <c r="D2" s="366"/>
      <c r="E2" s="366"/>
      <c r="F2" s="366"/>
      <c r="G2" s="366"/>
      <c r="H2" s="366"/>
      <c r="I2" s="366"/>
      <c r="J2" s="366"/>
      <c r="K2" s="366"/>
      <c r="L2" s="366"/>
    </row>
    <row r="3" spans="1:13">
      <c r="A3" s="357" t="str">
        <f>'Summary - Cost - PG 1 (Tot)'!A3:N3</f>
        <v>MARCH 2012</v>
      </c>
      <c r="B3" s="357"/>
      <c r="C3" s="357"/>
      <c r="D3" s="357"/>
      <c r="E3" s="357"/>
      <c r="F3" s="357"/>
      <c r="G3" s="357"/>
      <c r="H3" s="357"/>
      <c r="I3" s="357"/>
      <c r="J3" s="357"/>
      <c r="K3" s="357"/>
      <c r="L3" s="357"/>
    </row>
    <row r="4" spans="1:13">
      <c r="A4" s="190"/>
      <c r="B4" s="190"/>
      <c r="C4" s="190"/>
      <c r="D4" s="190"/>
      <c r="E4" s="190"/>
      <c r="F4" s="190"/>
      <c r="G4" s="190"/>
      <c r="H4" s="190"/>
      <c r="I4" s="190"/>
      <c r="J4" s="190"/>
      <c r="K4" s="190"/>
      <c r="L4" s="190"/>
    </row>
    <row r="6" spans="1:13">
      <c r="B6" s="41" t="s">
        <v>25</v>
      </c>
      <c r="D6" s="33"/>
      <c r="F6" s="33"/>
      <c r="H6" s="41" t="s">
        <v>612</v>
      </c>
      <c r="J6" s="33"/>
      <c r="L6" s="41" t="s">
        <v>26</v>
      </c>
    </row>
    <row r="7" spans="1:13" s="10" customFormat="1">
      <c r="B7" s="42" t="s">
        <v>27</v>
      </c>
      <c r="C7"/>
      <c r="D7" s="42" t="s">
        <v>107</v>
      </c>
      <c r="E7"/>
      <c r="F7" s="42" t="s">
        <v>108</v>
      </c>
      <c r="G7"/>
      <c r="H7" s="42" t="s">
        <v>613</v>
      </c>
      <c r="I7"/>
      <c r="J7" s="42" t="s">
        <v>109</v>
      </c>
      <c r="K7"/>
      <c r="L7" s="42" t="s">
        <v>27</v>
      </c>
    </row>
    <row r="8" spans="1:13" s="10" customFormat="1">
      <c r="B8"/>
      <c r="C8"/>
      <c r="D8"/>
      <c r="E8"/>
      <c r="F8"/>
      <c r="G8"/>
      <c r="H8"/>
      <c r="I8"/>
      <c r="J8"/>
      <c r="K8"/>
      <c r="L8"/>
    </row>
    <row r="9" spans="1:13">
      <c r="A9" s="95" t="s">
        <v>993</v>
      </c>
      <c r="B9" s="4"/>
      <c r="C9" s="4"/>
      <c r="D9" s="4"/>
      <c r="E9" s="4"/>
      <c r="F9" s="4"/>
      <c r="G9" s="4"/>
      <c r="H9" s="4"/>
      <c r="I9" s="4"/>
      <c r="J9" s="4"/>
      <c r="K9" s="4"/>
      <c r="L9" s="4"/>
      <c r="M9" s="4"/>
    </row>
    <row r="10" spans="1:13">
      <c r="A10" t="s">
        <v>18</v>
      </c>
      <c r="B10" s="33">
        <f>+'Gas Stored NonRecov-IN P24(Fin)'!B10+'Gas Stored NonRecov-IN P24 (PA)'!B10</f>
        <v>257328.32</v>
      </c>
      <c r="C10" s="182"/>
      <c r="D10" s="33">
        <f>+'Gas Stored NonRecov-IN P24(Fin)'!D10+'Gas Stored NonRecov-IN P24 (PA)'!D10</f>
        <v>0</v>
      </c>
      <c r="E10" s="182"/>
      <c r="F10" s="33">
        <f>+'Gas Stored NonRecov-IN P24(Fin)'!F10+'Gas Stored NonRecov-IN P24 (PA)'!F10</f>
        <v>0</v>
      </c>
      <c r="G10" s="182"/>
      <c r="H10" s="33">
        <f>+'Gas Stored NonRecov-IN P24(Fin)'!H10+'Gas Stored NonRecov-IN P24 (PA)'!H10</f>
        <v>0</v>
      </c>
      <c r="I10" s="182"/>
      <c r="J10" s="182">
        <f>D10+F10+H10</f>
        <v>0</v>
      </c>
      <c r="K10" s="182"/>
      <c r="L10" s="182">
        <f>B10+J10</f>
        <v>257328.32</v>
      </c>
      <c r="M10" s="4"/>
    </row>
    <row r="11" spans="1:13" ht="13.5" thickBot="1">
      <c r="B11" s="46">
        <f>SUM(B10)</f>
        <v>257328.32</v>
      </c>
      <c r="C11" s="182"/>
      <c r="D11" s="46">
        <f>SUM(D10)</f>
        <v>0</v>
      </c>
      <c r="E11" s="182"/>
      <c r="F11" s="46">
        <f>SUM(F10)</f>
        <v>0</v>
      </c>
      <c r="G11" s="182"/>
      <c r="H11" s="46">
        <f>SUM(H10)</f>
        <v>0</v>
      </c>
      <c r="I11" s="182"/>
      <c r="J11" s="46">
        <f>SUM(J10)</f>
        <v>0</v>
      </c>
      <c r="K11" s="182"/>
      <c r="L11" s="46">
        <f>SUM(L10)</f>
        <v>257328.32</v>
      </c>
      <c r="M11" s="4"/>
    </row>
    <row r="12" spans="1:13" ht="13.5" thickTop="1">
      <c r="B12" s="4"/>
      <c r="C12" s="4"/>
      <c r="D12" s="4"/>
      <c r="E12" s="4"/>
      <c r="F12" s="4"/>
      <c r="G12" s="4"/>
      <c r="H12" s="4"/>
      <c r="I12" s="4"/>
      <c r="J12" s="4"/>
      <c r="K12" s="4"/>
      <c r="L12" s="4"/>
      <c r="M12" s="4"/>
    </row>
    <row r="13" spans="1:13">
      <c r="B13" s="4"/>
      <c r="C13" s="4"/>
      <c r="D13" s="4"/>
      <c r="E13" s="4"/>
      <c r="F13" s="4"/>
      <c r="G13" s="4"/>
      <c r="H13" s="4"/>
      <c r="I13" s="4"/>
      <c r="J13" s="4"/>
      <c r="K13" s="4"/>
      <c r="L13" s="4"/>
      <c r="M13" s="4"/>
    </row>
    <row r="14" spans="1:13">
      <c r="B14" s="4"/>
      <c r="C14" s="4"/>
      <c r="D14" s="4"/>
      <c r="E14" s="4"/>
      <c r="F14" s="4"/>
      <c r="G14" s="4"/>
      <c r="H14" s="4"/>
      <c r="I14" s="4"/>
      <c r="J14" s="4"/>
      <c r="K14" s="4"/>
      <c r="L14" s="4"/>
      <c r="M14" s="4"/>
    </row>
    <row r="15" spans="1:13">
      <c r="B15" s="4"/>
      <c r="C15" s="4"/>
      <c r="D15" s="4"/>
      <c r="E15" s="4"/>
      <c r="F15" s="4"/>
      <c r="G15" s="4"/>
      <c r="H15" s="4"/>
      <c r="I15" s="4"/>
      <c r="J15" s="4"/>
      <c r="K15" s="4"/>
      <c r="L15" s="4"/>
      <c r="M15" s="4"/>
    </row>
    <row r="16" spans="1:13">
      <c r="B16" s="4"/>
      <c r="C16" s="4"/>
      <c r="D16" s="4"/>
      <c r="E16" s="4"/>
      <c r="F16" s="4"/>
      <c r="G16" s="4"/>
      <c r="H16" s="4"/>
      <c r="I16" s="4"/>
      <c r="J16" s="4"/>
      <c r="K16" s="4"/>
      <c r="L16" s="4"/>
      <c r="M16" s="4"/>
    </row>
    <row r="17" spans="2:13">
      <c r="B17" s="4"/>
      <c r="C17" s="4"/>
      <c r="D17" s="4"/>
      <c r="E17" s="4"/>
      <c r="F17" s="4"/>
      <c r="G17" s="4"/>
      <c r="H17" s="4"/>
      <c r="I17" s="4"/>
      <c r="J17" s="4"/>
      <c r="K17" s="4"/>
      <c r="L17" s="4"/>
      <c r="M17" s="4"/>
    </row>
    <row r="18" spans="2:13">
      <c r="B18" s="4"/>
      <c r="C18" s="4"/>
      <c r="D18" s="4"/>
      <c r="E18" s="4"/>
      <c r="F18" s="4"/>
      <c r="G18" s="4"/>
      <c r="H18" s="4"/>
      <c r="I18" s="4"/>
      <c r="J18" s="4"/>
      <c r="K18" s="4"/>
      <c r="L18" s="4"/>
      <c r="M18" s="4"/>
    </row>
    <row r="19" spans="2:13">
      <c r="B19" s="4"/>
      <c r="C19" s="4"/>
      <c r="D19" s="4"/>
      <c r="E19" s="4"/>
      <c r="F19" s="4"/>
      <c r="G19" s="4"/>
      <c r="H19" s="4"/>
      <c r="I19" s="4"/>
      <c r="J19" s="4"/>
      <c r="K19" s="4"/>
      <c r="L19" s="4"/>
      <c r="M19" s="4"/>
    </row>
    <row r="20" spans="2:13">
      <c r="B20" s="4"/>
      <c r="C20" s="4"/>
      <c r="D20" s="4"/>
      <c r="E20" s="4"/>
      <c r="F20" s="4"/>
      <c r="G20" s="4"/>
      <c r="H20" s="4"/>
      <c r="I20" s="4"/>
      <c r="J20" s="4"/>
      <c r="K20" s="4"/>
      <c r="L20" s="4"/>
      <c r="M20" s="4"/>
    </row>
    <row r="21" spans="2:13">
      <c r="B21" s="4"/>
      <c r="C21" s="4"/>
      <c r="D21" s="4"/>
      <c r="E21" s="4"/>
      <c r="F21" s="4"/>
      <c r="G21" s="4"/>
      <c r="H21" s="4"/>
      <c r="I21" s="4"/>
      <c r="J21" s="4"/>
      <c r="K21" s="4"/>
      <c r="L21" s="4"/>
      <c r="M21" s="4"/>
    </row>
    <row r="22" spans="2:13">
      <c r="B22" s="4"/>
      <c r="C22" s="4"/>
      <c r="D22" s="4"/>
      <c r="E22" s="4"/>
      <c r="F22" s="4"/>
      <c r="G22" s="4"/>
      <c r="H22" s="4"/>
      <c r="I22" s="4"/>
      <c r="J22" s="4"/>
      <c r="K22" s="4"/>
      <c r="L22" s="4"/>
      <c r="M22" s="4"/>
    </row>
    <row r="23" spans="2:13">
      <c r="B23" s="4"/>
      <c r="C23" s="4"/>
      <c r="D23" s="4"/>
      <c r="E23" s="4"/>
      <c r="F23" s="4"/>
      <c r="G23" s="4"/>
      <c r="H23" s="4"/>
      <c r="I23" s="4"/>
      <c r="J23" s="4"/>
      <c r="K23" s="4"/>
      <c r="L23" s="4"/>
      <c r="M23" s="4"/>
    </row>
    <row r="24" spans="2:13">
      <c r="B24" s="4"/>
      <c r="C24" s="4"/>
      <c r="D24" s="4"/>
      <c r="E24" s="4"/>
      <c r="F24" s="4"/>
      <c r="G24" s="4"/>
      <c r="H24" s="4"/>
      <c r="I24" s="4"/>
      <c r="J24" s="4"/>
      <c r="K24" s="4"/>
      <c r="L24" s="4"/>
      <c r="M24" s="4"/>
    </row>
    <row r="25" spans="2:13">
      <c r="B25" s="4"/>
      <c r="C25" s="4"/>
      <c r="D25" s="4"/>
      <c r="E25" s="4"/>
      <c r="F25" s="4"/>
      <c r="G25" s="4"/>
      <c r="H25" s="4"/>
      <c r="I25" s="4"/>
      <c r="J25" s="4"/>
      <c r="K25" s="4"/>
      <c r="L25" s="4"/>
      <c r="M25" s="4"/>
    </row>
    <row r="26" spans="2:13">
      <c r="B26" s="4"/>
      <c r="C26" s="4"/>
      <c r="D26" s="4"/>
      <c r="E26" s="4"/>
      <c r="F26" s="4"/>
      <c r="G26" s="4"/>
      <c r="H26" s="4"/>
      <c r="I26" s="4"/>
      <c r="J26" s="4"/>
      <c r="K26" s="4"/>
      <c r="L26" s="4"/>
      <c r="M26" s="4"/>
    </row>
    <row r="27" spans="2:13">
      <c r="B27" s="4"/>
      <c r="C27" s="4"/>
      <c r="D27" s="4"/>
      <c r="E27" s="4"/>
      <c r="F27" s="4"/>
      <c r="G27" s="4"/>
      <c r="H27" s="4"/>
      <c r="I27" s="4"/>
      <c r="J27" s="4"/>
      <c r="K27" s="4"/>
      <c r="L27" s="4"/>
      <c r="M27" s="4"/>
    </row>
    <row r="28" spans="2:13">
      <c r="B28" s="4"/>
      <c r="C28" s="4"/>
      <c r="D28" s="4"/>
      <c r="E28" s="4"/>
      <c r="F28" s="4"/>
      <c r="G28" s="4"/>
      <c r="H28" s="4"/>
      <c r="I28" s="4"/>
      <c r="J28" s="4"/>
      <c r="K28" s="4"/>
      <c r="L28" s="4"/>
      <c r="M28" s="4"/>
    </row>
    <row r="29" spans="2:13">
      <c r="B29" s="4"/>
      <c r="C29" s="4"/>
      <c r="D29" s="4"/>
      <c r="E29" s="4"/>
      <c r="F29" s="4"/>
      <c r="G29" s="4"/>
      <c r="H29" s="4"/>
      <c r="I29" s="4"/>
      <c r="J29" s="4"/>
      <c r="K29" s="4"/>
      <c r="L29" s="4"/>
      <c r="M29" s="4"/>
    </row>
    <row r="30" spans="2:13">
      <c r="B30" s="4"/>
      <c r="C30" s="4"/>
      <c r="D30" s="4"/>
      <c r="E30" s="4"/>
      <c r="F30" s="4"/>
      <c r="G30" s="4"/>
      <c r="H30" s="4"/>
      <c r="I30" s="4"/>
      <c r="J30" s="4"/>
      <c r="K30" s="4"/>
      <c r="L30" s="4"/>
      <c r="M30" s="4"/>
    </row>
    <row r="31" spans="2:13">
      <c r="B31" s="4"/>
      <c r="C31" s="4"/>
      <c r="D31" s="4"/>
      <c r="E31" s="4"/>
      <c r="F31" s="4"/>
      <c r="G31" s="4"/>
      <c r="H31" s="4"/>
      <c r="I31" s="4"/>
      <c r="J31" s="4"/>
      <c r="K31" s="4"/>
      <c r="L31" s="4"/>
      <c r="M31" s="4"/>
    </row>
    <row r="32" spans="2:13">
      <c r="B32" s="4"/>
      <c r="C32" s="4"/>
      <c r="D32" s="4"/>
      <c r="E32" s="4"/>
      <c r="F32" s="4"/>
      <c r="G32" s="4"/>
      <c r="H32" s="4"/>
      <c r="I32" s="4"/>
      <c r="J32" s="4"/>
      <c r="K32" s="4"/>
      <c r="L32" s="4"/>
      <c r="M32" s="4"/>
    </row>
    <row r="33" spans="2:13">
      <c r="B33" s="4"/>
      <c r="C33" s="4"/>
      <c r="D33" s="4"/>
      <c r="E33" s="4"/>
      <c r="F33" s="4"/>
      <c r="G33" s="4"/>
      <c r="H33" s="4"/>
      <c r="I33" s="4"/>
      <c r="J33" s="4"/>
      <c r="K33" s="4"/>
      <c r="L33" s="4"/>
      <c r="M33" s="4"/>
    </row>
    <row r="34" spans="2:13">
      <c r="B34" s="4"/>
      <c r="C34" s="4"/>
      <c r="D34" s="4"/>
      <c r="E34" s="4"/>
      <c r="F34" s="4"/>
      <c r="G34" s="4"/>
      <c r="H34" s="4"/>
      <c r="I34" s="4"/>
      <c r="J34" s="4"/>
      <c r="K34" s="4"/>
      <c r="L34" s="4"/>
      <c r="M34" s="4"/>
    </row>
    <row r="35" spans="2:13">
      <c r="B35" s="4"/>
      <c r="C35" s="4"/>
      <c r="D35" s="4"/>
      <c r="E35" s="4"/>
      <c r="F35" s="4"/>
      <c r="G35" s="4"/>
      <c r="H35" s="4"/>
      <c r="I35" s="4"/>
      <c r="J35" s="4"/>
      <c r="K35" s="4"/>
      <c r="L35" s="4"/>
      <c r="M35" s="4"/>
    </row>
    <row r="36" spans="2:13">
      <c r="B36" s="4"/>
      <c r="C36" s="4"/>
      <c r="D36" s="4"/>
      <c r="E36" s="4"/>
      <c r="F36" s="4"/>
      <c r="G36" s="4"/>
      <c r="H36" s="4"/>
      <c r="I36" s="4"/>
      <c r="J36" s="4"/>
      <c r="K36" s="4"/>
      <c r="L36" s="4"/>
      <c r="M36" s="4"/>
    </row>
    <row r="37" spans="2:13">
      <c r="B37" s="4"/>
      <c r="C37" s="4"/>
      <c r="D37" s="4"/>
      <c r="E37" s="4"/>
      <c r="F37" s="4"/>
      <c r="G37" s="4"/>
      <c r="H37" s="4"/>
      <c r="I37" s="4"/>
      <c r="J37" s="4"/>
      <c r="K37" s="4"/>
      <c r="L37" s="4"/>
      <c r="M37" s="4"/>
    </row>
    <row r="38" spans="2:13">
      <c r="B38" s="4"/>
      <c r="C38" s="4"/>
      <c r="D38" s="4"/>
      <c r="E38" s="4"/>
      <c r="F38" s="4"/>
      <c r="G38" s="4"/>
      <c r="H38" s="4"/>
      <c r="I38" s="4"/>
      <c r="J38" s="4"/>
      <c r="K38" s="4"/>
      <c r="L38" s="4"/>
      <c r="M38" s="4"/>
    </row>
    <row r="39" spans="2:13">
      <c r="B39" s="4"/>
      <c r="C39" s="4"/>
      <c r="D39" s="4"/>
      <c r="E39" s="4"/>
      <c r="F39" s="4"/>
      <c r="G39" s="4"/>
      <c r="H39" s="4"/>
      <c r="I39" s="4"/>
      <c r="J39" s="4"/>
      <c r="K39" s="4"/>
      <c r="L39" s="4"/>
      <c r="M39" s="4"/>
    </row>
    <row r="40" spans="2:13">
      <c r="B40" s="4"/>
      <c r="C40" s="4"/>
      <c r="D40" s="4"/>
      <c r="E40" s="4"/>
      <c r="F40" s="4"/>
      <c r="G40" s="4"/>
      <c r="H40" s="4"/>
      <c r="I40" s="4"/>
      <c r="J40" s="4"/>
      <c r="K40" s="4"/>
      <c r="L40" s="4"/>
      <c r="M40" s="4"/>
    </row>
    <row r="41" spans="2:13">
      <c r="B41" s="4"/>
      <c r="C41" s="4"/>
      <c r="D41" s="4"/>
      <c r="E41" s="4"/>
      <c r="F41" s="4"/>
      <c r="G41" s="4"/>
      <c r="H41" s="4"/>
      <c r="I41" s="4"/>
      <c r="J41" s="4"/>
      <c r="K41" s="4"/>
      <c r="L41" s="4"/>
      <c r="M41" s="4"/>
    </row>
    <row r="42" spans="2:13">
      <c r="B42" s="4"/>
      <c r="C42" s="4"/>
      <c r="D42" s="4"/>
      <c r="E42" s="4"/>
      <c r="F42" s="4"/>
      <c r="G42" s="4"/>
      <c r="H42" s="4"/>
      <c r="I42" s="4"/>
      <c r="J42" s="4"/>
      <c r="K42" s="4"/>
      <c r="L42" s="4"/>
      <c r="M42" s="4"/>
    </row>
    <row r="43" spans="2:13">
      <c r="B43" s="4"/>
      <c r="C43" s="4"/>
      <c r="D43" s="4"/>
      <c r="E43" s="4"/>
      <c r="F43" s="4"/>
      <c r="G43" s="4"/>
      <c r="H43" s="4"/>
      <c r="I43" s="4"/>
      <c r="J43" s="4"/>
      <c r="K43" s="4"/>
      <c r="L43" s="4"/>
      <c r="M43" s="4"/>
    </row>
    <row r="44" spans="2:13">
      <c r="B44" s="4"/>
      <c r="C44" s="4"/>
      <c r="D44" s="4"/>
      <c r="E44" s="4"/>
      <c r="F44" s="4"/>
      <c r="G44" s="4"/>
      <c r="H44" s="4"/>
      <c r="I44" s="4"/>
      <c r="J44" s="4"/>
      <c r="K44" s="4"/>
      <c r="L44" s="4"/>
      <c r="M44" s="4"/>
    </row>
    <row r="45" spans="2:13">
      <c r="B45" s="4"/>
      <c r="C45" s="4"/>
      <c r="D45" s="4"/>
      <c r="E45" s="4"/>
      <c r="F45" s="4"/>
      <c r="G45" s="4"/>
      <c r="H45" s="4"/>
      <c r="I45" s="4"/>
      <c r="J45" s="4"/>
      <c r="K45" s="4"/>
      <c r="L45" s="4"/>
      <c r="M45" s="4"/>
    </row>
    <row r="46" spans="2:13">
      <c r="B46" s="4"/>
      <c r="C46" s="4"/>
      <c r="D46" s="4"/>
      <c r="E46" s="4"/>
      <c r="F46" s="4"/>
      <c r="G46" s="4"/>
      <c r="H46" s="4"/>
      <c r="I46" s="4"/>
      <c r="J46" s="4"/>
      <c r="K46" s="4"/>
      <c r="L46" s="4"/>
      <c r="M46" s="4"/>
    </row>
    <row r="47" spans="2:13">
      <c r="B47" s="4"/>
      <c r="C47" s="4"/>
      <c r="D47" s="4"/>
      <c r="E47" s="4"/>
      <c r="F47" s="4"/>
      <c r="G47" s="4"/>
      <c r="H47" s="4"/>
      <c r="I47" s="4"/>
      <c r="J47" s="4"/>
      <c r="K47" s="4"/>
      <c r="L47" s="4"/>
      <c r="M47" s="4"/>
    </row>
    <row r="48" spans="2:13">
      <c r="B48" s="4"/>
      <c r="C48" s="4"/>
      <c r="D48" s="4"/>
      <c r="E48" s="4"/>
      <c r="F48" s="4"/>
      <c r="G48" s="4"/>
      <c r="H48" s="4"/>
      <c r="I48" s="4"/>
      <c r="J48" s="4"/>
      <c r="K48" s="4"/>
      <c r="L48" s="4"/>
      <c r="M48" s="4"/>
    </row>
    <row r="49" spans="2:13">
      <c r="B49" s="4"/>
      <c r="C49" s="4"/>
      <c r="D49" s="4"/>
      <c r="E49" s="4"/>
      <c r="F49" s="4"/>
      <c r="G49" s="4"/>
      <c r="H49" s="4"/>
      <c r="I49" s="4"/>
      <c r="J49" s="4"/>
      <c r="K49" s="4"/>
      <c r="L49" s="4"/>
      <c r="M49" s="4"/>
    </row>
    <row r="50" spans="2:13">
      <c r="B50" s="4"/>
      <c r="C50" s="4"/>
      <c r="D50" s="4"/>
      <c r="E50" s="4"/>
      <c r="F50" s="4"/>
      <c r="G50" s="4"/>
      <c r="H50" s="4"/>
      <c r="I50" s="4"/>
      <c r="J50" s="4"/>
      <c r="K50" s="4"/>
      <c r="L50" s="4"/>
      <c r="M50" s="4"/>
    </row>
    <row r="51" spans="2:13">
      <c r="B51" s="4"/>
      <c r="C51" s="4"/>
      <c r="D51" s="4"/>
      <c r="E51" s="4"/>
      <c r="F51" s="4"/>
      <c r="G51" s="4"/>
      <c r="H51" s="4"/>
      <c r="I51" s="4"/>
      <c r="J51" s="4"/>
      <c r="K51" s="4"/>
      <c r="L51" s="4"/>
      <c r="M51" s="4"/>
    </row>
  </sheetData>
  <mergeCells count="3">
    <mergeCell ref="A1:L1"/>
    <mergeCell ref="A2:L2"/>
    <mergeCell ref="A3:L3"/>
  </mergeCells>
  <pageMargins left="0.75" right="0.75" top="1" bottom="1" header="0.5" footer="0.5"/>
  <pageSetup scale="79" orientation="landscape" r:id="rId1"/>
  <headerFooter alignWithMargins="0">
    <oddFooter>&amp;L&amp;Z
&amp;F&amp;C&amp;A&amp;R24.&amp;P</oddFooter>
  </headerFooter>
</worksheet>
</file>

<file path=xl/worksheets/sheet77.xml><?xml version="1.0" encoding="utf-8"?>
<worksheet xmlns="http://schemas.openxmlformats.org/spreadsheetml/2006/main" xmlns:r="http://schemas.openxmlformats.org/officeDocument/2006/relationships">
  <sheetPr codeName="Sheet114">
    <pageSetUpPr fitToPage="1"/>
  </sheetPr>
  <dimension ref="A1:N125"/>
  <sheetViews>
    <sheetView zoomScale="75" workbookViewId="0">
      <selection activeCell="A31" sqref="A31"/>
    </sheetView>
  </sheetViews>
  <sheetFormatPr defaultRowHeight="12.75"/>
  <cols>
    <col min="1" max="1" width="40.5703125" bestFit="1" customWidth="1"/>
    <col min="2" max="2" width="17.7109375" customWidth="1"/>
    <col min="3" max="3" width="1.7109375" customWidth="1"/>
    <col min="4" max="4" width="17.7109375" customWidth="1"/>
    <col min="5" max="5" width="1.7109375" customWidth="1"/>
    <col min="6" max="6" width="17.7109375" customWidth="1"/>
    <col min="7" max="7" width="1.7109375" customWidth="1"/>
    <col min="8" max="8" width="17.7109375" customWidth="1"/>
    <col min="9" max="9" width="1.7109375" customWidth="1"/>
    <col min="10" max="10" width="17.7109375" customWidth="1"/>
    <col min="11" max="11" width="1.7109375" customWidth="1"/>
    <col min="12" max="12" width="17.7109375" customWidth="1"/>
  </cols>
  <sheetData>
    <row r="1" spans="1:14" s="38" customFormat="1" ht="15.75">
      <c r="A1" s="368" t="s">
        <v>134</v>
      </c>
      <c r="B1" s="368"/>
      <c r="C1" s="368"/>
      <c r="D1" s="368"/>
      <c r="E1" s="368"/>
      <c r="F1" s="368"/>
      <c r="G1" s="368"/>
      <c r="H1" s="368"/>
      <c r="I1" s="368"/>
      <c r="J1" s="368"/>
      <c r="K1" s="368"/>
      <c r="L1" s="368"/>
    </row>
    <row r="2" spans="1:14" s="38" customFormat="1" ht="15.75">
      <c r="A2" s="368" t="s">
        <v>1203</v>
      </c>
      <c r="B2" s="368"/>
      <c r="C2" s="368"/>
      <c r="D2" s="368"/>
      <c r="E2" s="368"/>
      <c r="F2" s="368"/>
      <c r="G2" s="368"/>
      <c r="H2" s="368"/>
      <c r="I2" s="368"/>
      <c r="J2" s="368"/>
      <c r="K2" s="368"/>
      <c r="L2" s="368"/>
    </row>
    <row r="3" spans="1:14">
      <c r="A3" s="357" t="str">
        <f>'Summary - Cost - PG 1 (Tot)'!A3:N3</f>
        <v>MARCH 2012</v>
      </c>
      <c r="B3" s="357"/>
      <c r="C3" s="357"/>
      <c r="D3" s="357"/>
      <c r="E3" s="357"/>
      <c r="F3" s="357"/>
      <c r="G3" s="357"/>
      <c r="H3" s="357"/>
      <c r="I3" s="357"/>
      <c r="J3" s="357"/>
      <c r="K3" s="357"/>
      <c r="L3" s="357"/>
    </row>
    <row r="4" spans="1:14">
      <c r="A4" s="50"/>
      <c r="B4" s="50"/>
      <c r="C4" s="50"/>
      <c r="D4" s="50"/>
      <c r="E4" s="50"/>
      <c r="F4" s="50"/>
      <c r="G4" s="50"/>
      <c r="H4" s="50"/>
      <c r="I4" s="50"/>
      <c r="J4" s="50"/>
      <c r="K4" s="50"/>
      <c r="L4" s="50"/>
    </row>
    <row r="6" spans="1:14">
      <c r="B6" s="41" t="s">
        <v>25</v>
      </c>
      <c r="D6" s="33"/>
      <c r="F6" s="33"/>
      <c r="H6" s="41" t="s">
        <v>612</v>
      </c>
      <c r="J6" s="33"/>
      <c r="L6" s="41" t="s">
        <v>26</v>
      </c>
    </row>
    <row r="7" spans="1:14" s="10" customFormat="1">
      <c r="B7" s="42" t="s">
        <v>27</v>
      </c>
      <c r="C7"/>
      <c r="D7" s="42" t="s">
        <v>107</v>
      </c>
      <c r="E7"/>
      <c r="F7" s="42" t="s">
        <v>108</v>
      </c>
      <c r="G7"/>
      <c r="H7" s="42" t="s">
        <v>613</v>
      </c>
      <c r="I7"/>
      <c r="J7" s="42" t="s">
        <v>109</v>
      </c>
      <c r="K7"/>
      <c r="L7" s="42" t="s">
        <v>27</v>
      </c>
    </row>
    <row r="8" spans="1:14" s="10" customFormat="1">
      <c r="B8"/>
      <c r="C8"/>
      <c r="D8"/>
      <c r="E8"/>
      <c r="F8"/>
      <c r="G8"/>
      <c r="H8"/>
      <c r="I8"/>
      <c r="J8"/>
      <c r="K8"/>
      <c r="L8"/>
    </row>
    <row r="9" spans="1:14" s="10" customFormat="1">
      <c r="A9" s="12" t="s">
        <v>687</v>
      </c>
      <c r="B9" s="49"/>
      <c r="C9" s="49"/>
      <c r="D9" s="49"/>
      <c r="E9" s="49"/>
      <c r="F9" s="49"/>
      <c r="G9" s="49"/>
      <c r="H9" s="49"/>
      <c r="I9" s="49"/>
      <c r="J9" s="49"/>
      <c r="K9" s="49"/>
      <c r="L9" s="49"/>
    </row>
    <row r="10" spans="1:14">
      <c r="A10" t="s">
        <v>845</v>
      </c>
      <c r="B10" s="33">
        <v>0</v>
      </c>
      <c r="C10" s="182"/>
      <c r="D10" s="182">
        <v>0</v>
      </c>
      <c r="E10" s="182"/>
      <c r="F10" s="182">
        <v>0</v>
      </c>
      <c r="G10" s="182"/>
      <c r="H10" s="182">
        <v>0</v>
      </c>
      <c r="I10" s="182"/>
      <c r="J10" s="182">
        <f>D10+F10+H10</f>
        <v>0</v>
      </c>
      <c r="K10" s="182">
        <v>0</v>
      </c>
      <c r="L10" s="182">
        <f>J10+B10</f>
        <v>0</v>
      </c>
      <c r="M10" s="4"/>
      <c r="N10" s="4"/>
    </row>
    <row r="11" spans="1:14" ht="13.5" thickBot="1">
      <c r="B11" s="46">
        <f>SUM(B10:B10)</f>
        <v>0</v>
      </c>
      <c r="C11" s="182"/>
      <c r="D11" s="46">
        <f>SUM(D10:D10)</f>
        <v>0</v>
      </c>
      <c r="E11" s="182"/>
      <c r="F11" s="46">
        <f>SUM(F10:F10)</f>
        <v>0</v>
      </c>
      <c r="G11" s="182"/>
      <c r="H11" s="46">
        <f>SUM(H10:H10)</f>
        <v>0</v>
      </c>
      <c r="I11" s="182"/>
      <c r="J11" s="46">
        <f>SUM(J10:J10)</f>
        <v>0</v>
      </c>
      <c r="K11" s="182"/>
      <c r="L11" s="46">
        <f>SUM(L10:L10)</f>
        <v>0</v>
      </c>
      <c r="M11" s="4"/>
      <c r="N11" s="4"/>
    </row>
    <row r="12" spans="1:14" ht="13.5" thickTop="1">
      <c r="B12" s="182"/>
      <c r="C12" s="182"/>
      <c r="D12" s="182"/>
      <c r="E12" s="182"/>
      <c r="F12" s="182"/>
      <c r="G12" s="182"/>
      <c r="H12" s="182"/>
      <c r="I12" s="182"/>
      <c r="J12" s="182"/>
      <c r="K12" s="182"/>
      <c r="L12" s="182"/>
      <c r="M12" s="4"/>
      <c r="N12" s="4"/>
    </row>
    <row r="13" spans="1:14">
      <c r="B13" s="4"/>
      <c r="C13" s="4"/>
      <c r="D13" s="4"/>
      <c r="E13" s="4"/>
      <c r="F13" s="4"/>
      <c r="G13" s="4"/>
      <c r="H13" s="4"/>
      <c r="I13" s="4"/>
      <c r="J13" s="4"/>
      <c r="K13" s="4"/>
      <c r="L13" s="4"/>
      <c r="M13" s="4"/>
      <c r="N13" s="4"/>
    </row>
    <row r="14" spans="1:14">
      <c r="B14" s="4"/>
      <c r="C14" s="4"/>
      <c r="D14" s="4"/>
      <c r="E14" s="4"/>
      <c r="F14" s="4"/>
      <c r="G14" s="4"/>
      <c r="H14" s="4"/>
      <c r="I14" s="4"/>
      <c r="J14" s="4"/>
      <c r="K14" s="4"/>
      <c r="L14" s="4"/>
      <c r="M14" s="4"/>
      <c r="N14" s="4"/>
    </row>
    <row r="15" spans="1:14">
      <c r="B15" s="4"/>
      <c r="C15" s="4"/>
      <c r="D15" s="4"/>
      <c r="E15" s="4"/>
      <c r="F15" s="4"/>
      <c r="G15" s="4"/>
      <c r="H15" s="4"/>
      <c r="I15" s="4"/>
      <c r="J15" s="4"/>
      <c r="K15" s="4"/>
      <c r="L15" s="4"/>
      <c r="M15" s="4"/>
      <c r="N15" s="4"/>
    </row>
    <row r="16" spans="1:14">
      <c r="B16" s="4"/>
      <c r="C16" s="4"/>
      <c r="D16" s="4"/>
      <c r="E16" s="4"/>
      <c r="F16" s="4"/>
      <c r="G16" s="4"/>
      <c r="H16" s="4"/>
      <c r="I16" s="4"/>
      <c r="J16" s="4"/>
      <c r="K16" s="4"/>
      <c r="L16" s="4"/>
      <c r="M16" s="4"/>
      <c r="N16" s="4"/>
    </row>
    <row r="17" spans="2:14">
      <c r="B17" s="4"/>
      <c r="C17" s="4"/>
      <c r="D17" s="4"/>
      <c r="E17" s="4"/>
      <c r="F17" s="4"/>
      <c r="G17" s="4"/>
      <c r="H17" s="4"/>
      <c r="I17" s="4"/>
      <c r="J17" s="4"/>
      <c r="K17" s="4"/>
      <c r="L17" s="4"/>
      <c r="M17" s="4"/>
      <c r="N17" s="4"/>
    </row>
    <row r="18" spans="2:14">
      <c r="B18" s="4"/>
      <c r="C18" s="4"/>
      <c r="D18" s="4"/>
      <c r="E18" s="4"/>
      <c r="F18" s="4"/>
      <c r="G18" s="4"/>
      <c r="H18" s="4"/>
      <c r="I18" s="4"/>
      <c r="J18" s="4"/>
      <c r="K18" s="4"/>
      <c r="L18" s="4"/>
      <c r="M18" s="4"/>
      <c r="N18" s="4"/>
    </row>
    <row r="19" spans="2:14">
      <c r="B19" s="4"/>
      <c r="C19" s="4"/>
      <c r="D19" s="4"/>
      <c r="E19" s="4"/>
      <c r="F19" s="4"/>
      <c r="G19" s="4"/>
      <c r="H19" s="4"/>
      <c r="I19" s="4"/>
      <c r="J19" s="4"/>
      <c r="K19" s="4"/>
      <c r="L19" s="4"/>
      <c r="M19" s="4"/>
      <c r="N19" s="4"/>
    </row>
    <row r="20" spans="2:14">
      <c r="B20" s="4"/>
      <c r="C20" s="4"/>
      <c r="D20" s="4"/>
      <c r="E20" s="4"/>
      <c r="F20" s="4"/>
      <c r="G20" s="4"/>
      <c r="H20" s="4"/>
      <c r="I20" s="4"/>
      <c r="J20" s="4"/>
      <c r="K20" s="4"/>
      <c r="L20" s="4"/>
      <c r="M20" s="4"/>
      <c r="N20" s="4"/>
    </row>
    <row r="21" spans="2:14">
      <c r="B21" s="4"/>
      <c r="C21" s="4"/>
      <c r="D21" s="4"/>
      <c r="E21" s="4"/>
      <c r="F21" s="4"/>
      <c r="G21" s="4"/>
      <c r="H21" s="4"/>
      <c r="I21" s="4"/>
      <c r="J21" s="4"/>
      <c r="K21" s="4"/>
      <c r="L21" s="4"/>
      <c r="M21" s="4"/>
      <c r="N21" s="4"/>
    </row>
    <row r="22" spans="2:14">
      <c r="B22" s="4"/>
      <c r="C22" s="4"/>
      <c r="D22" s="4"/>
      <c r="E22" s="4"/>
      <c r="F22" s="4"/>
      <c r="G22" s="4"/>
      <c r="H22" s="4"/>
      <c r="I22" s="4"/>
      <c r="J22" s="4"/>
      <c r="K22" s="4"/>
      <c r="L22" s="4"/>
      <c r="M22" s="4"/>
      <c r="N22" s="4"/>
    </row>
    <row r="23" spans="2:14">
      <c r="B23" s="4"/>
      <c r="C23" s="4"/>
      <c r="D23" s="4"/>
      <c r="E23" s="4"/>
      <c r="F23" s="4"/>
      <c r="G23" s="4"/>
      <c r="H23" s="4"/>
      <c r="I23" s="4"/>
      <c r="J23" s="4"/>
      <c r="K23" s="4"/>
      <c r="L23" s="4"/>
      <c r="M23" s="4"/>
      <c r="N23" s="4"/>
    </row>
    <row r="24" spans="2:14">
      <c r="B24" s="4"/>
      <c r="C24" s="4"/>
      <c r="D24" s="4"/>
      <c r="E24" s="4"/>
      <c r="F24" s="4"/>
      <c r="G24" s="4"/>
      <c r="H24" s="4"/>
      <c r="I24" s="4"/>
      <c r="J24" s="4"/>
      <c r="K24" s="4"/>
      <c r="L24" s="4"/>
      <c r="M24" s="4"/>
      <c r="N24" s="4"/>
    </row>
    <row r="25" spans="2:14">
      <c r="B25" s="4"/>
      <c r="C25" s="4"/>
      <c r="D25" s="4"/>
      <c r="E25" s="4"/>
      <c r="F25" s="4"/>
      <c r="G25" s="4"/>
      <c r="H25" s="4"/>
      <c r="I25" s="4"/>
      <c r="J25" s="4"/>
      <c r="K25" s="4"/>
      <c r="L25" s="4"/>
      <c r="M25" s="4"/>
      <c r="N25" s="4"/>
    </row>
    <row r="26" spans="2:14">
      <c r="B26" s="4"/>
      <c r="C26" s="4"/>
      <c r="D26" s="4"/>
      <c r="E26" s="4"/>
      <c r="F26" s="4"/>
      <c r="G26" s="4"/>
      <c r="H26" s="4"/>
      <c r="I26" s="4"/>
      <c r="J26" s="4"/>
      <c r="K26" s="4"/>
      <c r="L26" s="4"/>
      <c r="M26" s="4"/>
      <c r="N26" s="4"/>
    </row>
    <row r="27" spans="2:14">
      <c r="B27" s="4"/>
      <c r="C27" s="4"/>
      <c r="D27" s="4"/>
      <c r="E27" s="4"/>
      <c r="F27" s="4"/>
      <c r="G27" s="4"/>
      <c r="H27" s="4"/>
      <c r="I27" s="4"/>
      <c r="J27" s="4"/>
      <c r="K27" s="4"/>
      <c r="L27" s="4"/>
      <c r="M27" s="4"/>
      <c r="N27" s="4"/>
    </row>
    <row r="28" spans="2:14">
      <c r="B28" s="4"/>
      <c r="C28" s="4"/>
      <c r="D28" s="4"/>
      <c r="E28" s="4"/>
      <c r="F28" s="4"/>
      <c r="G28" s="4"/>
      <c r="H28" s="4"/>
      <c r="I28" s="4"/>
      <c r="J28" s="4"/>
      <c r="K28" s="4"/>
      <c r="L28" s="4"/>
      <c r="M28" s="4"/>
      <c r="N28" s="4"/>
    </row>
    <row r="29" spans="2:14">
      <c r="B29" s="4"/>
      <c r="C29" s="4"/>
      <c r="D29" s="4"/>
      <c r="E29" s="4"/>
      <c r="F29" s="4"/>
      <c r="G29" s="4"/>
      <c r="H29" s="4"/>
      <c r="I29" s="4"/>
      <c r="J29" s="4"/>
      <c r="K29" s="4"/>
      <c r="L29" s="4"/>
      <c r="M29" s="4"/>
      <c r="N29" s="4"/>
    </row>
    <row r="30" spans="2:14">
      <c r="B30" s="4"/>
      <c r="C30" s="4"/>
      <c r="D30" s="4"/>
      <c r="E30" s="4"/>
      <c r="F30" s="4"/>
      <c r="G30" s="4"/>
      <c r="H30" s="4"/>
      <c r="I30" s="4"/>
      <c r="J30" s="4"/>
      <c r="K30" s="4"/>
      <c r="L30" s="4"/>
      <c r="M30" s="4"/>
      <c r="N30" s="4"/>
    </row>
    <row r="31" spans="2:14">
      <c r="B31" s="4"/>
      <c r="C31" s="4"/>
      <c r="D31" s="4"/>
      <c r="E31" s="4"/>
      <c r="F31" s="4"/>
      <c r="G31" s="4"/>
      <c r="H31" s="4"/>
      <c r="I31" s="4"/>
      <c r="J31" s="4"/>
      <c r="K31" s="4"/>
      <c r="L31" s="4"/>
      <c r="M31" s="4"/>
      <c r="N31" s="4"/>
    </row>
    <row r="32" spans="2:14">
      <c r="B32" s="4"/>
      <c r="C32" s="4"/>
      <c r="D32" s="4"/>
      <c r="E32" s="4"/>
      <c r="F32" s="4"/>
      <c r="G32" s="4"/>
      <c r="H32" s="4"/>
      <c r="I32" s="4"/>
      <c r="J32" s="4"/>
      <c r="K32" s="4"/>
      <c r="L32" s="4"/>
      <c r="M32" s="4"/>
      <c r="N32" s="4"/>
    </row>
    <row r="33" spans="2:14">
      <c r="B33" s="4"/>
      <c r="C33" s="4"/>
      <c r="D33" s="4"/>
      <c r="E33" s="4"/>
      <c r="F33" s="4"/>
      <c r="G33" s="4"/>
      <c r="H33" s="4"/>
      <c r="I33" s="4"/>
      <c r="J33" s="4"/>
      <c r="K33" s="4"/>
      <c r="L33" s="4"/>
      <c r="M33" s="4"/>
      <c r="N33" s="4"/>
    </row>
    <row r="34" spans="2:14">
      <c r="B34" s="4"/>
      <c r="C34" s="4"/>
      <c r="D34" s="4"/>
      <c r="E34" s="4"/>
      <c r="F34" s="4"/>
      <c r="G34" s="4"/>
      <c r="H34" s="4"/>
      <c r="I34" s="4"/>
      <c r="J34" s="4"/>
      <c r="K34" s="4"/>
      <c r="L34" s="4"/>
      <c r="M34" s="4"/>
      <c r="N34" s="4"/>
    </row>
    <row r="35" spans="2:14">
      <c r="B35" s="4"/>
      <c r="C35" s="4"/>
      <c r="D35" s="4"/>
      <c r="E35" s="4"/>
      <c r="F35" s="4"/>
      <c r="G35" s="4"/>
      <c r="H35" s="4"/>
      <c r="I35" s="4"/>
      <c r="J35" s="4"/>
      <c r="K35" s="4"/>
      <c r="L35" s="4"/>
      <c r="M35" s="4"/>
      <c r="N35" s="4"/>
    </row>
    <row r="36" spans="2:14">
      <c r="B36" s="4"/>
      <c r="C36" s="4"/>
      <c r="D36" s="4"/>
      <c r="E36" s="4"/>
      <c r="F36" s="4"/>
      <c r="G36" s="4"/>
      <c r="H36" s="4"/>
      <c r="I36" s="4"/>
      <c r="J36" s="4"/>
      <c r="K36" s="4"/>
      <c r="L36" s="4"/>
      <c r="M36" s="4"/>
      <c r="N36" s="4"/>
    </row>
    <row r="37" spans="2:14">
      <c r="B37" s="4"/>
      <c r="C37" s="4"/>
      <c r="D37" s="4"/>
      <c r="E37" s="4"/>
      <c r="F37" s="4"/>
      <c r="G37" s="4"/>
      <c r="H37" s="4"/>
      <c r="I37" s="4"/>
      <c r="J37" s="4"/>
      <c r="K37" s="4"/>
      <c r="L37" s="4"/>
      <c r="M37" s="4"/>
      <c r="N37" s="4"/>
    </row>
    <row r="38" spans="2:14">
      <c r="B38" s="4"/>
      <c r="C38" s="4"/>
      <c r="D38" s="4"/>
      <c r="E38" s="4"/>
      <c r="F38" s="4"/>
      <c r="G38" s="4"/>
      <c r="H38" s="4"/>
      <c r="I38" s="4"/>
      <c r="J38" s="4"/>
      <c r="K38" s="4"/>
      <c r="L38" s="4"/>
      <c r="M38" s="4"/>
      <c r="N38" s="4"/>
    </row>
    <row r="39" spans="2:14">
      <c r="B39" s="4"/>
      <c r="C39" s="4"/>
      <c r="D39" s="4"/>
      <c r="E39" s="4"/>
      <c r="F39" s="4"/>
      <c r="G39" s="4"/>
      <c r="H39" s="4"/>
      <c r="I39" s="4"/>
      <c r="J39" s="4"/>
      <c r="K39" s="4"/>
      <c r="L39" s="4"/>
      <c r="M39" s="4"/>
      <c r="N39" s="4"/>
    </row>
    <row r="40" spans="2:14">
      <c r="B40" s="4"/>
      <c r="C40" s="4"/>
      <c r="D40" s="4"/>
      <c r="E40" s="4"/>
      <c r="F40" s="4"/>
      <c r="G40" s="4"/>
      <c r="H40" s="4"/>
      <c r="I40" s="4"/>
      <c r="J40" s="4"/>
      <c r="K40" s="4"/>
      <c r="L40" s="4"/>
      <c r="M40" s="4"/>
      <c r="N40" s="4"/>
    </row>
    <row r="41" spans="2:14">
      <c r="B41" s="4"/>
      <c r="C41" s="4"/>
      <c r="D41" s="4"/>
      <c r="E41" s="4"/>
      <c r="F41" s="4"/>
      <c r="G41" s="4"/>
      <c r="H41" s="4"/>
      <c r="I41" s="4"/>
      <c r="J41" s="4"/>
      <c r="K41" s="4"/>
      <c r="L41" s="4"/>
      <c r="M41" s="4"/>
      <c r="N41" s="4"/>
    </row>
    <row r="42" spans="2:14">
      <c r="B42" s="4"/>
      <c r="C42" s="4"/>
      <c r="D42" s="4"/>
      <c r="E42" s="4"/>
      <c r="F42" s="4"/>
      <c r="G42" s="4"/>
      <c r="H42" s="4"/>
      <c r="I42" s="4"/>
      <c r="J42" s="4"/>
      <c r="K42" s="4"/>
      <c r="L42" s="4"/>
      <c r="M42" s="4"/>
      <c r="N42" s="4"/>
    </row>
    <row r="43" spans="2:14">
      <c r="B43" s="4"/>
      <c r="C43" s="4"/>
      <c r="D43" s="4"/>
      <c r="E43" s="4"/>
      <c r="F43" s="4"/>
      <c r="G43" s="4"/>
      <c r="H43" s="4"/>
      <c r="I43" s="4"/>
      <c r="J43" s="4"/>
      <c r="K43" s="4"/>
      <c r="L43" s="4"/>
      <c r="M43" s="4"/>
      <c r="N43" s="4"/>
    </row>
    <row r="44" spans="2:14">
      <c r="B44" s="4"/>
      <c r="C44" s="4"/>
      <c r="D44" s="4"/>
      <c r="E44" s="4"/>
      <c r="F44" s="4"/>
      <c r="G44" s="4"/>
      <c r="H44" s="4"/>
      <c r="I44" s="4"/>
      <c r="J44" s="4"/>
      <c r="K44" s="4"/>
      <c r="L44" s="4"/>
      <c r="M44" s="4"/>
      <c r="N44" s="4"/>
    </row>
    <row r="45" spans="2:14">
      <c r="B45" s="4"/>
      <c r="C45" s="4"/>
      <c r="D45" s="4"/>
      <c r="E45" s="4"/>
      <c r="F45" s="4"/>
      <c r="G45" s="4"/>
      <c r="H45" s="4"/>
      <c r="I45" s="4"/>
      <c r="J45" s="4"/>
      <c r="K45" s="4"/>
      <c r="L45" s="4"/>
      <c r="M45" s="4"/>
      <c r="N45" s="4"/>
    </row>
    <row r="46" spans="2:14">
      <c r="B46" s="4"/>
      <c r="C46" s="4"/>
      <c r="D46" s="4"/>
      <c r="E46" s="4"/>
      <c r="F46" s="4"/>
      <c r="G46" s="4"/>
      <c r="H46" s="4"/>
      <c r="I46" s="4"/>
      <c r="J46" s="4"/>
      <c r="K46" s="4"/>
      <c r="L46" s="4"/>
      <c r="M46" s="4"/>
      <c r="N46" s="4"/>
    </row>
    <row r="47" spans="2:14">
      <c r="B47" s="4"/>
      <c r="C47" s="4"/>
      <c r="D47" s="4"/>
      <c r="E47" s="4"/>
      <c r="F47" s="4"/>
      <c r="G47" s="4"/>
      <c r="H47" s="4"/>
      <c r="I47" s="4"/>
      <c r="J47" s="4"/>
      <c r="K47" s="4"/>
      <c r="L47" s="4"/>
      <c r="M47" s="4"/>
      <c r="N47" s="4"/>
    </row>
    <row r="48" spans="2:14">
      <c r="B48" s="4"/>
      <c r="C48" s="4"/>
      <c r="D48" s="4"/>
      <c r="E48" s="4"/>
      <c r="F48" s="4"/>
      <c r="G48" s="4"/>
      <c r="H48" s="4"/>
      <c r="I48" s="4"/>
      <c r="J48" s="4"/>
      <c r="K48" s="4"/>
      <c r="L48" s="4"/>
      <c r="M48" s="4"/>
      <c r="N48" s="4"/>
    </row>
    <row r="49" spans="2:14">
      <c r="B49" s="4"/>
      <c r="C49" s="4"/>
      <c r="D49" s="4"/>
      <c r="E49" s="4"/>
      <c r="F49" s="4"/>
      <c r="G49" s="4"/>
      <c r="H49" s="4"/>
      <c r="I49" s="4"/>
      <c r="J49" s="4"/>
      <c r="K49" s="4"/>
      <c r="L49" s="4"/>
      <c r="M49" s="4"/>
      <c r="N49" s="4"/>
    </row>
    <row r="50" spans="2:14">
      <c r="B50" s="4"/>
      <c r="C50" s="4"/>
      <c r="D50" s="4"/>
      <c r="E50" s="4"/>
      <c r="F50" s="4"/>
      <c r="G50" s="4"/>
      <c r="H50" s="4"/>
      <c r="I50" s="4"/>
      <c r="J50" s="4"/>
      <c r="K50" s="4"/>
      <c r="L50" s="4"/>
      <c r="M50" s="4"/>
      <c r="N50" s="4"/>
    </row>
    <row r="51" spans="2:14">
      <c r="B51" s="4"/>
      <c r="C51" s="4"/>
      <c r="D51" s="4"/>
      <c r="E51" s="4"/>
      <c r="F51" s="4"/>
      <c r="G51" s="4"/>
      <c r="H51" s="4"/>
      <c r="I51" s="4"/>
      <c r="J51" s="4"/>
      <c r="K51" s="4"/>
      <c r="L51" s="4"/>
      <c r="M51" s="4"/>
      <c r="N51" s="4"/>
    </row>
    <row r="52" spans="2:14">
      <c r="B52" s="4"/>
      <c r="C52" s="4"/>
      <c r="D52" s="4"/>
      <c r="E52" s="4"/>
      <c r="F52" s="4"/>
      <c r="G52" s="4"/>
      <c r="H52" s="4"/>
      <c r="I52" s="4"/>
      <c r="J52" s="4"/>
      <c r="K52" s="4"/>
      <c r="L52" s="4"/>
      <c r="M52" s="4"/>
      <c r="N52" s="4"/>
    </row>
    <row r="53" spans="2:14">
      <c r="B53" s="4"/>
      <c r="C53" s="4"/>
      <c r="D53" s="4"/>
      <c r="E53" s="4"/>
      <c r="F53" s="4"/>
      <c r="G53" s="4"/>
      <c r="H53" s="4"/>
      <c r="I53" s="4"/>
      <c r="J53" s="4"/>
      <c r="K53" s="4"/>
      <c r="L53" s="4"/>
      <c r="M53" s="4"/>
      <c r="N53" s="4"/>
    </row>
    <row r="54" spans="2:14">
      <c r="B54" s="4"/>
      <c r="C54" s="4"/>
      <c r="D54" s="4"/>
      <c r="E54" s="4"/>
      <c r="F54" s="4"/>
      <c r="G54" s="4"/>
      <c r="H54" s="4"/>
      <c r="I54" s="4"/>
      <c r="J54" s="4"/>
      <c r="K54" s="4"/>
      <c r="L54" s="4"/>
      <c r="M54" s="4"/>
      <c r="N54" s="4"/>
    </row>
    <row r="55" spans="2:14">
      <c r="B55" s="4"/>
      <c r="C55" s="4"/>
      <c r="D55" s="4"/>
      <c r="E55" s="4"/>
      <c r="F55" s="4"/>
      <c r="G55" s="4"/>
      <c r="H55" s="4"/>
      <c r="I55" s="4"/>
      <c r="J55" s="4"/>
      <c r="K55" s="4"/>
      <c r="L55" s="4"/>
      <c r="M55" s="4"/>
      <c r="N55" s="4"/>
    </row>
    <row r="56" spans="2:14">
      <c r="B56" s="4"/>
      <c r="C56" s="4"/>
      <c r="D56" s="4"/>
      <c r="E56" s="4"/>
      <c r="F56" s="4"/>
      <c r="G56" s="4"/>
      <c r="H56" s="4"/>
      <c r="I56" s="4"/>
      <c r="J56" s="4"/>
      <c r="K56" s="4"/>
      <c r="L56" s="4"/>
      <c r="M56" s="4"/>
      <c r="N56" s="4"/>
    </row>
    <row r="57" spans="2:14">
      <c r="B57" s="4"/>
      <c r="C57" s="4"/>
      <c r="D57" s="4"/>
      <c r="E57" s="4"/>
      <c r="F57" s="4"/>
      <c r="G57" s="4"/>
      <c r="H57" s="4"/>
      <c r="I57" s="4"/>
      <c r="J57" s="4"/>
      <c r="K57" s="4"/>
      <c r="L57" s="4"/>
      <c r="M57" s="4"/>
      <c r="N57" s="4"/>
    </row>
    <row r="58" spans="2:14">
      <c r="B58" s="4"/>
      <c r="C58" s="4"/>
      <c r="D58" s="4"/>
      <c r="E58" s="4"/>
      <c r="F58" s="4"/>
      <c r="G58" s="4"/>
      <c r="H58" s="4"/>
      <c r="I58" s="4"/>
      <c r="J58" s="4"/>
      <c r="K58" s="4"/>
      <c r="L58" s="4"/>
      <c r="M58" s="4"/>
      <c r="N58" s="4"/>
    </row>
    <row r="59" spans="2:14">
      <c r="B59" s="4"/>
      <c r="C59" s="4"/>
      <c r="D59" s="4"/>
      <c r="E59" s="4"/>
      <c r="F59" s="4"/>
      <c r="G59" s="4"/>
      <c r="H59" s="4"/>
      <c r="I59" s="4"/>
      <c r="J59" s="4"/>
      <c r="K59" s="4"/>
      <c r="L59" s="4"/>
      <c r="M59" s="4"/>
      <c r="N59" s="4"/>
    </row>
    <row r="60" spans="2:14">
      <c r="B60" s="4"/>
      <c r="C60" s="4"/>
      <c r="D60" s="4"/>
      <c r="E60" s="4"/>
      <c r="F60" s="4"/>
      <c r="G60" s="4"/>
      <c r="H60" s="4"/>
      <c r="I60" s="4"/>
      <c r="J60" s="4"/>
      <c r="K60" s="4"/>
      <c r="L60" s="4"/>
      <c r="M60" s="4"/>
      <c r="N60" s="4"/>
    </row>
    <row r="61" spans="2:14">
      <c r="B61" s="4"/>
      <c r="C61" s="4"/>
      <c r="D61" s="4"/>
      <c r="E61" s="4"/>
      <c r="F61" s="4"/>
      <c r="G61" s="4"/>
      <c r="H61" s="4"/>
      <c r="I61" s="4"/>
      <c r="J61" s="4"/>
      <c r="K61" s="4"/>
      <c r="L61" s="4"/>
      <c r="M61" s="4"/>
      <c r="N61" s="4"/>
    </row>
    <row r="62" spans="2:14">
      <c r="B62" s="4"/>
      <c r="C62" s="4"/>
      <c r="D62" s="4"/>
      <c r="E62" s="4"/>
      <c r="F62" s="4"/>
      <c r="G62" s="4"/>
      <c r="H62" s="4"/>
      <c r="I62" s="4"/>
      <c r="J62" s="4"/>
      <c r="K62" s="4"/>
      <c r="L62" s="4"/>
      <c r="M62" s="4"/>
      <c r="N62" s="4"/>
    </row>
    <row r="63" spans="2:14">
      <c r="B63" s="4"/>
      <c r="C63" s="4"/>
      <c r="D63" s="4"/>
      <c r="E63" s="4"/>
      <c r="F63" s="4"/>
      <c r="G63" s="4"/>
      <c r="H63" s="4"/>
      <c r="I63" s="4"/>
      <c r="J63" s="4"/>
      <c r="K63" s="4"/>
      <c r="L63" s="4"/>
      <c r="M63" s="4"/>
      <c r="N63" s="4"/>
    </row>
    <row r="64" spans="2:14">
      <c r="B64" s="4"/>
      <c r="C64" s="4"/>
      <c r="D64" s="4"/>
      <c r="E64" s="4"/>
      <c r="F64" s="4"/>
      <c r="G64" s="4"/>
      <c r="H64" s="4"/>
      <c r="I64" s="4"/>
      <c r="J64" s="4"/>
      <c r="K64" s="4"/>
      <c r="L64" s="4"/>
      <c r="M64" s="4"/>
      <c r="N64" s="4"/>
    </row>
    <row r="65" spans="2:14">
      <c r="B65" s="4"/>
      <c r="C65" s="4"/>
      <c r="D65" s="4"/>
      <c r="E65" s="4"/>
      <c r="F65" s="4"/>
      <c r="G65" s="4"/>
      <c r="H65" s="4"/>
      <c r="I65" s="4"/>
      <c r="J65" s="4"/>
      <c r="K65" s="4"/>
      <c r="L65" s="4"/>
      <c r="M65" s="4"/>
      <c r="N65" s="4"/>
    </row>
    <row r="66" spans="2:14">
      <c r="B66" s="4"/>
      <c r="C66" s="4"/>
      <c r="D66" s="4"/>
      <c r="E66" s="4"/>
      <c r="F66" s="4"/>
      <c r="G66" s="4"/>
      <c r="H66" s="4"/>
      <c r="I66" s="4"/>
      <c r="J66" s="4"/>
      <c r="K66" s="4"/>
      <c r="L66" s="4"/>
      <c r="M66" s="4"/>
      <c r="N66" s="4"/>
    </row>
    <row r="67" spans="2:14">
      <c r="B67" s="4"/>
      <c r="C67" s="4"/>
      <c r="D67" s="4"/>
      <c r="E67" s="4"/>
      <c r="F67" s="4"/>
      <c r="G67" s="4"/>
      <c r="H67" s="4"/>
      <c r="I67" s="4"/>
      <c r="J67" s="4"/>
      <c r="K67" s="4"/>
      <c r="L67" s="4"/>
      <c r="M67" s="4"/>
      <c r="N67" s="4"/>
    </row>
    <row r="68" spans="2:14">
      <c r="B68" s="4"/>
      <c r="C68" s="4"/>
      <c r="D68" s="4"/>
      <c r="E68" s="4"/>
      <c r="F68" s="4"/>
      <c r="G68" s="4"/>
      <c r="H68" s="4"/>
      <c r="I68" s="4"/>
      <c r="J68" s="4"/>
      <c r="K68" s="4"/>
      <c r="L68" s="4"/>
      <c r="M68" s="4"/>
      <c r="N68" s="4"/>
    </row>
    <row r="69" spans="2:14">
      <c r="B69" s="4"/>
      <c r="C69" s="4"/>
      <c r="D69" s="4"/>
      <c r="E69" s="4"/>
      <c r="F69" s="4"/>
      <c r="G69" s="4"/>
      <c r="H69" s="4"/>
      <c r="I69" s="4"/>
      <c r="J69" s="4"/>
      <c r="K69" s="4"/>
      <c r="L69" s="4"/>
      <c r="M69" s="4"/>
      <c r="N69" s="4"/>
    </row>
    <row r="70" spans="2:14">
      <c r="B70" s="4"/>
      <c r="C70" s="4"/>
      <c r="D70" s="4"/>
      <c r="E70" s="4"/>
      <c r="F70" s="4"/>
      <c r="G70" s="4"/>
      <c r="H70" s="4"/>
      <c r="I70" s="4"/>
      <c r="J70" s="4"/>
      <c r="K70" s="4"/>
      <c r="L70" s="4"/>
      <c r="M70" s="4"/>
      <c r="N70" s="4"/>
    </row>
    <row r="71" spans="2:14">
      <c r="B71" s="4"/>
      <c r="C71" s="4"/>
      <c r="D71" s="4"/>
      <c r="E71" s="4"/>
      <c r="F71" s="4"/>
      <c r="G71" s="4"/>
      <c r="H71" s="4"/>
      <c r="I71" s="4"/>
      <c r="J71" s="4"/>
      <c r="K71" s="4"/>
      <c r="L71" s="4"/>
      <c r="M71" s="4"/>
      <c r="N71" s="4"/>
    </row>
    <row r="72" spans="2:14">
      <c r="B72" s="4"/>
      <c r="C72" s="4"/>
      <c r="D72" s="4"/>
      <c r="E72" s="4"/>
      <c r="F72" s="4"/>
      <c r="G72" s="4"/>
      <c r="H72" s="4"/>
      <c r="I72" s="4"/>
      <c r="J72" s="4"/>
      <c r="K72" s="4"/>
      <c r="L72" s="4"/>
      <c r="M72" s="4"/>
      <c r="N72" s="4"/>
    </row>
    <row r="73" spans="2:14">
      <c r="B73" s="4"/>
      <c r="C73" s="4"/>
      <c r="D73" s="4"/>
      <c r="E73" s="4"/>
      <c r="F73" s="4"/>
      <c r="G73" s="4"/>
      <c r="H73" s="4"/>
      <c r="I73" s="4"/>
      <c r="J73" s="4"/>
      <c r="K73" s="4"/>
      <c r="L73" s="4"/>
      <c r="M73" s="4"/>
      <c r="N73" s="4"/>
    </row>
    <row r="74" spans="2:14">
      <c r="B74" s="4"/>
      <c r="C74" s="4"/>
      <c r="D74" s="4"/>
      <c r="E74" s="4"/>
      <c r="F74" s="4"/>
      <c r="G74" s="4"/>
      <c r="H74" s="4"/>
      <c r="I74" s="4"/>
      <c r="J74" s="4"/>
      <c r="K74" s="4"/>
      <c r="L74" s="4"/>
      <c r="M74" s="4"/>
      <c r="N74" s="4"/>
    </row>
    <row r="75" spans="2:14">
      <c r="B75" s="4"/>
      <c r="C75" s="4"/>
      <c r="D75" s="4"/>
      <c r="E75" s="4"/>
      <c r="F75" s="4"/>
      <c r="G75" s="4"/>
      <c r="H75" s="4"/>
      <c r="I75" s="4"/>
      <c r="J75" s="4"/>
      <c r="K75" s="4"/>
      <c r="L75" s="4"/>
      <c r="M75" s="4"/>
      <c r="N75" s="4"/>
    </row>
    <row r="76" spans="2:14">
      <c r="B76" s="4"/>
      <c r="C76" s="4"/>
      <c r="D76" s="4"/>
      <c r="E76" s="4"/>
      <c r="F76" s="4"/>
      <c r="G76" s="4"/>
      <c r="H76" s="4"/>
      <c r="I76" s="4"/>
      <c r="J76" s="4"/>
      <c r="K76" s="4"/>
      <c r="L76" s="4"/>
      <c r="M76" s="4"/>
      <c r="N76" s="4"/>
    </row>
    <row r="77" spans="2:14">
      <c r="B77" s="4"/>
      <c r="C77" s="4"/>
      <c r="D77" s="4"/>
      <c r="E77" s="4"/>
      <c r="F77" s="4"/>
      <c r="G77" s="4"/>
      <c r="H77" s="4"/>
      <c r="I77" s="4"/>
      <c r="J77" s="4"/>
      <c r="K77" s="4"/>
      <c r="L77" s="4"/>
      <c r="M77" s="4"/>
      <c r="N77" s="4"/>
    </row>
    <row r="78" spans="2:14">
      <c r="B78" s="4"/>
      <c r="C78" s="4"/>
      <c r="D78" s="4"/>
      <c r="E78" s="4"/>
      <c r="F78" s="4"/>
      <c r="G78" s="4"/>
      <c r="H78" s="4"/>
      <c r="I78" s="4"/>
      <c r="J78" s="4"/>
      <c r="K78" s="4"/>
      <c r="L78" s="4"/>
      <c r="M78" s="4"/>
      <c r="N78" s="4"/>
    </row>
    <row r="79" spans="2:14">
      <c r="B79" s="4"/>
      <c r="C79" s="4"/>
      <c r="D79" s="4"/>
      <c r="E79" s="4"/>
      <c r="F79" s="4"/>
      <c r="G79" s="4"/>
      <c r="H79" s="4"/>
      <c r="I79" s="4"/>
      <c r="J79" s="4"/>
      <c r="K79" s="4"/>
      <c r="L79" s="4"/>
      <c r="M79" s="4"/>
      <c r="N79" s="4"/>
    </row>
    <row r="80" spans="2:14">
      <c r="B80" s="4"/>
      <c r="C80" s="4"/>
      <c r="D80" s="4"/>
      <c r="E80" s="4"/>
      <c r="F80" s="4"/>
      <c r="G80" s="4"/>
      <c r="H80" s="4"/>
      <c r="I80" s="4"/>
      <c r="J80" s="4"/>
      <c r="K80" s="4"/>
      <c r="L80" s="4"/>
      <c r="M80" s="4"/>
      <c r="N80" s="4"/>
    </row>
    <row r="81" spans="2:14">
      <c r="B81" s="4"/>
      <c r="C81" s="4"/>
      <c r="D81" s="4"/>
      <c r="E81" s="4"/>
      <c r="F81" s="4"/>
      <c r="G81" s="4"/>
      <c r="H81" s="4"/>
      <c r="I81" s="4"/>
      <c r="J81" s="4"/>
      <c r="K81" s="4"/>
      <c r="L81" s="4"/>
      <c r="M81" s="4"/>
      <c r="N81" s="4"/>
    </row>
    <row r="82" spans="2:14">
      <c r="B82" s="4"/>
      <c r="C82" s="4"/>
      <c r="D82" s="4"/>
      <c r="E82" s="4"/>
      <c r="F82" s="4"/>
      <c r="G82" s="4"/>
      <c r="H82" s="4"/>
      <c r="I82" s="4"/>
      <c r="J82" s="4"/>
      <c r="K82" s="4"/>
      <c r="L82" s="4"/>
      <c r="M82" s="4"/>
      <c r="N82" s="4"/>
    </row>
    <row r="83" spans="2:14">
      <c r="B83" s="4"/>
      <c r="C83" s="4"/>
      <c r="D83" s="4"/>
      <c r="E83" s="4"/>
      <c r="F83" s="4"/>
      <c r="G83" s="4"/>
      <c r="H83" s="4"/>
      <c r="I83" s="4"/>
      <c r="J83" s="4"/>
      <c r="K83" s="4"/>
      <c r="L83" s="4"/>
      <c r="M83" s="4"/>
      <c r="N83" s="4"/>
    </row>
    <row r="84" spans="2:14">
      <c r="B84" s="4"/>
      <c r="C84" s="4"/>
      <c r="D84" s="4"/>
      <c r="E84" s="4"/>
      <c r="F84" s="4"/>
      <c r="G84" s="4"/>
      <c r="H84" s="4"/>
      <c r="I84" s="4"/>
      <c r="J84" s="4"/>
      <c r="K84" s="4"/>
      <c r="L84" s="4"/>
      <c r="M84" s="4"/>
      <c r="N84" s="4"/>
    </row>
    <row r="85" spans="2:14">
      <c r="B85" s="4"/>
      <c r="C85" s="4"/>
      <c r="D85" s="4"/>
      <c r="E85" s="4"/>
      <c r="F85" s="4"/>
      <c r="G85" s="4"/>
      <c r="H85" s="4"/>
      <c r="I85" s="4"/>
      <c r="J85" s="4"/>
      <c r="K85" s="4"/>
      <c r="L85" s="4"/>
      <c r="M85" s="4"/>
      <c r="N85" s="4"/>
    </row>
    <row r="86" spans="2:14">
      <c r="B86" s="4"/>
      <c r="C86" s="4"/>
      <c r="D86" s="4"/>
      <c r="E86" s="4"/>
      <c r="F86" s="4"/>
      <c r="G86" s="4"/>
      <c r="H86" s="4"/>
      <c r="I86" s="4"/>
      <c r="J86" s="4"/>
      <c r="K86" s="4"/>
      <c r="L86" s="4"/>
      <c r="M86" s="4"/>
      <c r="N86" s="4"/>
    </row>
    <row r="87" spans="2:14">
      <c r="B87" s="4"/>
      <c r="C87" s="4"/>
      <c r="D87" s="4"/>
      <c r="E87" s="4"/>
      <c r="F87" s="4"/>
      <c r="G87" s="4"/>
      <c r="H87" s="4"/>
      <c r="I87" s="4"/>
      <c r="J87" s="4"/>
      <c r="K87" s="4"/>
      <c r="L87" s="4"/>
      <c r="M87" s="4"/>
      <c r="N87" s="4"/>
    </row>
    <row r="88" spans="2:14">
      <c r="B88" s="4"/>
      <c r="C88" s="4"/>
      <c r="D88" s="4"/>
      <c r="E88" s="4"/>
      <c r="F88" s="4"/>
      <c r="G88" s="4"/>
      <c r="H88" s="4"/>
      <c r="I88" s="4"/>
      <c r="J88" s="4"/>
      <c r="K88" s="4"/>
      <c r="L88" s="4"/>
      <c r="M88" s="4"/>
      <c r="N88" s="4"/>
    </row>
    <row r="89" spans="2:14">
      <c r="B89" s="4"/>
      <c r="C89" s="4"/>
      <c r="D89" s="4"/>
      <c r="E89" s="4"/>
      <c r="F89" s="4"/>
      <c r="G89" s="4"/>
      <c r="H89" s="4"/>
      <c r="I89" s="4"/>
      <c r="J89" s="4"/>
      <c r="K89" s="4"/>
      <c r="L89" s="4"/>
      <c r="M89" s="4"/>
      <c r="N89" s="4"/>
    </row>
    <row r="90" spans="2:14">
      <c r="B90" s="4"/>
      <c r="C90" s="4"/>
      <c r="D90" s="4"/>
      <c r="E90" s="4"/>
      <c r="F90" s="4"/>
      <c r="G90" s="4"/>
      <c r="H90" s="4"/>
      <c r="I90" s="4"/>
      <c r="J90" s="4"/>
      <c r="K90" s="4"/>
      <c r="L90" s="4"/>
      <c r="M90" s="4"/>
      <c r="N90" s="4"/>
    </row>
    <row r="91" spans="2:14">
      <c r="B91" s="4"/>
      <c r="C91" s="4"/>
      <c r="D91" s="4"/>
      <c r="E91" s="4"/>
      <c r="F91" s="4"/>
      <c r="G91" s="4"/>
      <c r="H91" s="4"/>
      <c r="I91" s="4"/>
      <c r="J91" s="4"/>
      <c r="K91" s="4"/>
      <c r="L91" s="4"/>
      <c r="M91" s="4"/>
      <c r="N91" s="4"/>
    </row>
    <row r="92" spans="2:14">
      <c r="B92" s="4"/>
      <c r="C92" s="4"/>
      <c r="D92" s="4"/>
      <c r="E92" s="4"/>
      <c r="F92" s="4"/>
      <c r="G92" s="4"/>
      <c r="H92" s="4"/>
      <c r="I92" s="4"/>
      <c r="J92" s="4"/>
      <c r="K92" s="4"/>
      <c r="L92" s="4"/>
      <c r="M92" s="4"/>
      <c r="N92" s="4"/>
    </row>
    <row r="93" spans="2:14">
      <c r="B93" s="4"/>
      <c r="C93" s="4"/>
      <c r="D93" s="4"/>
      <c r="E93" s="4"/>
      <c r="F93" s="4"/>
      <c r="G93" s="4"/>
      <c r="H93" s="4"/>
      <c r="I93" s="4"/>
      <c r="J93" s="4"/>
      <c r="K93" s="4"/>
      <c r="L93" s="4"/>
      <c r="M93" s="4"/>
      <c r="N93" s="4"/>
    </row>
    <row r="94" spans="2:14">
      <c r="B94" s="4"/>
      <c r="C94" s="4"/>
      <c r="D94" s="4"/>
      <c r="E94" s="4"/>
      <c r="F94" s="4"/>
      <c r="G94" s="4"/>
      <c r="H94" s="4"/>
      <c r="I94" s="4"/>
      <c r="J94" s="4"/>
      <c r="K94" s="4"/>
      <c r="L94" s="4"/>
      <c r="M94" s="4"/>
      <c r="N94" s="4"/>
    </row>
    <row r="95" spans="2:14">
      <c r="B95" s="4"/>
      <c r="C95" s="4"/>
      <c r="D95" s="4"/>
      <c r="E95" s="4"/>
      <c r="F95" s="4"/>
      <c r="G95" s="4"/>
      <c r="H95" s="4"/>
      <c r="I95" s="4"/>
      <c r="J95" s="4"/>
      <c r="K95" s="4"/>
      <c r="L95" s="4"/>
      <c r="M95" s="4"/>
      <c r="N95" s="4"/>
    </row>
    <row r="96" spans="2:14">
      <c r="B96" s="4"/>
      <c r="C96" s="4"/>
      <c r="D96" s="4"/>
      <c r="E96" s="4"/>
      <c r="F96" s="4"/>
      <c r="G96" s="4"/>
      <c r="H96" s="4"/>
      <c r="I96" s="4"/>
      <c r="J96" s="4"/>
      <c r="K96" s="4"/>
      <c r="L96" s="4"/>
      <c r="M96" s="4"/>
      <c r="N96" s="4"/>
    </row>
    <row r="97" spans="2:14">
      <c r="B97" s="4"/>
      <c r="C97" s="4"/>
      <c r="D97" s="4"/>
      <c r="E97" s="4"/>
      <c r="F97" s="4"/>
      <c r="G97" s="4"/>
      <c r="H97" s="4"/>
      <c r="I97" s="4"/>
      <c r="J97" s="4"/>
      <c r="K97" s="4"/>
      <c r="L97" s="4"/>
      <c r="M97" s="4"/>
      <c r="N97" s="4"/>
    </row>
    <row r="98" spans="2:14">
      <c r="B98" s="4"/>
      <c r="C98" s="4"/>
      <c r="D98" s="4"/>
      <c r="E98" s="4"/>
      <c r="F98" s="4"/>
      <c r="G98" s="4"/>
      <c r="H98" s="4"/>
      <c r="I98" s="4"/>
      <c r="J98" s="4"/>
      <c r="K98" s="4"/>
      <c r="L98" s="4"/>
      <c r="M98" s="4"/>
      <c r="N98" s="4"/>
    </row>
    <row r="99" spans="2:14">
      <c r="B99" s="4"/>
      <c r="C99" s="4"/>
      <c r="D99" s="4"/>
      <c r="E99" s="4"/>
      <c r="F99" s="4"/>
      <c r="G99" s="4"/>
      <c r="H99" s="4"/>
      <c r="I99" s="4"/>
      <c r="J99" s="4"/>
      <c r="K99" s="4"/>
      <c r="L99" s="4"/>
      <c r="M99" s="4"/>
      <c r="N99" s="4"/>
    </row>
    <row r="100" spans="2:14">
      <c r="B100" s="4"/>
      <c r="C100" s="4"/>
      <c r="D100" s="4"/>
      <c r="E100" s="4"/>
      <c r="F100" s="4"/>
      <c r="G100" s="4"/>
      <c r="H100" s="4"/>
      <c r="I100" s="4"/>
      <c r="J100" s="4"/>
      <c r="K100" s="4"/>
      <c r="L100" s="4"/>
      <c r="M100" s="4"/>
      <c r="N100" s="4"/>
    </row>
    <row r="101" spans="2:14">
      <c r="B101" s="4"/>
      <c r="C101" s="4"/>
      <c r="D101" s="4"/>
      <c r="E101" s="4"/>
      <c r="F101" s="4"/>
      <c r="G101" s="4"/>
      <c r="H101" s="4"/>
      <c r="I101" s="4"/>
      <c r="J101" s="4"/>
      <c r="K101" s="4"/>
      <c r="L101" s="4"/>
      <c r="M101" s="4"/>
      <c r="N101" s="4"/>
    </row>
    <row r="102" spans="2:14">
      <c r="B102" s="4"/>
      <c r="C102" s="4"/>
      <c r="D102" s="4"/>
      <c r="E102" s="4"/>
      <c r="F102" s="4"/>
      <c r="G102" s="4"/>
      <c r="H102" s="4"/>
      <c r="I102" s="4"/>
      <c r="J102" s="4"/>
      <c r="K102" s="4"/>
      <c r="L102" s="4"/>
      <c r="M102" s="4"/>
      <c r="N102" s="4"/>
    </row>
    <row r="103" spans="2:14">
      <c r="B103" s="4"/>
      <c r="C103" s="4"/>
      <c r="D103" s="4"/>
      <c r="E103" s="4"/>
      <c r="F103" s="4"/>
      <c r="G103" s="4"/>
      <c r="H103" s="4"/>
      <c r="I103" s="4"/>
      <c r="J103" s="4"/>
      <c r="K103" s="4"/>
      <c r="L103" s="4"/>
      <c r="M103" s="4"/>
      <c r="N103" s="4"/>
    </row>
    <row r="104" spans="2:14">
      <c r="B104" s="4"/>
      <c r="C104" s="4"/>
      <c r="D104" s="4"/>
      <c r="E104" s="4"/>
      <c r="F104" s="4"/>
      <c r="G104" s="4"/>
      <c r="H104" s="4"/>
      <c r="I104" s="4"/>
      <c r="J104" s="4"/>
      <c r="K104" s="4"/>
      <c r="L104" s="4"/>
      <c r="M104" s="4"/>
      <c r="N104" s="4"/>
    </row>
    <row r="105" spans="2:14">
      <c r="B105" s="4"/>
      <c r="C105" s="4"/>
      <c r="D105" s="4"/>
      <c r="E105" s="4"/>
      <c r="F105" s="4"/>
      <c r="G105" s="4"/>
      <c r="H105" s="4"/>
      <c r="I105" s="4"/>
      <c r="J105" s="4"/>
      <c r="K105" s="4"/>
      <c r="L105" s="4"/>
      <c r="M105" s="4"/>
      <c r="N105" s="4"/>
    </row>
    <row r="106" spans="2:14">
      <c r="B106" s="4"/>
      <c r="C106" s="4"/>
      <c r="D106" s="4"/>
      <c r="E106" s="4"/>
      <c r="F106" s="4"/>
      <c r="G106" s="4"/>
      <c r="H106" s="4"/>
      <c r="I106" s="4"/>
      <c r="J106" s="4"/>
      <c r="K106" s="4"/>
      <c r="L106" s="4"/>
      <c r="M106" s="4"/>
      <c r="N106" s="4"/>
    </row>
    <row r="107" spans="2:14">
      <c r="B107" s="4"/>
      <c r="C107" s="4"/>
      <c r="D107" s="4"/>
      <c r="E107" s="4"/>
      <c r="F107" s="4"/>
      <c r="G107" s="4"/>
      <c r="H107" s="4"/>
      <c r="I107" s="4"/>
      <c r="J107" s="4"/>
      <c r="K107" s="4"/>
      <c r="L107" s="4"/>
      <c r="M107" s="4"/>
      <c r="N107" s="4"/>
    </row>
    <row r="108" spans="2:14">
      <c r="B108" s="4"/>
      <c r="C108" s="4"/>
      <c r="D108" s="4"/>
      <c r="E108" s="4"/>
      <c r="F108" s="4"/>
      <c r="G108" s="4"/>
      <c r="H108" s="4"/>
      <c r="I108" s="4"/>
      <c r="J108" s="4"/>
      <c r="K108" s="4"/>
      <c r="L108" s="4"/>
      <c r="M108" s="4"/>
      <c r="N108" s="4"/>
    </row>
    <row r="109" spans="2:14">
      <c r="B109" s="4"/>
      <c r="C109" s="4"/>
      <c r="D109" s="4"/>
      <c r="E109" s="4"/>
      <c r="F109" s="4"/>
      <c r="G109" s="4"/>
      <c r="H109" s="4"/>
      <c r="I109" s="4"/>
      <c r="J109" s="4"/>
      <c r="K109" s="4"/>
      <c r="L109" s="4"/>
      <c r="M109" s="4"/>
      <c r="N109" s="4"/>
    </row>
    <row r="110" spans="2:14">
      <c r="B110" s="4"/>
      <c r="C110" s="4"/>
      <c r="D110" s="4"/>
      <c r="E110" s="4"/>
      <c r="F110" s="4"/>
      <c r="G110" s="4"/>
      <c r="H110" s="4"/>
      <c r="I110" s="4"/>
      <c r="J110" s="4"/>
      <c r="K110" s="4"/>
      <c r="L110" s="4"/>
      <c r="M110" s="4"/>
      <c r="N110" s="4"/>
    </row>
    <row r="111" spans="2:14">
      <c r="B111" s="4"/>
      <c r="C111" s="4"/>
      <c r="D111" s="4"/>
      <c r="E111" s="4"/>
      <c r="F111" s="4"/>
      <c r="G111" s="4"/>
      <c r="H111" s="4"/>
      <c r="I111" s="4"/>
      <c r="J111" s="4"/>
      <c r="K111" s="4"/>
      <c r="L111" s="4"/>
      <c r="M111" s="4"/>
      <c r="N111" s="4"/>
    </row>
    <row r="112" spans="2:14">
      <c r="B112" s="4"/>
      <c r="C112" s="4"/>
      <c r="D112" s="4"/>
      <c r="E112" s="4"/>
      <c r="F112" s="4"/>
      <c r="G112" s="4"/>
      <c r="H112" s="4"/>
      <c r="I112" s="4"/>
      <c r="J112" s="4"/>
      <c r="K112" s="4"/>
      <c r="L112" s="4"/>
      <c r="M112" s="4"/>
      <c r="N112" s="4"/>
    </row>
    <row r="113" spans="2:14">
      <c r="B113" s="4"/>
      <c r="C113" s="4"/>
      <c r="D113" s="4"/>
      <c r="E113" s="4"/>
      <c r="F113" s="4"/>
      <c r="G113" s="4"/>
      <c r="H113" s="4"/>
      <c r="I113" s="4"/>
      <c r="J113" s="4"/>
      <c r="K113" s="4"/>
      <c r="L113" s="4"/>
      <c r="M113" s="4"/>
      <c r="N113" s="4"/>
    </row>
    <row r="114" spans="2:14">
      <c r="B114" s="4"/>
      <c r="C114" s="4"/>
      <c r="D114" s="4"/>
      <c r="E114" s="4"/>
      <c r="F114" s="4"/>
      <c r="G114" s="4"/>
      <c r="H114" s="4"/>
      <c r="I114" s="4"/>
      <c r="J114" s="4"/>
      <c r="K114" s="4"/>
      <c r="L114" s="4"/>
      <c r="M114" s="4"/>
      <c r="N114" s="4"/>
    </row>
    <row r="115" spans="2:14">
      <c r="B115" s="4"/>
      <c r="C115" s="4"/>
      <c r="D115" s="4"/>
      <c r="E115" s="4"/>
      <c r="F115" s="4"/>
      <c r="G115" s="4"/>
      <c r="H115" s="4"/>
      <c r="I115" s="4"/>
      <c r="J115" s="4"/>
      <c r="K115" s="4"/>
      <c r="L115" s="4"/>
      <c r="M115" s="4"/>
      <c r="N115" s="4"/>
    </row>
    <row r="116" spans="2:14">
      <c r="B116" s="4"/>
      <c r="C116" s="4"/>
      <c r="D116" s="4"/>
      <c r="E116" s="4"/>
      <c r="F116" s="4"/>
      <c r="G116" s="4"/>
      <c r="H116" s="4"/>
      <c r="I116" s="4"/>
      <c r="J116" s="4"/>
      <c r="K116" s="4"/>
      <c r="L116" s="4"/>
      <c r="M116" s="4"/>
      <c r="N116" s="4"/>
    </row>
    <row r="117" spans="2:14">
      <c r="B117" s="4"/>
      <c r="C117" s="4"/>
      <c r="D117" s="4"/>
      <c r="E117" s="4"/>
      <c r="F117" s="4"/>
      <c r="G117" s="4"/>
      <c r="H117" s="4"/>
      <c r="I117" s="4"/>
      <c r="J117" s="4"/>
      <c r="K117" s="4"/>
      <c r="L117" s="4"/>
      <c r="M117" s="4"/>
      <c r="N117" s="4"/>
    </row>
    <row r="118" spans="2:14">
      <c r="B118" s="4"/>
      <c r="C118" s="4"/>
      <c r="D118" s="4"/>
      <c r="E118" s="4"/>
      <c r="F118" s="4"/>
      <c r="G118" s="4"/>
      <c r="H118" s="4"/>
      <c r="I118" s="4"/>
      <c r="J118" s="4"/>
      <c r="K118" s="4"/>
      <c r="L118" s="4"/>
      <c r="M118" s="4"/>
      <c r="N118" s="4"/>
    </row>
    <row r="119" spans="2:14">
      <c r="B119" s="4"/>
      <c r="C119" s="4"/>
      <c r="D119" s="4"/>
      <c r="E119" s="4"/>
      <c r="F119" s="4"/>
      <c r="G119" s="4"/>
      <c r="H119" s="4"/>
      <c r="I119" s="4"/>
      <c r="J119" s="4"/>
      <c r="K119" s="4"/>
      <c r="L119" s="4"/>
      <c r="M119" s="4"/>
      <c r="N119" s="4"/>
    </row>
    <row r="120" spans="2:14">
      <c r="B120" s="4"/>
      <c r="C120" s="4"/>
      <c r="D120" s="4"/>
      <c r="E120" s="4"/>
      <c r="F120" s="4"/>
      <c r="G120" s="4"/>
      <c r="H120" s="4"/>
      <c r="I120" s="4"/>
      <c r="J120" s="4"/>
      <c r="K120" s="4"/>
      <c r="L120" s="4"/>
      <c r="M120" s="4"/>
      <c r="N120" s="4"/>
    </row>
    <row r="121" spans="2:14">
      <c r="B121" s="4"/>
      <c r="C121" s="4"/>
      <c r="D121" s="4"/>
      <c r="E121" s="4"/>
      <c r="F121" s="4"/>
      <c r="G121" s="4"/>
      <c r="H121" s="4"/>
      <c r="I121" s="4"/>
      <c r="J121" s="4"/>
      <c r="K121" s="4"/>
      <c r="L121" s="4"/>
      <c r="M121" s="4"/>
      <c r="N121" s="4"/>
    </row>
    <row r="122" spans="2:14">
      <c r="B122" s="4"/>
      <c r="C122" s="4"/>
      <c r="D122" s="4"/>
      <c r="E122" s="4"/>
      <c r="F122" s="4"/>
      <c r="G122" s="4"/>
      <c r="H122" s="4"/>
      <c r="I122" s="4"/>
      <c r="J122" s="4"/>
      <c r="K122" s="4"/>
      <c r="L122" s="4"/>
      <c r="M122" s="4"/>
      <c r="N122" s="4"/>
    </row>
    <row r="123" spans="2:14">
      <c r="B123" s="4"/>
      <c r="C123" s="4"/>
      <c r="D123" s="4"/>
      <c r="E123" s="4"/>
      <c r="F123" s="4"/>
      <c r="G123" s="4"/>
      <c r="H123" s="4"/>
      <c r="I123" s="4"/>
      <c r="J123" s="4"/>
      <c r="K123" s="4"/>
      <c r="L123" s="4"/>
      <c r="M123" s="4"/>
      <c r="N123" s="4"/>
    </row>
    <row r="124" spans="2:14">
      <c r="B124" s="4"/>
      <c r="C124" s="4"/>
      <c r="D124" s="4"/>
      <c r="E124" s="4"/>
      <c r="F124" s="4"/>
      <c r="G124" s="4"/>
      <c r="H124" s="4"/>
      <c r="I124" s="4"/>
      <c r="J124" s="4"/>
      <c r="K124" s="4"/>
      <c r="L124" s="4"/>
      <c r="M124" s="4"/>
      <c r="N124" s="4"/>
    </row>
    <row r="125" spans="2:14">
      <c r="B125" s="4"/>
      <c r="C125" s="4"/>
      <c r="D125" s="4"/>
      <c r="E125" s="4"/>
      <c r="F125" s="4"/>
      <c r="G125" s="4"/>
      <c r="H125" s="4"/>
      <c r="I125" s="4"/>
      <c r="J125" s="4"/>
      <c r="K125" s="4"/>
      <c r="L125" s="4"/>
      <c r="M125" s="4"/>
      <c r="N125" s="4"/>
    </row>
  </sheetData>
  <mergeCells count="3">
    <mergeCell ref="A1:L1"/>
    <mergeCell ref="A2:L2"/>
    <mergeCell ref="A3:L3"/>
  </mergeCells>
  <pageMargins left="0.75" right="0.75" top="1" bottom="1" header="0.5" footer="0.5"/>
  <pageSetup scale="79" orientation="landscape" r:id="rId1"/>
  <headerFooter alignWithMargins="0">
    <oddFooter>&amp;L&amp;Z
&amp;F&amp;C&amp;A&amp;R25.&amp;P</oddFooter>
  </headerFooter>
</worksheet>
</file>

<file path=xl/worksheets/sheet78.xml><?xml version="1.0" encoding="utf-8"?>
<worksheet xmlns="http://schemas.openxmlformats.org/spreadsheetml/2006/main" xmlns:r="http://schemas.openxmlformats.org/officeDocument/2006/relationships">
  <sheetPr codeName="Sheet115">
    <pageSetUpPr fitToPage="1"/>
  </sheetPr>
  <dimension ref="A1:N130"/>
  <sheetViews>
    <sheetView zoomScale="90" zoomScaleNormal="90" workbookViewId="0">
      <selection activeCell="A31" sqref="A31"/>
    </sheetView>
  </sheetViews>
  <sheetFormatPr defaultRowHeight="12.75"/>
  <cols>
    <col min="1" max="1" width="40.5703125" bestFit="1" customWidth="1"/>
    <col min="2" max="2" width="17.7109375" customWidth="1"/>
    <col min="3" max="3" width="1.7109375" customWidth="1"/>
    <col min="4" max="4" width="17.7109375" customWidth="1"/>
    <col min="5" max="5" width="1.7109375" customWidth="1"/>
    <col min="6" max="6" width="17.7109375" customWidth="1"/>
    <col min="7" max="7" width="1.7109375" customWidth="1"/>
    <col min="8" max="8" width="17.7109375" customWidth="1"/>
    <col min="9" max="9" width="1.7109375" customWidth="1"/>
    <col min="10" max="10" width="17.7109375" customWidth="1"/>
    <col min="11" max="11" width="1.7109375" customWidth="1"/>
    <col min="12" max="12" width="17.7109375" customWidth="1"/>
  </cols>
  <sheetData>
    <row r="1" spans="1:14" s="38" customFormat="1" ht="15.75">
      <c r="A1" s="366" t="s">
        <v>134</v>
      </c>
      <c r="B1" s="366"/>
      <c r="C1" s="366"/>
      <c r="D1" s="366"/>
      <c r="E1" s="366"/>
      <c r="F1" s="366"/>
      <c r="G1" s="366"/>
      <c r="H1" s="366"/>
      <c r="I1" s="366"/>
      <c r="J1" s="366"/>
      <c r="K1" s="366"/>
      <c r="L1" s="366"/>
    </row>
    <row r="2" spans="1:14" s="38" customFormat="1" ht="15.75">
      <c r="A2" s="366" t="s">
        <v>1204</v>
      </c>
      <c r="B2" s="366"/>
      <c r="C2" s="366"/>
      <c r="D2" s="366"/>
      <c r="E2" s="366"/>
      <c r="F2" s="366"/>
      <c r="G2" s="366"/>
      <c r="H2" s="366"/>
      <c r="I2" s="366"/>
      <c r="J2" s="366"/>
      <c r="K2" s="366"/>
      <c r="L2" s="366"/>
    </row>
    <row r="3" spans="1:14">
      <c r="A3" s="357" t="str">
        <f>'Summary - Cost - PG 1 (Tot)'!A3:N3</f>
        <v>MARCH 2012</v>
      </c>
      <c r="B3" s="357"/>
      <c r="C3" s="357"/>
      <c r="D3" s="357"/>
      <c r="E3" s="357"/>
      <c r="F3" s="357"/>
      <c r="G3" s="357"/>
      <c r="H3" s="357"/>
      <c r="I3" s="357"/>
      <c r="J3" s="357"/>
      <c r="K3" s="357"/>
      <c r="L3" s="357"/>
    </row>
    <row r="4" spans="1:14">
      <c r="A4" s="190"/>
      <c r="B4" s="190"/>
      <c r="C4" s="190"/>
      <c r="D4" s="190"/>
      <c r="E4" s="190"/>
      <c r="F4" s="190"/>
      <c r="G4" s="190"/>
      <c r="H4" s="190"/>
      <c r="I4" s="190"/>
      <c r="J4" s="190"/>
      <c r="K4" s="190"/>
      <c r="L4" s="190"/>
    </row>
    <row r="6" spans="1:14">
      <c r="B6" s="41" t="s">
        <v>25</v>
      </c>
      <c r="D6" s="33"/>
      <c r="F6" s="33"/>
      <c r="H6" s="41" t="s">
        <v>612</v>
      </c>
      <c r="J6" s="33"/>
      <c r="L6" s="41" t="s">
        <v>26</v>
      </c>
    </row>
    <row r="7" spans="1:14" s="10" customFormat="1">
      <c r="B7" s="42" t="s">
        <v>27</v>
      </c>
      <c r="C7"/>
      <c r="D7" s="42" t="s">
        <v>107</v>
      </c>
      <c r="E7"/>
      <c r="F7" s="42" t="s">
        <v>108</v>
      </c>
      <c r="G7"/>
      <c r="H7" s="42" t="s">
        <v>613</v>
      </c>
      <c r="I7"/>
      <c r="J7" s="42" t="s">
        <v>109</v>
      </c>
      <c r="K7"/>
      <c r="L7" s="42" t="s">
        <v>27</v>
      </c>
    </row>
    <row r="8" spans="1:14" s="10" customFormat="1">
      <c r="B8" s="54"/>
      <c r="C8"/>
      <c r="D8" s="54"/>
      <c r="E8"/>
      <c r="F8" s="54"/>
      <c r="G8"/>
      <c r="H8" s="54"/>
      <c r="I8"/>
      <c r="J8" s="54"/>
      <c r="K8"/>
      <c r="L8" s="54"/>
    </row>
    <row r="9" spans="1:14" s="10" customFormat="1">
      <c r="A9" s="12" t="s">
        <v>686</v>
      </c>
      <c r="B9"/>
      <c r="C9"/>
      <c r="D9"/>
      <c r="E9"/>
      <c r="F9"/>
      <c r="G9"/>
      <c r="H9"/>
      <c r="I9"/>
      <c r="J9"/>
      <c r="K9"/>
      <c r="L9"/>
    </row>
    <row r="10" spans="1:14" s="10" customFormat="1">
      <c r="A10" s="12" t="s">
        <v>691</v>
      </c>
      <c r="B10" s="33"/>
      <c r="C10" s="33"/>
      <c r="D10" s="33"/>
      <c r="E10" s="33"/>
      <c r="F10" s="33"/>
      <c r="G10" s="33"/>
      <c r="H10" s="33"/>
      <c r="I10" s="33"/>
      <c r="J10" s="33"/>
      <c r="K10" s="33"/>
      <c r="L10" s="33"/>
    </row>
    <row r="11" spans="1:14">
      <c r="A11" t="s">
        <v>846</v>
      </c>
      <c r="B11" s="33">
        <f>+'Plant Held Future Use P26 (Fin)'!B11+'Plant Held Future Use P26 (PA)'!B11</f>
        <v>637632.37</v>
      </c>
      <c r="C11" s="33"/>
      <c r="D11" s="33">
        <f>+'Plant Held Future Use P26 (Fin)'!D11+'Plant Held Future Use P26 (PA)'!D11</f>
        <v>0</v>
      </c>
      <c r="E11" s="33"/>
      <c r="F11" s="33">
        <f>+'Plant Held Future Use P26 (Fin)'!F11+'Plant Held Future Use P26 (PA)'!F11</f>
        <v>0</v>
      </c>
      <c r="G11" s="33"/>
      <c r="H11" s="33">
        <f>+'Plant Held Future Use P26 (Fin)'!H11+'Plant Held Future Use P26 (PA)'!H11</f>
        <v>-21926.880000000001</v>
      </c>
      <c r="I11" s="33"/>
      <c r="J11" s="33">
        <f>D11+F11+H11</f>
        <v>-21926.880000000001</v>
      </c>
      <c r="K11" s="33">
        <v>0</v>
      </c>
      <c r="L11" s="33">
        <f>J11+B11</f>
        <v>615705.49</v>
      </c>
      <c r="M11" s="4"/>
      <c r="N11" s="4"/>
    </row>
    <row r="12" spans="1:14">
      <c r="A12" t="s">
        <v>847</v>
      </c>
      <c r="B12" s="35">
        <f>+'Plant Held Future Use P26 (Fin)'!B12+'Plant Held Future Use P26 (PA)'!B12</f>
        <v>11382.11</v>
      </c>
      <c r="C12" s="37"/>
      <c r="D12" s="35">
        <f>+'Plant Held Future Use P26 (Fin)'!D12+'Plant Held Future Use P26 (PA)'!D12</f>
        <v>0</v>
      </c>
      <c r="E12" s="37"/>
      <c r="F12" s="35">
        <f>+'Plant Held Future Use P26 (Fin)'!F12+'Plant Held Future Use P26 (PA)'!F12</f>
        <v>0</v>
      </c>
      <c r="G12" s="37"/>
      <c r="H12" s="35">
        <f>+'Plant Held Future Use P26 (Fin)'!H12+'Plant Held Future Use P26 (PA)'!H12</f>
        <v>0</v>
      </c>
      <c r="I12" s="37"/>
      <c r="J12" s="35">
        <f>D12+F12+H12</f>
        <v>0</v>
      </c>
      <c r="K12" s="37">
        <v>0</v>
      </c>
      <c r="L12" s="35">
        <f>J12+B12</f>
        <v>11382.11</v>
      </c>
      <c r="M12" s="55"/>
      <c r="N12" s="4"/>
    </row>
    <row r="13" spans="1:14">
      <c r="B13" s="52">
        <f>SUM(B11:B12)</f>
        <v>649014.48</v>
      </c>
      <c r="C13" s="52"/>
      <c r="D13" s="52">
        <f>SUM(D11:D12)</f>
        <v>0</v>
      </c>
      <c r="E13" s="52"/>
      <c r="F13" s="52">
        <f>SUM(F11:F12)</f>
        <v>0</v>
      </c>
      <c r="G13" s="52"/>
      <c r="H13" s="52">
        <f>SUM(H11:H12)</f>
        <v>-21926.880000000001</v>
      </c>
      <c r="I13" s="52"/>
      <c r="J13" s="52">
        <f>SUM(J11:J12)</f>
        <v>-21926.880000000001</v>
      </c>
      <c r="K13" s="52"/>
      <c r="L13" s="52">
        <f>SUM(L11:L12)</f>
        <v>627087.6</v>
      </c>
      <c r="M13" s="55"/>
      <c r="N13" s="4"/>
    </row>
    <row r="14" spans="1:14">
      <c r="B14" s="52"/>
      <c r="C14" s="52"/>
      <c r="D14" s="52"/>
      <c r="E14" s="52"/>
      <c r="F14" s="52"/>
      <c r="G14" s="52"/>
      <c r="H14" s="52"/>
      <c r="I14" s="52"/>
      <c r="J14" s="52"/>
      <c r="K14" s="52"/>
      <c r="L14" s="52"/>
      <c r="M14" s="55"/>
      <c r="N14" s="4"/>
    </row>
    <row r="15" spans="1:14">
      <c r="A15" s="3" t="s">
        <v>812</v>
      </c>
      <c r="B15" s="52"/>
      <c r="C15" s="52"/>
      <c r="D15" s="52"/>
      <c r="E15" s="52"/>
      <c r="F15" s="52"/>
      <c r="G15" s="52"/>
      <c r="H15" s="52"/>
      <c r="I15" s="52"/>
      <c r="J15" s="52"/>
      <c r="K15" s="52"/>
      <c r="L15" s="52"/>
      <c r="M15" s="55"/>
      <c r="N15" s="4"/>
    </row>
    <row r="16" spans="1:14">
      <c r="A16" t="s">
        <v>832</v>
      </c>
      <c r="B16" s="52">
        <f>+'Plant Held Future Use P26 (Fin)'!B16+'Plant Held Future Use P26 (PA)'!B16</f>
        <v>0</v>
      </c>
      <c r="C16" s="52"/>
      <c r="D16" s="52">
        <f>+'Plant Held Future Use P26 (Fin)'!D16+'Plant Held Future Use P26 (PA)'!D16</f>
        <v>0</v>
      </c>
      <c r="E16" s="52"/>
      <c r="F16" s="52">
        <f>+'Plant Held Future Use P26 (Fin)'!F16+'Plant Held Future Use P26 (PA)'!F16</f>
        <v>0</v>
      </c>
      <c r="G16" s="52"/>
      <c r="H16" s="52">
        <f>+'Plant Held Future Use P26 (Fin)'!H16+'Plant Held Future Use P26 (PA)'!H16</f>
        <v>0</v>
      </c>
      <c r="I16" s="52"/>
      <c r="J16" s="37">
        <f>D16+F16+H16</f>
        <v>0</v>
      </c>
      <c r="K16" s="52"/>
      <c r="L16" s="37">
        <f>J16+B16</f>
        <v>0</v>
      </c>
      <c r="M16" s="55"/>
      <c r="N16" s="4"/>
    </row>
    <row r="17" spans="1:14">
      <c r="A17" t="s">
        <v>834</v>
      </c>
      <c r="B17" s="52">
        <f>+'Plant Held Future Use P26 (Fin)'!B17+'Plant Held Future Use P26 (PA)'!B17</f>
        <v>0</v>
      </c>
      <c r="C17" s="52"/>
      <c r="D17" s="52">
        <f>+'Plant Held Future Use P26 (Fin)'!D17+'Plant Held Future Use P26 (PA)'!D17</f>
        <v>0</v>
      </c>
      <c r="E17" s="52"/>
      <c r="F17" s="52">
        <f>+'Plant Held Future Use P26 (Fin)'!F17+'Plant Held Future Use P26 (PA)'!F17</f>
        <v>0</v>
      </c>
      <c r="G17" s="52"/>
      <c r="H17" s="52">
        <f>+'Plant Held Future Use P26 (Fin)'!H17+'Plant Held Future Use P26 (PA)'!H17</f>
        <v>0</v>
      </c>
      <c r="I17" s="52"/>
      <c r="J17" s="37">
        <f>D17+F17+H17</f>
        <v>0</v>
      </c>
      <c r="K17" s="52"/>
      <c r="L17" s="37">
        <f>J17+B17</f>
        <v>0</v>
      </c>
      <c r="M17" s="55"/>
      <c r="N17" s="4"/>
    </row>
    <row r="18" spans="1:14">
      <c r="A18" t="s">
        <v>836</v>
      </c>
      <c r="B18" s="52">
        <f>+'Plant Held Future Use P26 (Fin)'!B18+'Plant Held Future Use P26 (PA)'!B18</f>
        <v>0</v>
      </c>
      <c r="C18" s="52"/>
      <c r="D18" s="52">
        <f>+'Plant Held Future Use P26 (Fin)'!D18+'Plant Held Future Use P26 (PA)'!D18</f>
        <v>0</v>
      </c>
      <c r="E18" s="52"/>
      <c r="F18" s="52">
        <f>+'Plant Held Future Use P26 (Fin)'!F18+'Plant Held Future Use P26 (PA)'!F18</f>
        <v>0</v>
      </c>
      <c r="G18" s="52"/>
      <c r="H18" s="52">
        <f>+'Plant Held Future Use P26 (Fin)'!H18+'Plant Held Future Use P26 (PA)'!H18</f>
        <v>0</v>
      </c>
      <c r="I18" s="52"/>
      <c r="J18" s="37">
        <f>D18+F18+H18</f>
        <v>0</v>
      </c>
      <c r="K18" s="52"/>
      <c r="L18" s="37">
        <f>J18+B18</f>
        <v>0</v>
      </c>
      <c r="M18" s="55"/>
      <c r="N18" s="4"/>
    </row>
    <row r="19" spans="1:14">
      <c r="A19" t="s">
        <v>606</v>
      </c>
      <c r="B19" s="48">
        <f>+'Plant Held Future Use P26 (Fin)'!B19+'Plant Held Future Use P26 (PA)'!B19</f>
        <v>0</v>
      </c>
      <c r="C19" s="52"/>
      <c r="D19" s="48">
        <f>+'Plant Held Future Use P26 (Fin)'!D19+'Plant Held Future Use P26 (PA)'!D19</f>
        <v>0</v>
      </c>
      <c r="E19" s="52"/>
      <c r="F19" s="48">
        <f>+'Plant Held Future Use P26 (Fin)'!F19+'Plant Held Future Use P26 (PA)'!F19</f>
        <v>0</v>
      </c>
      <c r="G19" s="52"/>
      <c r="H19" s="48">
        <f>+'Plant Held Future Use P26 (Fin)'!H19+'Plant Held Future Use P26 (PA)'!H19</f>
        <v>0</v>
      </c>
      <c r="I19" s="52"/>
      <c r="J19" s="35">
        <f>D19+F19+H19</f>
        <v>0</v>
      </c>
      <c r="K19" s="52"/>
      <c r="L19" s="35">
        <f>J19+B19</f>
        <v>0</v>
      </c>
      <c r="M19" s="55"/>
      <c r="N19" s="4"/>
    </row>
    <row r="20" spans="1:14">
      <c r="B20" s="52">
        <f>SUM(B16:B19)</f>
        <v>0</v>
      </c>
      <c r="C20" s="52"/>
      <c r="D20" s="52">
        <f>SUM(D16:D19)</f>
        <v>0</v>
      </c>
      <c r="E20" s="52"/>
      <c r="F20" s="52">
        <f>SUM(F16:F19)</f>
        <v>0</v>
      </c>
      <c r="G20" s="52"/>
      <c r="H20" s="52">
        <f>SUM(H16:H19)</f>
        <v>0</v>
      </c>
      <c r="I20" s="52"/>
      <c r="J20" s="52">
        <f>SUM(J16:J19)</f>
        <v>0</v>
      </c>
      <c r="K20" s="52"/>
      <c r="L20" s="52">
        <f>SUM(L16:L19)</f>
        <v>0</v>
      </c>
      <c r="M20" s="55"/>
      <c r="N20" s="4"/>
    </row>
    <row r="21" spans="1:14">
      <c r="B21" s="52"/>
      <c r="C21" s="182"/>
      <c r="D21" s="52"/>
      <c r="E21" s="182"/>
      <c r="F21" s="52"/>
      <c r="G21" s="182"/>
      <c r="H21" s="52"/>
      <c r="I21" s="182"/>
      <c r="J21" s="52"/>
      <c r="K21" s="182"/>
      <c r="L21" s="52"/>
      <c r="M21" s="4"/>
      <c r="N21" s="4"/>
    </row>
    <row r="22" spans="1:14">
      <c r="B22" s="182"/>
      <c r="C22" s="182"/>
      <c r="D22" s="182"/>
      <c r="E22" s="182"/>
      <c r="F22" s="182"/>
      <c r="G22" s="182"/>
      <c r="H22" s="182"/>
      <c r="I22" s="182"/>
      <c r="J22" s="182"/>
      <c r="K22" s="182"/>
      <c r="L22" s="182"/>
      <c r="M22" s="4"/>
      <c r="N22" s="4"/>
    </row>
    <row r="23" spans="1:14" ht="13.5" thickBot="1">
      <c r="A23" s="3" t="s">
        <v>607</v>
      </c>
      <c r="B23" s="46">
        <f>B20+B13</f>
        <v>649014.48</v>
      </c>
      <c r="C23" s="182"/>
      <c r="D23" s="46">
        <f>D20+D13</f>
        <v>0</v>
      </c>
      <c r="E23" s="182"/>
      <c r="F23" s="46">
        <f>F20+F13</f>
        <v>0</v>
      </c>
      <c r="G23" s="182"/>
      <c r="H23" s="46">
        <f>H20+H13</f>
        <v>-21926.880000000001</v>
      </c>
      <c r="I23" s="182"/>
      <c r="J23" s="46">
        <f>J20+J13</f>
        <v>-21926.880000000001</v>
      </c>
      <c r="K23" s="182"/>
      <c r="L23" s="46">
        <f>L20+L13</f>
        <v>627087.6</v>
      </c>
      <c r="M23" s="4"/>
      <c r="N23" s="4"/>
    </row>
    <row r="24" spans="1:14" ht="13.5" thickTop="1">
      <c r="B24" s="182"/>
      <c r="C24" s="182"/>
      <c r="D24" s="182"/>
      <c r="E24" s="182"/>
      <c r="F24" s="182"/>
      <c r="G24" s="182"/>
      <c r="H24" s="182"/>
      <c r="I24" s="182"/>
      <c r="J24" s="182"/>
      <c r="K24" s="182"/>
      <c r="L24" s="182"/>
      <c r="M24" s="4"/>
      <c r="N24" s="4"/>
    </row>
    <row r="25" spans="1:14">
      <c r="B25" s="4"/>
      <c r="C25" s="4"/>
      <c r="D25" s="4"/>
      <c r="E25" s="4"/>
      <c r="F25" s="4"/>
      <c r="G25" s="4"/>
      <c r="H25" s="4"/>
      <c r="I25" s="4"/>
      <c r="J25" s="4"/>
      <c r="K25" s="4"/>
      <c r="L25" s="4"/>
      <c r="M25" s="4"/>
      <c r="N25" s="4"/>
    </row>
    <row r="26" spans="1:14">
      <c r="B26" s="4"/>
      <c r="C26" s="4"/>
      <c r="D26" s="4"/>
      <c r="E26" s="4"/>
      <c r="F26" s="4"/>
      <c r="G26" s="4"/>
      <c r="H26" s="4"/>
      <c r="I26" s="4"/>
      <c r="J26" s="4"/>
      <c r="K26" s="4"/>
      <c r="L26" s="4"/>
      <c r="M26" s="4"/>
      <c r="N26" s="4"/>
    </row>
    <row r="27" spans="1:14">
      <c r="B27" s="4"/>
      <c r="C27" s="4"/>
      <c r="D27" s="4"/>
      <c r="E27" s="4"/>
      <c r="F27" s="4"/>
      <c r="G27" s="4"/>
      <c r="H27" s="4"/>
      <c r="I27" s="4"/>
      <c r="J27" s="4"/>
      <c r="K27" s="4"/>
      <c r="L27" s="4"/>
      <c r="M27" s="4"/>
      <c r="N27" s="4"/>
    </row>
    <row r="28" spans="1:14">
      <c r="B28" s="4"/>
      <c r="C28" s="4"/>
      <c r="D28" s="4"/>
      <c r="E28" s="4"/>
      <c r="F28" s="4"/>
      <c r="G28" s="4"/>
      <c r="H28" s="4"/>
      <c r="I28" s="4"/>
      <c r="J28" s="4"/>
      <c r="K28" s="4"/>
      <c r="L28" s="4"/>
      <c r="M28" s="4"/>
      <c r="N28" s="4"/>
    </row>
    <row r="29" spans="1:14">
      <c r="B29" s="4"/>
      <c r="C29" s="4"/>
      <c r="D29" s="4"/>
      <c r="E29" s="4"/>
      <c r="F29" s="4"/>
      <c r="G29" s="4"/>
      <c r="H29" s="4"/>
      <c r="I29" s="4"/>
      <c r="J29" s="4"/>
      <c r="K29" s="4"/>
      <c r="L29" s="4"/>
      <c r="M29" s="4"/>
      <c r="N29" s="4"/>
    </row>
    <row r="30" spans="1:14">
      <c r="B30" s="4"/>
      <c r="C30" s="4"/>
      <c r="D30" s="4"/>
      <c r="E30" s="4"/>
      <c r="F30" s="4"/>
      <c r="G30" s="4"/>
      <c r="H30" s="4"/>
      <c r="I30" s="4"/>
      <c r="J30" s="4"/>
      <c r="K30" s="4"/>
      <c r="L30" s="4"/>
      <c r="M30" s="4"/>
      <c r="N30" s="4"/>
    </row>
    <row r="31" spans="1:14">
      <c r="B31" s="4"/>
      <c r="C31" s="4"/>
      <c r="D31" s="4"/>
      <c r="E31" s="4"/>
      <c r="F31" s="4"/>
      <c r="G31" s="4"/>
      <c r="H31" s="4"/>
      <c r="I31" s="4"/>
      <c r="J31" s="4"/>
      <c r="K31" s="4"/>
      <c r="L31" s="4"/>
      <c r="M31" s="4"/>
      <c r="N31" s="4"/>
    </row>
    <row r="32" spans="1:14">
      <c r="B32" s="4"/>
      <c r="C32" s="4"/>
      <c r="D32" s="4"/>
      <c r="E32" s="4"/>
      <c r="F32" s="4"/>
      <c r="G32" s="4"/>
      <c r="H32" s="4"/>
      <c r="I32" s="4"/>
      <c r="J32" s="4"/>
      <c r="K32" s="4"/>
      <c r="L32" s="4"/>
      <c r="M32" s="4"/>
      <c r="N32" s="4"/>
    </row>
    <row r="33" spans="2:14">
      <c r="B33" s="4"/>
      <c r="C33" s="4"/>
      <c r="D33" s="4"/>
      <c r="E33" s="4"/>
      <c r="F33" s="4"/>
      <c r="G33" s="4"/>
      <c r="H33" s="4"/>
      <c r="I33" s="4"/>
      <c r="J33" s="4"/>
      <c r="K33" s="4"/>
      <c r="L33" s="4"/>
      <c r="M33" s="4"/>
      <c r="N33" s="4"/>
    </row>
    <row r="34" spans="2:14">
      <c r="B34" s="4"/>
      <c r="C34" s="4"/>
      <c r="D34" s="4"/>
      <c r="E34" s="4"/>
      <c r="F34" s="4"/>
      <c r="G34" s="4"/>
      <c r="H34" s="4"/>
      <c r="I34" s="4"/>
      <c r="J34" s="4"/>
      <c r="K34" s="4"/>
      <c r="L34" s="4"/>
      <c r="M34" s="4"/>
      <c r="N34" s="4"/>
    </row>
    <row r="35" spans="2:14">
      <c r="B35" s="4"/>
      <c r="C35" s="4"/>
      <c r="D35" s="4"/>
      <c r="E35" s="4"/>
      <c r="F35" s="4"/>
      <c r="G35" s="4"/>
      <c r="H35" s="4"/>
      <c r="I35" s="4"/>
      <c r="J35" s="4"/>
      <c r="K35" s="4"/>
      <c r="L35" s="4"/>
      <c r="M35" s="4"/>
      <c r="N35" s="4"/>
    </row>
    <row r="36" spans="2:14">
      <c r="B36" s="4"/>
      <c r="C36" s="4"/>
      <c r="D36" s="4"/>
      <c r="E36" s="4"/>
      <c r="F36" s="4"/>
      <c r="G36" s="4"/>
      <c r="H36" s="4"/>
      <c r="I36" s="4"/>
      <c r="J36" s="4"/>
      <c r="K36" s="4"/>
      <c r="L36" s="4"/>
      <c r="M36" s="4"/>
      <c r="N36" s="4"/>
    </row>
    <row r="37" spans="2:14">
      <c r="B37" s="4"/>
      <c r="C37" s="4"/>
      <c r="D37" s="4"/>
      <c r="E37" s="4"/>
      <c r="F37" s="4"/>
      <c r="G37" s="4"/>
      <c r="H37" s="4"/>
      <c r="I37" s="4"/>
      <c r="J37" s="4"/>
      <c r="K37" s="4"/>
      <c r="L37" s="4"/>
      <c r="M37" s="4"/>
      <c r="N37" s="4"/>
    </row>
    <row r="38" spans="2:14">
      <c r="B38" s="4"/>
      <c r="C38" s="4"/>
      <c r="D38" s="4"/>
      <c r="E38" s="4"/>
      <c r="F38" s="4"/>
      <c r="G38" s="4"/>
      <c r="H38" s="4"/>
      <c r="I38" s="4"/>
      <c r="J38" s="4"/>
      <c r="K38" s="4"/>
      <c r="L38" s="4"/>
      <c r="M38" s="4"/>
      <c r="N38" s="4"/>
    </row>
    <row r="39" spans="2:14">
      <c r="B39" s="4"/>
      <c r="C39" s="4"/>
      <c r="D39" s="4"/>
      <c r="E39" s="4"/>
      <c r="F39" s="4"/>
      <c r="G39" s="4"/>
      <c r="H39" s="4"/>
      <c r="I39" s="4"/>
      <c r="J39" s="4"/>
      <c r="K39" s="4"/>
      <c r="L39" s="4"/>
      <c r="M39" s="4"/>
      <c r="N39" s="4"/>
    </row>
    <row r="40" spans="2:14">
      <c r="B40" s="4"/>
      <c r="C40" s="4"/>
      <c r="D40" s="4"/>
      <c r="E40" s="4"/>
      <c r="F40" s="4"/>
      <c r="G40" s="4"/>
      <c r="H40" s="4"/>
      <c r="I40" s="4"/>
      <c r="J40" s="4"/>
      <c r="K40" s="4"/>
      <c r="L40" s="4"/>
      <c r="M40" s="4"/>
      <c r="N40" s="4"/>
    </row>
    <row r="41" spans="2:14">
      <c r="B41" s="4"/>
      <c r="C41" s="4"/>
      <c r="D41" s="4"/>
      <c r="E41" s="4"/>
      <c r="F41" s="4"/>
      <c r="G41" s="4"/>
      <c r="H41" s="4"/>
      <c r="I41" s="4"/>
      <c r="J41" s="4"/>
      <c r="K41" s="4"/>
      <c r="L41" s="4"/>
      <c r="M41" s="4"/>
      <c r="N41" s="4"/>
    </row>
    <row r="42" spans="2:14">
      <c r="B42" s="4"/>
      <c r="C42" s="4"/>
      <c r="D42" s="4"/>
      <c r="E42" s="4"/>
      <c r="F42" s="4"/>
      <c r="G42" s="4"/>
      <c r="H42" s="4"/>
      <c r="I42" s="4"/>
      <c r="J42" s="4"/>
      <c r="K42" s="4"/>
      <c r="L42" s="4"/>
      <c r="M42" s="4"/>
      <c r="N42" s="4"/>
    </row>
    <row r="43" spans="2:14">
      <c r="B43" s="4"/>
      <c r="C43" s="4"/>
      <c r="D43" s="4"/>
      <c r="E43" s="4"/>
      <c r="F43" s="4"/>
      <c r="G43" s="4"/>
      <c r="H43" s="4"/>
      <c r="I43" s="4"/>
      <c r="J43" s="4"/>
      <c r="K43" s="4"/>
      <c r="L43" s="4"/>
      <c r="M43" s="4"/>
      <c r="N43" s="4"/>
    </row>
    <row r="44" spans="2:14">
      <c r="B44" s="4"/>
      <c r="C44" s="4"/>
      <c r="D44" s="4"/>
      <c r="E44" s="4"/>
      <c r="F44" s="4"/>
      <c r="G44" s="4"/>
      <c r="H44" s="4"/>
      <c r="I44" s="4"/>
      <c r="J44" s="4"/>
      <c r="K44" s="4"/>
      <c r="L44" s="4"/>
      <c r="M44" s="4"/>
      <c r="N44" s="4"/>
    </row>
    <row r="45" spans="2:14">
      <c r="B45" s="4"/>
      <c r="C45" s="4"/>
      <c r="D45" s="4"/>
      <c r="E45" s="4"/>
      <c r="F45" s="4"/>
      <c r="G45" s="4"/>
      <c r="H45" s="4"/>
      <c r="I45" s="4"/>
      <c r="J45" s="4"/>
      <c r="K45" s="4"/>
      <c r="L45" s="4"/>
      <c r="M45" s="4"/>
      <c r="N45" s="4"/>
    </row>
    <row r="46" spans="2:14">
      <c r="B46" s="4"/>
      <c r="C46" s="4"/>
      <c r="D46" s="4"/>
      <c r="E46" s="4"/>
      <c r="F46" s="4"/>
      <c r="G46" s="4"/>
      <c r="H46" s="4"/>
      <c r="I46" s="4"/>
      <c r="J46" s="4"/>
      <c r="K46" s="4"/>
      <c r="L46" s="4"/>
      <c r="M46" s="4"/>
      <c r="N46" s="4"/>
    </row>
    <row r="47" spans="2:14">
      <c r="B47" s="4"/>
      <c r="C47" s="4"/>
      <c r="D47" s="4"/>
      <c r="E47" s="4"/>
      <c r="F47" s="4"/>
      <c r="G47" s="4"/>
      <c r="H47" s="4"/>
      <c r="I47" s="4"/>
      <c r="J47" s="4"/>
      <c r="K47" s="4"/>
      <c r="L47" s="4"/>
      <c r="M47" s="4"/>
      <c r="N47" s="4"/>
    </row>
    <row r="48" spans="2:14">
      <c r="B48" s="4"/>
      <c r="C48" s="4"/>
      <c r="D48" s="4"/>
      <c r="E48" s="4"/>
      <c r="F48" s="4"/>
      <c r="G48" s="4"/>
      <c r="H48" s="4"/>
      <c r="I48" s="4"/>
      <c r="J48" s="4"/>
      <c r="K48" s="4"/>
      <c r="L48" s="4"/>
      <c r="M48" s="4"/>
      <c r="N48" s="4"/>
    </row>
    <row r="49" spans="2:14">
      <c r="B49" s="4"/>
      <c r="C49" s="4"/>
      <c r="D49" s="4"/>
      <c r="E49" s="4"/>
      <c r="F49" s="4"/>
      <c r="G49" s="4"/>
      <c r="H49" s="4"/>
      <c r="I49" s="4"/>
      <c r="J49" s="4"/>
      <c r="K49" s="4"/>
      <c r="L49" s="4"/>
      <c r="M49" s="4"/>
      <c r="N49" s="4"/>
    </row>
    <row r="50" spans="2:14">
      <c r="B50" s="4"/>
      <c r="C50" s="4"/>
      <c r="D50" s="4"/>
      <c r="E50" s="4"/>
      <c r="F50" s="4"/>
      <c r="G50" s="4"/>
      <c r="H50" s="4"/>
      <c r="I50" s="4"/>
      <c r="J50" s="4"/>
      <c r="K50" s="4"/>
      <c r="L50" s="4"/>
      <c r="M50" s="4"/>
      <c r="N50" s="4"/>
    </row>
    <row r="51" spans="2:14">
      <c r="B51" s="4"/>
      <c r="C51" s="4"/>
      <c r="D51" s="4"/>
      <c r="E51" s="4"/>
      <c r="F51" s="4"/>
      <c r="G51" s="4"/>
      <c r="H51" s="4"/>
      <c r="I51" s="4"/>
      <c r="J51" s="4"/>
      <c r="K51" s="4"/>
      <c r="L51" s="4"/>
      <c r="M51" s="4"/>
      <c r="N51" s="4"/>
    </row>
    <row r="52" spans="2:14">
      <c r="B52" s="4"/>
      <c r="C52" s="4"/>
      <c r="D52" s="4"/>
      <c r="E52" s="4"/>
      <c r="F52" s="4"/>
      <c r="G52" s="4"/>
      <c r="H52" s="4"/>
      <c r="I52" s="4"/>
      <c r="J52" s="4"/>
      <c r="K52" s="4"/>
      <c r="L52" s="4"/>
      <c r="M52" s="4"/>
      <c r="N52" s="4"/>
    </row>
    <row r="53" spans="2:14">
      <c r="B53" s="4"/>
      <c r="C53" s="4"/>
      <c r="D53" s="4"/>
      <c r="E53" s="4"/>
      <c r="F53" s="4"/>
      <c r="G53" s="4"/>
      <c r="H53" s="4"/>
      <c r="I53" s="4"/>
      <c r="J53" s="4"/>
      <c r="K53" s="4"/>
      <c r="L53" s="4"/>
      <c r="M53" s="4"/>
      <c r="N53" s="4"/>
    </row>
    <row r="54" spans="2:14">
      <c r="B54" s="4"/>
      <c r="C54" s="4"/>
      <c r="D54" s="4"/>
      <c r="E54" s="4"/>
      <c r="F54" s="4"/>
      <c r="G54" s="4"/>
      <c r="H54" s="4"/>
      <c r="I54" s="4"/>
      <c r="J54" s="4"/>
      <c r="K54" s="4"/>
      <c r="L54" s="4"/>
      <c r="M54" s="4"/>
      <c r="N54" s="4"/>
    </row>
    <row r="55" spans="2:14">
      <c r="B55" s="4"/>
      <c r="C55" s="4"/>
      <c r="D55" s="4"/>
      <c r="E55" s="4"/>
      <c r="F55" s="4"/>
      <c r="G55" s="4"/>
      <c r="H55" s="4"/>
      <c r="I55" s="4"/>
      <c r="J55" s="4"/>
      <c r="K55" s="4"/>
      <c r="L55" s="4"/>
      <c r="M55" s="4"/>
      <c r="N55" s="4"/>
    </row>
    <row r="56" spans="2:14">
      <c r="B56" s="4"/>
      <c r="C56" s="4"/>
      <c r="D56" s="4"/>
      <c r="E56" s="4"/>
      <c r="F56" s="4"/>
      <c r="G56" s="4"/>
      <c r="H56" s="4"/>
      <c r="I56" s="4"/>
      <c r="J56" s="4"/>
      <c r="K56" s="4"/>
      <c r="L56" s="4"/>
      <c r="M56" s="4"/>
      <c r="N56" s="4"/>
    </row>
    <row r="57" spans="2:14">
      <c r="B57" s="4"/>
      <c r="C57" s="4"/>
      <c r="D57" s="4"/>
      <c r="E57" s="4"/>
      <c r="F57" s="4"/>
      <c r="G57" s="4"/>
      <c r="H57" s="4"/>
      <c r="I57" s="4"/>
      <c r="J57" s="4"/>
      <c r="K57" s="4"/>
      <c r="L57" s="4"/>
      <c r="M57" s="4"/>
      <c r="N57" s="4"/>
    </row>
    <row r="58" spans="2:14">
      <c r="B58" s="4"/>
      <c r="C58" s="4"/>
      <c r="D58" s="4"/>
      <c r="E58" s="4"/>
      <c r="F58" s="4"/>
      <c r="G58" s="4"/>
      <c r="H58" s="4"/>
      <c r="I58" s="4"/>
      <c r="J58" s="4"/>
      <c r="K58" s="4"/>
      <c r="L58" s="4"/>
      <c r="M58" s="4"/>
      <c r="N58" s="4"/>
    </row>
    <row r="59" spans="2:14">
      <c r="B59" s="4"/>
      <c r="C59" s="4"/>
      <c r="D59" s="4"/>
      <c r="E59" s="4"/>
      <c r="F59" s="4"/>
      <c r="G59" s="4"/>
      <c r="H59" s="4"/>
      <c r="I59" s="4"/>
      <c r="J59" s="4"/>
      <c r="K59" s="4"/>
      <c r="L59" s="4"/>
      <c r="M59" s="4"/>
      <c r="N59" s="4"/>
    </row>
    <row r="60" spans="2:14">
      <c r="B60" s="4"/>
      <c r="C60" s="4"/>
      <c r="D60" s="4"/>
      <c r="E60" s="4"/>
      <c r="F60" s="4"/>
      <c r="G60" s="4"/>
      <c r="H60" s="4"/>
      <c r="I60" s="4"/>
      <c r="J60" s="4"/>
      <c r="K60" s="4"/>
      <c r="L60" s="4"/>
      <c r="M60" s="4"/>
      <c r="N60" s="4"/>
    </row>
    <row r="61" spans="2:14">
      <c r="B61" s="4"/>
      <c r="C61" s="4"/>
      <c r="D61" s="4"/>
      <c r="E61" s="4"/>
      <c r="F61" s="4"/>
      <c r="G61" s="4"/>
      <c r="H61" s="4"/>
      <c r="I61" s="4"/>
      <c r="J61" s="4"/>
      <c r="K61" s="4"/>
      <c r="L61" s="4"/>
      <c r="M61" s="4"/>
      <c r="N61" s="4"/>
    </row>
    <row r="62" spans="2:14">
      <c r="B62" s="4"/>
      <c r="C62" s="4"/>
      <c r="D62" s="4"/>
      <c r="E62" s="4"/>
      <c r="F62" s="4"/>
      <c r="G62" s="4"/>
      <c r="H62" s="4"/>
      <c r="I62" s="4"/>
      <c r="J62" s="4"/>
      <c r="K62" s="4"/>
      <c r="L62" s="4"/>
      <c r="M62" s="4"/>
      <c r="N62" s="4"/>
    </row>
    <row r="63" spans="2:14">
      <c r="B63" s="4"/>
      <c r="C63" s="4"/>
      <c r="D63" s="4"/>
      <c r="E63" s="4"/>
      <c r="F63" s="4"/>
      <c r="G63" s="4"/>
      <c r="H63" s="4"/>
      <c r="I63" s="4"/>
      <c r="J63" s="4"/>
      <c r="K63" s="4"/>
      <c r="L63" s="4"/>
      <c r="M63" s="4"/>
      <c r="N63" s="4"/>
    </row>
    <row r="64" spans="2:14">
      <c r="B64" s="4"/>
      <c r="C64" s="4"/>
      <c r="D64" s="4"/>
      <c r="E64" s="4"/>
      <c r="F64" s="4"/>
      <c r="G64" s="4"/>
      <c r="H64" s="4"/>
      <c r="I64" s="4"/>
      <c r="J64" s="4"/>
      <c r="K64" s="4"/>
      <c r="L64" s="4"/>
      <c r="M64" s="4"/>
      <c r="N64" s="4"/>
    </row>
    <row r="65" spans="2:14">
      <c r="B65" s="4"/>
      <c r="C65" s="4"/>
      <c r="D65" s="4"/>
      <c r="E65" s="4"/>
      <c r="F65" s="4"/>
      <c r="G65" s="4"/>
      <c r="H65" s="4"/>
      <c r="I65" s="4"/>
      <c r="J65" s="4"/>
      <c r="K65" s="4"/>
      <c r="L65" s="4"/>
      <c r="M65" s="4"/>
      <c r="N65" s="4"/>
    </row>
    <row r="66" spans="2:14">
      <c r="B66" s="4"/>
      <c r="C66" s="4"/>
      <c r="D66" s="4"/>
      <c r="E66" s="4"/>
      <c r="F66" s="4"/>
      <c r="G66" s="4"/>
      <c r="H66" s="4"/>
      <c r="I66" s="4"/>
      <c r="J66" s="4"/>
      <c r="K66" s="4"/>
      <c r="L66" s="4"/>
      <c r="M66" s="4"/>
      <c r="N66" s="4"/>
    </row>
    <row r="67" spans="2:14">
      <c r="B67" s="4"/>
      <c r="C67" s="4"/>
      <c r="D67" s="4"/>
      <c r="E67" s="4"/>
      <c r="F67" s="4"/>
      <c r="G67" s="4"/>
      <c r="H67" s="4"/>
      <c r="I67" s="4"/>
      <c r="J67" s="4"/>
      <c r="K67" s="4"/>
      <c r="L67" s="4"/>
      <c r="M67" s="4"/>
      <c r="N67" s="4"/>
    </row>
    <row r="68" spans="2:14">
      <c r="B68" s="4"/>
      <c r="C68" s="4"/>
      <c r="D68" s="4"/>
      <c r="E68" s="4"/>
      <c r="F68" s="4"/>
      <c r="G68" s="4"/>
      <c r="H68" s="4"/>
      <c r="I68" s="4"/>
      <c r="J68" s="4"/>
      <c r="K68" s="4"/>
      <c r="L68" s="4"/>
      <c r="M68" s="4"/>
      <c r="N68" s="4"/>
    </row>
    <row r="69" spans="2:14">
      <c r="B69" s="4"/>
      <c r="C69" s="4"/>
      <c r="D69" s="4"/>
      <c r="E69" s="4"/>
      <c r="F69" s="4"/>
      <c r="G69" s="4"/>
      <c r="H69" s="4"/>
      <c r="I69" s="4"/>
      <c r="J69" s="4"/>
      <c r="K69" s="4"/>
      <c r="L69" s="4"/>
      <c r="M69" s="4"/>
      <c r="N69" s="4"/>
    </row>
    <row r="70" spans="2:14">
      <c r="B70" s="4"/>
      <c r="C70" s="4"/>
      <c r="D70" s="4"/>
      <c r="E70" s="4"/>
      <c r="F70" s="4"/>
      <c r="G70" s="4"/>
      <c r="H70" s="4"/>
      <c r="I70" s="4"/>
      <c r="J70" s="4"/>
      <c r="K70" s="4"/>
      <c r="L70" s="4"/>
      <c r="M70" s="4"/>
      <c r="N70" s="4"/>
    </row>
    <row r="71" spans="2:14">
      <c r="B71" s="4"/>
      <c r="C71" s="4"/>
      <c r="D71" s="4"/>
      <c r="E71" s="4"/>
      <c r="F71" s="4"/>
      <c r="G71" s="4"/>
      <c r="H71" s="4"/>
      <c r="I71" s="4"/>
      <c r="J71" s="4"/>
      <c r="K71" s="4"/>
      <c r="L71" s="4"/>
      <c r="M71" s="4"/>
      <c r="N71" s="4"/>
    </row>
    <row r="72" spans="2:14">
      <c r="B72" s="4"/>
      <c r="C72" s="4"/>
      <c r="D72" s="4"/>
      <c r="E72" s="4"/>
      <c r="F72" s="4"/>
      <c r="G72" s="4"/>
      <c r="H72" s="4"/>
      <c r="I72" s="4"/>
      <c r="J72" s="4"/>
      <c r="K72" s="4"/>
      <c r="L72" s="4"/>
      <c r="M72" s="4"/>
      <c r="N72" s="4"/>
    </row>
    <row r="73" spans="2:14">
      <c r="B73" s="4"/>
      <c r="C73" s="4"/>
      <c r="D73" s="4"/>
      <c r="E73" s="4"/>
      <c r="F73" s="4"/>
      <c r="G73" s="4"/>
      <c r="H73" s="4"/>
      <c r="I73" s="4"/>
      <c r="J73" s="4"/>
      <c r="K73" s="4"/>
      <c r="L73" s="4"/>
      <c r="M73" s="4"/>
      <c r="N73" s="4"/>
    </row>
    <row r="74" spans="2:14">
      <c r="B74" s="4"/>
      <c r="C74" s="4"/>
      <c r="D74" s="4"/>
      <c r="E74" s="4"/>
      <c r="F74" s="4"/>
      <c r="G74" s="4"/>
      <c r="H74" s="4"/>
      <c r="I74" s="4"/>
      <c r="J74" s="4"/>
      <c r="K74" s="4"/>
      <c r="L74" s="4"/>
      <c r="M74" s="4"/>
      <c r="N74" s="4"/>
    </row>
    <row r="75" spans="2:14">
      <c r="B75" s="4"/>
      <c r="C75" s="4"/>
      <c r="D75" s="4"/>
      <c r="E75" s="4"/>
      <c r="F75" s="4"/>
      <c r="G75" s="4"/>
      <c r="H75" s="4"/>
      <c r="I75" s="4"/>
      <c r="J75" s="4"/>
      <c r="K75" s="4"/>
      <c r="L75" s="4"/>
      <c r="M75" s="4"/>
      <c r="N75" s="4"/>
    </row>
    <row r="76" spans="2:14">
      <c r="B76" s="4"/>
      <c r="C76" s="4"/>
      <c r="D76" s="4"/>
      <c r="E76" s="4"/>
      <c r="F76" s="4"/>
      <c r="G76" s="4"/>
      <c r="H76" s="4"/>
      <c r="I76" s="4"/>
      <c r="J76" s="4"/>
      <c r="K76" s="4"/>
      <c r="L76" s="4"/>
      <c r="M76" s="4"/>
      <c r="N76" s="4"/>
    </row>
    <row r="77" spans="2:14">
      <c r="B77" s="4"/>
      <c r="C77" s="4"/>
      <c r="D77" s="4"/>
      <c r="E77" s="4"/>
      <c r="F77" s="4"/>
      <c r="G77" s="4"/>
      <c r="H77" s="4"/>
      <c r="I77" s="4"/>
      <c r="J77" s="4"/>
      <c r="K77" s="4"/>
      <c r="L77" s="4"/>
      <c r="M77" s="4"/>
      <c r="N77" s="4"/>
    </row>
    <row r="78" spans="2:14">
      <c r="B78" s="4"/>
      <c r="C78" s="4"/>
      <c r="D78" s="4"/>
      <c r="E78" s="4"/>
      <c r="F78" s="4"/>
      <c r="G78" s="4"/>
      <c r="H78" s="4"/>
      <c r="I78" s="4"/>
      <c r="J78" s="4"/>
      <c r="K78" s="4"/>
      <c r="L78" s="4"/>
      <c r="M78" s="4"/>
      <c r="N78" s="4"/>
    </row>
    <row r="79" spans="2:14">
      <c r="B79" s="4"/>
      <c r="C79" s="4"/>
      <c r="D79" s="4"/>
      <c r="E79" s="4"/>
      <c r="F79" s="4"/>
      <c r="G79" s="4"/>
      <c r="H79" s="4"/>
      <c r="I79" s="4"/>
      <c r="J79" s="4"/>
      <c r="K79" s="4"/>
      <c r="L79" s="4"/>
      <c r="M79" s="4"/>
      <c r="N79" s="4"/>
    </row>
    <row r="80" spans="2:14">
      <c r="B80" s="4"/>
      <c r="C80" s="4"/>
      <c r="D80" s="4"/>
      <c r="E80" s="4"/>
      <c r="F80" s="4"/>
      <c r="G80" s="4"/>
      <c r="H80" s="4"/>
      <c r="I80" s="4"/>
      <c r="J80" s="4"/>
      <c r="K80" s="4"/>
      <c r="L80" s="4"/>
      <c r="M80" s="4"/>
      <c r="N80" s="4"/>
    </row>
    <row r="81" spans="2:14">
      <c r="B81" s="4"/>
      <c r="C81" s="4"/>
      <c r="D81" s="4"/>
      <c r="E81" s="4"/>
      <c r="F81" s="4"/>
      <c r="G81" s="4"/>
      <c r="H81" s="4"/>
      <c r="I81" s="4"/>
      <c r="J81" s="4"/>
      <c r="K81" s="4"/>
      <c r="L81" s="4"/>
      <c r="M81" s="4"/>
      <c r="N81" s="4"/>
    </row>
    <row r="82" spans="2:14">
      <c r="B82" s="4"/>
      <c r="C82" s="4"/>
      <c r="D82" s="4"/>
      <c r="E82" s="4"/>
      <c r="F82" s="4"/>
      <c r="G82" s="4"/>
      <c r="H82" s="4"/>
      <c r="I82" s="4"/>
      <c r="J82" s="4"/>
      <c r="K82" s="4"/>
      <c r="L82" s="4"/>
      <c r="M82" s="4"/>
      <c r="N82" s="4"/>
    </row>
    <row r="83" spans="2:14">
      <c r="B83" s="4"/>
      <c r="C83" s="4"/>
      <c r="D83" s="4"/>
      <c r="E83" s="4"/>
      <c r="F83" s="4"/>
      <c r="G83" s="4"/>
      <c r="H83" s="4"/>
      <c r="I83" s="4"/>
      <c r="J83" s="4"/>
      <c r="K83" s="4"/>
      <c r="L83" s="4"/>
      <c r="M83" s="4"/>
      <c r="N83" s="4"/>
    </row>
    <row r="84" spans="2:14">
      <c r="B84" s="4"/>
      <c r="C84" s="4"/>
      <c r="D84" s="4"/>
      <c r="E84" s="4"/>
      <c r="F84" s="4"/>
      <c r="G84" s="4"/>
      <c r="H84" s="4"/>
      <c r="I84" s="4"/>
      <c r="J84" s="4"/>
      <c r="K84" s="4"/>
      <c r="L84" s="4"/>
      <c r="M84" s="4"/>
      <c r="N84" s="4"/>
    </row>
    <row r="85" spans="2:14">
      <c r="B85" s="4"/>
      <c r="C85" s="4"/>
      <c r="D85" s="4"/>
      <c r="E85" s="4"/>
      <c r="F85" s="4"/>
      <c r="G85" s="4"/>
      <c r="H85" s="4"/>
      <c r="I85" s="4"/>
      <c r="J85" s="4"/>
      <c r="K85" s="4"/>
      <c r="L85" s="4"/>
      <c r="M85" s="4"/>
      <c r="N85" s="4"/>
    </row>
    <row r="86" spans="2:14">
      <c r="B86" s="4"/>
      <c r="C86" s="4"/>
      <c r="D86" s="4"/>
      <c r="E86" s="4"/>
      <c r="F86" s="4"/>
      <c r="G86" s="4"/>
      <c r="H86" s="4"/>
      <c r="I86" s="4"/>
      <c r="J86" s="4"/>
      <c r="K86" s="4"/>
      <c r="L86" s="4"/>
      <c r="M86" s="4"/>
      <c r="N86" s="4"/>
    </row>
    <row r="87" spans="2:14">
      <c r="B87" s="4"/>
      <c r="C87" s="4"/>
      <c r="D87" s="4"/>
      <c r="E87" s="4"/>
      <c r="F87" s="4"/>
      <c r="G87" s="4"/>
      <c r="H87" s="4"/>
      <c r="I87" s="4"/>
      <c r="J87" s="4"/>
      <c r="K87" s="4"/>
      <c r="L87" s="4"/>
      <c r="M87" s="4"/>
      <c r="N87" s="4"/>
    </row>
    <row r="88" spans="2:14">
      <c r="B88" s="4"/>
      <c r="C88" s="4"/>
      <c r="D88" s="4"/>
      <c r="E88" s="4"/>
      <c r="F88" s="4"/>
      <c r="G88" s="4"/>
      <c r="H88" s="4"/>
      <c r="I88" s="4"/>
      <c r="J88" s="4"/>
      <c r="K88" s="4"/>
      <c r="L88" s="4"/>
      <c r="M88" s="4"/>
      <c r="N88" s="4"/>
    </row>
    <row r="89" spans="2:14">
      <c r="B89" s="4"/>
      <c r="C89" s="4"/>
      <c r="D89" s="4"/>
      <c r="E89" s="4"/>
      <c r="F89" s="4"/>
      <c r="G89" s="4"/>
      <c r="H89" s="4"/>
      <c r="I89" s="4"/>
      <c r="J89" s="4"/>
      <c r="K89" s="4"/>
      <c r="L89" s="4"/>
      <c r="M89" s="4"/>
      <c r="N89" s="4"/>
    </row>
    <row r="90" spans="2:14">
      <c r="B90" s="4"/>
      <c r="C90" s="4"/>
      <c r="D90" s="4"/>
      <c r="E90" s="4"/>
      <c r="F90" s="4"/>
      <c r="G90" s="4"/>
      <c r="H90" s="4"/>
      <c r="I90" s="4"/>
      <c r="J90" s="4"/>
      <c r="K90" s="4"/>
      <c r="L90" s="4"/>
      <c r="M90" s="4"/>
      <c r="N90" s="4"/>
    </row>
    <row r="91" spans="2:14">
      <c r="B91" s="4"/>
      <c r="C91" s="4"/>
      <c r="D91" s="4"/>
      <c r="E91" s="4"/>
      <c r="F91" s="4"/>
      <c r="G91" s="4"/>
      <c r="H91" s="4"/>
      <c r="I91" s="4"/>
      <c r="J91" s="4"/>
      <c r="K91" s="4"/>
      <c r="L91" s="4"/>
      <c r="M91" s="4"/>
      <c r="N91" s="4"/>
    </row>
    <row r="92" spans="2:14">
      <c r="B92" s="4"/>
      <c r="C92" s="4"/>
      <c r="D92" s="4"/>
      <c r="E92" s="4"/>
      <c r="F92" s="4"/>
      <c r="G92" s="4"/>
      <c r="H92" s="4"/>
      <c r="I92" s="4"/>
      <c r="J92" s="4"/>
      <c r="K92" s="4"/>
      <c r="L92" s="4"/>
      <c r="M92" s="4"/>
      <c r="N92" s="4"/>
    </row>
    <row r="93" spans="2:14">
      <c r="B93" s="4"/>
      <c r="C93" s="4"/>
      <c r="D93" s="4"/>
      <c r="E93" s="4"/>
      <c r="F93" s="4"/>
      <c r="G93" s="4"/>
      <c r="H93" s="4"/>
      <c r="I93" s="4"/>
      <c r="J93" s="4"/>
      <c r="K93" s="4"/>
      <c r="L93" s="4"/>
      <c r="M93" s="4"/>
      <c r="N93" s="4"/>
    </row>
    <row r="94" spans="2:14">
      <c r="B94" s="4"/>
      <c r="C94" s="4"/>
      <c r="D94" s="4"/>
      <c r="E94" s="4"/>
      <c r="F94" s="4"/>
      <c r="G94" s="4"/>
      <c r="H94" s="4"/>
      <c r="I94" s="4"/>
      <c r="J94" s="4"/>
      <c r="K94" s="4"/>
      <c r="L94" s="4"/>
      <c r="M94" s="4"/>
      <c r="N94" s="4"/>
    </row>
    <row r="95" spans="2:14">
      <c r="B95" s="4"/>
      <c r="C95" s="4"/>
      <c r="D95" s="4"/>
      <c r="E95" s="4"/>
      <c r="F95" s="4"/>
      <c r="G95" s="4"/>
      <c r="H95" s="4"/>
      <c r="I95" s="4"/>
      <c r="J95" s="4"/>
      <c r="K95" s="4"/>
      <c r="L95" s="4"/>
      <c r="M95" s="4"/>
      <c r="N95" s="4"/>
    </row>
    <row r="96" spans="2:14">
      <c r="B96" s="4"/>
      <c r="C96" s="4"/>
      <c r="D96" s="4"/>
      <c r="E96" s="4"/>
      <c r="F96" s="4"/>
      <c r="G96" s="4"/>
      <c r="H96" s="4"/>
      <c r="I96" s="4"/>
      <c r="J96" s="4"/>
      <c r="K96" s="4"/>
      <c r="L96" s="4"/>
      <c r="M96" s="4"/>
      <c r="N96" s="4"/>
    </row>
    <row r="97" spans="2:14">
      <c r="B97" s="4"/>
      <c r="C97" s="4"/>
      <c r="D97" s="4"/>
      <c r="E97" s="4"/>
      <c r="F97" s="4"/>
      <c r="G97" s="4"/>
      <c r="H97" s="4"/>
      <c r="I97" s="4"/>
      <c r="J97" s="4"/>
      <c r="K97" s="4"/>
      <c r="L97" s="4"/>
      <c r="M97" s="4"/>
      <c r="N97" s="4"/>
    </row>
    <row r="98" spans="2:14">
      <c r="B98" s="4"/>
      <c r="C98" s="4"/>
      <c r="D98" s="4"/>
      <c r="E98" s="4"/>
      <c r="F98" s="4"/>
      <c r="G98" s="4"/>
      <c r="H98" s="4"/>
      <c r="I98" s="4"/>
      <c r="J98" s="4"/>
      <c r="K98" s="4"/>
      <c r="L98" s="4"/>
      <c r="M98" s="4"/>
      <c r="N98" s="4"/>
    </row>
    <row r="99" spans="2:14">
      <c r="B99" s="4"/>
      <c r="C99" s="4"/>
      <c r="D99" s="4"/>
      <c r="E99" s="4"/>
      <c r="F99" s="4"/>
      <c r="G99" s="4"/>
      <c r="H99" s="4"/>
      <c r="I99" s="4"/>
      <c r="J99" s="4"/>
      <c r="K99" s="4"/>
      <c r="L99" s="4"/>
      <c r="M99" s="4"/>
      <c r="N99" s="4"/>
    </row>
    <row r="100" spans="2:14">
      <c r="B100" s="4"/>
      <c r="C100" s="4"/>
      <c r="D100" s="4"/>
      <c r="E100" s="4"/>
      <c r="F100" s="4"/>
      <c r="G100" s="4"/>
      <c r="H100" s="4"/>
      <c r="I100" s="4"/>
      <c r="J100" s="4"/>
      <c r="K100" s="4"/>
      <c r="L100" s="4"/>
      <c r="M100" s="4"/>
      <c r="N100" s="4"/>
    </row>
    <row r="101" spans="2:14">
      <c r="B101" s="4"/>
      <c r="C101" s="4"/>
      <c r="D101" s="4"/>
      <c r="E101" s="4"/>
      <c r="F101" s="4"/>
      <c r="G101" s="4"/>
      <c r="H101" s="4"/>
      <c r="I101" s="4"/>
      <c r="J101" s="4"/>
      <c r="K101" s="4"/>
      <c r="L101" s="4"/>
      <c r="M101" s="4"/>
      <c r="N101" s="4"/>
    </row>
    <row r="102" spans="2:14">
      <c r="B102" s="4"/>
      <c r="C102" s="4"/>
      <c r="D102" s="4"/>
      <c r="E102" s="4"/>
      <c r="F102" s="4"/>
      <c r="G102" s="4"/>
      <c r="H102" s="4"/>
      <c r="I102" s="4"/>
      <c r="J102" s="4"/>
      <c r="K102" s="4"/>
      <c r="L102" s="4"/>
      <c r="M102" s="4"/>
      <c r="N102" s="4"/>
    </row>
    <row r="103" spans="2:14">
      <c r="B103" s="4"/>
      <c r="C103" s="4"/>
      <c r="D103" s="4"/>
      <c r="E103" s="4"/>
      <c r="F103" s="4"/>
      <c r="G103" s="4"/>
      <c r="H103" s="4"/>
      <c r="I103" s="4"/>
      <c r="J103" s="4"/>
      <c r="K103" s="4"/>
      <c r="L103" s="4"/>
      <c r="M103" s="4"/>
      <c r="N103" s="4"/>
    </row>
    <row r="104" spans="2:14">
      <c r="B104" s="4"/>
      <c r="C104" s="4"/>
      <c r="D104" s="4"/>
      <c r="E104" s="4"/>
      <c r="F104" s="4"/>
      <c r="G104" s="4"/>
      <c r="H104" s="4"/>
      <c r="I104" s="4"/>
      <c r="J104" s="4"/>
      <c r="K104" s="4"/>
      <c r="L104" s="4"/>
      <c r="M104" s="4"/>
      <c r="N104" s="4"/>
    </row>
    <row r="105" spans="2:14">
      <c r="B105" s="4"/>
      <c r="C105" s="4"/>
      <c r="D105" s="4"/>
      <c r="E105" s="4"/>
      <c r="F105" s="4"/>
      <c r="G105" s="4"/>
      <c r="H105" s="4"/>
      <c r="I105" s="4"/>
      <c r="J105" s="4"/>
      <c r="K105" s="4"/>
      <c r="L105" s="4"/>
      <c r="M105" s="4"/>
      <c r="N105" s="4"/>
    </row>
    <row r="106" spans="2:14">
      <c r="B106" s="4"/>
      <c r="C106" s="4"/>
      <c r="D106" s="4"/>
      <c r="E106" s="4"/>
      <c r="F106" s="4"/>
      <c r="G106" s="4"/>
      <c r="H106" s="4"/>
      <c r="I106" s="4"/>
      <c r="J106" s="4"/>
      <c r="K106" s="4"/>
      <c r="L106" s="4"/>
      <c r="M106" s="4"/>
      <c r="N106" s="4"/>
    </row>
    <row r="107" spans="2:14">
      <c r="B107" s="4"/>
      <c r="C107" s="4"/>
      <c r="D107" s="4"/>
      <c r="E107" s="4"/>
      <c r="F107" s="4"/>
      <c r="G107" s="4"/>
      <c r="H107" s="4"/>
      <c r="I107" s="4"/>
      <c r="J107" s="4"/>
      <c r="K107" s="4"/>
      <c r="L107" s="4"/>
      <c r="M107" s="4"/>
      <c r="N107" s="4"/>
    </row>
    <row r="108" spans="2:14">
      <c r="B108" s="4"/>
      <c r="C108" s="4"/>
      <c r="D108" s="4"/>
      <c r="E108" s="4"/>
      <c r="F108" s="4"/>
      <c r="G108" s="4"/>
      <c r="H108" s="4"/>
      <c r="I108" s="4"/>
      <c r="J108" s="4"/>
      <c r="K108" s="4"/>
      <c r="L108" s="4"/>
      <c r="M108" s="4"/>
      <c r="N108" s="4"/>
    </row>
    <row r="109" spans="2:14">
      <c r="B109" s="4"/>
      <c r="C109" s="4"/>
      <c r="D109" s="4"/>
      <c r="E109" s="4"/>
      <c r="F109" s="4"/>
      <c r="G109" s="4"/>
      <c r="H109" s="4"/>
      <c r="I109" s="4"/>
      <c r="J109" s="4"/>
      <c r="K109" s="4"/>
      <c r="L109" s="4"/>
      <c r="M109" s="4"/>
      <c r="N109" s="4"/>
    </row>
    <row r="110" spans="2:14">
      <c r="B110" s="4"/>
      <c r="C110" s="4"/>
      <c r="D110" s="4"/>
      <c r="E110" s="4"/>
      <c r="F110" s="4"/>
      <c r="G110" s="4"/>
      <c r="H110" s="4"/>
      <c r="I110" s="4"/>
      <c r="J110" s="4"/>
      <c r="K110" s="4"/>
      <c r="L110" s="4"/>
      <c r="M110" s="4"/>
      <c r="N110" s="4"/>
    </row>
    <row r="111" spans="2:14">
      <c r="B111" s="4"/>
      <c r="C111" s="4"/>
      <c r="D111" s="4"/>
      <c r="E111" s="4"/>
      <c r="F111" s="4"/>
      <c r="G111" s="4"/>
      <c r="H111" s="4"/>
      <c r="I111" s="4"/>
      <c r="J111" s="4"/>
      <c r="K111" s="4"/>
      <c r="L111" s="4"/>
      <c r="M111" s="4"/>
      <c r="N111" s="4"/>
    </row>
    <row r="112" spans="2:14">
      <c r="B112" s="4"/>
      <c r="C112" s="4"/>
      <c r="D112" s="4"/>
      <c r="E112" s="4"/>
      <c r="F112" s="4"/>
      <c r="G112" s="4"/>
      <c r="H112" s="4"/>
      <c r="I112" s="4"/>
      <c r="J112" s="4"/>
      <c r="K112" s="4"/>
      <c r="L112" s="4"/>
      <c r="M112" s="4"/>
      <c r="N112" s="4"/>
    </row>
    <row r="113" spans="2:14">
      <c r="B113" s="4"/>
      <c r="C113" s="4"/>
      <c r="D113" s="4"/>
      <c r="E113" s="4"/>
      <c r="F113" s="4"/>
      <c r="G113" s="4"/>
      <c r="H113" s="4"/>
      <c r="I113" s="4"/>
      <c r="J113" s="4"/>
      <c r="K113" s="4"/>
      <c r="L113" s="4"/>
      <c r="M113" s="4"/>
      <c r="N113" s="4"/>
    </row>
    <row r="114" spans="2:14">
      <c r="B114" s="4"/>
      <c r="C114" s="4"/>
      <c r="D114" s="4"/>
      <c r="E114" s="4"/>
      <c r="F114" s="4"/>
      <c r="G114" s="4"/>
      <c r="H114" s="4"/>
      <c r="I114" s="4"/>
      <c r="J114" s="4"/>
      <c r="K114" s="4"/>
      <c r="L114" s="4"/>
      <c r="M114" s="4"/>
      <c r="N114" s="4"/>
    </row>
    <row r="115" spans="2:14">
      <c r="B115" s="4"/>
      <c r="C115" s="4"/>
      <c r="D115" s="4"/>
      <c r="E115" s="4"/>
      <c r="F115" s="4"/>
      <c r="G115" s="4"/>
      <c r="H115" s="4"/>
      <c r="I115" s="4"/>
      <c r="J115" s="4"/>
      <c r="K115" s="4"/>
      <c r="L115" s="4"/>
      <c r="M115" s="4"/>
      <c r="N115" s="4"/>
    </row>
    <row r="116" spans="2:14">
      <c r="B116" s="4"/>
      <c r="C116" s="4"/>
      <c r="D116" s="4"/>
      <c r="E116" s="4"/>
      <c r="F116" s="4"/>
      <c r="G116" s="4"/>
      <c r="H116" s="4"/>
      <c r="I116" s="4"/>
      <c r="J116" s="4"/>
      <c r="K116" s="4"/>
      <c r="L116" s="4"/>
      <c r="M116" s="4"/>
      <c r="N116" s="4"/>
    </row>
    <row r="117" spans="2:14">
      <c r="B117" s="4"/>
      <c r="C117" s="4"/>
      <c r="D117" s="4"/>
      <c r="E117" s="4"/>
      <c r="F117" s="4"/>
      <c r="G117" s="4"/>
      <c r="H117" s="4"/>
      <c r="I117" s="4"/>
      <c r="J117" s="4"/>
      <c r="K117" s="4"/>
      <c r="L117" s="4"/>
      <c r="M117" s="4"/>
      <c r="N117" s="4"/>
    </row>
    <row r="118" spans="2:14">
      <c r="B118" s="4"/>
      <c r="C118" s="4"/>
      <c r="D118" s="4"/>
      <c r="E118" s="4"/>
      <c r="F118" s="4"/>
      <c r="G118" s="4"/>
      <c r="H118" s="4"/>
      <c r="I118" s="4"/>
      <c r="J118" s="4"/>
      <c r="K118" s="4"/>
      <c r="L118" s="4"/>
      <c r="M118" s="4"/>
      <c r="N118" s="4"/>
    </row>
    <row r="119" spans="2:14">
      <c r="B119" s="4"/>
      <c r="C119" s="4"/>
      <c r="D119" s="4"/>
      <c r="E119" s="4"/>
      <c r="F119" s="4"/>
      <c r="G119" s="4"/>
      <c r="H119" s="4"/>
      <c r="I119" s="4"/>
      <c r="J119" s="4"/>
      <c r="K119" s="4"/>
      <c r="L119" s="4"/>
      <c r="M119" s="4"/>
      <c r="N119" s="4"/>
    </row>
    <row r="120" spans="2:14">
      <c r="B120" s="4"/>
      <c r="C120" s="4"/>
      <c r="D120" s="4"/>
      <c r="E120" s="4"/>
      <c r="F120" s="4"/>
      <c r="G120" s="4"/>
      <c r="H120" s="4"/>
      <c r="I120" s="4"/>
      <c r="J120" s="4"/>
      <c r="K120" s="4"/>
      <c r="L120" s="4"/>
      <c r="M120" s="4"/>
      <c r="N120" s="4"/>
    </row>
    <row r="121" spans="2:14">
      <c r="B121" s="4"/>
      <c r="C121" s="4"/>
      <c r="D121" s="4"/>
      <c r="E121" s="4"/>
      <c r="F121" s="4"/>
      <c r="G121" s="4"/>
      <c r="H121" s="4"/>
      <c r="I121" s="4"/>
      <c r="J121" s="4"/>
      <c r="K121" s="4"/>
      <c r="L121" s="4"/>
      <c r="M121" s="4"/>
      <c r="N121" s="4"/>
    </row>
    <row r="122" spans="2:14">
      <c r="B122" s="4"/>
      <c r="C122" s="4"/>
      <c r="D122" s="4"/>
      <c r="E122" s="4"/>
      <c r="F122" s="4"/>
      <c r="G122" s="4"/>
      <c r="H122" s="4"/>
      <c r="I122" s="4"/>
      <c r="J122" s="4"/>
      <c r="K122" s="4"/>
      <c r="L122" s="4"/>
      <c r="M122" s="4"/>
      <c r="N122" s="4"/>
    </row>
    <row r="123" spans="2:14">
      <c r="B123" s="4"/>
      <c r="C123" s="4"/>
      <c r="D123" s="4"/>
      <c r="E123" s="4"/>
      <c r="F123" s="4"/>
      <c r="G123" s="4"/>
      <c r="H123" s="4"/>
      <c r="I123" s="4"/>
      <c r="J123" s="4"/>
      <c r="K123" s="4"/>
      <c r="L123" s="4"/>
      <c r="M123" s="4"/>
      <c r="N123" s="4"/>
    </row>
    <row r="124" spans="2:14">
      <c r="B124" s="4"/>
      <c r="C124" s="4"/>
      <c r="D124" s="4"/>
      <c r="E124" s="4"/>
      <c r="F124" s="4"/>
      <c r="G124" s="4"/>
      <c r="H124" s="4"/>
      <c r="I124" s="4"/>
      <c r="J124" s="4"/>
      <c r="K124" s="4"/>
      <c r="L124" s="4"/>
      <c r="M124" s="4"/>
      <c r="N124" s="4"/>
    </row>
    <row r="125" spans="2:14">
      <c r="B125" s="4"/>
      <c r="C125" s="4"/>
      <c r="D125" s="4"/>
      <c r="E125" s="4"/>
      <c r="F125" s="4"/>
      <c r="G125" s="4"/>
      <c r="H125" s="4"/>
      <c r="I125" s="4"/>
      <c r="J125" s="4"/>
      <c r="K125" s="4"/>
      <c r="L125" s="4"/>
      <c r="M125" s="4"/>
      <c r="N125" s="4"/>
    </row>
    <row r="126" spans="2:14">
      <c r="B126" s="4"/>
      <c r="C126" s="4"/>
      <c r="D126" s="4"/>
      <c r="E126" s="4"/>
      <c r="F126" s="4"/>
      <c r="G126" s="4"/>
      <c r="H126" s="4"/>
      <c r="I126" s="4"/>
      <c r="J126" s="4"/>
      <c r="K126" s="4"/>
      <c r="L126" s="4"/>
      <c r="M126" s="4"/>
      <c r="N126" s="4"/>
    </row>
    <row r="127" spans="2:14">
      <c r="B127" s="4"/>
      <c r="C127" s="4"/>
      <c r="D127" s="4"/>
      <c r="E127" s="4"/>
      <c r="F127" s="4"/>
      <c r="G127" s="4"/>
      <c r="H127" s="4"/>
      <c r="I127" s="4"/>
      <c r="J127" s="4"/>
      <c r="K127" s="4"/>
      <c r="L127" s="4"/>
      <c r="M127" s="4"/>
      <c r="N127" s="4"/>
    </row>
    <row r="128" spans="2:14">
      <c r="B128" s="4"/>
      <c r="C128" s="4"/>
      <c r="D128" s="4"/>
      <c r="E128" s="4"/>
      <c r="F128" s="4"/>
      <c r="G128" s="4"/>
      <c r="H128" s="4"/>
      <c r="I128" s="4"/>
      <c r="J128" s="4"/>
      <c r="K128" s="4"/>
      <c r="L128" s="4"/>
      <c r="M128" s="4"/>
      <c r="N128" s="4"/>
    </row>
    <row r="129" spans="2:14">
      <c r="B129" s="4"/>
      <c r="C129" s="4"/>
      <c r="D129" s="4"/>
      <c r="E129" s="4"/>
      <c r="F129" s="4"/>
      <c r="G129" s="4"/>
      <c r="H129" s="4"/>
      <c r="I129" s="4"/>
      <c r="J129" s="4"/>
      <c r="K129" s="4"/>
      <c r="L129" s="4"/>
      <c r="M129" s="4"/>
      <c r="N129" s="4"/>
    </row>
    <row r="130" spans="2:14">
      <c r="B130" s="4"/>
      <c r="C130" s="4"/>
      <c r="D130" s="4"/>
      <c r="E130" s="4"/>
      <c r="F130" s="4"/>
      <c r="G130" s="4"/>
      <c r="H130" s="4"/>
      <c r="I130" s="4"/>
      <c r="J130" s="4"/>
      <c r="K130" s="4"/>
      <c r="L130" s="4"/>
      <c r="M130" s="4"/>
      <c r="N130" s="4"/>
    </row>
  </sheetData>
  <mergeCells count="3">
    <mergeCell ref="A1:L1"/>
    <mergeCell ref="A2:L2"/>
    <mergeCell ref="A3:L3"/>
  </mergeCells>
  <pageMargins left="0.75" right="0.75" top="1" bottom="1" header="0.5" footer="0.5"/>
  <pageSetup scale="79" orientation="landscape" r:id="rId1"/>
  <headerFooter alignWithMargins="0">
    <oddFooter>&amp;L&amp;Z
&amp;F&amp;C&amp;A&amp;R26.&amp;P</oddFooter>
  </headerFooter>
</worksheet>
</file>

<file path=xl/worksheets/sheet79.xml><?xml version="1.0" encoding="utf-8"?>
<worksheet xmlns="http://schemas.openxmlformats.org/spreadsheetml/2006/main" xmlns:r="http://schemas.openxmlformats.org/officeDocument/2006/relationships">
  <sheetPr codeName="Sheet116">
    <pageSetUpPr fitToPage="1"/>
  </sheetPr>
  <dimension ref="A1:N129"/>
  <sheetViews>
    <sheetView zoomScale="90" zoomScaleNormal="90" workbookViewId="0">
      <selection activeCell="A31" sqref="A31"/>
    </sheetView>
  </sheetViews>
  <sheetFormatPr defaultRowHeight="12.75"/>
  <cols>
    <col min="1" max="1" width="40.5703125" bestFit="1" customWidth="1"/>
    <col min="2" max="2" width="17.7109375" customWidth="1"/>
    <col min="3" max="3" width="1.7109375" customWidth="1"/>
    <col min="4" max="4" width="17.7109375" customWidth="1"/>
    <col min="5" max="5" width="1.7109375" customWidth="1"/>
    <col min="6" max="6" width="17.7109375" customWidth="1"/>
    <col min="7" max="7" width="1.7109375" customWidth="1"/>
    <col min="8" max="8" width="17.7109375" customWidth="1"/>
    <col min="9" max="9" width="1.7109375" customWidth="1"/>
    <col min="10" max="10" width="17.7109375" customWidth="1"/>
    <col min="11" max="11" width="1.7109375" customWidth="1"/>
    <col min="12" max="12" width="17.7109375" customWidth="1"/>
  </cols>
  <sheetData>
    <row r="1" spans="1:14" s="38" customFormat="1" ht="15.75">
      <c r="A1" s="366" t="s">
        <v>134</v>
      </c>
      <c r="B1" s="366"/>
      <c r="C1" s="366"/>
      <c r="D1" s="366"/>
      <c r="E1" s="366"/>
      <c r="F1" s="366"/>
      <c r="G1" s="366"/>
      <c r="H1" s="366"/>
      <c r="I1" s="366"/>
      <c r="J1" s="366"/>
      <c r="K1" s="366"/>
      <c r="L1" s="366"/>
    </row>
    <row r="2" spans="1:14" s="38" customFormat="1" ht="15.75">
      <c r="A2" s="366" t="s">
        <v>1205</v>
      </c>
      <c r="B2" s="366"/>
      <c r="C2" s="366"/>
      <c r="D2" s="366"/>
      <c r="E2" s="366"/>
      <c r="F2" s="366"/>
      <c r="G2" s="366"/>
      <c r="H2" s="366"/>
      <c r="I2" s="366"/>
      <c r="J2" s="366"/>
      <c r="K2" s="366"/>
      <c r="L2" s="366"/>
    </row>
    <row r="3" spans="1:14">
      <c r="A3" s="357" t="str">
        <f>'Summary - Cost - PG 1 (Tot)'!A3:N3</f>
        <v>MARCH 2012</v>
      </c>
      <c r="B3" s="357"/>
      <c r="C3" s="357"/>
      <c r="D3" s="357"/>
      <c r="E3" s="357"/>
      <c r="F3" s="357"/>
      <c r="G3" s="357"/>
      <c r="H3" s="357"/>
      <c r="I3" s="357"/>
      <c r="J3" s="357"/>
      <c r="K3" s="357"/>
      <c r="L3" s="357"/>
    </row>
    <row r="4" spans="1:14">
      <c r="A4" s="190"/>
      <c r="B4" s="190"/>
      <c r="C4" s="190"/>
      <c r="D4" s="190"/>
      <c r="E4" s="190"/>
      <c r="F4" s="190"/>
      <c r="G4" s="190"/>
      <c r="H4" s="190"/>
      <c r="I4" s="190"/>
      <c r="J4" s="190"/>
      <c r="K4" s="190"/>
      <c r="L4" s="190"/>
    </row>
    <row r="6" spans="1:14">
      <c r="B6" s="41" t="s">
        <v>25</v>
      </c>
      <c r="D6" s="33"/>
      <c r="F6" s="33"/>
      <c r="H6" s="41" t="s">
        <v>612</v>
      </c>
      <c r="J6" s="33"/>
      <c r="L6" s="41" t="s">
        <v>26</v>
      </c>
    </row>
    <row r="7" spans="1:14" s="10" customFormat="1">
      <c r="B7" s="42" t="s">
        <v>27</v>
      </c>
      <c r="C7"/>
      <c r="D7" s="42" t="s">
        <v>107</v>
      </c>
      <c r="E7"/>
      <c r="F7" s="42" t="s">
        <v>108</v>
      </c>
      <c r="G7"/>
      <c r="H7" s="42" t="s">
        <v>613</v>
      </c>
      <c r="I7"/>
      <c r="J7" s="42" t="s">
        <v>109</v>
      </c>
      <c r="K7"/>
      <c r="L7" s="42" t="s">
        <v>27</v>
      </c>
    </row>
    <row r="8" spans="1:14" s="10" customFormat="1">
      <c r="B8"/>
      <c r="C8"/>
      <c r="D8"/>
      <c r="E8"/>
      <c r="F8"/>
      <c r="G8"/>
      <c r="H8"/>
      <c r="I8"/>
      <c r="J8"/>
      <c r="K8"/>
      <c r="L8"/>
    </row>
    <row r="9" spans="1:14" s="10" customFormat="1">
      <c r="A9" s="12" t="s">
        <v>684</v>
      </c>
      <c r="B9"/>
      <c r="C9"/>
      <c r="D9"/>
      <c r="E9"/>
      <c r="F9"/>
      <c r="G9"/>
      <c r="H9"/>
      <c r="I9"/>
      <c r="J9"/>
      <c r="K9"/>
      <c r="L9"/>
    </row>
    <row r="10" spans="1:14">
      <c r="A10" t="s">
        <v>270</v>
      </c>
      <c r="B10" s="182">
        <f>+'Non Utility Property P27 (Fin)'!B10+'Non Utility Property P27 (PA)'!B10</f>
        <v>690.05</v>
      </c>
      <c r="C10" s="182"/>
      <c r="D10" s="182">
        <f>+'Non Utility Property P27 (Fin)'!D10+'Non Utility Property P27 (PA)'!D10</f>
        <v>0</v>
      </c>
      <c r="E10" s="182"/>
      <c r="F10" s="182">
        <f>+'Non Utility Property P27 (Fin)'!F10+'Non Utility Property P27 (PA)'!F10</f>
        <v>0</v>
      </c>
      <c r="G10" s="182"/>
      <c r="H10" s="182">
        <f>+'Non Utility Property P27 (Fin)'!H10+'Non Utility Property P27 (PA)'!H10</f>
        <v>0</v>
      </c>
      <c r="I10" s="182"/>
      <c r="J10" s="182">
        <f>SUM(D10:H10)</f>
        <v>0</v>
      </c>
      <c r="K10" s="182"/>
      <c r="L10" s="182">
        <f>+B10+J10</f>
        <v>690.05</v>
      </c>
      <c r="M10" s="4"/>
      <c r="N10" s="4"/>
    </row>
    <row r="11" spans="1:14">
      <c r="A11" t="s">
        <v>271</v>
      </c>
      <c r="B11" s="182">
        <f>+'Non Utility Property P27 (Fin)'!B11+'Non Utility Property P27 (PA)'!B11</f>
        <v>0</v>
      </c>
      <c r="C11" s="182"/>
      <c r="D11" s="182">
        <f>+'Non Utility Property P27 (Fin)'!D11+'Non Utility Property P27 (PA)'!D11</f>
        <v>0</v>
      </c>
      <c r="E11" s="182"/>
      <c r="F11" s="182">
        <f>+'Non Utility Property P27 (Fin)'!F11+'Non Utility Property P27 (PA)'!F11</f>
        <v>0</v>
      </c>
      <c r="G11" s="182"/>
      <c r="H11" s="182">
        <f>+'Non Utility Property P27 (Fin)'!H11+'Non Utility Property P27 (PA)'!H11</f>
        <v>0</v>
      </c>
      <c r="I11" s="182"/>
      <c r="J11" s="182">
        <f>SUM(D11:H11)</f>
        <v>0</v>
      </c>
      <c r="K11" s="182"/>
      <c r="L11" s="182">
        <f>+B11+J11</f>
        <v>0</v>
      </c>
      <c r="M11" s="4"/>
      <c r="N11" s="4"/>
    </row>
    <row r="12" spans="1:14">
      <c r="A12" t="s">
        <v>272</v>
      </c>
      <c r="B12" s="182">
        <f>+'Non Utility Property P27 (Fin)'!B12+'Non Utility Property P27 (PA)'!B12</f>
        <v>0</v>
      </c>
      <c r="C12" s="182"/>
      <c r="D12" s="182">
        <f>+'Non Utility Property P27 (Fin)'!D12+'Non Utility Property P27 (PA)'!D12</f>
        <v>0</v>
      </c>
      <c r="E12" s="182"/>
      <c r="F12" s="182">
        <f>+'Non Utility Property P27 (Fin)'!F12+'Non Utility Property P27 (PA)'!F12</f>
        <v>0</v>
      </c>
      <c r="G12" s="182"/>
      <c r="H12" s="182">
        <f>+'Non Utility Property P27 (Fin)'!H12+'Non Utility Property P27 (PA)'!H12</f>
        <v>0</v>
      </c>
      <c r="I12" s="182"/>
      <c r="J12" s="182">
        <f>SUM(D12:H12)</f>
        <v>0</v>
      </c>
      <c r="K12" s="182"/>
      <c r="L12" s="182">
        <f>+B12+J12</f>
        <v>0</v>
      </c>
      <c r="M12" s="4"/>
      <c r="N12" s="4"/>
    </row>
    <row r="13" spans="1:14">
      <c r="A13" t="s">
        <v>273</v>
      </c>
      <c r="B13" s="48">
        <f>+'Non Utility Property P27 (Fin)'!B13+'Non Utility Property P27 (PA)'!B13</f>
        <v>11189.15</v>
      </c>
      <c r="C13" s="182"/>
      <c r="D13" s="48">
        <f>+'Non Utility Property P27 (Fin)'!D13+'Non Utility Property P27 (PA)'!D13</f>
        <v>0</v>
      </c>
      <c r="E13" s="182"/>
      <c r="F13" s="48">
        <f>+'Non Utility Property P27 (Fin)'!F13+'Non Utility Property P27 (PA)'!F13</f>
        <v>0</v>
      </c>
      <c r="G13" s="182"/>
      <c r="H13" s="48">
        <f>+'Non Utility Property P27 (Fin)'!H13+'Non Utility Property P27 (PA)'!H13</f>
        <v>0</v>
      </c>
      <c r="I13" s="182"/>
      <c r="J13" s="182">
        <f>SUM(D13:H13)</f>
        <v>0</v>
      </c>
      <c r="K13" s="182"/>
      <c r="L13" s="182">
        <f>+B13+J13</f>
        <v>11189.15</v>
      </c>
      <c r="M13" s="4"/>
      <c r="N13" s="4"/>
    </row>
    <row r="14" spans="1:14" ht="13.5" thickBot="1">
      <c r="B14" s="46">
        <f>SUM(B10:B13)</f>
        <v>11879.199999999999</v>
      </c>
      <c r="C14" s="182"/>
      <c r="D14" s="46">
        <f>SUM(D10:D13)</f>
        <v>0</v>
      </c>
      <c r="E14" s="182"/>
      <c r="F14" s="46">
        <f>SUM(F10:F13)</f>
        <v>0</v>
      </c>
      <c r="G14" s="182"/>
      <c r="H14" s="46">
        <f>SUM(H10:H13)</f>
        <v>0</v>
      </c>
      <c r="I14" s="182"/>
      <c r="J14" s="46">
        <f>SUM(J10:J13)</f>
        <v>0</v>
      </c>
      <c r="K14" s="182"/>
      <c r="L14" s="46">
        <f>SUM(L10:L13)</f>
        <v>11879.199999999999</v>
      </c>
      <c r="M14" s="4"/>
      <c r="N14" s="4"/>
    </row>
    <row r="15" spans="1:14" ht="13.5" thickTop="1">
      <c r="B15" s="182"/>
      <c r="C15" s="182"/>
      <c r="D15" s="182"/>
      <c r="E15" s="182"/>
      <c r="F15" s="182"/>
      <c r="G15" s="182"/>
      <c r="H15" s="182"/>
      <c r="I15" s="182"/>
      <c r="J15" s="182"/>
      <c r="K15" s="182"/>
      <c r="L15" s="182"/>
      <c r="M15" s="4"/>
      <c r="N15" s="4"/>
    </row>
    <row r="16" spans="1:14">
      <c r="B16" s="4"/>
      <c r="C16" s="4"/>
      <c r="D16" s="4"/>
      <c r="E16" s="4"/>
      <c r="F16" s="4"/>
      <c r="G16" s="4"/>
      <c r="H16" s="4"/>
      <c r="I16" s="4"/>
      <c r="J16" s="4"/>
      <c r="K16" s="4"/>
      <c r="L16" s="4"/>
      <c r="M16" s="4"/>
      <c r="N16" s="4"/>
    </row>
    <row r="17" spans="2:14">
      <c r="B17" s="4"/>
      <c r="C17" s="4"/>
      <c r="D17" s="4"/>
      <c r="E17" s="4"/>
      <c r="F17" s="4"/>
      <c r="G17" s="4"/>
      <c r="H17" s="4"/>
      <c r="I17" s="4"/>
      <c r="J17" s="4"/>
      <c r="K17" s="4"/>
      <c r="L17" s="4"/>
      <c r="M17" s="4"/>
      <c r="N17" s="4"/>
    </row>
    <row r="18" spans="2:14">
      <c r="B18" s="4"/>
      <c r="C18" s="4"/>
      <c r="D18" s="4"/>
      <c r="E18" s="4"/>
      <c r="F18" s="4"/>
      <c r="G18" s="4"/>
      <c r="H18" s="4"/>
      <c r="I18" s="4"/>
      <c r="J18" s="4"/>
      <c r="K18" s="4"/>
      <c r="L18" s="4"/>
      <c r="M18" s="4"/>
      <c r="N18" s="4"/>
    </row>
    <row r="19" spans="2:14">
      <c r="B19" s="4"/>
      <c r="C19" s="4"/>
      <c r="D19" s="4"/>
      <c r="E19" s="4"/>
      <c r="F19" s="4"/>
      <c r="G19" s="4"/>
      <c r="H19" s="4"/>
      <c r="I19" s="4"/>
      <c r="J19" s="4"/>
      <c r="K19" s="4"/>
      <c r="L19" s="4"/>
      <c r="M19" s="4"/>
      <c r="N19" s="4"/>
    </row>
    <row r="20" spans="2:14">
      <c r="B20" s="4"/>
      <c r="C20" s="4"/>
      <c r="D20" s="4"/>
      <c r="E20" s="4"/>
      <c r="F20" s="4"/>
      <c r="G20" s="4"/>
      <c r="H20" s="4"/>
      <c r="I20" s="4"/>
      <c r="J20" s="4"/>
      <c r="K20" s="4"/>
      <c r="L20" s="4"/>
      <c r="M20" s="4"/>
      <c r="N20" s="4"/>
    </row>
    <row r="21" spans="2:14">
      <c r="B21" s="4"/>
      <c r="C21" s="4"/>
      <c r="D21" s="4"/>
      <c r="E21" s="4"/>
      <c r="F21" s="4"/>
      <c r="G21" s="4"/>
      <c r="H21" s="4"/>
      <c r="I21" s="4"/>
      <c r="J21" s="4"/>
      <c r="K21" s="4"/>
      <c r="L21" s="4"/>
      <c r="M21" s="4"/>
      <c r="N21" s="4"/>
    </row>
    <row r="22" spans="2:14">
      <c r="B22" s="4"/>
      <c r="C22" s="4"/>
      <c r="D22" s="4"/>
      <c r="E22" s="4"/>
      <c r="F22" s="4"/>
      <c r="G22" s="4"/>
      <c r="H22" s="4"/>
      <c r="I22" s="4"/>
      <c r="J22" s="4"/>
      <c r="K22" s="4"/>
      <c r="L22" s="4"/>
      <c r="M22" s="4"/>
      <c r="N22" s="4"/>
    </row>
    <row r="23" spans="2:14">
      <c r="B23" s="4"/>
      <c r="C23" s="4"/>
      <c r="D23" s="4"/>
      <c r="E23" s="4"/>
      <c r="F23" s="4"/>
      <c r="G23" s="4"/>
      <c r="H23" s="4"/>
      <c r="I23" s="4"/>
      <c r="J23" s="4"/>
      <c r="K23" s="4"/>
      <c r="L23" s="4"/>
      <c r="M23" s="4"/>
      <c r="N23" s="4"/>
    </row>
    <row r="24" spans="2:14">
      <c r="B24" s="4"/>
      <c r="C24" s="4"/>
      <c r="D24" s="4"/>
      <c r="E24" s="4"/>
      <c r="F24" s="4"/>
      <c r="G24" s="4"/>
      <c r="H24" s="4"/>
      <c r="I24" s="4"/>
      <c r="J24" s="4"/>
      <c r="K24" s="4"/>
      <c r="L24" s="4"/>
      <c r="M24" s="4"/>
      <c r="N24" s="4"/>
    </row>
    <row r="25" spans="2:14">
      <c r="B25" s="4"/>
      <c r="C25" s="4"/>
      <c r="D25" s="4"/>
      <c r="E25" s="4"/>
      <c r="F25" s="4"/>
      <c r="G25" s="4"/>
      <c r="H25" s="4"/>
      <c r="I25" s="4"/>
      <c r="J25" s="4"/>
      <c r="K25" s="4"/>
      <c r="L25" s="4"/>
      <c r="M25" s="4"/>
      <c r="N25" s="4"/>
    </row>
    <row r="26" spans="2:14">
      <c r="B26" s="4"/>
      <c r="C26" s="4"/>
      <c r="D26" s="4"/>
      <c r="E26" s="4"/>
      <c r="F26" s="4"/>
      <c r="G26" s="4"/>
      <c r="H26" s="4"/>
      <c r="I26" s="4"/>
      <c r="J26" s="4"/>
      <c r="K26" s="4"/>
      <c r="L26" s="4"/>
      <c r="M26" s="4"/>
      <c r="N26" s="4"/>
    </row>
    <row r="27" spans="2:14">
      <c r="B27" s="4"/>
      <c r="C27" s="4"/>
      <c r="D27" s="4"/>
      <c r="E27" s="4"/>
      <c r="F27" s="4"/>
      <c r="G27" s="4"/>
      <c r="H27" s="4"/>
      <c r="I27" s="4"/>
      <c r="J27" s="4"/>
      <c r="K27" s="4"/>
      <c r="L27" s="4"/>
      <c r="M27" s="4"/>
      <c r="N27" s="4"/>
    </row>
    <row r="28" spans="2:14">
      <c r="B28" s="4"/>
      <c r="C28" s="4"/>
      <c r="D28" s="4"/>
      <c r="E28" s="4"/>
      <c r="F28" s="4"/>
      <c r="G28" s="4"/>
      <c r="H28" s="4"/>
      <c r="I28" s="4"/>
      <c r="J28" s="4"/>
      <c r="K28" s="4"/>
      <c r="L28" s="4"/>
      <c r="M28" s="4"/>
      <c r="N28" s="4"/>
    </row>
    <row r="29" spans="2:14">
      <c r="B29" s="4"/>
      <c r="C29" s="4"/>
      <c r="D29" s="4"/>
      <c r="E29" s="4"/>
      <c r="F29" s="4"/>
      <c r="G29" s="4"/>
      <c r="H29" s="4"/>
      <c r="I29" s="4"/>
      <c r="J29" s="4"/>
      <c r="K29" s="4"/>
      <c r="L29" s="4"/>
      <c r="M29" s="4"/>
      <c r="N29" s="4"/>
    </row>
    <row r="30" spans="2:14">
      <c r="B30" s="4"/>
      <c r="C30" s="4"/>
      <c r="D30" s="4"/>
      <c r="E30" s="4"/>
      <c r="F30" s="4"/>
      <c r="G30" s="4"/>
      <c r="H30" s="4"/>
      <c r="I30" s="4"/>
      <c r="J30" s="4"/>
      <c r="K30" s="4"/>
      <c r="L30" s="4"/>
      <c r="M30" s="4"/>
      <c r="N30" s="4"/>
    </row>
    <row r="31" spans="2:14">
      <c r="B31" s="4"/>
      <c r="C31" s="4"/>
      <c r="D31" s="4"/>
      <c r="E31" s="4"/>
      <c r="F31" s="4"/>
      <c r="G31" s="4"/>
      <c r="H31" s="4"/>
      <c r="I31" s="4"/>
      <c r="J31" s="4"/>
      <c r="K31" s="4"/>
      <c r="L31" s="4"/>
      <c r="M31" s="4"/>
      <c r="N31" s="4"/>
    </row>
    <row r="32" spans="2:14">
      <c r="B32" s="4"/>
      <c r="C32" s="4"/>
      <c r="D32" s="4"/>
      <c r="E32" s="4"/>
      <c r="F32" s="4"/>
      <c r="G32" s="4"/>
      <c r="H32" s="4"/>
      <c r="I32" s="4"/>
      <c r="J32" s="4"/>
      <c r="K32" s="4"/>
      <c r="L32" s="4"/>
      <c r="M32" s="4"/>
      <c r="N32" s="4"/>
    </row>
    <row r="33" spans="2:14">
      <c r="B33" s="4"/>
      <c r="C33" s="4"/>
      <c r="D33" s="4"/>
      <c r="E33" s="4"/>
      <c r="F33" s="4"/>
      <c r="G33" s="4"/>
      <c r="H33" s="4"/>
      <c r="I33" s="4"/>
      <c r="J33" s="4"/>
      <c r="K33" s="4"/>
      <c r="L33" s="4"/>
      <c r="M33" s="4"/>
      <c r="N33" s="4"/>
    </row>
    <row r="34" spans="2:14">
      <c r="B34" s="4"/>
      <c r="C34" s="4"/>
      <c r="D34" s="4"/>
      <c r="E34" s="4"/>
      <c r="F34" s="4"/>
      <c r="G34" s="4"/>
      <c r="H34" s="4"/>
      <c r="I34" s="4"/>
      <c r="J34" s="4"/>
      <c r="K34" s="4"/>
      <c r="L34" s="4"/>
      <c r="M34" s="4"/>
      <c r="N34" s="4"/>
    </row>
    <row r="35" spans="2:14">
      <c r="B35" s="4"/>
      <c r="C35" s="4"/>
      <c r="D35" s="4"/>
      <c r="E35" s="4"/>
      <c r="F35" s="4"/>
      <c r="G35" s="4"/>
      <c r="H35" s="4"/>
      <c r="I35" s="4"/>
      <c r="J35" s="4"/>
      <c r="K35" s="4"/>
      <c r="L35" s="4"/>
      <c r="M35" s="4"/>
      <c r="N35" s="4"/>
    </row>
    <row r="36" spans="2:14">
      <c r="B36" s="4"/>
      <c r="C36" s="4"/>
      <c r="D36" s="4"/>
      <c r="E36" s="4"/>
      <c r="F36" s="4"/>
      <c r="G36" s="4"/>
      <c r="H36" s="4"/>
      <c r="I36" s="4"/>
      <c r="J36" s="4"/>
      <c r="K36" s="4"/>
      <c r="L36" s="4"/>
      <c r="M36" s="4"/>
      <c r="N36" s="4"/>
    </row>
    <row r="37" spans="2:14">
      <c r="B37" s="4"/>
      <c r="C37" s="4"/>
      <c r="D37" s="4"/>
      <c r="E37" s="4"/>
      <c r="F37" s="4"/>
      <c r="G37" s="4"/>
      <c r="H37" s="4"/>
      <c r="I37" s="4"/>
      <c r="J37" s="4"/>
      <c r="K37" s="4"/>
      <c r="L37" s="4"/>
      <c r="M37" s="4"/>
      <c r="N37" s="4"/>
    </row>
    <row r="38" spans="2:14">
      <c r="B38" s="4"/>
      <c r="C38" s="4"/>
      <c r="D38" s="4"/>
      <c r="E38" s="4"/>
      <c r="F38" s="4"/>
      <c r="G38" s="4"/>
      <c r="H38" s="4"/>
      <c r="I38" s="4"/>
      <c r="J38" s="4"/>
      <c r="K38" s="4"/>
      <c r="L38" s="4"/>
      <c r="M38" s="4"/>
      <c r="N38" s="4"/>
    </row>
    <row r="39" spans="2:14">
      <c r="B39" s="4"/>
      <c r="C39" s="4"/>
      <c r="D39" s="4"/>
      <c r="E39" s="4"/>
      <c r="F39" s="4"/>
      <c r="G39" s="4"/>
      <c r="H39" s="4"/>
      <c r="I39" s="4"/>
      <c r="J39" s="4"/>
      <c r="K39" s="4"/>
      <c r="L39" s="4"/>
      <c r="M39" s="4"/>
      <c r="N39" s="4"/>
    </row>
    <row r="40" spans="2:14">
      <c r="B40" s="4"/>
      <c r="C40" s="4"/>
      <c r="D40" s="4"/>
      <c r="E40" s="4"/>
      <c r="F40" s="4"/>
      <c r="G40" s="4"/>
      <c r="H40" s="4"/>
      <c r="I40" s="4"/>
      <c r="J40" s="4"/>
      <c r="K40" s="4"/>
      <c r="L40" s="4"/>
      <c r="M40" s="4"/>
      <c r="N40" s="4"/>
    </row>
    <row r="41" spans="2:14">
      <c r="B41" s="4"/>
      <c r="C41" s="4"/>
      <c r="D41" s="4"/>
      <c r="E41" s="4"/>
      <c r="F41" s="4"/>
      <c r="G41" s="4"/>
      <c r="H41" s="4"/>
      <c r="I41" s="4"/>
      <c r="J41" s="4"/>
      <c r="K41" s="4"/>
      <c r="L41" s="4"/>
      <c r="M41" s="4"/>
      <c r="N41" s="4"/>
    </row>
    <row r="42" spans="2:14">
      <c r="B42" s="4"/>
      <c r="C42" s="4"/>
      <c r="D42" s="4"/>
      <c r="E42" s="4"/>
      <c r="F42" s="4"/>
      <c r="G42" s="4"/>
      <c r="H42" s="4"/>
      <c r="I42" s="4"/>
      <c r="J42" s="4"/>
      <c r="K42" s="4"/>
      <c r="L42" s="4"/>
      <c r="M42" s="4"/>
      <c r="N42" s="4"/>
    </row>
    <row r="43" spans="2:14">
      <c r="B43" s="4"/>
      <c r="C43" s="4"/>
      <c r="D43" s="4"/>
      <c r="E43" s="4"/>
      <c r="F43" s="4"/>
      <c r="G43" s="4"/>
      <c r="H43" s="4"/>
      <c r="I43" s="4"/>
      <c r="J43" s="4"/>
      <c r="K43" s="4"/>
      <c r="L43" s="4"/>
      <c r="M43" s="4"/>
      <c r="N43" s="4"/>
    </row>
    <row r="44" spans="2:14">
      <c r="B44" s="4"/>
      <c r="C44" s="4"/>
      <c r="D44" s="4"/>
      <c r="E44" s="4"/>
      <c r="F44" s="4"/>
      <c r="G44" s="4"/>
      <c r="H44" s="4"/>
      <c r="I44" s="4"/>
      <c r="J44" s="4"/>
      <c r="K44" s="4"/>
      <c r="L44" s="4"/>
      <c r="M44" s="4"/>
      <c r="N44" s="4"/>
    </row>
    <row r="45" spans="2:14">
      <c r="B45" s="4"/>
      <c r="C45" s="4"/>
      <c r="D45" s="4"/>
      <c r="E45" s="4"/>
      <c r="F45" s="4"/>
      <c r="G45" s="4"/>
      <c r="H45" s="4"/>
      <c r="I45" s="4"/>
      <c r="J45" s="4"/>
      <c r="K45" s="4"/>
      <c r="L45" s="4"/>
      <c r="M45" s="4"/>
      <c r="N45" s="4"/>
    </row>
    <row r="46" spans="2:14">
      <c r="B46" s="4"/>
      <c r="C46" s="4"/>
      <c r="D46" s="4"/>
      <c r="E46" s="4"/>
      <c r="F46" s="4"/>
      <c r="G46" s="4"/>
      <c r="H46" s="4"/>
      <c r="I46" s="4"/>
      <c r="J46" s="4"/>
      <c r="K46" s="4"/>
      <c r="L46" s="4"/>
      <c r="M46" s="4"/>
      <c r="N46" s="4"/>
    </row>
    <row r="47" spans="2:14">
      <c r="B47" s="4"/>
      <c r="C47" s="4"/>
      <c r="D47" s="4"/>
      <c r="E47" s="4"/>
      <c r="F47" s="4"/>
      <c r="G47" s="4"/>
      <c r="H47" s="4"/>
      <c r="I47" s="4"/>
      <c r="J47" s="4"/>
      <c r="K47" s="4"/>
      <c r="L47" s="4"/>
      <c r="M47" s="4"/>
      <c r="N47" s="4"/>
    </row>
    <row r="48" spans="2:14">
      <c r="B48" s="4"/>
      <c r="C48" s="4"/>
      <c r="D48" s="4"/>
      <c r="E48" s="4"/>
      <c r="F48" s="4"/>
      <c r="G48" s="4"/>
      <c r="H48" s="4"/>
      <c r="I48" s="4"/>
      <c r="J48" s="4"/>
      <c r="K48" s="4"/>
      <c r="L48" s="4"/>
      <c r="M48" s="4"/>
      <c r="N48" s="4"/>
    </row>
    <row r="49" spans="2:14">
      <c r="B49" s="4"/>
      <c r="C49" s="4"/>
      <c r="D49" s="4"/>
      <c r="E49" s="4"/>
      <c r="F49" s="4"/>
      <c r="G49" s="4"/>
      <c r="H49" s="4"/>
      <c r="I49" s="4"/>
      <c r="J49" s="4"/>
      <c r="K49" s="4"/>
      <c r="L49" s="4"/>
      <c r="M49" s="4"/>
      <c r="N49" s="4"/>
    </row>
    <row r="50" spans="2:14">
      <c r="B50" s="4"/>
      <c r="C50" s="4"/>
      <c r="D50" s="4"/>
      <c r="E50" s="4"/>
      <c r="F50" s="4"/>
      <c r="G50" s="4"/>
      <c r="H50" s="4"/>
      <c r="I50" s="4"/>
      <c r="J50" s="4"/>
      <c r="K50" s="4"/>
      <c r="L50" s="4"/>
      <c r="M50" s="4"/>
      <c r="N50" s="4"/>
    </row>
    <row r="51" spans="2:14">
      <c r="B51" s="4"/>
      <c r="C51" s="4"/>
      <c r="D51" s="4"/>
      <c r="E51" s="4"/>
      <c r="F51" s="4"/>
      <c r="G51" s="4"/>
      <c r="H51" s="4"/>
      <c r="I51" s="4"/>
      <c r="J51" s="4"/>
      <c r="K51" s="4"/>
      <c r="L51" s="4"/>
      <c r="M51" s="4"/>
      <c r="N51" s="4"/>
    </row>
    <row r="52" spans="2:14">
      <c r="B52" s="4"/>
      <c r="C52" s="4"/>
      <c r="D52" s="4"/>
      <c r="E52" s="4"/>
      <c r="F52" s="4"/>
      <c r="G52" s="4"/>
      <c r="H52" s="4"/>
      <c r="I52" s="4"/>
      <c r="J52" s="4"/>
      <c r="K52" s="4"/>
      <c r="L52" s="4"/>
      <c r="M52" s="4"/>
      <c r="N52" s="4"/>
    </row>
    <row r="53" spans="2:14">
      <c r="B53" s="4"/>
      <c r="C53" s="4"/>
      <c r="D53" s="4"/>
      <c r="E53" s="4"/>
      <c r="F53" s="4"/>
      <c r="G53" s="4"/>
      <c r="H53" s="4"/>
      <c r="I53" s="4"/>
      <c r="J53" s="4"/>
      <c r="K53" s="4"/>
      <c r="L53" s="4"/>
      <c r="M53" s="4"/>
      <c r="N53" s="4"/>
    </row>
    <row r="54" spans="2:14">
      <c r="B54" s="4"/>
      <c r="C54" s="4"/>
      <c r="D54" s="4"/>
      <c r="E54" s="4"/>
      <c r="F54" s="4"/>
      <c r="G54" s="4"/>
      <c r="H54" s="4"/>
      <c r="I54" s="4"/>
      <c r="J54" s="4"/>
      <c r="K54" s="4"/>
      <c r="L54" s="4"/>
      <c r="M54" s="4"/>
      <c r="N54" s="4"/>
    </row>
    <row r="55" spans="2:14">
      <c r="B55" s="4"/>
      <c r="C55" s="4"/>
      <c r="D55" s="4"/>
      <c r="E55" s="4"/>
      <c r="F55" s="4"/>
      <c r="G55" s="4"/>
      <c r="H55" s="4"/>
      <c r="I55" s="4"/>
      <c r="J55" s="4"/>
      <c r="K55" s="4"/>
      <c r="L55" s="4"/>
      <c r="M55" s="4"/>
      <c r="N55" s="4"/>
    </row>
    <row r="56" spans="2:14">
      <c r="B56" s="4"/>
      <c r="C56" s="4"/>
      <c r="D56" s="4"/>
      <c r="E56" s="4"/>
      <c r="F56" s="4"/>
      <c r="G56" s="4"/>
      <c r="H56" s="4"/>
      <c r="I56" s="4"/>
      <c r="J56" s="4"/>
      <c r="K56" s="4"/>
      <c r="L56" s="4"/>
      <c r="M56" s="4"/>
      <c r="N56" s="4"/>
    </row>
    <row r="57" spans="2:14">
      <c r="B57" s="4"/>
      <c r="C57" s="4"/>
      <c r="D57" s="4"/>
      <c r="E57" s="4"/>
      <c r="F57" s="4"/>
      <c r="G57" s="4"/>
      <c r="H57" s="4"/>
      <c r="I57" s="4"/>
      <c r="J57" s="4"/>
      <c r="K57" s="4"/>
      <c r="L57" s="4"/>
      <c r="M57" s="4"/>
      <c r="N57" s="4"/>
    </row>
    <row r="58" spans="2:14">
      <c r="B58" s="4"/>
      <c r="C58" s="4"/>
      <c r="D58" s="4"/>
      <c r="E58" s="4"/>
      <c r="F58" s="4"/>
      <c r="G58" s="4"/>
      <c r="H58" s="4"/>
      <c r="I58" s="4"/>
      <c r="J58" s="4"/>
      <c r="K58" s="4"/>
      <c r="L58" s="4"/>
      <c r="M58" s="4"/>
      <c r="N58" s="4"/>
    </row>
    <row r="59" spans="2:14">
      <c r="B59" s="4"/>
      <c r="C59" s="4"/>
      <c r="D59" s="4"/>
      <c r="E59" s="4"/>
      <c r="F59" s="4"/>
      <c r="G59" s="4"/>
      <c r="H59" s="4"/>
      <c r="I59" s="4"/>
      <c r="J59" s="4"/>
      <c r="K59" s="4"/>
      <c r="L59" s="4"/>
      <c r="M59" s="4"/>
      <c r="N59" s="4"/>
    </row>
    <row r="60" spans="2:14">
      <c r="B60" s="4"/>
      <c r="C60" s="4"/>
      <c r="D60" s="4"/>
      <c r="E60" s="4"/>
      <c r="F60" s="4"/>
      <c r="G60" s="4"/>
      <c r="H60" s="4"/>
      <c r="I60" s="4"/>
      <c r="J60" s="4"/>
      <c r="K60" s="4"/>
      <c r="L60" s="4"/>
      <c r="M60" s="4"/>
      <c r="N60" s="4"/>
    </row>
    <row r="61" spans="2:14">
      <c r="B61" s="4"/>
      <c r="C61" s="4"/>
      <c r="D61" s="4"/>
      <c r="E61" s="4"/>
      <c r="F61" s="4"/>
      <c r="G61" s="4"/>
      <c r="H61" s="4"/>
      <c r="I61" s="4"/>
      <c r="J61" s="4"/>
      <c r="K61" s="4"/>
      <c r="L61" s="4"/>
      <c r="M61" s="4"/>
      <c r="N61" s="4"/>
    </row>
    <row r="62" spans="2:14">
      <c r="B62" s="4"/>
      <c r="C62" s="4"/>
      <c r="D62" s="4"/>
      <c r="E62" s="4"/>
      <c r="F62" s="4"/>
      <c r="G62" s="4"/>
      <c r="H62" s="4"/>
      <c r="I62" s="4"/>
      <c r="J62" s="4"/>
      <c r="K62" s="4"/>
      <c r="L62" s="4"/>
      <c r="M62" s="4"/>
      <c r="N62" s="4"/>
    </row>
    <row r="63" spans="2:14">
      <c r="B63" s="4"/>
      <c r="C63" s="4"/>
      <c r="D63" s="4"/>
      <c r="E63" s="4"/>
      <c r="F63" s="4"/>
      <c r="G63" s="4"/>
      <c r="H63" s="4"/>
      <c r="I63" s="4"/>
      <c r="J63" s="4"/>
      <c r="K63" s="4"/>
      <c r="L63" s="4"/>
      <c r="M63" s="4"/>
      <c r="N63" s="4"/>
    </row>
    <row r="64" spans="2:14">
      <c r="B64" s="4"/>
      <c r="C64" s="4"/>
      <c r="D64" s="4"/>
      <c r="E64" s="4"/>
      <c r="F64" s="4"/>
      <c r="G64" s="4"/>
      <c r="H64" s="4"/>
      <c r="I64" s="4"/>
      <c r="J64" s="4"/>
      <c r="K64" s="4"/>
      <c r="L64" s="4"/>
      <c r="M64" s="4"/>
      <c r="N64" s="4"/>
    </row>
    <row r="65" spans="2:14">
      <c r="B65" s="4"/>
      <c r="C65" s="4"/>
      <c r="D65" s="4"/>
      <c r="E65" s="4"/>
      <c r="F65" s="4"/>
      <c r="G65" s="4"/>
      <c r="H65" s="4"/>
      <c r="I65" s="4"/>
      <c r="J65" s="4"/>
      <c r="K65" s="4"/>
      <c r="L65" s="4"/>
      <c r="M65" s="4"/>
      <c r="N65" s="4"/>
    </row>
    <row r="66" spans="2:14">
      <c r="B66" s="4"/>
      <c r="C66" s="4"/>
      <c r="D66" s="4"/>
      <c r="E66" s="4"/>
      <c r="F66" s="4"/>
      <c r="G66" s="4"/>
      <c r="H66" s="4"/>
      <c r="I66" s="4"/>
      <c r="J66" s="4"/>
      <c r="K66" s="4"/>
      <c r="L66" s="4"/>
      <c r="M66" s="4"/>
      <c r="N66" s="4"/>
    </row>
    <row r="67" spans="2:14">
      <c r="B67" s="4"/>
      <c r="C67" s="4"/>
      <c r="D67" s="4"/>
      <c r="E67" s="4"/>
      <c r="F67" s="4"/>
      <c r="G67" s="4"/>
      <c r="H67" s="4"/>
      <c r="I67" s="4"/>
      <c r="J67" s="4"/>
      <c r="K67" s="4"/>
      <c r="L67" s="4"/>
      <c r="M67" s="4"/>
      <c r="N67" s="4"/>
    </row>
    <row r="68" spans="2:14">
      <c r="B68" s="4"/>
      <c r="C68" s="4"/>
      <c r="D68" s="4"/>
      <c r="E68" s="4"/>
      <c r="F68" s="4"/>
      <c r="G68" s="4"/>
      <c r="H68" s="4"/>
      <c r="I68" s="4"/>
      <c r="J68" s="4"/>
      <c r="K68" s="4"/>
      <c r="L68" s="4"/>
      <c r="M68" s="4"/>
      <c r="N68" s="4"/>
    </row>
    <row r="69" spans="2:14">
      <c r="B69" s="4"/>
      <c r="C69" s="4"/>
      <c r="D69" s="4"/>
      <c r="E69" s="4"/>
      <c r="F69" s="4"/>
      <c r="G69" s="4"/>
      <c r="H69" s="4"/>
      <c r="I69" s="4"/>
      <c r="J69" s="4"/>
      <c r="K69" s="4"/>
      <c r="L69" s="4"/>
      <c r="M69" s="4"/>
      <c r="N69" s="4"/>
    </row>
    <row r="70" spans="2:14">
      <c r="B70" s="4"/>
      <c r="C70" s="4"/>
      <c r="D70" s="4"/>
      <c r="E70" s="4"/>
      <c r="F70" s="4"/>
      <c r="G70" s="4"/>
      <c r="H70" s="4"/>
      <c r="I70" s="4"/>
      <c r="J70" s="4"/>
      <c r="K70" s="4"/>
      <c r="L70" s="4"/>
      <c r="M70" s="4"/>
      <c r="N70" s="4"/>
    </row>
    <row r="71" spans="2:14">
      <c r="B71" s="4"/>
      <c r="C71" s="4"/>
      <c r="D71" s="4"/>
      <c r="E71" s="4"/>
      <c r="F71" s="4"/>
      <c r="G71" s="4"/>
      <c r="H71" s="4"/>
      <c r="I71" s="4"/>
      <c r="J71" s="4"/>
      <c r="K71" s="4"/>
      <c r="L71" s="4"/>
      <c r="M71" s="4"/>
      <c r="N71" s="4"/>
    </row>
    <row r="72" spans="2:14">
      <c r="B72" s="4"/>
      <c r="C72" s="4"/>
      <c r="D72" s="4"/>
      <c r="E72" s="4"/>
      <c r="F72" s="4"/>
      <c r="G72" s="4"/>
      <c r="H72" s="4"/>
      <c r="I72" s="4"/>
      <c r="J72" s="4"/>
      <c r="K72" s="4"/>
      <c r="L72" s="4"/>
      <c r="M72" s="4"/>
      <c r="N72" s="4"/>
    </row>
    <row r="73" spans="2:14">
      <c r="B73" s="4"/>
      <c r="C73" s="4"/>
      <c r="D73" s="4"/>
      <c r="E73" s="4"/>
      <c r="F73" s="4"/>
      <c r="G73" s="4"/>
      <c r="H73" s="4"/>
      <c r="I73" s="4"/>
      <c r="J73" s="4"/>
      <c r="K73" s="4"/>
      <c r="L73" s="4"/>
      <c r="M73" s="4"/>
      <c r="N73" s="4"/>
    </row>
    <row r="74" spans="2:14">
      <c r="B74" s="4"/>
      <c r="C74" s="4"/>
      <c r="D74" s="4"/>
      <c r="E74" s="4"/>
      <c r="F74" s="4"/>
      <c r="G74" s="4"/>
      <c r="H74" s="4"/>
      <c r="I74" s="4"/>
      <c r="J74" s="4"/>
      <c r="K74" s="4"/>
      <c r="L74" s="4"/>
      <c r="M74" s="4"/>
      <c r="N74" s="4"/>
    </row>
    <row r="75" spans="2:14">
      <c r="B75" s="4"/>
      <c r="C75" s="4"/>
      <c r="D75" s="4"/>
      <c r="E75" s="4"/>
      <c r="F75" s="4"/>
      <c r="G75" s="4"/>
      <c r="H75" s="4"/>
      <c r="I75" s="4"/>
      <c r="J75" s="4"/>
      <c r="K75" s="4"/>
      <c r="L75" s="4"/>
      <c r="M75" s="4"/>
      <c r="N75" s="4"/>
    </row>
    <row r="76" spans="2:14">
      <c r="B76" s="4"/>
      <c r="C76" s="4"/>
      <c r="D76" s="4"/>
      <c r="E76" s="4"/>
      <c r="F76" s="4"/>
      <c r="G76" s="4"/>
      <c r="H76" s="4"/>
      <c r="I76" s="4"/>
      <c r="J76" s="4"/>
      <c r="K76" s="4"/>
      <c r="L76" s="4"/>
      <c r="M76" s="4"/>
      <c r="N76" s="4"/>
    </row>
    <row r="77" spans="2:14">
      <c r="B77" s="4"/>
      <c r="C77" s="4"/>
      <c r="D77" s="4"/>
      <c r="E77" s="4"/>
      <c r="F77" s="4"/>
      <c r="G77" s="4"/>
      <c r="H77" s="4"/>
      <c r="I77" s="4"/>
      <c r="J77" s="4"/>
      <c r="K77" s="4"/>
      <c r="L77" s="4"/>
      <c r="M77" s="4"/>
      <c r="N77" s="4"/>
    </row>
    <row r="78" spans="2:14">
      <c r="B78" s="4"/>
      <c r="C78" s="4"/>
      <c r="D78" s="4"/>
      <c r="E78" s="4"/>
      <c r="F78" s="4"/>
      <c r="G78" s="4"/>
      <c r="H78" s="4"/>
      <c r="I78" s="4"/>
      <c r="J78" s="4"/>
      <c r="K78" s="4"/>
      <c r="L78" s="4"/>
      <c r="M78" s="4"/>
      <c r="N78" s="4"/>
    </row>
    <row r="79" spans="2:14">
      <c r="B79" s="4"/>
      <c r="C79" s="4"/>
      <c r="D79" s="4"/>
      <c r="E79" s="4"/>
      <c r="F79" s="4"/>
      <c r="G79" s="4"/>
      <c r="H79" s="4"/>
      <c r="I79" s="4"/>
      <c r="J79" s="4"/>
      <c r="K79" s="4"/>
      <c r="L79" s="4"/>
      <c r="M79" s="4"/>
      <c r="N79" s="4"/>
    </row>
    <row r="80" spans="2:14">
      <c r="B80" s="4"/>
      <c r="C80" s="4"/>
      <c r="D80" s="4"/>
      <c r="E80" s="4"/>
      <c r="F80" s="4"/>
      <c r="G80" s="4"/>
      <c r="H80" s="4"/>
      <c r="I80" s="4"/>
      <c r="J80" s="4"/>
      <c r="K80" s="4"/>
      <c r="L80" s="4"/>
      <c r="M80" s="4"/>
      <c r="N80" s="4"/>
    </row>
    <row r="81" spans="2:14">
      <c r="B81" s="4"/>
      <c r="C81" s="4"/>
      <c r="D81" s="4"/>
      <c r="E81" s="4"/>
      <c r="F81" s="4"/>
      <c r="G81" s="4"/>
      <c r="H81" s="4"/>
      <c r="I81" s="4"/>
      <c r="J81" s="4"/>
      <c r="K81" s="4"/>
      <c r="L81" s="4"/>
      <c r="M81" s="4"/>
      <c r="N81" s="4"/>
    </row>
    <row r="82" spans="2:14">
      <c r="B82" s="4"/>
      <c r="C82" s="4"/>
      <c r="D82" s="4"/>
      <c r="E82" s="4"/>
      <c r="F82" s="4"/>
      <c r="G82" s="4"/>
      <c r="H82" s="4"/>
      <c r="I82" s="4"/>
      <c r="J82" s="4"/>
      <c r="K82" s="4"/>
      <c r="L82" s="4"/>
      <c r="M82" s="4"/>
      <c r="N82" s="4"/>
    </row>
    <row r="83" spans="2:14">
      <c r="B83" s="4"/>
      <c r="C83" s="4"/>
      <c r="D83" s="4"/>
      <c r="E83" s="4"/>
      <c r="F83" s="4"/>
      <c r="G83" s="4"/>
      <c r="H83" s="4"/>
      <c r="I83" s="4"/>
      <c r="J83" s="4"/>
      <c r="K83" s="4"/>
      <c r="L83" s="4"/>
      <c r="M83" s="4"/>
      <c r="N83" s="4"/>
    </row>
    <row r="84" spans="2:14">
      <c r="B84" s="4"/>
      <c r="C84" s="4"/>
      <c r="D84" s="4"/>
      <c r="E84" s="4"/>
      <c r="F84" s="4"/>
      <c r="G84" s="4"/>
      <c r="H84" s="4"/>
      <c r="I84" s="4"/>
      <c r="J84" s="4"/>
      <c r="K84" s="4"/>
      <c r="L84" s="4"/>
      <c r="M84" s="4"/>
      <c r="N84" s="4"/>
    </row>
    <row r="85" spans="2:14">
      <c r="B85" s="4"/>
      <c r="C85" s="4"/>
      <c r="D85" s="4"/>
      <c r="E85" s="4"/>
      <c r="F85" s="4"/>
      <c r="G85" s="4"/>
      <c r="H85" s="4"/>
      <c r="I85" s="4"/>
      <c r="J85" s="4"/>
      <c r="K85" s="4"/>
      <c r="L85" s="4"/>
      <c r="M85" s="4"/>
      <c r="N85" s="4"/>
    </row>
    <row r="86" spans="2:14">
      <c r="B86" s="4"/>
      <c r="C86" s="4"/>
      <c r="D86" s="4"/>
      <c r="E86" s="4"/>
      <c r="F86" s="4"/>
      <c r="G86" s="4"/>
      <c r="H86" s="4"/>
      <c r="I86" s="4"/>
      <c r="J86" s="4"/>
      <c r="K86" s="4"/>
      <c r="L86" s="4"/>
      <c r="M86" s="4"/>
      <c r="N86" s="4"/>
    </row>
    <row r="87" spans="2:14">
      <c r="B87" s="4"/>
      <c r="C87" s="4"/>
      <c r="D87" s="4"/>
      <c r="E87" s="4"/>
      <c r="F87" s="4"/>
      <c r="G87" s="4"/>
      <c r="H87" s="4"/>
      <c r="I87" s="4"/>
      <c r="J87" s="4"/>
      <c r="K87" s="4"/>
      <c r="L87" s="4"/>
      <c r="M87" s="4"/>
      <c r="N87" s="4"/>
    </row>
    <row r="88" spans="2:14">
      <c r="B88" s="4"/>
      <c r="C88" s="4"/>
      <c r="D88" s="4"/>
      <c r="E88" s="4"/>
      <c r="F88" s="4"/>
      <c r="G88" s="4"/>
      <c r="H88" s="4"/>
      <c r="I88" s="4"/>
      <c r="J88" s="4"/>
      <c r="K88" s="4"/>
      <c r="L88" s="4"/>
      <c r="M88" s="4"/>
      <c r="N88" s="4"/>
    </row>
    <row r="89" spans="2:14">
      <c r="B89" s="4"/>
      <c r="C89" s="4"/>
      <c r="D89" s="4"/>
      <c r="E89" s="4"/>
      <c r="F89" s="4"/>
      <c r="G89" s="4"/>
      <c r="H89" s="4"/>
      <c r="I89" s="4"/>
      <c r="J89" s="4"/>
      <c r="K89" s="4"/>
      <c r="L89" s="4"/>
      <c r="M89" s="4"/>
      <c r="N89" s="4"/>
    </row>
    <row r="90" spans="2:14">
      <c r="B90" s="4"/>
      <c r="C90" s="4"/>
      <c r="D90" s="4"/>
      <c r="E90" s="4"/>
      <c r="F90" s="4"/>
      <c r="G90" s="4"/>
      <c r="H90" s="4"/>
      <c r="I90" s="4"/>
      <c r="J90" s="4"/>
      <c r="K90" s="4"/>
      <c r="L90" s="4"/>
      <c r="M90" s="4"/>
      <c r="N90" s="4"/>
    </row>
    <row r="91" spans="2:14">
      <c r="B91" s="4"/>
      <c r="C91" s="4"/>
      <c r="D91" s="4"/>
      <c r="E91" s="4"/>
      <c r="F91" s="4"/>
      <c r="G91" s="4"/>
      <c r="H91" s="4"/>
      <c r="I91" s="4"/>
      <c r="J91" s="4"/>
      <c r="K91" s="4"/>
      <c r="L91" s="4"/>
      <c r="M91" s="4"/>
      <c r="N91" s="4"/>
    </row>
    <row r="92" spans="2:14">
      <c r="B92" s="4"/>
      <c r="C92" s="4"/>
      <c r="D92" s="4"/>
      <c r="E92" s="4"/>
      <c r="F92" s="4"/>
      <c r="G92" s="4"/>
      <c r="H92" s="4"/>
      <c r="I92" s="4"/>
      <c r="J92" s="4"/>
      <c r="K92" s="4"/>
      <c r="L92" s="4"/>
      <c r="M92" s="4"/>
      <c r="N92" s="4"/>
    </row>
    <row r="93" spans="2:14">
      <c r="B93" s="4"/>
      <c r="C93" s="4"/>
      <c r="D93" s="4"/>
      <c r="E93" s="4"/>
      <c r="F93" s="4"/>
      <c r="G93" s="4"/>
      <c r="H93" s="4"/>
      <c r="I93" s="4"/>
      <c r="J93" s="4"/>
      <c r="K93" s="4"/>
      <c r="L93" s="4"/>
      <c r="M93" s="4"/>
      <c r="N93" s="4"/>
    </row>
    <row r="94" spans="2:14">
      <c r="B94" s="4"/>
      <c r="C94" s="4"/>
      <c r="D94" s="4"/>
      <c r="E94" s="4"/>
      <c r="F94" s="4"/>
      <c r="G94" s="4"/>
      <c r="H94" s="4"/>
      <c r="I94" s="4"/>
      <c r="J94" s="4"/>
      <c r="K94" s="4"/>
      <c r="L94" s="4"/>
      <c r="M94" s="4"/>
      <c r="N94" s="4"/>
    </row>
    <row r="95" spans="2:14">
      <c r="B95" s="4"/>
      <c r="C95" s="4"/>
      <c r="D95" s="4"/>
      <c r="E95" s="4"/>
      <c r="F95" s="4"/>
      <c r="G95" s="4"/>
      <c r="H95" s="4"/>
      <c r="I95" s="4"/>
      <c r="J95" s="4"/>
      <c r="K95" s="4"/>
      <c r="L95" s="4"/>
      <c r="M95" s="4"/>
      <c r="N95" s="4"/>
    </row>
    <row r="96" spans="2:14">
      <c r="B96" s="4"/>
      <c r="C96" s="4"/>
      <c r="D96" s="4"/>
      <c r="E96" s="4"/>
      <c r="F96" s="4"/>
      <c r="G96" s="4"/>
      <c r="H96" s="4"/>
      <c r="I96" s="4"/>
      <c r="J96" s="4"/>
      <c r="K96" s="4"/>
      <c r="L96" s="4"/>
      <c r="M96" s="4"/>
      <c r="N96" s="4"/>
    </row>
    <row r="97" spans="2:14">
      <c r="B97" s="4"/>
      <c r="C97" s="4"/>
      <c r="D97" s="4"/>
      <c r="E97" s="4"/>
      <c r="F97" s="4"/>
      <c r="G97" s="4"/>
      <c r="H97" s="4"/>
      <c r="I97" s="4"/>
      <c r="J97" s="4"/>
      <c r="K97" s="4"/>
      <c r="L97" s="4"/>
      <c r="M97" s="4"/>
      <c r="N97" s="4"/>
    </row>
    <row r="98" spans="2:14">
      <c r="B98" s="4"/>
      <c r="C98" s="4"/>
      <c r="D98" s="4"/>
      <c r="E98" s="4"/>
      <c r="F98" s="4"/>
      <c r="G98" s="4"/>
      <c r="H98" s="4"/>
      <c r="I98" s="4"/>
      <c r="J98" s="4"/>
      <c r="K98" s="4"/>
      <c r="L98" s="4"/>
      <c r="M98" s="4"/>
      <c r="N98" s="4"/>
    </row>
    <row r="99" spans="2:14">
      <c r="B99" s="4"/>
      <c r="C99" s="4"/>
      <c r="D99" s="4"/>
      <c r="E99" s="4"/>
      <c r="F99" s="4"/>
      <c r="G99" s="4"/>
      <c r="H99" s="4"/>
      <c r="I99" s="4"/>
      <c r="J99" s="4"/>
      <c r="K99" s="4"/>
      <c r="L99" s="4"/>
      <c r="M99" s="4"/>
      <c r="N99" s="4"/>
    </row>
    <row r="100" spans="2:14">
      <c r="B100" s="4"/>
      <c r="C100" s="4"/>
      <c r="D100" s="4"/>
      <c r="E100" s="4"/>
      <c r="F100" s="4"/>
      <c r="G100" s="4"/>
      <c r="H100" s="4"/>
      <c r="I100" s="4"/>
      <c r="J100" s="4"/>
      <c r="K100" s="4"/>
      <c r="L100" s="4"/>
      <c r="M100" s="4"/>
      <c r="N100" s="4"/>
    </row>
    <row r="101" spans="2:14">
      <c r="B101" s="4"/>
      <c r="C101" s="4"/>
      <c r="D101" s="4"/>
      <c r="E101" s="4"/>
      <c r="F101" s="4"/>
      <c r="G101" s="4"/>
      <c r="H101" s="4"/>
      <c r="I101" s="4"/>
      <c r="J101" s="4"/>
      <c r="K101" s="4"/>
      <c r="L101" s="4"/>
      <c r="M101" s="4"/>
      <c r="N101" s="4"/>
    </row>
    <row r="102" spans="2:14">
      <c r="B102" s="4"/>
      <c r="C102" s="4"/>
      <c r="D102" s="4"/>
      <c r="E102" s="4"/>
      <c r="F102" s="4"/>
      <c r="G102" s="4"/>
      <c r="H102" s="4"/>
      <c r="I102" s="4"/>
      <c r="J102" s="4"/>
      <c r="K102" s="4"/>
      <c r="L102" s="4"/>
      <c r="M102" s="4"/>
      <c r="N102" s="4"/>
    </row>
    <row r="103" spans="2:14">
      <c r="B103" s="4"/>
      <c r="C103" s="4"/>
      <c r="D103" s="4"/>
      <c r="E103" s="4"/>
      <c r="F103" s="4"/>
      <c r="G103" s="4"/>
      <c r="H103" s="4"/>
      <c r="I103" s="4"/>
      <c r="J103" s="4"/>
      <c r="K103" s="4"/>
      <c r="L103" s="4"/>
      <c r="M103" s="4"/>
      <c r="N103" s="4"/>
    </row>
    <row r="104" spans="2:14">
      <c r="B104" s="4"/>
      <c r="C104" s="4"/>
      <c r="D104" s="4"/>
      <c r="E104" s="4"/>
      <c r="F104" s="4"/>
      <c r="G104" s="4"/>
      <c r="H104" s="4"/>
      <c r="I104" s="4"/>
      <c r="J104" s="4"/>
      <c r="K104" s="4"/>
      <c r="L104" s="4"/>
      <c r="M104" s="4"/>
      <c r="N104" s="4"/>
    </row>
    <row r="105" spans="2:14">
      <c r="B105" s="4"/>
      <c r="C105" s="4"/>
      <c r="D105" s="4"/>
      <c r="E105" s="4"/>
      <c r="F105" s="4"/>
      <c r="G105" s="4"/>
      <c r="H105" s="4"/>
      <c r="I105" s="4"/>
      <c r="J105" s="4"/>
      <c r="K105" s="4"/>
      <c r="L105" s="4"/>
      <c r="M105" s="4"/>
      <c r="N105" s="4"/>
    </row>
    <row r="106" spans="2:14">
      <c r="B106" s="4"/>
      <c r="C106" s="4"/>
      <c r="D106" s="4"/>
      <c r="E106" s="4"/>
      <c r="F106" s="4"/>
      <c r="G106" s="4"/>
      <c r="H106" s="4"/>
      <c r="I106" s="4"/>
      <c r="J106" s="4"/>
      <c r="K106" s="4"/>
      <c r="L106" s="4"/>
      <c r="M106" s="4"/>
      <c r="N106" s="4"/>
    </row>
    <row r="107" spans="2:14">
      <c r="B107" s="4"/>
      <c r="C107" s="4"/>
      <c r="D107" s="4"/>
      <c r="E107" s="4"/>
      <c r="F107" s="4"/>
      <c r="G107" s="4"/>
      <c r="H107" s="4"/>
      <c r="I107" s="4"/>
      <c r="J107" s="4"/>
      <c r="K107" s="4"/>
      <c r="L107" s="4"/>
      <c r="M107" s="4"/>
      <c r="N107" s="4"/>
    </row>
    <row r="108" spans="2:14">
      <c r="B108" s="4"/>
      <c r="C108" s="4"/>
      <c r="D108" s="4"/>
      <c r="E108" s="4"/>
      <c r="F108" s="4"/>
      <c r="G108" s="4"/>
      <c r="H108" s="4"/>
      <c r="I108" s="4"/>
      <c r="J108" s="4"/>
      <c r="K108" s="4"/>
      <c r="L108" s="4"/>
      <c r="M108" s="4"/>
      <c r="N108" s="4"/>
    </row>
    <row r="109" spans="2:14">
      <c r="B109" s="4"/>
      <c r="C109" s="4"/>
      <c r="D109" s="4"/>
      <c r="E109" s="4"/>
      <c r="F109" s="4"/>
      <c r="G109" s="4"/>
      <c r="H109" s="4"/>
      <c r="I109" s="4"/>
      <c r="J109" s="4"/>
      <c r="K109" s="4"/>
      <c r="L109" s="4"/>
      <c r="M109" s="4"/>
      <c r="N109" s="4"/>
    </row>
    <row r="110" spans="2:14">
      <c r="B110" s="4"/>
      <c r="C110" s="4"/>
      <c r="D110" s="4"/>
      <c r="E110" s="4"/>
      <c r="F110" s="4"/>
      <c r="G110" s="4"/>
      <c r="H110" s="4"/>
      <c r="I110" s="4"/>
      <c r="J110" s="4"/>
      <c r="K110" s="4"/>
      <c r="L110" s="4"/>
      <c r="M110" s="4"/>
      <c r="N110" s="4"/>
    </row>
    <row r="111" spans="2:14">
      <c r="B111" s="4"/>
      <c r="C111" s="4"/>
      <c r="D111" s="4"/>
      <c r="E111" s="4"/>
      <c r="F111" s="4"/>
      <c r="G111" s="4"/>
      <c r="H111" s="4"/>
      <c r="I111" s="4"/>
      <c r="J111" s="4"/>
      <c r="K111" s="4"/>
      <c r="L111" s="4"/>
      <c r="M111" s="4"/>
      <c r="N111" s="4"/>
    </row>
    <row r="112" spans="2:14">
      <c r="B112" s="4"/>
      <c r="C112" s="4"/>
      <c r="D112" s="4"/>
      <c r="E112" s="4"/>
      <c r="F112" s="4"/>
      <c r="G112" s="4"/>
      <c r="H112" s="4"/>
      <c r="I112" s="4"/>
      <c r="J112" s="4"/>
      <c r="K112" s="4"/>
      <c r="L112" s="4"/>
      <c r="M112" s="4"/>
      <c r="N112" s="4"/>
    </row>
    <row r="113" spans="2:14">
      <c r="B113" s="4"/>
      <c r="C113" s="4"/>
      <c r="D113" s="4"/>
      <c r="E113" s="4"/>
      <c r="F113" s="4"/>
      <c r="G113" s="4"/>
      <c r="H113" s="4"/>
      <c r="I113" s="4"/>
      <c r="J113" s="4"/>
      <c r="K113" s="4"/>
      <c r="L113" s="4"/>
      <c r="M113" s="4"/>
      <c r="N113" s="4"/>
    </row>
    <row r="114" spans="2:14">
      <c r="B114" s="4"/>
      <c r="C114" s="4"/>
      <c r="D114" s="4"/>
      <c r="E114" s="4"/>
      <c r="F114" s="4"/>
      <c r="G114" s="4"/>
      <c r="H114" s="4"/>
      <c r="I114" s="4"/>
      <c r="J114" s="4"/>
      <c r="K114" s="4"/>
      <c r="L114" s="4"/>
      <c r="M114" s="4"/>
      <c r="N114" s="4"/>
    </row>
    <row r="115" spans="2:14">
      <c r="B115" s="4"/>
      <c r="C115" s="4"/>
      <c r="D115" s="4"/>
      <c r="E115" s="4"/>
      <c r="F115" s="4"/>
      <c r="G115" s="4"/>
      <c r="H115" s="4"/>
      <c r="I115" s="4"/>
      <c r="J115" s="4"/>
      <c r="K115" s="4"/>
      <c r="L115" s="4"/>
      <c r="M115" s="4"/>
      <c r="N115" s="4"/>
    </row>
    <row r="116" spans="2:14">
      <c r="B116" s="4"/>
      <c r="C116" s="4"/>
      <c r="D116" s="4"/>
      <c r="E116" s="4"/>
      <c r="F116" s="4"/>
      <c r="G116" s="4"/>
      <c r="H116" s="4"/>
      <c r="I116" s="4"/>
      <c r="J116" s="4"/>
      <c r="K116" s="4"/>
      <c r="L116" s="4"/>
      <c r="M116" s="4"/>
      <c r="N116" s="4"/>
    </row>
    <row r="117" spans="2:14">
      <c r="B117" s="4"/>
      <c r="C117" s="4"/>
      <c r="D117" s="4"/>
      <c r="E117" s="4"/>
      <c r="F117" s="4"/>
      <c r="G117" s="4"/>
      <c r="H117" s="4"/>
      <c r="I117" s="4"/>
      <c r="J117" s="4"/>
      <c r="K117" s="4"/>
      <c r="L117" s="4"/>
      <c r="M117" s="4"/>
      <c r="N117" s="4"/>
    </row>
    <row r="118" spans="2:14">
      <c r="B118" s="4"/>
      <c r="C118" s="4"/>
      <c r="D118" s="4"/>
      <c r="E118" s="4"/>
      <c r="F118" s="4"/>
      <c r="G118" s="4"/>
      <c r="H118" s="4"/>
      <c r="I118" s="4"/>
      <c r="J118" s="4"/>
      <c r="K118" s="4"/>
      <c r="L118" s="4"/>
      <c r="M118" s="4"/>
      <c r="N118" s="4"/>
    </row>
    <row r="119" spans="2:14">
      <c r="B119" s="4"/>
      <c r="C119" s="4"/>
      <c r="D119" s="4"/>
      <c r="E119" s="4"/>
      <c r="F119" s="4"/>
      <c r="G119" s="4"/>
      <c r="H119" s="4"/>
      <c r="I119" s="4"/>
      <c r="J119" s="4"/>
      <c r="K119" s="4"/>
      <c r="L119" s="4"/>
      <c r="M119" s="4"/>
      <c r="N119" s="4"/>
    </row>
    <row r="120" spans="2:14">
      <c r="B120" s="4"/>
      <c r="C120" s="4"/>
      <c r="D120" s="4"/>
      <c r="E120" s="4"/>
      <c r="F120" s="4"/>
      <c r="G120" s="4"/>
      <c r="H120" s="4"/>
      <c r="I120" s="4"/>
      <c r="J120" s="4"/>
      <c r="K120" s="4"/>
      <c r="L120" s="4"/>
      <c r="M120" s="4"/>
      <c r="N120" s="4"/>
    </row>
    <row r="121" spans="2:14">
      <c r="B121" s="4"/>
      <c r="C121" s="4"/>
      <c r="D121" s="4"/>
      <c r="E121" s="4"/>
      <c r="F121" s="4"/>
      <c r="G121" s="4"/>
      <c r="H121" s="4"/>
      <c r="I121" s="4"/>
      <c r="J121" s="4"/>
      <c r="K121" s="4"/>
      <c r="L121" s="4"/>
      <c r="M121" s="4"/>
      <c r="N121" s="4"/>
    </row>
    <row r="122" spans="2:14">
      <c r="B122" s="4"/>
      <c r="C122" s="4"/>
      <c r="D122" s="4"/>
      <c r="E122" s="4"/>
      <c r="F122" s="4"/>
      <c r="G122" s="4"/>
      <c r="H122" s="4"/>
      <c r="I122" s="4"/>
      <c r="J122" s="4"/>
      <c r="K122" s="4"/>
      <c r="L122" s="4"/>
      <c r="M122" s="4"/>
      <c r="N122" s="4"/>
    </row>
    <row r="123" spans="2:14">
      <c r="B123" s="4"/>
      <c r="C123" s="4"/>
      <c r="D123" s="4"/>
      <c r="E123" s="4"/>
      <c r="F123" s="4"/>
      <c r="G123" s="4"/>
      <c r="H123" s="4"/>
      <c r="I123" s="4"/>
      <c r="J123" s="4"/>
      <c r="K123" s="4"/>
      <c r="L123" s="4"/>
      <c r="M123" s="4"/>
      <c r="N123" s="4"/>
    </row>
    <row r="124" spans="2:14">
      <c r="B124" s="4"/>
      <c r="C124" s="4"/>
      <c r="D124" s="4"/>
      <c r="E124" s="4"/>
      <c r="F124" s="4"/>
      <c r="G124" s="4"/>
      <c r="H124" s="4"/>
      <c r="I124" s="4"/>
      <c r="J124" s="4"/>
      <c r="K124" s="4"/>
      <c r="L124" s="4"/>
      <c r="M124" s="4"/>
      <c r="N124" s="4"/>
    </row>
    <row r="125" spans="2:14">
      <c r="B125" s="4"/>
      <c r="C125" s="4"/>
      <c r="D125" s="4"/>
      <c r="E125" s="4"/>
      <c r="F125" s="4"/>
      <c r="G125" s="4"/>
      <c r="H125" s="4"/>
      <c r="I125" s="4"/>
      <c r="J125" s="4"/>
      <c r="K125" s="4"/>
      <c r="L125" s="4"/>
      <c r="M125" s="4"/>
      <c r="N125" s="4"/>
    </row>
    <row r="126" spans="2:14">
      <c r="B126" s="4"/>
      <c r="C126" s="4"/>
      <c r="D126" s="4"/>
      <c r="E126" s="4"/>
      <c r="F126" s="4"/>
      <c r="G126" s="4"/>
      <c r="H126" s="4"/>
      <c r="I126" s="4"/>
      <c r="J126" s="4"/>
      <c r="K126" s="4"/>
      <c r="L126" s="4"/>
      <c r="M126" s="4"/>
      <c r="N126" s="4"/>
    </row>
    <row r="127" spans="2:14">
      <c r="B127" s="4"/>
      <c r="C127" s="4"/>
      <c r="D127" s="4"/>
      <c r="E127" s="4"/>
      <c r="F127" s="4"/>
      <c r="G127" s="4"/>
      <c r="H127" s="4"/>
      <c r="I127" s="4"/>
      <c r="J127" s="4"/>
      <c r="K127" s="4"/>
      <c r="L127" s="4"/>
      <c r="M127" s="4"/>
      <c r="N127" s="4"/>
    </row>
    <row r="128" spans="2:14">
      <c r="B128" s="4"/>
      <c r="C128" s="4"/>
      <c r="D128" s="4"/>
      <c r="E128" s="4"/>
      <c r="F128" s="4"/>
      <c r="G128" s="4"/>
      <c r="H128" s="4"/>
      <c r="I128" s="4"/>
      <c r="J128" s="4"/>
      <c r="K128" s="4"/>
      <c r="L128" s="4"/>
      <c r="M128" s="4"/>
      <c r="N128" s="4"/>
    </row>
    <row r="129" spans="2:14">
      <c r="B129" s="4"/>
      <c r="C129" s="4"/>
      <c r="D129" s="4"/>
      <c r="E129" s="4"/>
      <c r="F129" s="4"/>
      <c r="G129" s="4"/>
      <c r="H129" s="4"/>
      <c r="I129" s="4"/>
      <c r="J129" s="4"/>
      <c r="K129" s="4"/>
      <c r="L129" s="4"/>
      <c r="M129" s="4"/>
      <c r="N129" s="4"/>
    </row>
  </sheetData>
  <mergeCells count="3">
    <mergeCell ref="A1:L1"/>
    <mergeCell ref="A2:L2"/>
    <mergeCell ref="A3:L3"/>
  </mergeCells>
  <pageMargins left="0.75" right="0.75" top="1" bottom="1" header="0.5" footer="0.5"/>
  <pageSetup scale="79" orientation="landscape" r:id="rId1"/>
  <headerFooter alignWithMargins="0">
    <oddFooter>&amp;L&amp;Z
&amp;F&amp;C&amp;A&amp;R27.&amp;P</oddFooter>
  </headerFooter>
</worksheet>
</file>

<file path=xl/worksheets/sheet8.xml><?xml version="1.0" encoding="utf-8"?>
<worksheet xmlns="http://schemas.openxmlformats.org/spreadsheetml/2006/main" xmlns:r="http://schemas.openxmlformats.org/officeDocument/2006/relationships">
  <sheetPr codeName="Sheet8"/>
  <dimension ref="A1:C1"/>
  <sheetViews>
    <sheetView workbookViewId="0"/>
  </sheetViews>
  <sheetFormatPr defaultColWidth="25.7109375" defaultRowHeight="13.5"/>
  <cols>
    <col min="1" max="16384" width="25.7109375" style="14"/>
  </cols>
  <sheetData>
    <row r="1" spans="1:3">
      <c r="A1" s="14">
        <v>0</v>
      </c>
      <c r="B1" s="14">
        <v>18</v>
      </c>
      <c r="C1" s="14" t="s">
        <v>787</v>
      </c>
    </row>
  </sheetData>
  <customSheetViews>
    <customSheetView guid="{6B74E52F-9552-408A-8775-25AFF24E6639}" state="hidden" showRuler="0">
      <pageMargins left="0.75" right="0.75" top="1" bottom="1" header="0.5" footer="0.5"/>
      <headerFooter alignWithMargins="0"/>
    </customSheetView>
  </customSheetViews>
  <phoneticPr fontId="4" type="noConversion"/>
  <pageMargins left="0.75" right="0.75" top="1" bottom="1" header="0.5" footer="0.5"/>
  <headerFooter alignWithMargins="0"/>
</worksheet>
</file>

<file path=xl/worksheets/sheet80.xml><?xml version="1.0" encoding="utf-8"?>
<worksheet xmlns="http://schemas.openxmlformats.org/spreadsheetml/2006/main" xmlns:r="http://schemas.openxmlformats.org/officeDocument/2006/relationships">
  <sheetPr codeName="Sheet117">
    <pageSetUpPr fitToPage="1"/>
  </sheetPr>
  <dimension ref="A1:N126"/>
  <sheetViews>
    <sheetView zoomScale="75" workbookViewId="0">
      <selection activeCell="A31" sqref="A31"/>
    </sheetView>
  </sheetViews>
  <sheetFormatPr defaultRowHeight="12.75"/>
  <cols>
    <col min="1" max="1" width="40.5703125" bestFit="1" customWidth="1"/>
    <col min="2" max="2" width="17.7109375" customWidth="1"/>
    <col min="3" max="3" width="1.7109375" customWidth="1"/>
    <col min="4" max="4" width="17.7109375" customWidth="1"/>
    <col min="5" max="5" width="1.7109375" customWidth="1"/>
    <col min="6" max="6" width="17.7109375" customWidth="1"/>
    <col min="7" max="7" width="1.7109375" customWidth="1"/>
    <col min="8" max="8" width="17.7109375" customWidth="1"/>
    <col min="9" max="9" width="1.7109375" customWidth="1"/>
    <col min="10" max="10" width="17.7109375" customWidth="1"/>
    <col min="11" max="11" width="1.7109375" customWidth="1"/>
    <col min="12" max="12" width="17.7109375" customWidth="1"/>
  </cols>
  <sheetData>
    <row r="1" spans="1:14" s="38" customFormat="1" ht="15.75">
      <c r="A1" s="366" t="s">
        <v>134</v>
      </c>
      <c r="B1" s="366"/>
      <c r="C1" s="366"/>
      <c r="D1" s="366"/>
      <c r="E1" s="366"/>
      <c r="F1" s="366"/>
      <c r="G1" s="366"/>
      <c r="H1" s="366"/>
      <c r="I1" s="366"/>
      <c r="J1" s="366"/>
      <c r="K1" s="366"/>
      <c r="L1" s="366"/>
    </row>
    <row r="2" spans="1:14" s="38" customFormat="1" ht="15.75">
      <c r="A2" s="366" t="s">
        <v>1206</v>
      </c>
      <c r="B2" s="366"/>
      <c r="C2" s="366"/>
      <c r="D2" s="366"/>
      <c r="E2" s="366"/>
      <c r="F2" s="366"/>
      <c r="G2" s="366"/>
      <c r="H2" s="366"/>
      <c r="I2" s="366"/>
      <c r="J2" s="366"/>
      <c r="K2" s="366"/>
      <c r="L2" s="366"/>
    </row>
    <row r="3" spans="1:14">
      <c r="A3" s="357" t="str">
        <f>'Summary - Cost - PG 1 (Tot)'!A3:N3</f>
        <v>MARCH 2012</v>
      </c>
      <c r="B3" s="357"/>
      <c r="C3" s="357"/>
      <c r="D3" s="357"/>
      <c r="E3" s="357"/>
      <c r="F3" s="357"/>
      <c r="G3" s="357"/>
      <c r="H3" s="357"/>
      <c r="I3" s="357"/>
      <c r="J3" s="357"/>
      <c r="K3" s="357"/>
      <c r="L3" s="357"/>
    </row>
    <row r="4" spans="1:14">
      <c r="A4" s="190"/>
      <c r="B4" s="190"/>
      <c r="C4" s="190"/>
      <c r="D4" s="190"/>
      <c r="E4" s="190"/>
      <c r="F4" s="190"/>
      <c r="G4" s="190"/>
      <c r="H4" s="190"/>
      <c r="I4" s="190"/>
      <c r="J4" s="190"/>
      <c r="K4" s="190"/>
      <c r="L4" s="190"/>
    </row>
    <row r="6" spans="1:14">
      <c r="B6" s="41" t="s">
        <v>25</v>
      </c>
      <c r="D6" s="182"/>
      <c r="F6" s="182"/>
      <c r="H6" s="41" t="s">
        <v>612</v>
      </c>
      <c r="J6" s="182"/>
      <c r="L6" s="41" t="s">
        <v>26</v>
      </c>
    </row>
    <row r="7" spans="1:14" s="10" customFormat="1">
      <c r="B7" s="42" t="s">
        <v>27</v>
      </c>
      <c r="C7"/>
      <c r="D7" s="42" t="s">
        <v>107</v>
      </c>
      <c r="E7"/>
      <c r="F7" s="42" t="s">
        <v>108</v>
      </c>
      <c r="G7"/>
      <c r="H7" s="42" t="s">
        <v>613</v>
      </c>
      <c r="I7"/>
      <c r="J7" s="42" t="s">
        <v>109</v>
      </c>
      <c r="K7"/>
      <c r="L7" s="42" t="s">
        <v>27</v>
      </c>
    </row>
    <row r="8" spans="1:14" s="10" customFormat="1">
      <c r="B8"/>
      <c r="C8"/>
      <c r="D8"/>
      <c r="E8"/>
      <c r="F8"/>
      <c r="G8"/>
      <c r="H8"/>
      <c r="I8"/>
      <c r="J8"/>
      <c r="K8"/>
      <c r="L8"/>
    </row>
    <row r="9" spans="1:14" s="10" customFormat="1">
      <c r="A9" s="12" t="s">
        <v>499</v>
      </c>
      <c r="B9"/>
      <c r="C9"/>
      <c r="D9"/>
      <c r="E9"/>
      <c r="F9"/>
      <c r="G9"/>
      <c r="H9"/>
      <c r="I9"/>
      <c r="J9"/>
      <c r="K9"/>
      <c r="L9"/>
    </row>
    <row r="10" spans="1:14">
      <c r="A10" t="s">
        <v>500</v>
      </c>
      <c r="B10" s="182">
        <v>0</v>
      </c>
      <c r="C10" s="182"/>
      <c r="D10" s="182">
        <f>-74076.28+74076.28</f>
        <v>0</v>
      </c>
      <c r="E10" s="182"/>
      <c r="F10" s="182">
        <v>0</v>
      </c>
      <c r="G10" s="182"/>
      <c r="H10" s="182">
        <v>0</v>
      </c>
      <c r="I10" s="182"/>
      <c r="J10" s="182">
        <v>0</v>
      </c>
      <c r="K10" s="182"/>
      <c r="L10" s="182">
        <v>0</v>
      </c>
      <c r="M10" s="4"/>
      <c r="N10" s="4"/>
    </row>
    <row r="11" spans="1:14" ht="13.5" thickBot="1">
      <c r="B11" s="46">
        <f>SUM(B10:B10)</f>
        <v>0</v>
      </c>
      <c r="C11" s="182"/>
      <c r="D11" s="46">
        <f>SUM(D10:D10)</f>
        <v>0</v>
      </c>
      <c r="E11" s="182"/>
      <c r="F11" s="46">
        <f>SUM(F10:F10)</f>
        <v>0</v>
      </c>
      <c r="G11" s="182"/>
      <c r="H11" s="46">
        <f>SUM(H10:H10)</f>
        <v>0</v>
      </c>
      <c r="I11" s="182"/>
      <c r="J11" s="46">
        <f>SUM(J10:J10)</f>
        <v>0</v>
      </c>
      <c r="K11" s="182"/>
      <c r="L11" s="46">
        <f>SUM(L10:L10)</f>
        <v>0</v>
      </c>
      <c r="M11" s="4"/>
      <c r="N11" s="4"/>
    </row>
    <row r="12" spans="1:14" ht="13.5" thickTop="1">
      <c r="B12" s="182"/>
      <c r="C12" s="182"/>
      <c r="D12" s="182"/>
      <c r="E12" s="182"/>
      <c r="F12" s="182"/>
      <c r="G12" s="182"/>
      <c r="H12" s="182"/>
      <c r="I12" s="182"/>
      <c r="J12" s="182"/>
      <c r="K12" s="182"/>
      <c r="L12" s="182"/>
      <c r="M12" s="4"/>
      <c r="N12" s="4"/>
    </row>
    <row r="13" spans="1:14">
      <c r="B13" s="4"/>
      <c r="C13" s="4"/>
      <c r="D13" s="4"/>
      <c r="E13" s="4"/>
      <c r="F13" s="4"/>
      <c r="G13" s="4"/>
      <c r="H13" s="4"/>
      <c r="I13" s="4"/>
      <c r="J13" s="4"/>
      <c r="K13" s="4"/>
      <c r="L13" s="4"/>
      <c r="M13" s="4"/>
      <c r="N13" s="4"/>
    </row>
    <row r="14" spans="1:14">
      <c r="B14" s="4"/>
      <c r="C14" s="4"/>
      <c r="D14" s="4"/>
      <c r="E14" s="4"/>
      <c r="F14" s="4"/>
      <c r="G14" s="4"/>
      <c r="H14" s="4"/>
      <c r="I14" s="4"/>
      <c r="J14" s="4"/>
      <c r="K14" s="4"/>
      <c r="L14" s="4"/>
      <c r="M14" s="4"/>
      <c r="N14" s="4"/>
    </row>
    <row r="15" spans="1:14">
      <c r="B15" s="4"/>
      <c r="C15" s="4"/>
      <c r="D15" s="4"/>
      <c r="E15" s="4"/>
      <c r="F15" s="4"/>
      <c r="G15" s="4"/>
      <c r="H15" s="4"/>
      <c r="I15" s="4"/>
      <c r="J15" s="4"/>
      <c r="K15" s="4"/>
      <c r="L15" s="4"/>
      <c r="M15" s="4"/>
      <c r="N15" s="4"/>
    </row>
    <row r="16" spans="1:14">
      <c r="B16" s="4"/>
      <c r="C16" s="4"/>
      <c r="D16" s="4"/>
      <c r="E16" s="4"/>
      <c r="F16" s="4"/>
      <c r="G16" s="4"/>
      <c r="H16" s="4"/>
      <c r="I16" s="4"/>
      <c r="J16" s="4"/>
      <c r="K16" s="4"/>
      <c r="L16" s="4"/>
      <c r="M16" s="4"/>
      <c r="N16" s="4"/>
    </row>
    <row r="17" spans="2:14">
      <c r="B17" s="4"/>
      <c r="C17" s="4"/>
      <c r="D17" s="4"/>
      <c r="E17" s="4"/>
      <c r="F17" s="4"/>
      <c r="G17" s="4"/>
      <c r="H17" s="4"/>
      <c r="I17" s="4"/>
      <c r="J17" s="4"/>
      <c r="K17" s="4"/>
      <c r="L17" s="4"/>
      <c r="M17" s="4"/>
      <c r="N17" s="4"/>
    </row>
    <row r="18" spans="2:14">
      <c r="B18" s="4"/>
      <c r="C18" s="4"/>
      <c r="D18" s="4"/>
      <c r="E18" s="4"/>
      <c r="F18" s="4"/>
      <c r="G18" s="4"/>
      <c r="H18" s="4"/>
      <c r="I18" s="4"/>
      <c r="J18" s="4"/>
      <c r="K18" s="4"/>
      <c r="L18" s="4"/>
      <c r="M18" s="4"/>
      <c r="N18" s="4"/>
    </row>
    <row r="19" spans="2:14">
      <c r="B19" s="4"/>
      <c r="C19" s="4"/>
      <c r="D19" s="4"/>
      <c r="E19" s="4"/>
      <c r="F19" s="4"/>
      <c r="G19" s="4"/>
      <c r="H19" s="4"/>
      <c r="I19" s="4"/>
      <c r="J19" s="4"/>
      <c r="K19" s="4"/>
      <c r="L19" s="4"/>
      <c r="M19" s="4"/>
      <c r="N19" s="4"/>
    </row>
    <row r="20" spans="2:14">
      <c r="B20" s="4"/>
      <c r="C20" s="4"/>
      <c r="D20" s="4"/>
      <c r="E20" s="4"/>
      <c r="F20" s="4"/>
      <c r="G20" s="4"/>
      <c r="H20" s="4"/>
      <c r="I20" s="4"/>
      <c r="J20" s="4"/>
      <c r="K20" s="4"/>
      <c r="L20" s="4"/>
      <c r="M20" s="4"/>
      <c r="N20" s="4"/>
    </row>
    <row r="21" spans="2:14">
      <c r="B21" s="4"/>
      <c r="C21" s="4"/>
      <c r="D21" s="4"/>
      <c r="E21" s="4"/>
      <c r="F21" s="4"/>
      <c r="G21" s="4"/>
      <c r="H21" s="4"/>
      <c r="I21" s="4"/>
      <c r="J21" s="4"/>
      <c r="K21" s="4"/>
      <c r="L21" s="4"/>
      <c r="M21" s="4"/>
      <c r="N21" s="4"/>
    </row>
    <row r="22" spans="2:14">
      <c r="B22" s="4"/>
      <c r="C22" s="4"/>
      <c r="D22" s="4"/>
      <c r="E22" s="4"/>
      <c r="F22" s="4"/>
      <c r="G22" s="4"/>
      <c r="H22" s="4"/>
      <c r="I22" s="4"/>
      <c r="J22" s="4"/>
      <c r="K22" s="4"/>
      <c r="L22" s="4"/>
      <c r="M22" s="4"/>
      <c r="N22" s="4"/>
    </row>
    <row r="23" spans="2:14">
      <c r="B23" s="4"/>
      <c r="C23" s="4"/>
      <c r="D23" s="4"/>
      <c r="E23" s="4"/>
      <c r="F23" s="4"/>
      <c r="G23" s="4"/>
      <c r="H23" s="4"/>
      <c r="I23" s="4"/>
      <c r="J23" s="4"/>
      <c r="K23" s="4"/>
      <c r="L23" s="4"/>
      <c r="M23" s="4"/>
      <c r="N23" s="4"/>
    </row>
    <row r="24" spans="2:14">
      <c r="B24" s="4"/>
      <c r="C24" s="4"/>
      <c r="D24" s="4"/>
      <c r="E24" s="4"/>
      <c r="F24" s="4"/>
      <c r="G24" s="4"/>
      <c r="H24" s="4"/>
      <c r="I24" s="4"/>
      <c r="J24" s="4"/>
      <c r="K24" s="4"/>
      <c r="L24" s="4"/>
      <c r="M24" s="4"/>
      <c r="N24" s="4"/>
    </row>
    <row r="25" spans="2:14">
      <c r="B25" s="4"/>
      <c r="C25" s="4"/>
      <c r="D25" s="4"/>
      <c r="E25" s="4"/>
      <c r="F25" s="4"/>
      <c r="G25" s="4"/>
      <c r="H25" s="4"/>
      <c r="I25" s="4"/>
      <c r="J25" s="4"/>
      <c r="K25" s="4"/>
      <c r="L25" s="4"/>
      <c r="M25" s="4"/>
      <c r="N25" s="4"/>
    </row>
    <row r="26" spans="2:14">
      <c r="B26" s="4"/>
      <c r="C26" s="4"/>
      <c r="D26" s="4"/>
      <c r="E26" s="4"/>
      <c r="F26" s="4"/>
      <c r="G26" s="4"/>
      <c r="H26" s="4"/>
      <c r="I26" s="4"/>
      <c r="J26" s="4"/>
      <c r="K26" s="4"/>
      <c r="L26" s="4"/>
      <c r="M26" s="4"/>
      <c r="N26" s="4"/>
    </row>
    <row r="27" spans="2:14">
      <c r="B27" s="4"/>
      <c r="C27" s="4"/>
      <c r="D27" s="4"/>
      <c r="E27" s="4"/>
      <c r="F27" s="4"/>
      <c r="G27" s="4"/>
      <c r="H27" s="4"/>
      <c r="I27" s="4"/>
      <c r="J27" s="4"/>
      <c r="K27" s="4"/>
      <c r="L27" s="4"/>
      <c r="M27" s="4"/>
      <c r="N27" s="4"/>
    </row>
    <row r="28" spans="2:14">
      <c r="B28" s="4"/>
      <c r="C28" s="4"/>
      <c r="D28" s="4"/>
      <c r="E28" s="4"/>
      <c r="F28" s="4"/>
      <c r="G28" s="4"/>
      <c r="H28" s="4"/>
      <c r="I28" s="4"/>
      <c r="J28" s="4"/>
      <c r="K28" s="4"/>
      <c r="L28" s="4"/>
      <c r="M28" s="4"/>
      <c r="N28" s="4"/>
    </row>
    <row r="29" spans="2:14">
      <c r="B29" s="4"/>
      <c r="C29" s="4"/>
      <c r="D29" s="4"/>
      <c r="E29" s="4"/>
      <c r="F29" s="4"/>
      <c r="G29" s="4"/>
      <c r="H29" s="4"/>
      <c r="I29" s="4"/>
      <c r="J29" s="4"/>
      <c r="K29" s="4"/>
      <c r="L29" s="4"/>
      <c r="M29" s="4"/>
      <c r="N29" s="4"/>
    </row>
    <row r="30" spans="2:14">
      <c r="B30" s="4"/>
      <c r="C30" s="4"/>
      <c r="D30" s="4"/>
      <c r="E30" s="4"/>
      <c r="F30" s="4"/>
      <c r="G30" s="4"/>
      <c r="H30" s="4"/>
      <c r="I30" s="4"/>
      <c r="J30" s="4"/>
      <c r="K30" s="4"/>
      <c r="L30" s="4"/>
      <c r="M30" s="4"/>
      <c r="N30" s="4"/>
    </row>
    <row r="31" spans="2:14">
      <c r="B31" s="4"/>
      <c r="C31" s="4"/>
      <c r="D31" s="4"/>
      <c r="E31" s="4"/>
      <c r="F31" s="4"/>
      <c r="G31" s="4"/>
      <c r="H31" s="4"/>
      <c r="I31" s="4"/>
      <c r="J31" s="4"/>
      <c r="K31" s="4"/>
      <c r="L31" s="4"/>
      <c r="M31" s="4"/>
      <c r="N31" s="4"/>
    </row>
    <row r="32" spans="2:14">
      <c r="B32" s="4"/>
      <c r="C32" s="4"/>
      <c r="D32" s="4"/>
      <c r="E32" s="4"/>
      <c r="F32" s="4"/>
      <c r="G32" s="4"/>
      <c r="H32" s="4"/>
      <c r="I32" s="4"/>
      <c r="J32" s="4"/>
      <c r="K32" s="4"/>
      <c r="L32" s="4"/>
      <c r="M32" s="4"/>
      <c r="N32" s="4"/>
    </row>
    <row r="33" spans="2:14">
      <c r="B33" s="4"/>
      <c r="C33" s="4"/>
      <c r="D33" s="4"/>
      <c r="E33" s="4"/>
      <c r="F33" s="4"/>
      <c r="G33" s="4"/>
      <c r="H33" s="4"/>
      <c r="I33" s="4"/>
      <c r="J33" s="4"/>
      <c r="K33" s="4"/>
      <c r="L33" s="4"/>
      <c r="M33" s="4"/>
      <c r="N33" s="4"/>
    </row>
    <row r="34" spans="2:14">
      <c r="B34" s="4"/>
      <c r="C34" s="4"/>
      <c r="D34" s="4"/>
      <c r="E34" s="4"/>
      <c r="F34" s="4"/>
      <c r="G34" s="4"/>
      <c r="H34" s="4"/>
      <c r="I34" s="4"/>
      <c r="J34" s="4"/>
      <c r="K34" s="4"/>
      <c r="L34" s="4"/>
      <c r="M34" s="4"/>
      <c r="N34" s="4"/>
    </row>
    <row r="35" spans="2:14">
      <c r="B35" s="4"/>
      <c r="C35" s="4"/>
      <c r="D35" s="4"/>
      <c r="E35" s="4"/>
      <c r="F35" s="4"/>
      <c r="G35" s="4"/>
      <c r="H35" s="4"/>
      <c r="I35" s="4"/>
      <c r="J35" s="4"/>
      <c r="K35" s="4"/>
      <c r="L35" s="4"/>
      <c r="M35" s="4"/>
      <c r="N35" s="4"/>
    </row>
    <row r="36" spans="2:14">
      <c r="B36" s="4"/>
      <c r="C36" s="4"/>
      <c r="D36" s="4"/>
      <c r="E36" s="4"/>
      <c r="F36" s="4"/>
      <c r="G36" s="4"/>
      <c r="H36" s="4"/>
      <c r="I36" s="4"/>
      <c r="J36" s="4"/>
      <c r="K36" s="4"/>
      <c r="L36" s="4"/>
      <c r="M36" s="4"/>
      <c r="N36" s="4"/>
    </row>
    <row r="37" spans="2:14">
      <c r="B37" s="4"/>
      <c r="C37" s="4"/>
      <c r="D37" s="4"/>
      <c r="E37" s="4"/>
      <c r="F37" s="4"/>
      <c r="G37" s="4"/>
      <c r="H37" s="4"/>
      <c r="I37" s="4"/>
      <c r="J37" s="4"/>
      <c r="K37" s="4"/>
      <c r="L37" s="4"/>
      <c r="M37" s="4"/>
      <c r="N37" s="4"/>
    </row>
    <row r="38" spans="2:14">
      <c r="B38" s="4"/>
      <c r="C38" s="4"/>
      <c r="D38" s="4"/>
      <c r="E38" s="4"/>
      <c r="F38" s="4"/>
      <c r="G38" s="4"/>
      <c r="H38" s="4"/>
      <c r="I38" s="4"/>
      <c r="J38" s="4"/>
      <c r="K38" s="4"/>
      <c r="L38" s="4"/>
      <c r="M38" s="4"/>
      <c r="N38" s="4"/>
    </row>
    <row r="39" spans="2:14">
      <c r="B39" s="4"/>
      <c r="C39" s="4"/>
      <c r="D39" s="4"/>
      <c r="E39" s="4"/>
      <c r="F39" s="4"/>
      <c r="G39" s="4"/>
      <c r="H39" s="4"/>
      <c r="I39" s="4"/>
      <c r="J39" s="4"/>
      <c r="K39" s="4"/>
      <c r="L39" s="4"/>
      <c r="M39" s="4"/>
      <c r="N39" s="4"/>
    </row>
    <row r="40" spans="2:14">
      <c r="B40" s="4"/>
      <c r="C40" s="4"/>
      <c r="D40" s="4"/>
      <c r="E40" s="4"/>
      <c r="F40" s="4"/>
      <c r="G40" s="4"/>
      <c r="H40" s="4"/>
      <c r="I40" s="4"/>
      <c r="J40" s="4"/>
      <c r="K40" s="4"/>
      <c r="L40" s="4"/>
      <c r="M40" s="4"/>
      <c r="N40" s="4"/>
    </row>
    <row r="41" spans="2:14">
      <c r="B41" s="4"/>
      <c r="C41" s="4"/>
      <c r="D41" s="4"/>
      <c r="E41" s="4"/>
      <c r="F41" s="4"/>
      <c r="G41" s="4"/>
      <c r="H41" s="4"/>
      <c r="I41" s="4"/>
      <c r="J41" s="4"/>
      <c r="K41" s="4"/>
      <c r="L41" s="4"/>
      <c r="M41" s="4"/>
      <c r="N41" s="4"/>
    </row>
    <row r="42" spans="2:14">
      <c r="B42" s="4"/>
      <c r="C42" s="4"/>
      <c r="D42" s="4"/>
      <c r="E42" s="4"/>
      <c r="F42" s="4"/>
      <c r="G42" s="4"/>
      <c r="H42" s="4"/>
      <c r="I42" s="4"/>
      <c r="J42" s="4"/>
      <c r="K42" s="4"/>
      <c r="L42" s="4"/>
      <c r="M42" s="4"/>
      <c r="N42" s="4"/>
    </row>
    <row r="43" spans="2:14">
      <c r="B43" s="4"/>
      <c r="C43" s="4"/>
      <c r="D43" s="4"/>
      <c r="E43" s="4"/>
      <c r="F43" s="4"/>
      <c r="G43" s="4"/>
      <c r="H43" s="4"/>
      <c r="I43" s="4"/>
      <c r="J43" s="4"/>
      <c r="K43" s="4"/>
      <c r="L43" s="4"/>
      <c r="M43" s="4"/>
      <c r="N43" s="4"/>
    </row>
    <row r="44" spans="2:14">
      <c r="B44" s="4"/>
      <c r="C44" s="4"/>
      <c r="D44" s="4"/>
      <c r="E44" s="4"/>
      <c r="F44" s="4"/>
      <c r="G44" s="4"/>
      <c r="H44" s="4"/>
      <c r="I44" s="4"/>
      <c r="J44" s="4"/>
      <c r="K44" s="4"/>
      <c r="L44" s="4"/>
      <c r="M44" s="4"/>
      <c r="N44" s="4"/>
    </row>
    <row r="45" spans="2:14">
      <c r="B45" s="4"/>
      <c r="C45" s="4"/>
      <c r="D45" s="4"/>
      <c r="E45" s="4"/>
      <c r="F45" s="4"/>
      <c r="G45" s="4"/>
      <c r="H45" s="4"/>
      <c r="I45" s="4"/>
      <c r="J45" s="4"/>
      <c r="K45" s="4"/>
      <c r="L45" s="4"/>
      <c r="M45" s="4"/>
      <c r="N45" s="4"/>
    </row>
    <row r="46" spans="2:14">
      <c r="B46" s="4"/>
      <c r="C46" s="4"/>
      <c r="D46" s="4"/>
      <c r="E46" s="4"/>
      <c r="F46" s="4"/>
      <c r="G46" s="4"/>
      <c r="H46" s="4"/>
      <c r="I46" s="4"/>
      <c r="J46" s="4"/>
      <c r="K46" s="4"/>
      <c r="L46" s="4"/>
      <c r="M46" s="4"/>
      <c r="N46" s="4"/>
    </row>
    <row r="47" spans="2:14">
      <c r="B47" s="4"/>
      <c r="C47" s="4"/>
      <c r="D47" s="4"/>
      <c r="E47" s="4"/>
      <c r="F47" s="4"/>
      <c r="G47" s="4"/>
      <c r="H47" s="4"/>
      <c r="I47" s="4"/>
      <c r="J47" s="4"/>
      <c r="K47" s="4"/>
      <c r="L47" s="4"/>
      <c r="M47" s="4"/>
      <c r="N47" s="4"/>
    </row>
    <row r="48" spans="2:14">
      <c r="B48" s="4"/>
      <c r="C48" s="4"/>
      <c r="D48" s="4"/>
      <c r="E48" s="4"/>
      <c r="F48" s="4"/>
      <c r="G48" s="4"/>
      <c r="H48" s="4"/>
      <c r="I48" s="4"/>
      <c r="J48" s="4"/>
      <c r="K48" s="4"/>
      <c r="L48" s="4"/>
      <c r="M48" s="4"/>
      <c r="N48" s="4"/>
    </row>
    <row r="49" spans="2:14">
      <c r="B49" s="4"/>
      <c r="C49" s="4"/>
      <c r="D49" s="4"/>
      <c r="E49" s="4"/>
      <c r="F49" s="4"/>
      <c r="G49" s="4"/>
      <c r="H49" s="4"/>
      <c r="I49" s="4"/>
      <c r="J49" s="4"/>
      <c r="K49" s="4"/>
      <c r="L49" s="4"/>
      <c r="M49" s="4"/>
      <c r="N49" s="4"/>
    </row>
    <row r="50" spans="2:14">
      <c r="B50" s="4"/>
      <c r="C50" s="4"/>
      <c r="D50" s="4"/>
      <c r="E50" s="4"/>
      <c r="F50" s="4"/>
      <c r="G50" s="4"/>
      <c r="H50" s="4"/>
      <c r="I50" s="4"/>
      <c r="J50" s="4"/>
      <c r="K50" s="4"/>
      <c r="L50" s="4"/>
      <c r="M50" s="4"/>
      <c r="N50" s="4"/>
    </row>
    <row r="51" spans="2:14">
      <c r="B51" s="4"/>
      <c r="C51" s="4"/>
      <c r="D51" s="4"/>
      <c r="E51" s="4"/>
      <c r="F51" s="4"/>
      <c r="G51" s="4"/>
      <c r="H51" s="4"/>
      <c r="I51" s="4"/>
      <c r="J51" s="4"/>
      <c r="K51" s="4"/>
      <c r="L51" s="4"/>
      <c r="M51" s="4"/>
      <c r="N51" s="4"/>
    </row>
    <row r="52" spans="2:14">
      <c r="B52" s="4"/>
      <c r="C52" s="4"/>
      <c r="D52" s="4"/>
      <c r="E52" s="4"/>
      <c r="F52" s="4"/>
      <c r="G52" s="4"/>
      <c r="H52" s="4"/>
      <c r="I52" s="4"/>
      <c r="J52" s="4"/>
      <c r="K52" s="4"/>
      <c r="L52" s="4"/>
      <c r="M52" s="4"/>
      <c r="N52" s="4"/>
    </row>
    <row r="53" spans="2:14">
      <c r="B53" s="4"/>
      <c r="C53" s="4"/>
      <c r="D53" s="4"/>
      <c r="E53" s="4"/>
      <c r="F53" s="4"/>
      <c r="G53" s="4"/>
      <c r="H53" s="4"/>
      <c r="I53" s="4"/>
      <c r="J53" s="4"/>
      <c r="K53" s="4"/>
      <c r="L53" s="4"/>
      <c r="M53" s="4"/>
      <c r="N53" s="4"/>
    </row>
    <row r="54" spans="2:14">
      <c r="B54" s="4"/>
      <c r="C54" s="4"/>
      <c r="D54" s="4"/>
      <c r="E54" s="4"/>
      <c r="F54" s="4"/>
      <c r="G54" s="4"/>
      <c r="H54" s="4"/>
      <c r="I54" s="4"/>
      <c r="J54" s="4"/>
      <c r="K54" s="4"/>
      <c r="L54" s="4"/>
      <c r="M54" s="4"/>
      <c r="N54" s="4"/>
    </row>
    <row r="55" spans="2:14">
      <c r="B55" s="4"/>
      <c r="C55" s="4"/>
      <c r="D55" s="4"/>
      <c r="E55" s="4"/>
      <c r="F55" s="4"/>
      <c r="G55" s="4"/>
      <c r="H55" s="4"/>
      <c r="I55" s="4"/>
      <c r="J55" s="4"/>
      <c r="K55" s="4"/>
      <c r="L55" s="4"/>
      <c r="M55" s="4"/>
      <c r="N55" s="4"/>
    </row>
    <row r="56" spans="2:14">
      <c r="B56" s="4"/>
      <c r="C56" s="4"/>
      <c r="D56" s="4"/>
      <c r="E56" s="4"/>
      <c r="F56" s="4"/>
      <c r="G56" s="4"/>
      <c r="H56" s="4"/>
      <c r="I56" s="4"/>
      <c r="J56" s="4"/>
      <c r="K56" s="4"/>
      <c r="L56" s="4"/>
      <c r="M56" s="4"/>
      <c r="N56" s="4"/>
    </row>
    <row r="57" spans="2:14">
      <c r="B57" s="4"/>
      <c r="C57" s="4"/>
      <c r="D57" s="4"/>
      <c r="E57" s="4"/>
      <c r="F57" s="4"/>
      <c r="G57" s="4"/>
      <c r="H57" s="4"/>
      <c r="I57" s="4"/>
      <c r="J57" s="4"/>
      <c r="K57" s="4"/>
      <c r="L57" s="4"/>
      <c r="M57" s="4"/>
      <c r="N57" s="4"/>
    </row>
    <row r="58" spans="2:14">
      <c r="B58" s="4"/>
      <c r="C58" s="4"/>
      <c r="D58" s="4"/>
      <c r="E58" s="4"/>
      <c r="F58" s="4"/>
      <c r="G58" s="4"/>
      <c r="H58" s="4"/>
      <c r="I58" s="4"/>
      <c r="J58" s="4"/>
      <c r="K58" s="4"/>
      <c r="L58" s="4"/>
      <c r="M58" s="4"/>
      <c r="N58" s="4"/>
    </row>
    <row r="59" spans="2:14">
      <c r="B59" s="4"/>
      <c r="C59" s="4"/>
      <c r="D59" s="4"/>
      <c r="E59" s="4"/>
      <c r="F59" s="4"/>
      <c r="G59" s="4"/>
      <c r="H59" s="4"/>
      <c r="I59" s="4"/>
      <c r="J59" s="4"/>
      <c r="K59" s="4"/>
      <c r="L59" s="4"/>
      <c r="M59" s="4"/>
      <c r="N59" s="4"/>
    </row>
    <row r="60" spans="2:14">
      <c r="B60" s="4"/>
      <c r="C60" s="4"/>
      <c r="D60" s="4"/>
      <c r="E60" s="4"/>
      <c r="F60" s="4"/>
      <c r="G60" s="4"/>
      <c r="H60" s="4"/>
      <c r="I60" s="4"/>
      <c r="J60" s="4"/>
      <c r="K60" s="4"/>
      <c r="L60" s="4"/>
      <c r="M60" s="4"/>
      <c r="N60" s="4"/>
    </row>
    <row r="61" spans="2:14">
      <c r="B61" s="4"/>
      <c r="C61" s="4"/>
      <c r="D61" s="4"/>
      <c r="E61" s="4"/>
      <c r="F61" s="4"/>
      <c r="G61" s="4"/>
      <c r="H61" s="4"/>
      <c r="I61" s="4"/>
      <c r="J61" s="4"/>
      <c r="K61" s="4"/>
      <c r="L61" s="4"/>
      <c r="M61" s="4"/>
      <c r="N61" s="4"/>
    </row>
    <row r="62" spans="2:14">
      <c r="B62" s="4"/>
      <c r="C62" s="4"/>
      <c r="D62" s="4"/>
      <c r="E62" s="4"/>
      <c r="F62" s="4"/>
      <c r="G62" s="4"/>
      <c r="H62" s="4"/>
      <c r="I62" s="4"/>
      <c r="J62" s="4"/>
      <c r="K62" s="4"/>
      <c r="L62" s="4"/>
      <c r="M62" s="4"/>
      <c r="N62" s="4"/>
    </row>
    <row r="63" spans="2:14">
      <c r="B63" s="4"/>
      <c r="C63" s="4"/>
      <c r="D63" s="4"/>
      <c r="E63" s="4"/>
      <c r="F63" s="4"/>
      <c r="G63" s="4"/>
      <c r="H63" s="4"/>
      <c r="I63" s="4"/>
      <c r="J63" s="4"/>
      <c r="K63" s="4"/>
      <c r="L63" s="4"/>
      <c r="M63" s="4"/>
      <c r="N63" s="4"/>
    </row>
    <row r="64" spans="2:14">
      <c r="B64" s="4"/>
      <c r="C64" s="4"/>
      <c r="D64" s="4"/>
      <c r="E64" s="4"/>
      <c r="F64" s="4"/>
      <c r="G64" s="4"/>
      <c r="H64" s="4"/>
      <c r="I64" s="4"/>
      <c r="J64" s="4"/>
      <c r="K64" s="4"/>
      <c r="L64" s="4"/>
      <c r="M64" s="4"/>
      <c r="N64" s="4"/>
    </row>
    <row r="65" spans="2:14">
      <c r="B65" s="4"/>
      <c r="C65" s="4"/>
      <c r="D65" s="4"/>
      <c r="E65" s="4"/>
      <c r="F65" s="4"/>
      <c r="G65" s="4"/>
      <c r="H65" s="4"/>
      <c r="I65" s="4"/>
      <c r="J65" s="4"/>
      <c r="K65" s="4"/>
      <c r="L65" s="4"/>
      <c r="M65" s="4"/>
      <c r="N65" s="4"/>
    </row>
    <row r="66" spans="2:14">
      <c r="B66" s="4"/>
      <c r="C66" s="4"/>
      <c r="D66" s="4"/>
      <c r="E66" s="4"/>
      <c r="F66" s="4"/>
      <c r="G66" s="4"/>
      <c r="H66" s="4"/>
      <c r="I66" s="4"/>
      <c r="J66" s="4"/>
      <c r="K66" s="4"/>
      <c r="L66" s="4"/>
      <c r="M66" s="4"/>
      <c r="N66" s="4"/>
    </row>
    <row r="67" spans="2:14">
      <c r="B67" s="4"/>
      <c r="C67" s="4"/>
      <c r="D67" s="4"/>
      <c r="E67" s="4"/>
      <c r="F67" s="4"/>
      <c r="G67" s="4"/>
      <c r="H67" s="4"/>
      <c r="I67" s="4"/>
      <c r="J67" s="4"/>
      <c r="K67" s="4"/>
      <c r="L67" s="4"/>
      <c r="M67" s="4"/>
      <c r="N67" s="4"/>
    </row>
    <row r="68" spans="2:14">
      <c r="B68" s="4"/>
      <c r="C68" s="4"/>
      <c r="D68" s="4"/>
      <c r="E68" s="4"/>
      <c r="F68" s="4"/>
      <c r="G68" s="4"/>
      <c r="H68" s="4"/>
      <c r="I68" s="4"/>
      <c r="J68" s="4"/>
      <c r="K68" s="4"/>
      <c r="L68" s="4"/>
      <c r="M68" s="4"/>
      <c r="N68" s="4"/>
    </row>
    <row r="69" spans="2:14">
      <c r="B69" s="4"/>
      <c r="C69" s="4"/>
      <c r="D69" s="4"/>
      <c r="E69" s="4"/>
      <c r="F69" s="4"/>
      <c r="G69" s="4"/>
      <c r="H69" s="4"/>
      <c r="I69" s="4"/>
      <c r="J69" s="4"/>
      <c r="K69" s="4"/>
      <c r="L69" s="4"/>
      <c r="M69" s="4"/>
      <c r="N69" s="4"/>
    </row>
    <row r="70" spans="2:14">
      <c r="B70" s="4"/>
      <c r="C70" s="4"/>
      <c r="D70" s="4"/>
      <c r="E70" s="4"/>
      <c r="F70" s="4"/>
      <c r="G70" s="4"/>
      <c r="H70" s="4"/>
      <c r="I70" s="4"/>
      <c r="J70" s="4"/>
      <c r="K70" s="4"/>
      <c r="L70" s="4"/>
      <c r="M70" s="4"/>
      <c r="N70" s="4"/>
    </row>
    <row r="71" spans="2:14">
      <c r="B71" s="4"/>
      <c r="C71" s="4"/>
      <c r="D71" s="4"/>
      <c r="E71" s="4"/>
      <c r="F71" s="4"/>
      <c r="G71" s="4"/>
      <c r="H71" s="4"/>
      <c r="I71" s="4"/>
      <c r="J71" s="4"/>
      <c r="K71" s="4"/>
      <c r="L71" s="4"/>
      <c r="M71" s="4"/>
      <c r="N71" s="4"/>
    </row>
    <row r="72" spans="2:14">
      <c r="B72" s="4"/>
      <c r="C72" s="4"/>
      <c r="D72" s="4"/>
      <c r="E72" s="4"/>
      <c r="F72" s="4"/>
      <c r="G72" s="4"/>
      <c r="H72" s="4"/>
      <c r="I72" s="4"/>
      <c r="J72" s="4"/>
      <c r="K72" s="4"/>
      <c r="L72" s="4"/>
      <c r="M72" s="4"/>
      <c r="N72" s="4"/>
    </row>
    <row r="73" spans="2:14">
      <c r="B73" s="4"/>
      <c r="C73" s="4"/>
      <c r="D73" s="4"/>
      <c r="E73" s="4"/>
      <c r="F73" s="4"/>
      <c r="G73" s="4"/>
      <c r="H73" s="4"/>
      <c r="I73" s="4"/>
      <c r="J73" s="4"/>
      <c r="K73" s="4"/>
      <c r="L73" s="4"/>
      <c r="M73" s="4"/>
      <c r="N73" s="4"/>
    </row>
    <row r="74" spans="2:14">
      <c r="B74" s="4"/>
      <c r="C74" s="4"/>
      <c r="D74" s="4"/>
      <c r="E74" s="4"/>
      <c r="F74" s="4"/>
      <c r="G74" s="4"/>
      <c r="H74" s="4"/>
      <c r="I74" s="4"/>
      <c r="J74" s="4"/>
      <c r="K74" s="4"/>
      <c r="L74" s="4"/>
      <c r="M74" s="4"/>
      <c r="N74" s="4"/>
    </row>
    <row r="75" spans="2:14">
      <c r="B75" s="4"/>
      <c r="C75" s="4"/>
      <c r="D75" s="4"/>
      <c r="E75" s="4"/>
      <c r="F75" s="4"/>
      <c r="G75" s="4"/>
      <c r="H75" s="4"/>
      <c r="I75" s="4"/>
      <c r="J75" s="4"/>
      <c r="K75" s="4"/>
      <c r="L75" s="4"/>
      <c r="M75" s="4"/>
      <c r="N75" s="4"/>
    </row>
    <row r="76" spans="2:14">
      <c r="B76" s="4"/>
      <c r="C76" s="4"/>
      <c r="D76" s="4"/>
      <c r="E76" s="4"/>
      <c r="F76" s="4"/>
      <c r="G76" s="4"/>
      <c r="H76" s="4"/>
      <c r="I76" s="4"/>
      <c r="J76" s="4"/>
      <c r="K76" s="4"/>
      <c r="L76" s="4"/>
      <c r="M76" s="4"/>
      <c r="N76" s="4"/>
    </row>
    <row r="77" spans="2:14">
      <c r="B77" s="4"/>
      <c r="C77" s="4"/>
      <c r="D77" s="4"/>
      <c r="E77" s="4"/>
      <c r="F77" s="4"/>
      <c r="G77" s="4"/>
      <c r="H77" s="4"/>
      <c r="I77" s="4"/>
      <c r="J77" s="4"/>
      <c r="K77" s="4"/>
      <c r="L77" s="4"/>
      <c r="M77" s="4"/>
      <c r="N77" s="4"/>
    </row>
    <row r="78" spans="2:14">
      <c r="B78" s="4"/>
      <c r="C78" s="4"/>
      <c r="D78" s="4"/>
      <c r="E78" s="4"/>
      <c r="F78" s="4"/>
      <c r="G78" s="4"/>
      <c r="H78" s="4"/>
      <c r="I78" s="4"/>
      <c r="J78" s="4"/>
      <c r="K78" s="4"/>
      <c r="L78" s="4"/>
      <c r="M78" s="4"/>
      <c r="N78" s="4"/>
    </row>
    <row r="79" spans="2:14">
      <c r="B79" s="4"/>
      <c r="C79" s="4"/>
      <c r="D79" s="4"/>
      <c r="E79" s="4"/>
      <c r="F79" s="4"/>
      <c r="G79" s="4"/>
      <c r="H79" s="4"/>
      <c r="I79" s="4"/>
      <c r="J79" s="4"/>
      <c r="K79" s="4"/>
      <c r="L79" s="4"/>
      <c r="M79" s="4"/>
      <c r="N79" s="4"/>
    </row>
    <row r="80" spans="2:14">
      <c r="B80" s="4"/>
      <c r="C80" s="4"/>
      <c r="D80" s="4"/>
      <c r="E80" s="4"/>
      <c r="F80" s="4"/>
      <c r="G80" s="4"/>
      <c r="H80" s="4"/>
      <c r="I80" s="4"/>
      <c r="J80" s="4"/>
      <c r="K80" s="4"/>
      <c r="L80" s="4"/>
      <c r="M80" s="4"/>
      <c r="N80" s="4"/>
    </row>
    <row r="81" spans="2:14">
      <c r="B81" s="4"/>
      <c r="C81" s="4"/>
      <c r="D81" s="4"/>
      <c r="E81" s="4"/>
      <c r="F81" s="4"/>
      <c r="G81" s="4"/>
      <c r="H81" s="4"/>
      <c r="I81" s="4"/>
      <c r="J81" s="4"/>
      <c r="K81" s="4"/>
      <c r="L81" s="4"/>
      <c r="M81" s="4"/>
      <c r="N81" s="4"/>
    </row>
    <row r="82" spans="2:14">
      <c r="B82" s="4"/>
      <c r="C82" s="4"/>
      <c r="D82" s="4"/>
      <c r="E82" s="4"/>
      <c r="F82" s="4"/>
      <c r="G82" s="4"/>
      <c r="H82" s="4"/>
      <c r="I82" s="4"/>
      <c r="J82" s="4"/>
      <c r="K82" s="4"/>
      <c r="L82" s="4"/>
      <c r="M82" s="4"/>
      <c r="N82" s="4"/>
    </row>
    <row r="83" spans="2:14">
      <c r="B83" s="4"/>
      <c r="C83" s="4"/>
      <c r="D83" s="4"/>
      <c r="E83" s="4"/>
      <c r="F83" s="4"/>
      <c r="G83" s="4"/>
      <c r="H83" s="4"/>
      <c r="I83" s="4"/>
      <c r="J83" s="4"/>
      <c r="K83" s="4"/>
      <c r="L83" s="4"/>
      <c r="M83" s="4"/>
      <c r="N83" s="4"/>
    </row>
    <row r="84" spans="2:14">
      <c r="B84" s="4"/>
      <c r="C84" s="4"/>
      <c r="D84" s="4"/>
      <c r="E84" s="4"/>
      <c r="F84" s="4"/>
      <c r="G84" s="4"/>
      <c r="H84" s="4"/>
      <c r="I84" s="4"/>
      <c r="J84" s="4"/>
      <c r="K84" s="4"/>
      <c r="L84" s="4"/>
      <c r="M84" s="4"/>
      <c r="N84" s="4"/>
    </row>
    <row r="85" spans="2:14">
      <c r="B85" s="4"/>
      <c r="C85" s="4"/>
      <c r="D85" s="4"/>
      <c r="E85" s="4"/>
      <c r="F85" s="4"/>
      <c r="G85" s="4"/>
      <c r="H85" s="4"/>
      <c r="I85" s="4"/>
      <c r="J85" s="4"/>
      <c r="K85" s="4"/>
      <c r="L85" s="4"/>
      <c r="M85" s="4"/>
      <c r="N85" s="4"/>
    </row>
    <row r="86" spans="2:14">
      <c r="B86" s="4"/>
      <c r="C86" s="4"/>
      <c r="D86" s="4"/>
      <c r="E86" s="4"/>
      <c r="F86" s="4"/>
      <c r="G86" s="4"/>
      <c r="H86" s="4"/>
      <c r="I86" s="4"/>
      <c r="J86" s="4"/>
      <c r="K86" s="4"/>
      <c r="L86" s="4"/>
      <c r="M86" s="4"/>
      <c r="N86" s="4"/>
    </row>
    <row r="87" spans="2:14">
      <c r="B87" s="4"/>
      <c r="C87" s="4"/>
      <c r="D87" s="4"/>
      <c r="E87" s="4"/>
      <c r="F87" s="4"/>
      <c r="G87" s="4"/>
      <c r="H87" s="4"/>
      <c r="I87" s="4"/>
      <c r="J87" s="4"/>
      <c r="K87" s="4"/>
      <c r="L87" s="4"/>
      <c r="M87" s="4"/>
      <c r="N87" s="4"/>
    </row>
    <row r="88" spans="2:14">
      <c r="B88" s="4"/>
      <c r="C88" s="4"/>
      <c r="D88" s="4"/>
      <c r="E88" s="4"/>
      <c r="F88" s="4"/>
      <c r="G88" s="4"/>
      <c r="H88" s="4"/>
      <c r="I88" s="4"/>
      <c r="J88" s="4"/>
      <c r="K88" s="4"/>
      <c r="L88" s="4"/>
      <c r="M88" s="4"/>
      <c r="N88" s="4"/>
    </row>
    <row r="89" spans="2:14">
      <c r="B89" s="4"/>
      <c r="C89" s="4"/>
      <c r="D89" s="4"/>
      <c r="E89" s="4"/>
      <c r="F89" s="4"/>
      <c r="G89" s="4"/>
      <c r="H89" s="4"/>
      <c r="I89" s="4"/>
      <c r="J89" s="4"/>
      <c r="K89" s="4"/>
      <c r="L89" s="4"/>
      <c r="M89" s="4"/>
      <c r="N89" s="4"/>
    </row>
    <row r="90" spans="2:14">
      <c r="B90" s="4"/>
      <c r="C90" s="4"/>
      <c r="D90" s="4"/>
      <c r="E90" s="4"/>
      <c r="F90" s="4"/>
      <c r="G90" s="4"/>
      <c r="H90" s="4"/>
      <c r="I90" s="4"/>
      <c r="J90" s="4"/>
      <c r="K90" s="4"/>
      <c r="L90" s="4"/>
      <c r="M90" s="4"/>
      <c r="N90" s="4"/>
    </row>
    <row r="91" spans="2:14">
      <c r="B91" s="4"/>
      <c r="C91" s="4"/>
      <c r="D91" s="4"/>
      <c r="E91" s="4"/>
      <c r="F91" s="4"/>
      <c r="G91" s="4"/>
      <c r="H91" s="4"/>
      <c r="I91" s="4"/>
      <c r="J91" s="4"/>
      <c r="K91" s="4"/>
      <c r="L91" s="4"/>
      <c r="M91" s="4"/>
      <c r="N91" s="4"/>
    </row>
    <row r="92" spans="2:14">
      <c r="B92" s="4"/>
      <c r="C92" s="4"/>
      <c r="D92" s="4"/>
      <c r="E92" s="4"/>
      <c r="F92" s="4"/>
      <c r="G92" s="4"/>
      <c r="H92" s="4"/>
      <c r="I92" s="4"/>
      <c r="J92" s="4"/>
      <c r="K92" s="4"/>
      <c r="L92" s="4"/>
      <c r="M92" s="4"/>
      <c r="N92" s="4"/>
    </row>
    <row r="93" spans="2:14">
      <c r="B93" s="4"/>
      <c r="C93" s="4"/>
      <c r="D93" s="4"/>
      <c r="E93" s="4"/>
      <c r="F93" s="4"/>
      <c r="G93" s="4"/>
      <c r="H93" s="4"/>
      <c r="I93" s="4"/>
      <c r="J93" s="4"/>
      <c r="K93" s="4"/>
      <c r="L93" s="4"/>
      <c r="M93" s="4"/>
      <c r="N93" s="4"/>
    </row>
    <row r="94" spans="2:14">
      <c r="B94" s="4"/>
      <c r="C94" s="4"/>
      <c r="D94" s="4"/>
      <c r="E94" s="4"/>
      <c r="F94" s="4"/>
      <c r="G94" s="4"/>
      <c r="H94" s="4"/>
      <c r="I94" s="4"/>
      <c r="J94" s="4"/>
      <c r="K94" s="4"/>
      <c r="L94" s="4"/>
      <c r="M94" s="4"/>
      <c r="N94" s="4"/>
    </row>
    <row r="95" spans="2:14">
      <c r="B95" s="4"/>
      <c r="C95" s="4"/>
      <c r="D95" s="4"/>
      <c r="E95" s="4"/>
      <c r="F95" s="4"/>
      <c r="G95" s="4"/>
      <c r="H95" s="4"/>
      <c r="I95" s="4"/>
      <c r="J95" s="4"/>
      <c r="K95" s="4"/>
      <c r="L95" s="4"/>
      <c r="M95" s="4"/>
      <c r="N95" s="4"/>
    </row>
    <row r="96" spans="2:14">
      <c r="B96" s="4"/>
      <c r="C96" s="4"/>
      <c r="D96" s="4"/>
      <c r="E96" s="4"/>
      <c r="F96" s="4"/>
      <c r="G96" s="4"/>
      <c r="H96" s="4"/>
      <c r="I96" s="4"/>
      <c r="J96" s="4"/>
      <c r="K96" s="4"/>
      <c r="L96" s="4"/>
      <c r="M96" s="4"/>
      <c r="N96" s="4"/>
    </row>
    <row r="97" spans="2:14">
      <c r="B97" s="4"/>
      <c r="C97" s="4"/>
      <c r="D97" s="4"/>
      <c r="E97" s="4"/>
      <c r="F97" s="4"/>
      <c r="G97" s="4"/>
      <c r="H97" s="4"/>
      <c r="I97" s="4"/>
      <c r="J97" s="4"/>
      <c r="K97" s="4"/>
      <c r="L97" s="4"/>
      <c r="M97" s="4"/>
      <c r="N97" s="4"/>
    </row>
    <row r="98" spans="2:14">
      <c r="B98" s="4"/>
      <c r="C98" s="4"/>
      <c r="D98" s="4"/>
      <c r="E98" s="4"/>
      <c r="F98" s="4"/>
      <c r="G98" s="4"/>
      <c r="H98" s="4"/>
      <c r="I98" s="4"/>
      <c r="J98" s="4"/>
      <c r="K98" s="4"/>
      <c r="L98" s="4"/>
      <c r="M98" s="4"/>
      <c r="N98" s="4"/>
    </row>
    <row r="99" spans="2:14">
      <c r="B99" s="4"/>
      <c r="C99" s="4"/>
      <c r="D99" s="4"/>
      <c r="E99" s="4"/>
      <c r="F99" s="4"/>
      <c r="G99" s="4"/>
      <c r="H99" s="4"/>
      <c r="I99" s="4"/>
      <c r="J99" s="4"/>
      <c r="K99" s="4"/>
      <c r="L99" s="4"/>
      <c r="M99" s="4"/>
      <c r="N99" s="4"/>
    </row>
    <row r="100" spans="2:14">
      <c r="B100" s="4"/>
      <c r="C100" s="4"/>
      <c r="D100" s="4"/>
      <c r="E100" s="4"/>
      <c r="F100" s="4"/>
      <c r="G100" s="4"/>
      <c r="H100" s="4"/>
      <c r="I100" s="4"/>
      <c r="J100" s="4"/>
      <c r="K100" s="4"/>
      <c r="L100" s="4"/>
      <c r="M100" s="4"/>
      <c r="N100" s="4"/>
    </row>
    <row r="101" spans="2:14">
      <c r="B101" s="4"/>
      <c r="C101" s="4"/>
      <c r="D101" s="4"/>
      <c r="E101" s="4"/>
      <c r="F101" s="4"/>
      <c r="G101" s="4"/>
      <c r="H101" s="4"/>
      <c r="I101" s="4"/>
      <c r="J101" s="4"/>
      <c r="K101" s="4"/>
      <c r="L101" s="4"/>
      <c r="M101" s="4"/>
      <c r="N101" s="4"/>
    </row>
    <row r="102" spans="2:14">
      <c r="B102" s="4"/>
      <c r="C102" s="4"/>
      <c r="D102" s="4"/>
      <c r="E102" s="4"/>
      <c r="F102" s="4"/>
      <c r="G102" s="4"/>
      <c r="H102" s="4"/>
      <c r="I102" s="4"/>
      <c r="J102" s="4"/>
      <c r="K102" s="4"/>
      <c r="L102" s="4"/>
      <c r="M102" s="4"/>
      <c r="N102" s="4"/>
    </row>
    <row r="103" spans="2:14">
      <c r="B103" s="4"/>
      <c r="C103" s="4"/>
      <c r="D103" s="4"/>
      <c r="E103" s="4"/>
      <c r="F103" s="4"/>
      <c r="G103" s="4"/>
      <c r="H103" s="4"/>
      <c r="I103" s="4"/>
      <c r="J103" s="4"/>
      <c r="K103" s="4"/>
      <c r="L103" s="4"/>
      <c r="M103" s="4"/>
      <c r="N103" s="4"/>
    </row>
    <row r="104" spans="2:14">
      <c r="B104" s="4"/>
      <c r="C104" s="4"/>
      <c r="D104" s="4"/>
      <c r="E104" s="4"/>
      <c r="F104" s="4"/>
      <c r="G104" s="4"/>
      <c r="H104" s="4"/>
      <c r="I104" s="4"/>
      <c r="J104" s="4"/>
      <c r="K104" s="4"/>
      <c r="L104" s="4"/>
      <c r="M104" s="4"/>
      <c r="N104" s="4"/>
    </row>
    <row r="105" spans="2:14">
      <c r="B105" s="4"/>
      <c r="C105" s="4"/>
      <c r="D105" s="4"/>
      <c r="E105" s="4"/>
      <c r="F105" s="4"/>
      <c r="G105" s="4"/>
      <c r="H105" s="4"/>
      <c r="I105" s="4"/>
      <c r="J105" s="4"/>
      <c r="K105" s="4"/>
      <c r="L105" s="4"/>
      <c r="M105" s="4"/>
      <c r="N105" s="4"/>
    </row>
    <row r="106" spans="2:14">
      <c r="B106" s="4"/>
      <c r="C106" s="4"/>
      <c r="D106" s="4"/>
      <c r="E106" s="4"/>
      <c r="F106" s="4"/>
      <c r="G106" s="4"/>
      <c r="H106" s="4"/>
      <c r="I106" s="4"/>
      <c r="J106" s="4"/>
      <c r="K106" s="4"/>
      <c r="L106" s="4"/>
      <c r="M106" s="4"/>
      <c r="N106" s="4"/>
    </row>
    <row r="107" spans="2:14">
      <c r="B107" s="4"/>
      <c r="C107" s="4"/>
      <c r="D107" s="4"/>
      <c r="E107" s="4"/>
      <c r="F107" s="4"/>
      <c r="G107" s="4"/>
      <c r="H107" s="4"/>
      <c r="I107" s="4"/>
      <c r="J107" s="4"/>
      <c r="K107" s="4"/>
      <c r="L107" s="4"/>
      <c r="M107" s="4"/>
      <c r="N107" s="4"/>
    </row>
    <row r="108" spans="2:14">
      <c r="B108" s="4"/>
      <c r="C108" s="4"/>
      <c r="D108" s="4"/>
      <c r="E108" s="4"/>
      <c r="F108" s="4"/>
      <c r="G108" s="4"/>
      <c r="H108" s="4"/>
      <c r="I108" s="4"/>
      <c r="J108" s="4"/>
      <c r="K108" s="4"/>
      <c r="L108" s="4"/>
      <c r="M108" s="4"/>
      <c r="N108" s="4"/>
    </row>
    <row r="109" spans="2:14">
      <c r="B109" s="4"/>
      <c r="C109" s="4"/>
      <c r="D109" s="4"/>
      <c r="E109" s="4"/>
      <c r="F109" s="4"/>
      <c r="G109" s="4"/>
      <c r="H109" s="4"/>
      <c r="I109" s="4"/>
      <c r="J109" s="4"/>
      <c r="K109" s="4"/>
      <c r="L109" s="4"/>
      <c r="M109" s="4"/>
      <c r="N109" s="4"/>
    </row>
    <row r="110" spans="2:14">
      <c r="B110" s="4"/>
      <c r="C110" s="4"/>
      <c r="D110" s="4"/>
      <c r="E110" s="4"/>
      <c r="F110" s="4"/>
      <c r="G110" s="4"/>
      <c r="H110" s="4"/>
      <c r="I110" s="4"/>
      <c r="J110" s="4"/>
      <c r="K110" s="4"/>
      <c r="L110" s="4"/>
      <c r="M110" s="4"/>
      <c r="N110" s="4"/>
    </row>
    <row r="111" spans="2:14">
      <c r="B111" s="4"/>
      <c r="C111" s="4"/>
      <c r="D111" s="4"/>
      <c r="E111" s="4"/>
      <c r="F111" s="4"/>
      <c r="G111" s="4"/>
      <c r="H111" s="4"/>
      <c r="I111" s="4"/>
      <c r="J111" s="4"/>
      <c r="K111" s="4"/>
      <c r="L111" s="4"/>
      <c r="M111" s="4"/>
      <c r="N111" s="4"/>
    </row>
    <row r="112" spans="2:14">
      <c r="B112" s="4"/>
      <c r="C112" s="4"/>
      <c r="D112" s="4"/>
      <c r="E112" s="4"/>
      <c r="F112" s="4"/>
      <c r="G112" s="4"/>
      <c r="H112" s="4"/>
      <c r="I112" s="4"/>
      <c r="J112" s="4"/>
      <c r="K112" s="4"/>
      <c r="L112" s="4"/>
      <c r="M112" s="4"/>
      <c r="N112" s="4"/>
    </row>
    <row r="113" spans="2:14">
      <c r="B113" s="4"/>
      <c r="C113" s="4"/>
      <c r="D113" s="4"/>
      <c r="E113" s="4"/>
      <c r="F113" s="4"/>
      <c r="G113" s="4"/>
      <c r="H113" s="4"/>
      <c r="I113" s="4"/>
      <c r="J113" s="4"/>
      <c r="K113" s="4"/>
      <c r="L113" s="4"/>
      <c r="M113" s="4"/>
      <c r="N113" s="4"/>
    </row>
    <row r="114" spans="2:14">
      <c r="B114" s="4"/>
      <c r="C114" s="4"/>
      <c r="D114" s="4"/>
      <c r="E114" s="4"/>
      <c r="F114" s="4"/>
      <c r="G114" s="4"/>
      <c r="H114" s="4"/>
      <c r="I114" s="4"/>
      <c r="J114" s="4"/>
      <c r="K114" s="4"/>
      <c r="L114" s="4"/>
      <c r="M114" s="4"/>
      <c r="N114" s="4"/>
    </row>
    <row r="115" spans="2:14">
      <c r="B115" s="4"/>
      <c r="C115" s="4"/>
      <c r="D115" s="4"/>
      <c r="E115" s="4"/>
      <c r="F115" s="4"/>
      <c r="G115" s="4"/>
      <c r="H115" s="4"/>
      <c r="I115" s="4"/>
      <c r="J115" s="4"/>
      <c r="K115" s="4"/>
      <c r="L115" s="4"/>
      <c r="M115" s="4"/>
      <c r="N115" s="4"/>
    </row>
    <row r="116" spans="2:14">
      <c r="B116" s="4"/>
      <c r="C116" s="4"/>
      <c r="D116" s="4"/>
      <c r="E116" s="4"/>
      <c r="F116" s="4"/>
      <c r="G116" s="4"/>
      <c r="H116" s="4"/>
      <c r="I116" s="4"/>
      <c r="J116" s="4"/>
      <c r="K116" s="4"/>
      <c r="L116" s="4"/>
      <c r="M116" s="4"/>
      <c r="N116" s="4"/>
    </row>
    <row r="117" spans="2:14">
      <c r="B117" s="4"/>
      <c r="C117" s="4"/>
      <c r="D117" s="4"/>
      <c r="E117" s="4"/>
      <c r="F117" s="4"/>
      <c r="G117" s="4"/>
      <c r="H117" s="4"/>
      <c r="I117" s="4"/>
      <c r="J117" s="4"/>
      <c r="K117" s="4"/>
      <c r="L117" s="4"/>
      <c r="M117" s="4"/>
      <c r="N117" s="4"/>
    </row>
    <row r="118" spans="2:14">
      <c r="B118" s="4"/>
      <c r="C118" s="4"/>
      <c r="D118" s="4"/>
      <c r="E118" s="4"/>
      <c r="F118" s="4"/>
      <c r="G118" s="4"/>
      <c r="H118" s="4"/>
      <c r="I118" s="4"/>
      <c r="J118" s="4"/>
      <c r="K118" s="4"/>
      <c r="L118" s="4"/>
      <c r="M118" s="4"/>
      <c r="N118" s="4"/>
    </row>
    <row r="119" spans="2:14">
      <c r="B119" s="4"/>
      <c r="C119" s="4"/>
      <c r="D119" s="4"/>
      <c r="E119" s="4"/>
      <c r="F119" s="4"/>
      <c r="G119" s="4"/>
      <c r="H119" s="4"/>
      <c r="I119" s="4"/>
      <c r="J119" s="4"/>
      <c r="K119" s="4"/>
      <c r="L119" s="4"/>
      <c r="M119" s="4"/>
      <c r="N119" s="4"/>
    </row>
    <row r="120" spans="2:14">
      <c r="B120" s="4"/>
      <c r="C120" s="4"/>
      <c r="D120" s="4"/>
      <c r="E120" s="4"/>
      <c r="F120" s="4"/>
      <c r="G120" s="4"/>
      <c r="H120" s="4"/>
      <c r="I120" s="4"/>
      <c r="J120" s="4"/>
      <c r="K120" s="4"/>
      <c r="L120" s="4"/>
      <c r="M120" s="4"/>
      <c r="N120" s="4"/>
    </row>
    <row r="121" spans="2:14">
      <c r="B121" s="4"/>
      <c r="C121" s="4"/>
      <c r="D121" s="4"/>
      <c r="E121" s="4"/>
      <c r="F121" s="4"/>
      <c r="G121" s="4"/>
      <c r="H121" s="4"/>
      <c r="I121" s="4"/>
      <c r="J121" s="4"/>
      <c r="K121" s="4"/>
      <c r="L121" s="4"/>
      <c r="M121" s="4"/>
      <c r="N121" s="4"/>
    </row>
    <row r="122" spans="2:14">
      <c r="B122" s="4"/>
      <c r="C122" s="4"/>
      <c r="D122" s="4"/>
      <c r="E122" s="4"/>
      <c r="F122" s="4"/>
      <c r="G122" s="4"/>
      <c r="H122" s="4"/>
      <c r="I122" s="4"/>
      <c r="J122" s="4"/>
      <c r="K122" s="4"/>
      <c r="L122" s="4"/>
      <c r="M122" s="4"/>
      <c r="N122" s="4"/>
    </row>
    <row r="123" spans="2:14">
      <c r="B123" s="4"/>
      <c r="C123" s="4"/>
      <c r="D123" s="4"/>
      <c r="E123" s="4"/>
      <c r="F123" s="4"/>
      <c r="G123" s="4"/>
      <c r="H123" s="4"/>
      <c r="I123" s="4"/>
      <c r="J123" s="4"/>
      <c r="K123" s="4"/>
      <c r="L123" s="4"/>
      <c r="M123" s="4"/>
      <c r="N123" s="4"/>
    </row>
    <row r="124" spans="2:14">
      <c r="B124" s="4"/>
      <c r="C124" s="4"/>
      <c r="D124" s="4"/>
      <c r="E124" s="4"/>
      <c r="F124" s="4"/>
      <c r="G124" s="4"/>
      <c r="H124" s="4"/>
      <c r="I124" s="4"/>
      <c r="J124" s="4"/>
      <c r="K124" s="4"/>
      <c r="L124" s="4"/>
      <c r="M124" s="4"/>
      <c r="N124" s="4"/>
    </row>
    <row r="125" spans="2:14">
      <c r="B125" s="4"/>
      <c r="C125" s="4"/>
      <c r="D125" s="4"/>
      <c r="E125" s="4"/>
      <c r="F125" s="4"/>
      <c r="G125" s="4"/>
      <c r="H125" s="4"/>
      <c r="I125" s="4"/>
      <c r="J125" s="4"/>
      <c r="K125" s="4"/>
      <c r="L125" s="4"/>
      <c r="M125" s="4"/>
      <c r="N125" s="4"/>
    </row>
    <row r="126" spans="2:14">
      <c r="B126" s="4"/>
      <c r="C126" s="4"/>
      <c r="D126" s="4"/>
      <c r="E126" s="4"/>
      <c r="F126" s="4"/>
      <c r="G126" s="4"/>
      <c r="H126" s="4"/>
      <c r="I126" s="4"/>
      <c r="J126" s="4"/>
      <c r="K126" s="4"/>
      <c r="L126" s="4"/>
      <c r="M126" s="4"/>
      <c r="N126" s="4"/>
    </row>
  </sheetData>
  <mergeCells count="3">
    <mergeCell ref="A1:L1"/>
    <mergeCell ref="A2:L2"/>
    <mergeCell ref="A3:L3"/>
  </mergeCells>
  <pageMargins left="0.75" right="0.75" top="1" bottom="1" header="0.5" footer="0.5"/>
  <pageSetup scale="79" orientation="landscape" r:id="rId1"/>
  <headerFooter alignWithMargins="0">
    <oddFooter>&amp;L&amp;Z
&amp;F&amp;C&amp;A&amp;R28.&amp;P</oddFooter>
  </headerFooter>
</worksheet>
</file>

<file path=xl/worksheets/sheet81.xml><?xml version="1.0" encoding="utf-8"?>
<worksheet xmlns="http://schemas.openxmlformats.org/spreadsheetml/2006/main" xmlns:r="http://schemas.openxmlformats.org/officeDocument/2006/relationships">
  <sheetPr codeName="Sheet118">
    <pageSetUpPr fitToPage="1"/>
  </sheetPr>
  <dimension ref="A1:AA459"/>
  <sheetViews>
    <sheetView zoomScale="80" zoomScaleNormal="80" workbookViewId="0">
      <pane xSplit="3" ySplit="8" topLeftCell="D9" activePane="bottomRight" state="frozen"/>
      <selection activeCell="A31" sqref="A31"/>
      <selection pane="topRight" activeCell="A31" sqref="A31"/>
      <selection pane="bottomLeft" activeCell="A31" sqref="A31"/>
      <selection pane="bottomRight" activeCell="A31" sqref="A31"/>
    </sheetView>
  </sheetViews>
  <sheetFormatPr defaultRowHeight="12.75" outlineLevelRow="1"/>
  <cols>
    <col min="1" max="1" width="47.5703125" bestFit="1" customWidth="1"/>
    <col min="2" max="2" width="19" bestFit="1" customWidth="1"/>
    <col min="3" max="3" width="1.7109375" style="7" customWidth="1"/>
    <col min="4" max="4" width="17.7109375" customWidth="1"/>
    <col min="5" max="5" width="1.7109375" style="7" customWidth="1"/>
    <col min="6" max="6" width="17.7109375" customWidth="1"/>
    <col min="7" max="7" width="1.7109375" style="7" customWidth="1"/>
    <col min="8" max="8" width="17.7109375" customWidth="1"/>
    <col min="9" max="9" width="1.7109375" style="7" customWidth="1"/>
    <col min="10" max="10" width="17.7109375" customWidth="1"/>
    <col min="11" max="11" width="1.7109375" style="7" customWidth="1"/>
    <col min="12" max="12" width="17.7109375" customWidth="1"/>
    <col min="13" max="13" width="1.7109375" style="7" customWidth="1"/>
    <col min="14" max="14" width="17.7109375" customWidth="1"/>
    <col min="15" max="15" width="1.7109375" style="7" customWidth="1"/>
    <col min="16" max="16" width="17.7109375" customWidth="1"/>
    <col min="17" max="17" width="1.7109375" style="7" customWidth="1"/>
    <col min="18" max="18" width="19.7109375" bestFit="1" customWidth="1"/>
    <col min="19" max="19" width="12.85546875" bestFit="1" customWidth="1"/>
    <col min="20" max="20" width="17.28515625" bestFit="1" customWidth="1"/>
    <col min="22" max="22" width="13.5703125" bestFit="1" customWidth="1"/>
  </cols>
  <sheetData>
    <row r="1" spans="1:27" s="38" customFormat="1" ht="15.75">
      <c r="A1" s="366" t="s">
        <v>134</v>
      </c>
      <c r="B1" s="366"/>
      <c r="C1" s="366"/>
      <c r="D1" s="366"/>
      <c r="E1" s="366"/>
      <c r="F1" s="366"/>
      <c r="G1" s="366"/>
      <c r="H1" s="366"/>
      <c r="I1" s="366"/>
      <c r="J1" s="366"/>
      <c r="K1" s="366"/>
      <c r="L1" s="366"/>
      <c r="M1" s="366"/>
      <c r="N1" s="366"/>
      <c r="O1" s="366"/>
      <c r="P1" s="366"/>
      <c r="Q1" s="366"/>
      <c r="R1" s="366"/>
      <c r="W1" s="39"/>
    </row>
    <row r="2" spans="1:27" s="38" customFormat="1" ht="15.75">
      <c r="A2" s="366" t="s">
        <v>1207</v>
      </c>
      <c r="B2" s="367"/>
      <c r="C2" s="367"/>
      <c r="D2" s="367"/>
      <c r="E2" s="367"/>
      <c r="F2" s="367"/>
      <c r="G2" s="367"/>
      <c r="H2" s="367"/>
      <c r="I2" s="367"/>
      <c r="J2" s="367"/>
      <c r="K2" s="367"/>
      <c r="L2" s="367"/>
      <c r="M2" s="367"/>
      <c r="N2" s="367"/>
      <c r="O2" s="367"/>
      <c r="P2" s="367"/>
      <c r="Q2" s="367"/>
      <c r="R2" s="367"/>
      <c r="W2" s="39"/>
    </row>
    <row r="3" spans="1:27">
      <c r="A3" s="357" t="str">
        <f>'Summary - Cost - PG 1 (Tot)'!A3:N3</f>
        <v>MARCH 2012</v>
      </c>
      <c r="B3" s="357"/>
      <c r="C3" s="357"/>
      <c r="D3" s="357"/>
      <c r="E3" s="357"/>
      <c r="F3" s="357"/>
      <c r="G3" s="357"/>
      <c r="H3" s="357"/>
      <c r="I3" s="357"/>
      <c r="J3" s="357"/>
      <c r="K3" s="357"/>
      <c r="L3" s="357"/>
      <c r="M3" s="357"/>
      <c r="N3" s="357"/>
      <c r="O3" s="357"/>
      <c r="P3" s="357"/>
      <c r="Q3" s="357"/>
      <c r="R3" s="357"/>
      <c r="S3" s="40"/>
      <c r="T3" s="40"/>
      <c r="U3" s="40"/>
      <c r="V3" s="40"/>
      <c r="W3" s="40"/>
      <c r="X3" s="40"/>
      <c r="Y3" s="40"/>
      <c r="Z3" s="40"/>
      <c r="AA3" s="40"/>
    </row>
    <row r="4" spans="1:27">
      <c r="A4" s="190"/>
      <c r="B4" s="190"/>
      <c r="C4" s="53"/>
      <c r="D4" s="190"/>
      <c r="E4" s="53"/>
      <c r="F4" s="190"/>
      <c r="G4" s="53"/>
      <c r="H4" s="190"/>
      <c r="I4" s="53"/>
      <c r="J4" s="190"/>
      <c r="K4" s="53"/>
      <c r="L4" s="190"/>
      <c r="M4" s="53"/>
      <c r="N4" s="190"/>
      <c r="O4" s="53"/>
      <c r="P4" s="190"/>
      <c r="Q4" s="53"/>
      <c r="R4" s="190"/>
      <c r="S4" s="40"/>
      <c r="T4" s="40"/>
      <c r="U4" s="40"/>
      <c r="V4" s="40"/>
      <c r="W4" s="40"/>
      <c r="X4" s="40"/>
      <c r="Y4" s="40"/>
      <c r="Z4" s="40"/>
      <c r="AA4" s="40"/>
    </row>
    <row r="6" spans="1:27">
      <c r="B6" s="41" t="s">
        <v>25</v>
      </c>
      <c r="D6" s="33"/>
      <c r="F6" s="33"/>
      <c r="H6" s="41" t="s">
        <v>612</v>
      </c>
      <c r="I6" s="54"/>
      <c r="J6" s="41" t="s">
        <v>28</v>
      </c>
      <c r="K6" s="54"/>
      <c r="L6" s="54" t="s">
        <v>37</v>
      </c>
      <c r="P6" s="41" t="s">
        <v>39</v>
      </c>
      <c r="Q6" s="54"/>
      <c r="R6" s="41" t="s">
        <v>26</v>
      </c>
      <c r="S6" s="41"/>
      <c r="U6" s="41"/>
    </row>
    <row r="7" spans="1:27">
      <c r="B7" s="42" t="s">
        <v>27</v>
      </c>
      <c r="D7" s="42" t="s">
        <v>954</v>
      </c>
      <c r="F7" s="42" t="s">
        <v>108</v>
      </c>
      <c r="H7" s="42" t="s">
        <v>613</v>
      </c>
      <c r="I7" s="54"/>
      <c r="J7" s="42" t="s">
        <v>29</v>
      </c>
      <c r="K7" s="54"/>
      <c r="L7" s="42" t="s">
        <v>38</v>
      </c>
      <c r="M7" s="54"/>
      <c r="N7" s="42" t="s">
        <v>955</v>
      </c>
      <c r="O7" s="54"/>
      <c r="P7" s="42" t="s">
        <v>105</v>
      </c>
      <c r="Q7" s="54"/>
      <c r="R7" s="42" t="s">
        <v>27</v>
      </c>
    </row>
    <row r="9" spans="1:27">
      <c r="A9" s="3" t="s">
        <v>113</v>
      </c>
      <c r="B9" s="4"/>
      <c r="C9" s="55"/>
      <c r="D9" s="4"/>
      <c r="E9" s="55"/>
      <c r="F9" s="4"/>
      <c r="G9" s="55"/>
      <c r="H9" s="4"/>
      <c r="I9" s="55"/>
      <c r="J9" s="4"/>
      <c r="K9" s="55"/>
      <c r="L9" s="4"/>
      <c r="M9" s="55"/>
      <c r="N9" s="4"/>
      <c r="O9" s="55"/>
      <c r="P9" s="4"/>
      <c r="Q9" s="55"/>
      <c r="R9" s="4"/>
    </row>
    <row r="10" spans="1:27">
      <c r="A10" t="s">
        <v>347</v>
      </c>
      <c r="B10" s="182">
        <f>+'KY_Res by Plant Acct-P29 (Fin)'!B10+'KY_Res by Plant Acct-P29 (PA)'!B10</f>
        <v>0</v>
      </c>
      <c r="C10" s="52"/>
      <c r="D10" s="182">
        <f>+'KY_Res by Plant Acct-P29 (Fin)'!D10+'KY_Res by Plant Acct-P29 (PA)'!D10</f>
        <v>0</v>
      </c>
      <c r="E10" s="52"/>
      <c r="F10" s="182">
        <f>+'KY_Res by Plant Acct-P29 (Fin)'!F10+'KY_Res by Plant Acct-P29 (PA)'!F10</f>
        <v>0</v>
      </c>
      <c r="G10" s="52"/>
      <c r="H10" s="182">
        <f>+'KY_Res by Plant Acct-P29 (Fin)'!H10+'KY_Res by Plant Acct-P29 (PA)'!H10</f>
        <v>0</v>
      </c>
      <c r="I10" s="52"/>
      <c r="J10" s="182">
        <f>+'KY_Res by Plant Acct-P29 (Fin)'!J10+'KY_Res by Plant Acct-P29 (PA)'!J10</f>
        <v>0</v>
      </c>
      <c r="K10" s="52"/>
      <c r="L10" s="182">
        <f>+'KY_Res by Plant Acct-P29 (Fin)'!L10+'KY_Res by Plant Acct-P29 (PA)'!L10</f>
        <v>0</v>
      </c>
      <c r="M10" s="52"/>
      <c r="N10" s="182">
        <f>+'KY_Res by Plant Acct-P29 (Fin)'!N10+'KY_Res by Plant Acct-P29 (PA)'!N10</f>
        <v>0</v>
      </c>
      <c r="O10" s="52"/>
      <c r="P10" s="182">
        <f>+'KY_Res by Plant Acct-P29 (Fin)'!P10+'KY_Res by Plant Acct-P29 (PA)'!P10</f>
        <v>0</v>
      </c>
      <c r="Q10" s="52"/>
      <c r="R10" s="182">
        <f>SUM(B10:P10)</f>
        <v>0</v>
      </c>
      <c r="S10" s="33"/>
      <c r="T10" s="33"/>
      <c r="U10" s="33"/>
    </row>
    <row r="11" spans="1:27">
      <c r="A11" t="s">
        <v>57</v>
      </c>
      <c r="B11" s="52">
        <f>+'KY_Res by Plant Acct-P29 (Fin)'!B11+'KY_Res by Plant Acct-P29 (PA)'!B11</f>
        <v>0</v>
      </c>
      <c r="C11" s="52"/>
      <c r="D11" s="52">
        <f>+'KY_Res by Plant Acct-P29 (Fin)'!D11+'KY_Res by Plant Acct-P29 (PA)'!D11</f>
        <v>0</v>
      </c>
      <c r="E11" s="52"/>
      <c r="F11" s="52">
        <f>+'KY_Res by Plant Acct-P29 (Fin)'!F11+'KY_Res by Plant Acct-P29 (PA)'!F11</f>
        <v>0</v>
      </c>
      <c r="G11" s="52"/>
      <c r="H11" s="52">
        <f>+'KY_Res by Plant Acct-P29 (Fin)'!H11+'KY_Res by Plant Acct-P29 (PA)'!H11</f>
        <v>0</v>
      </c>
      <c r="I11" s="52"/>
      <c r="J11" s="52">
        <f>+'KY_Res by Plant Acct-P29 (Fin)'!J11+'KY_Res by Plant Acct-P29 (PA)'!J11</f>
        <v>0</v>
      </c>
      <c r="K11" s="52"/>
      <c r="L11" s="52">
        <f>+'KY_Res by Plant Acct-P29 (Fin)'!L11+'KY_Res by Plant Acct-P29 (PA)'!L11</f>
        <v>0</v>
      </c>
      <c r="M11" s="52"/>
      <c r="N11" s="52">
        <f>+'KY_Res by Plant Acct-P29 (Fin)'!N11+'KY_Res by Plant Acct-P29 (PA)'!N11</f>
        <v>0</v>
      </c>
      <c r="O11" s="52"/>
      <c r="P11" s="52">
        <f>+'KY_Res by Plant Acct-P29 (Fin)'!P11+'KY_Res by Plant Acct-P29 (PA)'!P11</f>
        <v>0</v>
      </c>
      <c r="Q11" s="52"/>
      <c r="R11" s="182">
        <f t="shared" ref="R11:R24" si="0">SUM(B11:P11)</f>
        <v>0</v>
      </c>
      <c r="S11" s="33"/>
      <c r="T11" s="33"/>
      <c r="U11" s="33"/>
    </row>
    <row r="12" spans="1:27">
      <c r="A12" t="s">
        <v>349</v>
      </c>
      <c r="B12" s="52">
        <f>+'KY_Res by Plant Acct-P29 (Fin)'!B12+'KY_Res by Plant Acct-P29 (PA)'!B12</f>
        <v>-493285.93000000017</v>
      </c>
      <c r="C12" s="52"/>
      <c r="D12" s="52">
        <f>+'KY_Res by Plant Acct-P29 (Fin)'!D12+'KY_Res by Plant Acct-P29 (PA)'!D12</f>
        <v>-12043.85</v>
      </c>
      <c r="E12" s="52"/>
      <c r="F12" s="52">
        <f>+'KY_Res by Plant Acct-P29 (Fin)'!F12+'KY_Res by Plant Acct-P29 (PA)'!F12</f>
        <v>110.72000000000003</v>
      </c>
      <c r="G12" s="52"/>
      <c r="H12" s="52">
        <f>+'KY_Res by Plant Acct-P29 (Fin)'!H12+'KY_Res by Plant Acct-P29 (PA)'!H12</f>
        <v>0</v>
      </c>
      <c r="I12" s="52"/>
      <c r="J12" s="52">
        <f>+'KY_Res by Plant Acct-P29 (Fin)'!J12+'KY_Res by Plant Acct-P29 (PA)'!J12</f>
        <v>0</v>
      </c>
      <c r="K12" s="52"/>
      <c r="L12" s="52">
        <f>+'KY_Res by Plant Acct-P29 (Fin)'!L12+'KY_Res by Plant Acct-P29 (PA)'!L12</f>
        <v>3234.57</v>
      </c>
      <c r="M12" s="52"/>
      <c r="N12" s="52">
        <f>+'KY_Res by Plant Acct-P29 (Fin)'!N12+'KY_Res by Plant Acct-P29 (PA)'!N12</f>
        <v>0</v>
      </c>
      <c r="O12" s="52"/>
      <c r="P12" s="52">
        <f>+'KY_Res by Plant Acct-P29 (Fin)'!P12+'KY_Res by Plant Acct-P29 (PA)'!P12</f>
        <v>0</v>
      </c>
      <c r="Q12" s="52"/>
      <c r="R12" s="182">
        <f t="shared" si="0"/>
        <v>-501984.49000000017</v>
      </c>
      <c r="S12" s="33"/>
      <c r="T12" s="33"/>
      <c r="U12" s="33"/>
    </row>
    <row r="13" spans="1:27">
      <c r="A13" t="s">
        <v>819</v>
      </c>
      <c r="B13" s="52">
        <f>+'KY_Res by Plant Acct-P29 (Fin)'!B13+'KY_Res by Plant Acct-P29 (PA)'!B13</f>
        <v>-4037716.7400000021</v>
      </c>
      <c r="C13" s="52"/>
      <c r="D13" s="52">
        <f>+'KY_Res by Plant Acct-P29 (Fin)'!D13+'KY_Res by Plant Acct-P29 (PA)'!D13</f>
        <v>-286601.39</v>
      </c>
      <c r="E13" s="52"/>
      <c r="F13" s="52">
        <f>+'KY_Res by Plant Acct-P29 (Fin)'!F13+'KY_Res by Plant Acct-P29 (PA)'!F13</f>
        <v>13979.320000000007</v>
      </c>
      <c r="G13" s="52"/>
      <c r="H13" s="52">
        <f>+'KY_Res by Plant Acct-P29 (Fin)'!H13+'KY_Res by Plant Acct-P29 (PA)'!H13</f>
        <v>0</v>
      </c>
      <c r="I13" s="52"/>
      <c r="J13" s="52">
        <f>+'KY_Res by Plant Acct-P29 (Fin)'!J13+'KY_Res by Plant Acct-P29 (PA)'!J13</f>
        <v>0</v>
      </c>
      <c r="K13" s="52"/>
      <c r="L13" s="52">
        <f>+'KY_Res by Plant Acct-P29 (Fin)'!L13+'KY_Res by Plant Acct-P29 (PA)'!L13</f>
        <v>29669.75</v>
      </c>
      <c r="M13" s="52"/>
      <c r="N13" s="52">
        <f>+'KY_Res by Plant Acct-P29 (Fin)'!N13+'KY_Res by Plant Acct-P29 (PA)'!N13</f>
        <v>0</v>
      </c>
      <c r="O13" s="52"/>
      <c r="P13" s="52">
        <f>+'KY_Res by Plant Acct-P29 (Fin)'!P13+'KY_Res by Plant Acct-P29 (PA)'!P13</f>
        <v>0</v>
      </c>
      <c r="Q13" s="52"/>
      <c r="R13" s="182">
        <f t="shared" si="0"/>
        <v>-4280669.0600000015</v>
      </c>
      <c r="S13" s="33"/>
      <c r="T13" s="33"/>
      <c r="U13" s="33"/>
    </row>
    <row r="14" spans="1:27">
      <c r="A14" t="s">
        <v>348</v>
      </c>
      <c r="B14" s="52">
        <f>+'KY_Res by Plant Acct-P29 (Fin)'!B14+'KY_Res by Plant Acct-P29 (PA)'!B14</f>
        <v>0</v>
      </c>
      <c r="C14" s="52"/>
      <c r="D14" s="52">
        <f>+'KY_Res by Plant Acct-P29 (Fin)'!D14+'KY_Res by Plant Acct-P29 (PA)'!D14</f>
        <v>0</v>
      </c>
      <c r="E14" s="52"/>
      <c r="F14" s="52">
        <f>+'KY_Res by Plant Acct-P29 (Fin)'!F14+'KY_Res by Plant Acct-P29 (PA)'!F14</f>
        <v>0</v>
      </c>
      <c r="G14" s="52"/>
      <c r="H14" s="52">
        <f>+'KY_Res by Plant Acct-P29 (Fin)'!H14+'KY_Res by Plant Acct-P29 (PA)'!H14</f>
        <v>0</v>
      </c>
      <c r="I14" s="52"/>
      <c r="J14" s="52">
        <f>+'KY_Res by Plant Acct-P29 (Fin)'!J14+'KY_Res by Plant Acct-P29 (PA)'!J14</f>
        <v>0</v>
      </c>
      <c r="K14" s="52"/>
      <c r="L14" s="52">
        <f>+'KY_Res by Plant Acct-P29 (Fin)'!L14+'KY_Res by Plant Acct-P29 (PA)'!L14</f>
        <v>0</v>
      </c>
      <c r="M14" s="52"/>
      <c r="N14" s="52">
        <f>+'KY_Res by Plant Acct-P29 (Fin)'!N14+'KY_Res by Plant Acct-P29 (PA)'!N14</f>
        <v>0</v>
      </c>
      <c r="O14" s="52"/>
      <c r="P14" s="52">
        <f>+'KY_Res by Plant Acct-P29 (Fin)'!P14+'KY_Res by Plant Acct-P29 (PA)'!P14</f>
        <v>0</v>
      </c>
      <c r="Q14" s="52"/>
      <c r="R14" s="182">
        <f t="shared" si="0"/>
        <v>0</v>
      </c>
      <c r="S14" s="33"/>
      <c r="T14" s="33"/>
      <c r="U14" s="33"/>
    </row>
    <row r="15" spans="1:27">
      <c r="A15" t="s">
        <v>60</v>
      </c>
      <c r="B15" s="52">
        <f>+'KY_Res by Plant Acct-P29 (Fin)'!B15+'KY_Res by Plant Acct-P29 (PA)'!B15</f>
        <v>-56725616.719999999</v>
      </c>
      <c r="C15" s="52"/>
      <c r="D15" s="52">
        <f>+'KY_Res by Plant Acct-P29 (Fin)'!D15+'KY_Res by Plant Acct-P29 (PA)'!D15</f>
        <v>-1043766.8799999999</v>
      </c>
      <c r="E15" s="52"/>
      <c r="F15" s="52">
        <f>+'KY_Res by Plant Acct-P29 (Fin)'!F15+'KY_Res by Plant Acct-P29 (PA)'!F15</f>
        <v>286956.17000000004</v>
      </c>
      <c r="G15" s="52"/>
      <c r="H15" s="52">
        <f>+'KY_Res by Plant Acct-P29 (Fin)'!H15+'KY_Res by Plant Acct-P29 (PA)'!H15</f>
        <v>0</v>
      </c>
      <c r="I15" s="52"/>
      <c r="J15" s="52">
        <f>+'KY_Res by Plant Acct-P29 (Fin)'!J15+'KY_Res by Plant Acct-P29 (PA)'!J15</f>
        <v>0</v>
      </c>
      <c r="K15" s="52"/>
      <c r="L15" s="52">
        <f>+'KY_Res by Plant Acct-P29 (Fin)'!L15+'KY_Res by Plant Acct-P29 (PA)'!L15</f>
        <v>322524.67000000004</v>
      </c>
      <c r="M15" s="52"/>
      <c r="N15" s="52">
        <f>+'KY_Res by Plant Acct-P29 (Fin)'!N15+'KY_Res by Plant Acct-P29 (PA)'!N15</f>
        <v>-1807.93</v>
      </c>
      <c r="O15" s="52"/>
      <c r="P15" s="52">
        <f>+'KY_Res by Plant Acct-P29 (Fin)'!P15+'KY_Res by Plant Acct-P29 (PA)'!P15</f>
        <v>0</v>
      </c>
      <c r="Q15" s="52"/>
      <c r="R15" s="182">
        <f t="shared" si="0"/>
        <v>-57161710.689999998</v>
      </c>
      <c r="S15" s="33"/>
      <c r="T15" s="33"/>
      <c r="U15" s="33"/>
    </row>
    <row r="16" spans="1:27">
      <c r="A16" t="s">
        <v>345</v>
      </c>
      <c r="B16" s="52">
        <f>+'KY_Res by Plant Acct-P29 (Fin)'!B16+'KY_Res by Plant Acct-P29 (PA)'!B16</f>
        <v>-43324590.400000006</v>
      </c>
      <c r="C16" s="52"/>
      <c r="D16" s="52">
        <f>+'KY_Res by Plant Acct-P29 (Fin)'!D16+'KY_Res by Plant Acct-P29 (PA)'!D16</f>
        <v>-1739162.5199999998</v>
      </c>
      <c r="E16" s="52"/>
      <c r="F16" s="52">
        <f>+'KY_Res by Plant Acct-P29 (Fin)'!F16+'KY_Res by Plant Acct-P29 (PA)'!F16</f>
        <v>503284.64</v>
      </c>
      <c r="G16" s="52"/>
      <c r="H16" s="52">
        <f>+'KY_Res by Plant Acct-P29 (Fin)'!H16+'KY_Res by Plant Acct-P29 (PA)'!H16</f>
        <v>0</v>
      </c>
      <c r="I16" s="52"/>
      <c r="J16" s="52">
        <f>+'KY_Res by Plant Acct-P29 (Fin)'!J16+'KY_Res by Plant Acct-P29 (PA)'!J16</f>
        <v>0</v>
      </c>
      <c r="K16" s="52"/>
      <c r="L16" s="52">
        <f>+'KY_Res by Plant Acct-P29 (Fin)'!L16+'KY_Res by Plant Acct-P29 (PA)'!L16</f>
        <v>981332.47999999998</v>
      </c>
      <c r="M16" s="52"/>
      <c r="N16" s="52">
        <f>+'KY_Res by Plant Acct-P29 (Fin)'!N16+'KY_Res by Plant Acct-P29 (PA)'!N16</f>
        <v>-6470.52</v>
      </c>
      <c r="O16" s="52"/>
      <c r="P16" s="52">
        <f>+'KY_Res by Plant Acct-P29 (Fin)'!P16+'KY_Res by Plant Acct-P29 (PA)'!P16</f>
        <v>0</v>
      </c>
      <c r="Q16" s="52"/>
      <c r="R16" s="182">
        <f t="shared" si="0"/>
        <v>-43585606.320000015</v>
      </c>
      <c r="S16" s="33"/>
      <c r="T16" s="33"/>
      <c r="U16" s="33"/>
    </row>
    <row r="17" spans="1:21">
      <c r="A17" t="s">
        <v>56</v>
      </c>
      <c r="B17" s="52">
        <f>+'KY_Res by Plant Acct-P29 (Fin)'!B17+'KY_Res by Plant Acct-P29 (PA)'!B17</f>
        <v>-2351201.7800000012</v>
      </c>
      <c r="C17" s="52"/>
      <c r="D17" s="52">
        <f>+'KY_Res by Plant Acct-P29 (Fin)'!D17+'KY_Res by Plant Acct-P29 (PA)'!D17</f>
        <v>-215624.12</v>
      </c>
      <c r="E17" s="52"/>
      <c r="F17" s="52">
        <f>+'KY_Res by Plant Acct-P29 (Fin)'!F17+'KY_Res by Plant Acct-P29 (PA)'!F17</f>
        <v>795.21000000000095</v>
      </c>
      <c r="G17" s="52"/>
      <c r="H17" s="52">
        <f>+'KY_Res by Plant Acct-P29 (Fin)'!H17+'KY_Res by Plant Acct-P29 (PA)'!H17</f>
        <v>0</v>
      </c>
      <c r="I17" s="52"/>
      <c r="J17" s="52">
        <f>+'KY_Res by Plant Acct-P29 (Fin)'!J17+'KY_Res by Plant Acct-P29 (PA)'!J17</f>
        <v>0</v>
      </c>
      <c r="K17" s="52"/>
      <c r="L17" s="52">
        <f>+'KY_Res by Plant Acct-P29 (Fin)'!L17+'KY_Res by Plant Acct-P29 (PA)'!L17</f>
        <v>39864.9</v>
      </c>
      <c r="M17" s="52"/>
      <c r="N17" s="52">
        <f>+'KY_Res by Plant Acct-P29 (Fin)'!N17+'KY_Res by Plant Acct-P29 (PA)'!N17</f>
        <v>0</v>
      </c>
      <c r="O17" s="52"/>
      <c r="P17" s="52">
        <f>+'KY_Res by Plant Acct-P29 (Fin)'!P17+'KY_Res by Plant Acct-P29 (PA)'!P17</f>
        <v>0</v>
      </c>
      <c r="Q17" s="52"/>
      <c r="R17" s="182">
        <f t="shared" si="0"/>
        <v>-2526165.7900000014</v>
      </c>
      <c r="S17" s="33"/>
      <c r="T17" s="33"/>
      <c r="U17" s="33"/>
    </row>
    <row r="18" spans="1:21">
      <c r="A18" t="s">
        <v>346</v>
      </c>
      <c r="B18" s="52">
        <f>+'KY_Res by Plant Acct-P29 (Fin)'!B18+'KY_Res by Plant Acct-P29 (PA)'!B18</f>
        <v>-12257521.599999987</v>
      </c>
      <c r="C18" s="52"/>
      <c r="D18" s="52">
        <f>+'KY_Res by Plant Acct-P29 (Fin)'!D18+'KY_Res by Plant Acct-P29 (PA)'!D18</f>
        <v>-654428.26</v>
      </c>
      <c r="E18" s="52"/>
      <c r="F18" s="52">
        <f>+'KY_Res by Plant Acct-P29 (Fin)'!F18+'KY_Res by Plant Acct-P29 (PA)'!F18</f>
        <v>249153.31</v>
      </c>
      <c r="G18" s="52"/>
      <c r="H18" s="52">
        <f>+'KY_Res by Plant Acct-P29 (Fin)'!H18+'KY_Res by Plant Acct-P29 (PA)'!H18</f>
        <v>0</v>
      </c>
      <c r="I18" s="52"/>
      <c r="J18" s="52">
        <f>+'KY_Res by Plant Acct-P29 (Fin)'!J18+'KY_Res by Plant Acct-P29 (PA)'!J18</f>
        <v>0</v>
      </c>
      <c r="K18" s="52"/>
      <c r="L18" s="52">
        <f>+'KY_Res by Plant Acct-P29 (Fin)'!L18+'KY_Res by Plant Acct-P29 (PA)'!L18</f>
        <v>342171.83</v>
      </c>
      <c r="M18" s="52"/>
      <c r="N18" s="52">
        <f>+'KY_Res by Plant Acct-P29 (Fin)'!N18+'KY_Res by Plant Acct-P29 (PA)'!N18</f>
        <v>-22515.919999999998</v>
      </c>
      <c r="O18" s="52"/>
      <c r="P18" s="52">
        <f>+'KY_Res by Plant Acct-P29 (Fin)'!P18+'KY_Res by Plant Acct-P29 (PA)'!P18</f>
        <v>0</v>
      </c>
      <c r="Q18" s="52"/>
      <c r="R18" s="182">
        <f t="shared" si="0"/>
        <v>-12343140.639999986</v>
      </c>
      <c r="S18" s="33"/>
      <c r="T18" s="33"/>
      <c r="U18" s="33"/>
    </row>
    <row r="19" spans="1:21">
      <c r="A19" t="s">
        <v>59</v>
      </c>
      <c r="B19" s="52">
        <f>+'KY_Res by Plant Acct-P29 (Fin)'!B19+'KY_Res by Plant Acct-P29 (PA)'!B19</f>
        <v>-7672980.2799999937</v>
      </c>
      <c r="C19" s="52"/>
      <c r="D19" s="52">
        <f>+'KY_Res by Plant Acct-P29 (Fin)'!D19+'KY_Res by Plant Acct-P29 (PA)'!D19</f>
        <v>-766840.56</v>
      </c>
      <c r="E19" s="52"/>
      <c r="F19" s="52">
        <f>+'KY_Res by Plant Acct-P29 (Fin)'!F19+'KY_Res by Plant Acct-P29 (PA)'!F19</f>
        <v>44155.97</v>
      </c>
      <c r="G19" s="52"/>
      <c r="H19" s="52">
        <f>+'KY_Res by Plant Acct-P29 (Fin)'!H19+'KY_Res by Plant Acct-P29 (PA)'!H19</f>
        <v>0</v>
      </c>
      <c r="I19" s="52"/>
      <c r="J19" s="52">
        <f>+'KY_Res by Plant Acct-P29 (Fin)'!J19+'KY_Res by Plant Acct-P29 (PA)'!J19</f>
        <v>0</v>
      </c>
      <c r="K19" s="52"/>
      <c r="L19" s="52">
        <f>+'KY_Res by Plant Acct-P29 (Fin)'!L19+'KY_Res by Plant Acct-P29 (PA)'!L19</f>
        <v>13479.69</v>
      </c>
      <c r="M19" s="52"/>
      <c r="N19" s="52">
        <f>+'KY_Res by Plant Acct-P29 (Fin)'!N19+'KY_Res by Plant Acct-P29 (PA)'!N19</f>
        <v>-21604.21</v>
      </c>
      <c r="O19" s="52"/>
      <c r="P19" s="52">
        <f>+'KY_Res by Plant Acct-P29 (Fin)'!P19+'KY_Res by Plant Acct-P29 (PA)'!P19</f>
        <v>0</v>
      </c>
      <c r="Q19" s="52"/>
      <c r="R19" s="182">
        <f t="shared" si="0"/>
        <v>-8403789.3899999931</v>
      </c>
      <c r="S19" s="33"/>
      <c r="T19" s="33"/>
      <c r="U19" s="33"/>
    </row>
    <row r="20" spans="1:21">
      <c r="A20" t="s">
        <v>61</v>
      </c>
      <c r="B20" s="52">
        <f>+'KY_Res by Plant Acct-P29 (Fin)'!B20+'KY_Res by Plant Acct-P29 (PA)'!B20</f>
        <v>346080.66000000038</v>
      </c>
      <c r="C20" s="52"/>
      <c r="D20" s="52">
        <f>+'KY_Res by Plant Acct-P29 (Fin)'!D20+'KY_Res by Plant Acct-P29 (PA)'!D20</f>
        <v>-37331.14</v>
      </c>
      <c r="E20" s="52"/>
      <c r="F20" s="52">
        <f>+'KY_Res by Plant Acct-P29 (Fin)'!F20+'KY_Res by Plant Acct-P29 (PA)'!F20</f>
        <v>678.65000000000146</v>
      </c>
      <c r="G20" s="52"/>
      <c r="H20" s="52">
        <f>+'KY_Res by Plant Acct-P29 (Fin)'!H20+'KY_Res by Plant Acct-P29 (PA)'!H20</f>
        <v>0</v>
      </c>
      <c r="I20" s="52"/>
      <c r="J20" s="52">
        <f>+'KY_Res by Plant Acct-P29 (Fin)'!J20+'KY_Res by Plant Acct-P29 (PA)'!J20</f>
        <v>0</v>
      </c>
      <c r="K20" s="52"/>
      <c r="L20" s="52">
        <f>+'KY_Res by Plant Acct-P29 (Fin)'!L20+'KY_Res by Plant Acct-P29 (PA)'!L20</f>
        <v>421291.01</v>
      </c>
      <c r="M20" s="52"/>
      <c r="N20" s="52">
        <f>+'KY_Res by Plant Acct-P29 (Fin)'!N20+'KY_Res by Plant Acct-P29 (PA)'!N20</f>
        <v>-2537.7600000000002</v>
      </c>
      <c r="O20" s="52"/>
      <c r="P20" s="52">
        <f>+'KY_Res by Plant Acct-P29 (Fin)'!P20+'KY_Res by Plant Acct-P29 (PA)'!P20</f>
        <v>0</v>
      </c>
      <c r="Q20" s="52"/>
      <c r="R20" s="182">
        <f t="shared" si="0"/>
        <v>728181.42000000039</v>
      </c>
      <c r="S20" s="33"/>
      <c r="T20" s="33"/>
      <c r="U20" s="33"/>
    </row>
    <row r="21" spans="1:21">
      <c r="A21" t="s">
        <v>58</v>
      </c>
      <c r="B21" s="52">
        <f>+'KY_Res by Plant Acct-P29 (Fin)'!B21+'KY_Res by Plant Acct-P29 (PA)'!B21</f>
        <v>-12847098.180000007</v>
      </c>
      <c r="C21" s="52"/>
      <c r="D21" s="52">
        <f>+'KY_Res by Plant Acct-P29 (Fin)'!D21+'KY_Res by Plant Acct-P29 (PA)'!D21</f>
        <v>-265806.64</v>
      </c>
      <c r="E21" s="52"/>
      <c r="F21" s="52">
        <f>+'KY_Res by Plant Acct-P29 (Fin)'!F21+'KY_Res by Plant Acct-P29 (PA)'!F21</f>
        <v>13155.990000000002</v>
      </c>
      <c r="G21" s="52"/>
      <c r="H21" s="52">
        <f>+'KY_Res by Plant Acct-P29 (Fin)'!H21+'KY_Res by Plant Acct-P29 (PA)'!H21</f>
        <v>0</v>
      </c>
      <c r="I21" s="52"/>
      <c r="J21" s="52">
        <f>+'KY_Res by Plant Acct-P29 (Fin)'!J21+'KY_Res by Plant Acct-P29 (PA)'!J21</f>
        <v>0</v>
      </c>
      <c r="K21" s="52"/>
      <c r="L21" s="52">
        <f>+'KY_Res by Plant Acct-P29 (Fin)'!L21+'KY_Res by Plant Acct-P29 (PA)'!L21</f>
        <v>318943.71000000002</v>
      </c>
      <c r="M21" s="52"/>
      <c r="N21" s="52">
        <f>+'KY_Res by Plant Acct-P29 (Fin)'!N21+'KY_Res by Plant Acct-P29 (PA)'!N21</f>
        <v>0</v>
      </c>
      <c r="O21" s="52"/>
      <c r="P21" s="52">
        <f>+'KY_Res by Plant Acct-P29 (Fin)'!P21+'KY_Res by Plant Acct-P29 (PA)'!P21</f>
        <v>0</v>
      </c>
      <c r="Q21" s="52"/>
      <c r="R21" s="182">
        <f t="shared" si="0"/>
        <v>-12780805.120000007</v>
      </c>
      <c r="S21" s="33"/>
      <c r="T21" s="33"/>
      <c r="U21" s="33"/>
    </row>
    <row r="22" spans="1:21">
      <c r="A22" t="s">
        <v>343</v>
      </c>
      <c r="B22" s="52">
        <f>+'KY_Res by Plant Acct-P29 (Fin)'!B22+'KY_Res by Plant Acct-P29 (PA)'!B22</f>
        <v>-3970303.0999999959</v>
      </c>
      <c r="C22" s="52"/>
      <c r="D22" s="52">
        <f>+'KY_Res by Plant Acct-P29 (Fin)'!D22+'KY_Res by Plant Acct-P29 (PA)'!D22</f>
        <v>-359342.39</v>
      </c>
      <c r="E22" s="52"/>
      <c r="F22" s="52">
        <f>+'KY_Res by Plant Acct-P29 (Fin)'!F22+'KY_Res by Plant Acct-P29 (PA)'!F22</f>
        <v>0</v>
      </c>
      <c r="G22" s="52"/>
      <c r="H22" s="52">
        <f>+'KY_Res by Plant Acct-P29 (Fin)'!H22+'KY_Res by Plant Acct-P29 (PA)'!H22</f>
        <v>0</v>
      </c>
      <c r="I22" s="52"/>
      <c r="J22" s="52">
        <f>+'KY_Res by Plant Acct-P29 (Fin)'!J22+'KY_Res by Plant Acct-P29 (PA)'!J22</f>
        <v>0</v>
      </c>
      <c r="K22" s="52"/>
      <c r="L22" s="52">
        <f>+'KY_Res by Plant Acct-P29 (Fin)'!L22+'KY_Res by Plant Acct-P29 (PA)'!L22</f>
        <v>0</v>
      </c>
      <c r="M22" s="52"/>
      <c r="N22" s="52">
        <f>+'KY_Res by Plant Acct-P29 (Fin)'!N22+'KY_Res by Plant Acct-P29 (PA)'!N22</f>
        <v>0</v>
      </c>
      <c r="O22" s="52"/>
      <c r="P22" s="52">
        <f>+'KY_Res by Plant Acct-P29 (Fin)'!P22+'KY_Res by Plant Acct-P29 (PA)'!P22</f>
        <v>0</v>
      </c>
      <c r="Q22" s="52"/>
      <c r="R22" s="182">
        <f t="shared" si="0"/>
        <v>-4329645.4899999956</v>
      </c>
      <c r="S22" s="33"/>
      <c r="T22" s="33"/>
      <c r="U22" s="33"/>
    </row>
    <row r="23" spans="1:21">
      <c r="A23" t="s">
        <v>62</v>
      </c>
      <c r="B23" s="52">
        <f>+'KY_Res by Plant Acct-P29 (Fin)'!B23+'KY_Res by Plant Acct-P29 (PA)'!B23</f>
        <v>-76287.390000006184</v>
      </c>
      <c r="C23" s="52"/>
      <c r="D23" s="52">
        <f>+'KY_Res by Plant Acct-P29 (Fin)'!D23+'KY_Res by Plant Acct-P29 (PA)'!D23</f>
        <v>-243241.78000000003</v>
      </c>
      <c r="E23" s="52"/>
      <c r="F23" s="52">
        <f>+'KY_Res by Plant Acct-P29 (Fin)'!F23+'KY_Res by Plant Acct-P29 (PA)'!F23</f>
        <v>72435.399999999994</v>
      </c>
      <c r="G23" s="52"/>
      <c r="H23" s="52">
        <f>+'KY_Res by Plant Acct-P29 (Fin)'!H23+'KY_Res by Plant Acct-P29 (PA)'!H23</f>
        <v>0</v>
      </c>
      <c r="I23" s="52"/>
      <c r="J23" s="52">
        <f>+'KY_Res by Plant Acct-P29 (Fin)'!J23+'KY_Res by Plant Acct-P29 (PA)'!J23</f>
        <v>0</v>
      </c>
      <c r="K23" s="52"/>
      <c r="L23" s="52">
        <f>+'KY_Res by Plant Acct-P29 (Fin)'!L23+'KY_Res by Plant Acct-P29 (PA)'!L23</f>
        <v>109620.08</v>
      </c>
      <c r="M23" s="52"/>
      <c r="N23" s="52">
        <f>+'KY_Res by Plant Acct-P29 (Fin)'!N23+'KY_Res by Plant Acct-P29 (PA)'!N23</f>
        <v>0</v>
      </c>
      <c r="O23" s="52"/>
      <c r="P23" s="52">
        <f>+'KY_Res by Plant Acct-P29 (Fin)'!P23+'KY_Res by Plant Acct-P29 (PA)'!P23</f>
        <v>0</v>
      </c>
      <c r="Q23" s="52"/>
      <c r="R23" s="182">
        <f t="shared" si="0"/>
        <v>-137473.69000000623</v>
      </c>
      <c r="S23" s="33"/>
      <c r="T23" s="33"/>
      <c r="U23" s="33"/>
    </row>
    <row r="24" spans="1:21">
      <c r="A24" t="s">
        <v>344</v>
      </c>
      <c r="B24" s="52">
        <f>+'KY_Res by Plant Acct-P29 (Fin)'!B24+'KY_Res by Plant Acct-P29 (PA)'!B24</f>
        <v>-3137932.299999997</v>
      </c>
      <c r="C24" s="52"/>
      <c r="D24" s="52">
        <f>+'KY_Res by Plant Acct-P29 (Fin)'!D24+'KY_Res by Plant Acct-P29 (PA)'!D24</f>
        <v>-358220.84</v>
      </c>
      <c r="E24" s="52"/>
      <c r="F24" s="52">
        <f>+'KY_Res by Plant Acct-P29 (Fin)'!F24+'KY_Res by Plant Acct-P29 (PA)'!F24</f>
        <v>27448.55000000001</v>
      </c>
      <c r="G24" s="52"/>
      <c r="H24" s="52">
        <f>+'KY_Res by Plant Acct-P29 (Fin)'!H24+'KY_Res by Plant Acct-P29 (PA)'!H24</f>
        <v>57559.8</v>
      </c>
      <c r="I24" s="52"/>
      <c r="J24" s="52">
        <f>+'KY_Res by Plant Acct-P29 (Fin)'!J24+'KY_Res by Plant Acct-P29 (PA)'!J24</f>
        <v>0</v>
      </c>
      <c r="K24" s="52"/>
      <c r="L24" s="326">
        <f>+'KY_Res by Plant Acct-P29 (Fin)'!L24+'KY_Res by Plant Acct-P29 (PA)'!L24</f>
        <v>31629.3</v>
      </c>
      <c r="M24" s="52"/>
      <c r="N24" s="52">
        <f>+'KY_Res by Plant Acct-P29 (Fin)'!N24+'KY_Res by Plant Acct-P29 (PA)'!N24</f>
        <v>-30.89</v>
      </c>
      <c r="O24" s="52"/>
      <c r="P24" s="52">
        <f>+'KY_Res by Plant Acct-P29 (Fin)'!P24+'KY_Res by Plant Acct-P29 (PA)'!P24</f>
        <v>0</v>
      </c>
      <c r="Q24" s="52"/>
      <c r="R24" s="182">
        <f t="shared" si="0"/>
        <v>-3379546.3799999976</v>
      </c>
      <c r="S24" s="33"/>
      <c r="T24" s="33"/>
      <c r="U24" s="33"/>
    </row>
    <row r="25" spans="1:21">
      <c r="A25" t="s">
        <v>63</v>
      </c>
      <c r="B25" s="52">
        <f>+'KY_Res by Plant Acct-P29 (Fin)'!B25+'KY_Res by Plant Acct-P29 (PA)'!B25</f>
        <v>-38996.730000000003</v>
      </c>
      <c r="C25" s="52"/>
      <c r="D25" s="52">
        <f>+'KY_Res by Plant Acct-P29 (Fin)'!D25+'KY_Res by Plant Acct-P29 (PA)'!D25</f>
        <v>0</v>
      </c>
      <c r="E25" s="52"/>
      <c r="F25" s="52">
        <f>+'KY_Res by Plant Acct-P29 (Fin)'!F25+'KY_Res by Plant Acct-P29 (PA)'!F25</f>
        <v>0</v>
      </c>
      <c r="G25" s="52"/>
      <c r="H25" s="52">
        <f>+'KY_Res by Plant Acct-P29 (Fin)'!H25+'KY_Res by Plant Acct-P29 (PA)'!H25</f>
        <v>-57559.8</v>
      </c>
      <c r="I25" s="52"/>
      <c r="J25" s="52">
        <f>+'KY_Res by Plant Acct-P29 (Fin)'!J25+'KY_Res by Plant Acct-P29 (PA)'!J25</f>
        <v>0</v>
      </c>
      <c r="K25" s="52"/>
      <c r="L25" s="52">
        <f>+'KY_Res by Plant Acct-P29 (Fin)'!L25+'KY_Res by Plant Acct-P29 (PA)'!L25</f>
        <v>0</v>
      </c>
      <c r="M25" s="52"/>
      <c r="N25" s="52">
        <f>+'KY_Res by Plant Acct-P29 (Fin)'!N25+'KY_Res by Plant Acct-P29 (PA)'!N25</f>
        <v>0</v>
      </c>
      <c r="O25" s="52"/>
      <c r="P25" s="52">
        <f>+'KY_Res by Plant Acct-P29 (Fin)'!P25+'KY_Res by Plant Acct-P29 (PA)'!P25</f>
        <v>0</v>
      </c>
      <c r="Q25" s="52"/>
      <c r="R25" s="182">
        <f>SUM(B25:P25)</f>
        <v>-96556.53</v>
      </c>
      <c r="S25" s="33"/>
      <c r="T25" s="33"/>
      <c r="U25" s="33"/>
    </row>
    <row r="26" spans="1:21">
      <c r="A26" t="s">
        <v>64</v>
      </c>
      <c r="B26" s="326">
        <f>+'KY_Res by Plant Acct-P29 (Fin)'!B26+'KY_Res by Plant Acct-P29 (PA)'!B26</f>
        <v>-7290.4000000000678</v>
      </c>
      <c r="C26" s="326"/>
      <c r="D26" s="326">
        <f>+'KY_Res by Plant Acct-P29 (Fin)'!D26+'KY_Res by Plant Acct-P29 (PA)'!D26</f>
        <v>-1508.46</v>
      </c>
      <c r="E26" s="326"/>
      <c r="F26" s="326">
        <f>+'KY_Res by Plant Acct-P29 (Fin)'!F26+'KY_Res by Plant Acct-P29 (PA)'!F26</f>
        <v>0</v>
      </c>
      <c r="G26" s="326"/>
      <c r="H26" s="326">
        <f>+'KY_Res by Plant Acct-P29 (Fin)'!H26+'KY_Res by Plant Acct-P29 (PA)'!H26</f>
        <v>0</v>
      </c>
      <c r="I26" s="326"/>
      <c r="J26" s="326">
        <f>+'KY_Res by Plant Acct-P29 (Fin)'!J26+'KY_Res by Plant Acct-P29 (PA)'!J26</f>
        <v>0</v>
      </c>
      <c r="K26" s="326"/>
      <c r="L26" s="326">
        <f>+'KY_Res by Plant Acct-P29 (Fin)'!L26+'KY_Res by Plant Acct-P29 (PA)'!L26</f>
        <v>0</v>
      </c>
      <c r="M26" s="326"/>
      <c r="N26" s="326">
        <f>+'KY_Res by Plant Acct-P29 (Fin)'!N26+'KY_Res by Plant Acct-P29 (PA)'!N26</f>
        <v>0</v>
      </c>
      <c r="O26" s="326"/>
      <c r="P26" s="326">
        <f>+'KY_Res by Plant Acct-P29 (Fin)'!P26+'KY_Res by Plant Acct-P29 (PA)'!P26</f>
        <v>0</v>
      </c>
      <c r="Q26" s="326"/>
      <c r="R26" s="325">
        <f>SUM(B26:P26)</f>
        <v>-8798.8600000000679</v>
      </c>
      <c r="S26" s="300"/>
      <c r="T26" s="300"/>
      <c r="U26" s="300"/>
    </row>
    <row r="27" spans="1:21">
      <c r="A27" s="331" t="s">
        <v>1448</v>
      </c>
      <c r="B27" s="327">
        <f>+'KY_Res by Plant Acct-P29 (Fin)'!B27</f>
        <v>0</v>
      </c>
      <c r="C27" s="52"/>
      <c r="D27" s="327">
        <f>+'KY_Res by Plant Acct-P29 (Fin)'!D27</f>
        <v>-1341.3200000000002</v>
      </c>
      <c r="E27" s="52"/>
      <c r="F27" s="327">
        <f>+'KY_Res by Plant Acct-P29 (Fin)'!F27</f>
        <v>0</v>
      </c>
      <c r="G27" s="52"/>
      <c r="H27" s="327">
        <f>+'KY_Res by Plant Acct-P29 (Fin)'!H27</f>
        <v>-223.56</v>
      </c>
      <c r="I27" s="52"/>
      <c r="J27" s="327">
        <f>+'KY_Res by Plant Acct-P29 (Fin)'!J27</f>
        <v>0</v>
      </c>
      <c r="K27" s="52"/>
      <c r="L27" s="327">
        <f>+'KY_Res by Plant Acct-P29 (Fin)'!L27</f>
        <v>0</v>
      </c>
      <c r="M27" s="52"/>
      <c r="N27" s="327">
        <f>+'KY_Res by Plant Acct-P29 (Fin)'!N27</f>
        <v>0</v>
      </c>
      <c r="O27" s="52"/>
      <c r="P27" s="327">
        <f>+'KY_Res by Plant Acct-P29 (Fin)'!P27</f>
        <v>0</v>
      </c>
      <c r="Q27" s="52"/>
      <c r="R27" s="327">
        <f>SUM(B27:P27)</f>
        <v>-1564.88</v>
      </c>
      <c r="S27" s="33"/>
      <c r="T27" s="33"/>
      <c r="U27" s="33"/>
    </row>
    <row r="28" spans="1:21">
      <c r="B28" s="52">
        <f>SUM(B10:B27)</f>
        <v>-146594740.88999999</v>
      </c>
      <c r="C28" s="52"/>
      <c r="D28" s="52">
        <f t="shared" ref="D28:R28" si="1">SUM(D10:D27)</f>
        <v>-5985260.1499999994</v>
      </c>
      <c r="E28" s="52"/>
      <c r="F28" s="52">
        <f t="shared" si="1"/>
        <v>1212153.93</v>
      </c>
      <c r="G28" s="52"/>
      <c r="H28" s="52">
        <f t="shared" si="1"/>
        <v>-223.56</v>
      </c>
      <c r="I28" s="52"/>
      <c r="J28" s="52">
        <f t="shared" si="1"/>
        <v>0</v>
      </c>
      <c r="K28" s="52"/>
      <c r="L28" s="52">
        <f t="shared" si="1"/>
        <v>2613761.9899999998</v>
      </c>
      <c r="M28" s="52"/>
      <c r="N28" s="52">
        <f t="shared" si="1"/>
        <v>-54967.23</v>
      </c>
      <c r="O28" s="52"/>
      <c r="P28" s="52">
        <f t="shared" si="1"/>
        <v>0</v>
      </c>
      <c r="Q28" s="52"/>
      <c r="R28" s="52">
        <f t="shared" si="1"/>
        <v>-148809275.91000003</v>
      </c>
      <c r="S28" s="33"/>
      <c r="T28" s="33"/>
      <c r="U28" s="33"/>
    </row>
    <row r="29" spans="1:21">
      <c r="B29" s="52"/>
      <c r="C29" s="52"/>
      <c r="D29" s="52"/>
      <c r="E29" s="52"/>
      <c r="F29" s="52"/>
      <c r="G29" s="52"/>
      <c r="H29" s="52"/>
      <c r="I29" s="52"/>
      <c r="J29" s="52"/>
      <c r="K29" s="52"/>
      <c r="L29" s="52"/>
      <c r="M29" s="52"/>
      <c r="N29" s="52"/>
      <c r="O29" s="52"/>
      <c r="P29" s="52"/>
      <c r="Q29" s="52"/>
      <c r="R29" s="52"/>
      <c r="S29" s="33"/>
      <c r="T29" s="33"/>
      <c r="U29" s="33"/>
    </row>
    <row r="30" spans="1:21">
      <c r="A30" s="3" t="s">
        <v>114</v>
      </c>
      <c r="B30" s="52"/>
      <c r="C30" s="52"/>
      <c r="D30" s="52"/>
      <c r="E30" s="52"/>
      <c r="F30" s="52"/>
      <c r="G30" s="52"/>
      <c r="H30" s="52"/>
      <c r="I30" s="52"/>
      <c r="J30" s="52"/>
      <c r="K30" s="52"/>
      <c r="L30" s="52"/>
      <c r="M30" s="52"/>
      <c r="N30" s="52"/>
      <c r="O30" s="52"/>
      <c r="P30" s="52"/>
      <c r="Q30" s="52"/>
      <c r="R30" s="52"/>
      <c r="S30" s="33"/>
      <c r="T30" s="33"/>
      <c r="U30" s="33"/>
    </row>
    <row r="31" spans="1:21">
      <c r="A31" t="s">
        <v>68</v>
      </c>
      <c r="B31" s="52">
        <f>+'KY_Res by Plant Acct-P29 (Fin)'!B31+'KY_Res by Plant Acct-P29 (PA)'!B30</f>
        <v>-168198.31000000238</v>
      </c>
      <c r="C31" s="52"/>
      <c r="D31" s="52">
        <f>+'KY_Res by Plant Acct-P29 (Fin)'!D31+'KY_Res by Plant Acct-P29 (PA)'!D30</f>
        <v>-66185.33</v>
      </c>
      <c r="E31" s="52"/>
      <c r="F31" s="52">
        <f>+'KY_Res by Plant Acct-P29 (Fin)'!F31+'KY_Res by Plant Acct-P29 (PA)'!F30</f>
        <v>0</v>
      </c>
      <c r="G31" s="52"/>
      <c r="H31" s="52">
        <f>+'KY_Res by Plant Acct-P29 (Fin)'!H31+'KY_Res by Plant Acct-P29 (PA)'!H30</f>
        <v>0</v>
      </c>
      <c r="I31" s="52"/>
      <c r="J31" s="52">
        <f>+'KY_Res by Plant Acct-P29 (Fin)'!J31+'KY_Res by Plant Acct-P29 (PA)'!J30</f>
        <v>0</v>
      </c>
      <c r="K31" s="52"/>
      <c r="L31" s="52">
        <f>+'KY_Res by Plant Acct-P29 (Fin)'!L31+'KY_Res by Plant Acct-P29 (PA)'!L30</f>
        <v>0</v>
      </c>
      <c r="M31" s="52"/>
      <c r="N31" s="52">
        <f>+'KY_Res by Plant Acct-P29 (Fin)'!N31+'KY_Res by Plant Acct-P29 (PA)'!N30</f>
        <v>0</v>
      </c>
      <c r="O31" s="52"/>
      <c r="P31" s="52">
        <f>+'KY_Res by Plant Acct-P29 (Fin)'!P31+'KY_Res by Plant Acct-P29 (PA)'!P30</f>
        <v>0</v>
      </c>
      <c r="Q31" s="52"/>
      <c r="R31" s="52">
        <f t="shared" ref="R31:R36" si="2">SUM(B31:P31)</f>
        <v>-234383.6400000024</v>
      </c>
      <c r="S31" s="33"/>
      <c r="T31" s="33"/>
      <c r="U31" s="33"/>
    </row>
    <row r="32" spans="1:21">
      <c r="A32" t="s">
        <v>70</v>
      </c>
      <c r="B32" s="52">
        <f>+'KY_Res by Plant Acct-P29 (Fin)'!B32+'KY_Res by Plant Acct-P29 (PA)'!B31</f>
        <v>-3711.5899999999965</v>
      </c>
      <c r="C32" s="52"/>
      <c r="D32" s="52">
        <f>+'KY_Res by Plant Acct-P29 (Fin)'!D32+'KY_Res by Plant Acct-P29 (PA)'!D31</f>
        <v>-5838.82</v>
      </c>
      <c r="E32" s="52"/>
      <c r="F32" s="52">
        <f>+'KY_Res by Plant Acct-P29 (Fin)'!F32+'KY_Res by Plant Acct-P29 (PA)'!F31</f>
        <v>0</v>
      </c>
      <c r="G32" s="52"/>
      <c r="H32" s="52">
        <f>+'KY_Res by Plant Acct-P29 (Fin)'!H32+'KY_Res by Plant Acct-P29 (PA)'!H31</f>
        <v>0</v>
      </c>
      <c r="I32" s="52"/>
      <c r="J32" s="52">
        <f>+'KY_Res by Plant Acct-P29 (Fin)'!J32+'KY_Res by Plant Acct-P29 (PA)'!J31</f>
        <v>0</v>
      </c>
      <c r="K32" s="52"/>
      <c r="L32" s="52">
        <f>+'KY_Res by Plant Acct-P29 (Fin)'!L32+'KY_Res by Plant Acct-P29 (PA)'!L31</f>
        <v>0</v>
      </c>
      <c r="M32" s="52"/>
      <c r="N32" s="52">
        <f>+'KY_Res by Plant Acct-P29 (Fin)'!N32+'KY_Res by Plant Acct-P29 (PA)'!N31</f>
        <v>0</v>
      </c>
      <c r="O32" s="52"/>
      <c r="P32" s="52">
        <f>+'KY_Res by Plant Acct-P29 (Fin)'!P32+'KY_Res by Plant Acct-P29 (PA)'!P31</f>
        <v>0</v>
      </c>
      <c r="Q32" s="52"/>
      <c r="R32" s="52">
        <f t="shared" si="2"/>
        <v>-9550.4099999999962</v>
      </c>
      <c r="S32" s="33"/>
      <c r="T32" s="33"/>
      <c r="U32" s="33"/>
    </row>
    <row r="33" spans="1:21">
      <c r="A33" t="s">
        <v>66</v>
      </c>
      <c r="B33" s="52">
        <f>+'KY_Res by Plant Acct-P29 (Fin)'!B33+'KY_Res by Plant Acct-P29 (PA)'!B32</f>
        <v>-122863.14999999991</v>
      </c>
      <c r="C33" s="52"/>
      <c r="D33" s="52">
        <f>+'KY_Res by Plant Acct-P29 (Fin)'!D33+'KY_Res by Plant Acct-P29 (PA)'!D32</f>
        <v>-50796.03</v>
      </c>
      <c r="E33" s="52"/>
      <c r="F33" s="52">
        <f>+'KY_Res by Plant Acct-P29 (Fin)'!F33+'KY_Res by Plant Acct-P29 (PA)'!F32</f>
        <v>0</v>
      </c>
      <c r="G33" s="52"/>
      <c r="H33" s="52">
        <f>+'KY_Res by Plant Acct-P29 (Fin)'!H33+'KY_Res by Plant Acct-P29 (PA)'!H32</f>
        <v>0</v>
      </c>
      <c r="I33" s="52"/>
      <c r="J33" s="52">
        <f>+'KY_Res by Plant Acct-P29 (Fin)'!J33+'KY_Res by Plant Acct-P29 (PA)'!J32</f>
        <v>0</v>
      </c>
      <c r="K33" s="52"/>
      <c r="L33" s="52">
        <f>+'KY_Res by Plant Acct-P29 (Fin)'!L33+'KY_Res by Plant Acct-P29 (PA)'!L32</f>
        <v>0</v>
      </c>
      <c r="M33" s="52"/>
      <c r="N33" s="52">
        <f>+'KY_Res by Plant Acct-P29 (Fin)'!N33+'KY_Res by Plant Acct-P29 (PA)'!N32</f>
        <v>0</v>
      </c>
      <c r="O33" s="52"/>
      <c r="P33" s="52">
        <f>+'KY_Res by Plant Acct-P29 (Fin)'!P33+'KY_Res by Plant Acct-P29 (PA)'!P32</f>
        <v>0</v>
      </c>
      <c r="Q33" s="52"/>
      <c r="R33" s="52">
        <f t="shared" si="2"/>
        <v>-173659.17999999991</v>
      </c>
      <c r="S33" s="33"/>
      <c r="T33" s="33"/>
      <c r="U33" s="33"/>
    </row>
    <row r="34" spans="1:21">
      <c r="A34" t="s">
        <v>69</v>
      </c>
      <c r="B34" s="52">
        <f>+'KY_Res by Plant Acct-P29 (Fin)'!B34+'KY_Res by Plant Acct-P29 (PA)'!B33</f>
        <v>21504.750000000131</v>
      </c>
      <c r="C34" s="52"/>
      <c r="D34" s="52">
        <f>+'KY_Res by Plant Acct-P29 (Fin)'!D34+'KY_Res by Plant Acct-P29 (PA)'!D33</f>
        <v>0</v>
      </c>
      <c r="E34" s="52"/>
      <c r="F34" s="52">
        <f>+'KY_Res by Plant Acct-P29 (Fin)'!F34+'KY_Res by Plant Acct-P29 (PA)'!F33</f>
        <v>0</v>
      </c>
      <c r="G34" s="52"/>
      <c r="H34" s="52">
        <f>+'KY_Res by Plant Acct-P29 (Fin)'!H34+'KY_Res by Plant Acct-P29 (PA)'!H33</f>
        <v>0</v>
      </c>
      <c r="I34" s="52"/>
      <c r="J34" s="52">
        <f>+'KY_Res by Plant Acct-P29 (Fin)'!J34+'KY_Res by Plant Acct-P29 (PA)'!J33</f>
        <v>0</v>
      </c>
      <c r="K34" s="52"/>
      <c r="L34" s="52">
        <f>+'KY_Res by Plant Acct-P29 (Fin)'!L34+'KY_Res by Plant Acct-P29 (PA)'!L33</f>
        <v>0</v>
      </c>
      <c r="M34" s="52"/>
      <c r="N34" s="52">
        <f>+'KY_Res by Plant Acct-P29 (Fin)'!N34+'KY_Res by Plant Acct-P29 (PA)'!N33</f>
        <v>0</v>
      </c>
      <c r="O34" s="52"/>
      <c r="P34" s="52">
        <f>+'KY_Res by Plant Acct-P29 (Fin)'!P34+'KY_Res by Plant Acct-P29 (PA)'!P33</f>
        <v>0</v>
      </c>
      <c r="Q34" s="52"/>
      <c r="R34" s="52">
        <f t="shared" si="2"/>
        <v>21504.750000000131</v>
      </c>
      <c r="S34" s="33"/>
      <c r="T34" s="33"/>
      <c r="U34" s="33"/>
    </row>
    <row r="35" spans="1:21">
      <c r="A35" t="s">
        <v>67</v>
      </c>
      <c r="B35" s="52">
        <f>+'KY_Res by Plant Acct-P29 (Fin)'!B35+'KY_Res by Plant Acct-P29 (PA)'!B34</f>
        <v>-61757.799999999814</v>
      </c>
      <c r="C35" s="52"/>
      <c r="D35" s="52">
        <f>+'KY_Res by Plant Acct-P29 (Fin)'!D35+'KY_Res by Plant Acct-P29 (PA)'!D34</f>
        <v>-13870.43</v>
      </c>
      <c r="E35" s="52"/>
      <c r="F35" s="52">
        <f>+'KY_Res by Plant Acct-P29 (Fin)'!F35+'KY_Res by Plant Acct-P29 (PA)'!F34</f>
        <v>0</v>
      </c>
      <c r="G35" s="52"/>
      <c r="H35" s="52">
        <f>+'KY_Res by Plant Acct-P29 (Fin)'!H35+'KY_Res by Plant Acct-P29 (PA)'!H34</f>
        <v>0</v>
      </c>
      <c r="I35" s="52"/>
      <c r="J35" s="52">
        <f>+'KY_Res by Plant Acct-P29 (Fin)'!J35+'KY_Res by Plant Acct-P29 (PA)'!J34</f>
        <v>0</v>
      </c>
      <c r="K35" s="52"/>
      <c r="L35" s="52">
        <f>+'KY_Res by Plant Acct-P29 (Fin)'!L35+'KY_Res by Plant Acct-P29 (PA)'!L34</f>
        <v>0</v>
      </c>
      <c r="M35" s="52"/>
      <c r="N35" s="52">
        <f>+'KY_Res by Plant Acct-P29 (Fin)'!N35+'KY_Res by Plant Acct-P29 (PA)'!N34</f>
        <v>0</v>
      </c>
      <c r="O35" s="52"/>
      <c r="P35" s="52">
        <f>+'KY_Res by Plant Acct-P29 (Fin)'!P35+'KY_Res by Plant Acct-P29 (PA)'!P34</f>
        <v>0</v>
      </c>
      <c r="Q35" s="52"/>
      <c r="R35" s="52">
        <f t="shared" si="2"/>
        <v>-75628.229999999807</v>
      </c>
      <c r="S35" s="33"/>
      <c r="T35" s="33"/>
      <c r="U35" s="33"/>
    </row>
    <row r="36" spans="1:21">
      <c r="A36" t="s">
        <v>65</v>
      </c>
      <c r="B36" s="48">
        <f>+'KY_Res by Plant Acct-P29 (Fin)'!B36+'KY_Res by Plant Acct-P29 (PA)'!B35</f>
        <v>-437.47999999999593</v>
      </c>
      <c r="C36" s="52"/>
      <c r="D36" s="48">
        <f>+'KY_Res by Plant Acct-P29 (Fin)'!D36+'KY_Res by Plant Acct-P29 (PA)'!D35</f>
        <v>-1197.3600000000001</v>
      </c>
      <c r="E36" s="52"/>
      <c r="F36" s="48">
        <f>+'KY_Res by Plant Acct-P29 (Fin)'!F36+'KY_Res by Plant Acct-P29 (PA)'!F35</f>
        <v>0</v>
      </c>
      <c r="G36" s="52"/>
      <c r="H36" s="48">
        <f>+'KY_Res by Plant Acct-P29 (Fin)'!H36+'KY_Res by Plant Acct-P29 (PA)'!H35</f>
        <v>0</v>
      </c>
      <c r="I36" s="52"/>
      <c r="J36" s="48">
        <f>+'KY_Res by Plant Acct-P29 (Fin)'!J36+'KY_Res by Plant Acct-P29 (PA)'!J35</f>
        <v>0</v>
      </c>
      <c r="K36" s="52"/>
      <c r="L36" s="48">
        <f>+'KY_Res by Plant Acct-P29 (Fin)'!L36+'KY_Res by Plant Acct-P29 (PA)'!L35</f>
        <v>0</v>
      </c>
      <c r="M36" s="52"/>
      <c r="N36" s="48">
        <f>+'KY_Res by Plant Acct-P29 (Fin)'!N36+'KY_Res by Plant Acct-P29 (PA)'!N35</f>
        <v>0</v>
      </c>
      <c r="O36" s="52"/>
      <c r="P36" s="48">
        <f>+'KY_Res by Plant Acct-P29 (Fin)'!P36+'KY_Res by Plant Acct-P29 (PA)'!P35</f>
        <v>0</v>
      </c>
      <c r="Q36" s="52"/>
      <c r="R36" s="48">
        <f t="shared" si="2"/>
        <v>-1634.8399999999961</v>
      </c>
      <c r="S36" s="33"/>
      <c r="T36" s="33"/>
      <c r="U36" s="33"/>
    </row>
    <row r="37" spans="1:21">
      <c r="B37" s="52">
        <f>SUM(B31:B36)</f>
        <v>-335463.58000000194</v>
      </c>
      <c r="C37" s="52"/>
      <c r="D37" s="52">
        <f t="shared" ref="D37:R37" si="3">SUM(D31:D36)</f>
        <v>-137887.96999999997</v>
      </c>
      <c r="E37" s="52"/>
      <c r="F37" s="52">
        <f t="shared" si="3"/>
        <v>0</v>
      </c>
      <c r="G37" s="52"/>
      <c r="H37" s="52">
        <f t="shared" si="3"/>
        <v>0</v>
      </c>
      <c r="I37" s="52"/>
      <c r="J37" s="52">
        <f t="shared" si="3"/>
        <v>0</v>
      </c>
      <c r="K37" s="52"/>
      <c r="L37" s="52">
        <f t="shared" si="3"/>
        <v>0</v>
      </c>
      <c r="M37" s="52"/>
      <c r="N37" s="52">
        <f t="shared" si="3"/>
        <v>0</v>
      </c>
      <c r="O37" s="52"/>
      <c r="P37" s="52">
        <f t="shared" si="3"/>
        <v>0</v>
      </c>
      <c r="Q37" s="52"/>
      <c r="R37" s="52">
        <f t="shared" si="3"/>
        <v>-473351.55000000197</v>
      </c>
      <c r="S37" s="33"/>
      <c r="T37" s="33"/>
      <c r="U37" s="33"/>
    </row>
    <row r="38" spans="1:21">
      <c r="B38" s="52"/>
      <c r="C38" s="52"/>
      <c r="D38" s="52"/>
      <c r="E38" s="52"/>
      <c r="F38" s="52"/>
      <c r="G38" s="52"/>
      <c r="H38" s="52"/>
      <c r="I38" s="52"/>
      <c r="J38" s="52"/>
      <c r="K38" s="52"/>
      <c r="L38" s="52"/>
      <c r="M38" s="52"/>
      <c r="N38" s="52"/>
      <c r="O38" s="52"/>
      <c r="P38" s="52"/>
      <c r="Q38" s="52"/>
      <c r="R38" s="52"/>
      <c r="S38" s="33"/>
      <c r="T38" s="33"/>
      <c r="U38" s="33"/>
    </row>
    <row r="39" spans="1:21">
      <c r="A39" s="3" t="s">
        <v>115</v>
      </c>
      <c r="B39" s="182"/>
      <c r="C39" s="52"/>
      <c r="D39" s="182"/>
      <c r="E39" s="52"/>
      <c r="F39" s="182"/>
      <c r="G39" s="52"/>
      <c r="H39" s="182"/>
      <c r="I39" s="52"/>
      <c r="J39" s="182"/>
      <c r="K39" s="52"/>
      <c r="L39" s="182"/>
      <c r="M39" s="52"/>
      <c r="N39" s="182"/>
      <c r="O39" s="52"/>
      <c r="P39" s="182"/>
      <c r="Q39" s="52"/>
      <c r="R39" s="182"/>
      <c r="S39" s="33"/>
      <c r="T39" s="33"/>
      <c r="U39" s="33"/>
    </row>
    <row r="40" spans="1:21">
      <c r="A40" t="s">
        <v>423</v>
      </c>
      <c r="B40" s="182">
        <f>+'KY_Res by Plant Acct-P29 (Fin)'!B40+'KY_Res by Plant Acct-P29 (PA)'!B39</f>
        <v>0</v>
      </c>
      <c r="C40" s="52"/>
      <c r="D40" s="182">
        <f>+'KY_Res by Plant Acct-P29 (Fin)'!D40+'KY_Res by Plant Acct-P29 (PA)'!D39</f>
        <v>0</v>
      </c>
      <c r="E40" s="52"/>
      <c r="F40" s="182">
        <f>+'KY_Res by Plant Acct-P29 (Fin)'!F40+'KY_Res by Plant Acct-P29 (PA)'!F39</f>
        <v>0</v>
      </c>
      <c r="G40" s="52"/>
      <c r="H40" s="182">
        <f>+'KY_Res by Plant Acct-P29 (Fin)'!H40+'KY_Res by Plant Acct-P29 (PA)'!H39</f>
        <v>0</v>
      </c>
      <c r="I40" s="52"/>
      <c r="J40" s="182">
        <f>+'KY_Res by Plant Acct-P29 (Fin)'!J40+'KY_Res by Plant Acct-P29 (PA)'!J39</f>
        <v>0</v>
      </c>
      <c r="K40" s="52"/>
      <c r="L40" s="182">
        <f>+'KY_Res by Plant Acct-P29 (Fin)'!L40+'KY_Res by Plant Acct-P29 (PA)'!L39</f>
        <v>0</v>
      </c>
      <c r="M40" s="52"/>
      <c r="N40" s="182">
        <f>+'KY_Res by Plant Acct-P29 (Fin)'!N40+'KY_Res by Plant Acct-P29 (PA)'!N39</f>
        <v>0</v>
      </c>
      <c r="O40" s="52"/>
      <c r="P40" s="182">
        <f>+'KY_Res by Plant Acct-P29 (Fin)'!P40+'KY_Res by Plant Acct-P29 (PA)'!P39</f>
        <v>0</v>
      </c>
      <c r="Q40" s="52"/>
      <c r="R40" s="182">
        <f t="shared" ref="R40:R51" si="4">SUM(B40:P40)</f>
        <v>0</v>
      </c>
      <c r="S40" s="33"/>
      <c r="T40" s="33"/>
      <c r="U40" s="33"/>
    </row>
    <row r="41" spans="1:21">
      <c r="A41" t="s">
        <v>426</v>
      </c>
      <c r="B41" s="182">
        <f>+'KY_Res by Plant Acct-P29 (Fin)'!B41+'KY_Res by Plant Acct-P29 (PA)'!B40</f>
        <v>0</v>
      </c>
      <c r="C41" s="52"/>
      <c r="D41" s="182">
        <f>+'KY_Res by Plant Acct-P29 (Fin)'!D41+'KY_Res by Plant Acct-P29 (PA)'!D40</f>
        <v>0</v>
      </c>
      <c r="E41" s="52"/>
      <c r="F41" s="182">
        <f>+'KY_Res by Plant Acct-P29 (Fin)'!F41+'KY_Res by Plant Acct-P29 (PA)'!F40</f>
        <v>0</v>
      </c>
      <c r="G41" s="52"/>
      <c r="H41" s="182">
        <f>+'KY_Res by Plant Acct-P29 (Fin)'!H41+'KY_Res by Plant Acct-P29 (PA)'!H40</f>
        <v>0</v>
      </c>
      <c r="I41" s="52"/>
      <c r="J41" s="182">
        <f>+'KY_Res by Plant Acct-P29 (Fin)'!J41+'KY_Res by Plant Acct-P29 (PA)'!J40</f>
        <v>0</v>
      </c>
      <c r="K41" s="52"/>
      <c r="L41" s="182">
        <f>+'KY_Res by Plant Acct-P29 (Fin)'!L41+'KY_Res by Plant Acct-P29 (PA)'!L40</f>
        <v>0</v>
      </c>
      <c r="M41" s="52"/>
      <c r="N41" s="182">
        <f>+'KY_Res by Plant Acct-P29 (Fin)'!N41+'KY_Res by Plant Acct-P29 (PA)'!N40</f>
        <v>0</v>
      </c>
      <c r="O41" s="52"/>
      <c r="P41" s="182">
        <f>+'KY_Res by Plant Acct-P29 (Fin)'!P41+'KY_Res by Plant Acct-P29 (PA)'!P40</f>
        <v>0</v>
      </c>
      <c r="Q41" s="52"/>
      <c r="R41" s="182">
        <f t="shared" si="4"/>
        <v>0</v>
      </c>
      <c r="S41" s="33"/>
      <c r="T41" s="33"/>
      <c r="U41" s="33"/>
    </row>
    <row r="42" spans="1:21">
      <c r="A42" t="s">
        <v>432</v>
      </c>
      <c r="B42" s="182">
        <f>+'KY_Res by Plant Acct-P29 (Fin)'!B42+'KY_Res by Plant Acct-P29 (PA)'!B41</f>
        <v>-2095.0299999999988</v>
      </c>
      <c r="C42" s="52"/>
      <c r="D42" s="182">
        <f>+'KY_Res by Plant Acct-P29 (Fin)'!D42+'KY_Res by Plant Acct-P29 (PA)'!D41</f>
        <v>-87.179999999999993</v>
      </c>
      <c r="E42" s="52"/>
      <c r="F42" s="182">
        <f>+'KY_Res by Plant Acct-P29 (Fin)'!F42+'KY_Res by Plant Acct-P29 (PA)'!F41</f>
        <v>0</v>
      </c>
      <c r="G42" s="52"/>
      <c r="H42" s="182">
        <f>+'KY_Res by Plant Acct-P29 (Fin)'!H42+'KY_Res by Plant Acct-P29 (PA)'!H41</f>
        <v>0</v>
      </c>
      <c r="I42" s="52"/>
      <c r="J42" s="182">
        <f>+'KY_Res by Plant Acct-P29 (Fin)'!J42+'KY_Res by Plant Acct-P29 (PA)'!J41</f>
        <v>0</v>
      </c>
      <c r="K42" s="52"/>
      <c r="L42" s="182">
        <f>+'KY_Res by Plant Acct-P29 (Fin)'!L42+'KY_Res by Plant Acct-P29 (PA)'!L41</f>
        <v>0</v>
      </c>
      <c r="M42" s="52"/>
      <c r="N42" s="182">
        <f>+'KY_Res by Plant Acct-P29 (Fin)'!N42+'KY_Res by Plant Acct-P29 (PA)'!N41</f>
        <v>0</v>
      </c>
      <c r="O42" s="52"/>
      <c r="P42" s="182">
        <f>+'KY_Res by Plant Acct-P29 (Fin)'!P42+'KY_Res by Plant Acct-P29 (PA)'!P41</f>
        <v>0</v>
      </c>
      <c r="Q42" s="52"/>
      <c r="R42" s="182">
        <f t="shared" si="4"/>
        <v>-2182.2099999999987</v>
      </c>
      <c r="S42" s="33"/>
      <c r="T42" s="33"/>
      <c r="U42" s="33"/>
    </row>
    <row r="43" spans="1:21">
      <c r="A43" t="s">
        <v>424</v>
      </c>
      <c r="B43" s="182">
        <f>+'KY_Res by Plant Acct-P29 (Fin)'!B43+'KY_Res by Plant Acct-P29 (PA)'!B42</f>
        <v>147604.12999999989</v>
      </c>
      <c r="C43" s="52"/>
      <c r="D43" s="182">
        <f>+'KY_Res by Plant Acct-P29 (Fin)'!D43+'KY_Res by Plant Acct-P29 (PA)'!D42</f>
        <v>-979.46</v>
      </c>
      <c r="E43" s="52"/>
      <c r="F43" s="182">
        <f>+'KY_Res by Plant Acct-P29 (Fin)'!F43+'KY_Res by Plant Acct-P29 (PA)'!F42</f>
        <v>-18.109999999999957</v>
      </c>
      <c r="G43" s="52"/>
      <c r="H43" s="182">
        <f>+'KY_Res by Plant Acct-P29 (Fin)'!H43+'KY_Res by Plant Acct-P29 (PA)'!H42</f>
        <v>0</v>
      </c>
      <c r="I43" s="52"/>
      <c r="J43" s="182">
        <f>+'KY_Res by Plant Acct-P29 (Fin)'!J43+'KY_Res by Plant Acct-P29 (PA)'!J42</f>
        <v>0</v>
      </c>
      <c r="K43" s="52"/>
      <c r="L43" s="182">
        <f>+'KY_Res by Plant Acct-P29 (Fin)'!L43+'KY_Res by Plant Acct-P29 (PA)'!L42</f>
        <v>1017.4</v>
      </c>
      <c r="M43" s="52"/>
      <c r="N43" s="182">
        <f>+'KY_Res by Plant Acct-P29 (Fin)'!N43+'KY_Res by Plant Acct-P29 (PA)'!N42</f>
        <v>0</v>
      </c>
      <c r="O43" s="52"/>
      <c r="P43" s="182">
        <f>+'KY_Res by Plant Acct-P29 (Fin)'!P43+'KY_Res by Plant Acct-P29 (PA)'!P42</f>
        <v>0</v>
      </c>
      <c r="Q43" s="52"/>
      <c r="R43" s="182">
        <f t="shared" si="4"/>
        <v>147623.9599999999</v>
      </c>
      <c r="S43" s="33"/>
      <c r="T43" s="33"/>
      <c r="U43" s="33"/>
    </row>
    <row r="44" spans="1:21">
      <c r="A44" t="s">
        <v>425</v>
      </c>
      <c r="B44" s="182">
        <f>+'KY_Res by Plant Acct-P29 (Fin)'!B44+'KY_Res by Plant Acct-P29 (PA)'!B43</f>
        <v>-423693.27</v>
      </c>
      <c r="C44" s="52"/>
      <c r="D44" s="182">
        <f>+'KY_Res by Plant Acct-P29 (Fin)'!D44+'KY_Res by Plant Acct-P29 (PA)'!D43</f>
        <v>-96444.569999999992</v>
      </c>
      <c r="E44" s="52"/>
      <c r="F44" s="182">
        <f>+'KY_Res by Plant Acct-P29 (Fin)'!F44+'KY_Res by Plant Acct-P29 (PA)'!F43</f>
        <v>0</v>
      </c>
      <c r="G44" s="52"/>
      <c r="H44" s="182">
        <f>+'KY_Res by Plant Acct-P29 (Fin)'!H44+'KY_Res by Plant Acct-P29 (PA)'!H43</f>
        <v>0</v>
      </c>
      <c r="I44" s="52"/>
      <c r="J44" s="182">
        <f>+'KY_Res by Plant Acct-P29 (Fin)'!J44+'KY_Res by Plant Acct-P29 (PA)'!J43</f>
        <v>0</v>
      </c>
      <c r="K44" s="52"/>
      <c r="L44" s="182">
        <f>+'KY_Res by Plant Acct-P29 (Fin)'!L44+'KY_Res by Plant Acct-P29 (PA)'!L43</f>
        <v>0</v>
      </c>
      <c r="M44" s="52"/>
      <c r="N44" s="182">
        <f>+'KY_Res by Plant Acct-P29 (Fin)'!N44+'KY_Res by Plant Acct-P29 (PA)'!N43</f>
        <v>0</v>
      </c>
      <c r="O44" s="52"/>
      <c r="P44" s="182">
        <f>+'KY_Res by Plant Acct-P29 (Fin)'!P44+'KY_Res by Plant Acct-P29 (PA)'!P43</f>
        <v>0</v>
      </c>
      <c r="Q44" s="52"/>
      <c r="R44" s="182">
        <f t="shared" si="4"/>
        <v>-520137.84</v>
      </c>
      <c r="S44" s="33"/>
      <c r="T44" s="33"/>
      <c r="U44" s="33"/>
    </row>
    <row r="45" spans="1:21">
      <c r="A45" t="s">
        <v>430</v>
      </c>
      <c r="B45" s="182">
        <f>+'KY_Res by Plant Acct-P29 (Fin)'!B45+'KY_Res by Plant Acct-P29 (PA)'!B44</f>
        <v>1098717.6000000001</v>
      </c>
      <c r="C45" s="52"/>
      <c r="D45" s="182">
        <f>+'KY_Res by Plant Acct-P29 (Fin)'!D45+'KY_Res by Plant Acct-P29 (PA)'!D44</f>
        <v>-12465.75</v>
      </c>
      <c r="E45" s="52"/>
      <c r="F45" s="182">
        <f>+'KY_Res by Plant Acct-P29 (Fin)'!F45+'KY_Res by Plant Acct-P29 (PA)'!F44</f>
        <v>0</v>
      </c>
      <c r="G45" s="52"/>
      <c r="H45" s="182">
        <f>+'KY_Res by Plant Acct-P29 (Fin)'!H45+'KY_Res by Plant Acct-P29 (PA)'!H44</f>
        <v>0</v>
      </c>
      <c r="I45" s="52"/>
      <c r="J45" s="182">
        <f>+'KY_Res by Plant Acct-P29 (Fin)'!J45+'KY_Res by Plant Acct-P29 (PA)'!J44</f>
        <v>0</v>
      </c>
      <c r="K45" s="52"/>
      <c r="L45" s="182">
        <f>+'KY_Res by Plant Acct-P29 (Fin)'!L45+'KY_Res by Plant Acct-P29 (PA)'!L44</f>
        <v>0</v>
      </c>
      <c r="M45" s="52"/>
      <c r="N45" s="182">
        <f>+'KY_Res by Plant Acct-P29 (Fin)'!N45+'KY_Res by Plant Acct-P29 (PA)'!N44</f>
        <v>0</v>
      </c>
      <c r="O45" s="52"/>
      <c r="P45" s="182">
        <f>+'KY_Res by Plant Acct-P29 (Fin)'!P45+'KY_Res by Plant Acct-P29 (PA)'!P44</f>
        <v>0</v>
      </c>
      <c r="Q45" s="52"/>
      <c r="R45" s="182">
        <f t="shared" si="4"/>
        <v>1086251.8500000001</v>
      </c>
      <c r="S45" s="33"/>
      <c r="T45" s="33"/>
      <c r="U45" s="33"/>
    </row>
    <row r="46" spans="1:21">
      <c r="A46" t="s">
        <v>427</v>
      </c>
      <c r="B46" s="182">
        <f>+'KY_Res by Plant Acct-P29 (Fin)'!B46+'KY_Res by Plant Acct-P29 (PA)'!B45</f>
        <v>-285138.65999999992</v>
      </c>
      <c r="C46" s="52"/>
      <c r="D46" s="182">
        <f>+'KY_Res by Plant Acct-P29 (Fin)'!D46+'KY_Res by Plant Acct-P29 (PA)'!D45</f>
        <v>-40497.300000000003</v>
      </c>
      <c r="E46" s="52"/>
      <c r="F46" s="182">
        <f>+'KY_Res by Plant Acct-P29 (Fin)'!F46+'KY_Res by Plant Acct-P29 (PA)'!F45</f>
        <v>0</v>
      </c>
      <c r="G46" s="52"/>
      <c r="H46" s="182">
        <f>+'KY_Res by Plant Acct-P29 (Fin)'!H46+'KY_Res by Plant Acct-P29 (PA)'!H45</f>
        <v>0</v>
      </c>
      <c r="I46" s="52"/>
      <c r="J46" s="182">
        <f>+'KY_Res by Plant Acct-P29 (Fin)'!J46+'KY_Res by Plant Acct-P29 (PA)'!J45</f>
        <v>0</v>
      </c>
      <c r="K46" s="52"/>
      <c r="L46" s="182">
        <f>+'KY_Res by Plant Acct-P29 (Fin)'!L46+'KY_Res by Plant Acct-P29 (PA)'!L45</f>
        <v>0</v>
      </c>
      <c r="M46" s="52"/>
      <c r="N46" s="182">
        <f>+'KY_Res by Plant Acct-P29 (Fin)'!N46+'KY_Res by Plant Acct-P29 (PA)'!N45</f>
        <v>0</v>
      </c>
      <c r="O46" s="52"/>
      <c r="P46" s="182">
        <f>+'KY_Res by Plant Acct-P29 (Fin)'!P46+'KY_Res by Plant Acct-P29 (PA)'!P45</f>
        <v>0</v>
      </c>
      <c r="Q46" s="52"/>
      <c r="R46" s="182">
        <f t="shared" si="4"/>
        <v>-325635.9599999999</v>
      </c>
      <c r="S46" s="33"/>
      <c r="T46" s="33"/>
      <c r="U46" s="33"/>
    </row>
    <row r="47" spans="1:21">
      <c r="A47" t="s">
        <v>429</v>
      </c>
      <c r="B47" s="182">
        <f>+'KY_Res by Plant Acct-P29 (Fin)'!B47+'KY_Res by Plant Acct-P29 (PA)'!B46</f>
        <v>-1909.9</v>
      </c>
      <c r="C47" s="52"/>
      <c r="D47" s="182">
        <f>+'KY_Res by Plant Acct-P29 (Fin)'!D47+'KY_Res by Plant Acct-P29 (PA)'!D46</f>
        <v>-102.47999999999999</v>
      </c>
      <c r="E47" s="52"/>
      <c r="F47" s="182">
        <f>+'KY_Res by Plant Acct-P29 (Fin)'!F47+'KY_Res by Plant Acct-P29 (PA)'!F46</f>
        <v>0</v>
      </c>
      <c r="G47" s="52"/>
      <c r="H47" s="182">
        <f>+'KY_Res by Plant Acct-P29 (Fin)'!H47+'KY_Res by Plant Acct-P29 (PA)'!H46</f>
        <v>0</v>
      </c>
      <c r="I47" s="52"/>
      <c r="J47" s="182">
        <f>+'KY_Res by Plant Acct-P29 (Fin)'!J47+'KY_Res by Plant Acct-P29 (PA)'!J46</f>
        <v>0</v>
      </c>
      <c r="K47" s="52"/>
      <c r="L47" s="182">
        <f>+'KY_Res by Plant Acct-P29 (Fin)'!L47+'KY_Res by Plant Acct-P29 (PA)'!L46</f>
        <v>0</v>
      </c>
      <c r="M47" s="52"/>
      <c r="N47" s="182">
        <f>+'KY_Res by Plant Acct-P29 (Fin)'!N47+'KY_Res by Plant Acct-P29 (PA)'!N46</f>
        <v>0</v>
      </c>
      <c r="O47" s="52"/>
      <c r="P47" s="182">
        <f>+'KY_Res by Plant Acct-P29 (Fin)'!P47+'KY_Res by Plant Acct-P29 (PA)'!P46</f>
        <v>0</v>
      </c>
      <c r="Q47" s="52"/>
      <c r="R47" s="182">
        <f t="shared" si="4"/>
        <v>-2012.38</v>
      </c>
      <c r="S47" s="33"/>
      <c r="T47" s="33"/>
      <c r="U47" s="33"/>
    </row>
    <row r="48" spans="1:21">
      <c r="A48" t="s">
        <v>431</v>
      </c>
      <c r="B48" s="182">
        <f>+'KY_Res by Plant Acct-P29 (Fin)'!B48+'KY_Res by Plant Acct-P29 (PA)'!B47</f>
        <v>-11936.889999999985</v>
      </c>
      <c r="C48" s="52"/>
      <c r="D48" s="182">
        <f>+'KY_Res by Plant Acct-P29 (Fin)'!D48+'KY_Res by Plant Acct-P29 (PA)'!D47</f>
        <v>-1630.41</v>
      </c>
      <c r="E48" s="52"/>
      <c r="F48" s="182">
        <f>+'KY_Res by Plant Acct-P29 (Fin)'!F48+'KY_Res by Plant Acct-P29 (PA)'!F47</f>
        <v>0</v>
      </c>
      <c r="G48" s="52"/>
      <c r="H48" s="182">
        <f>+'KY_Res by Plant Acct-P29 (Fin)'!H48+'KY_Res by Plant Acct-P29 (PA)'!H47</f>
        <v>0</v>
      </c>
      <c r="I48" s="52"/>
      <c r="J48" s="182">
        <f>+'KY_Res by Plant Acct-P29 (Fin)'!J48+'KY_Res by Plant Acct-P29 (PA)'!J47</f>
        <v>0</v>
      </c>
      <c r="K48" s="52"/>
      <c r="L48" s="182">
        <f>+'KY_Res by Plant Acct-P29 (Fin)'!L48+'KY_Res by Plant Acct-P29 (PA)'!L47</f>
        <v>0</v>
      </c>
      <c r="M48" s="52"/>
      <c r="N48" s="182">
        <f>+'KY_Res by Plant Acct-P29 (Fin)'!N48+'KY_Res by Plant Acct-P29 (PA)'!N47</f>
        <v>0</v>
      </c>
      <c r="O48" s="52"/>
      <c r="P48" s="182">
        <f>+'KY_Res by Plant Acct-P29 (Fin)'!P48+'KY_Res by Plant Acct-P29 (PA)'!P47</f>
        <v>0</v>
      </c>
      <c r="Q48" s="52"/>
      <c r="R48" s="182">
        <f t="shared" si="4"/>
        <v>-13567.299999999985</v>
      </c>
      <c r="S48" s="33"/>
      <c r="T48" s="33"/>
      <c r="U48" s="33"/>
    </row>
    <row r="49" spans="1:21">
      <c r="A49" t="s">
        <v>428</v>
      </c>
      <c r="B49" s="182">
        <f>+'KY_Res by Plant Acct-P29 (Fin)'!B49+'KY_Res by Plant Acct-P29 (PA)'!B48</f>
        <v>0</v>
      </c>
      <c r="C49" s="52"/>
      <c r="D49" s="182">
        <f>+'KY_Res by Plant Acct-P29 (Fin)'!D49+'KY_Res by Plant Acct-P29 (PA)'!D48</f>
        <v>0</v>
      </c>
      <c r="E49" s="52"/>
      <c r="F49" s="182">
        <f>+'KY_Res by Plant Acct-P29 (Fin)'!F49+'KY_Res by Plant Acct-P29 (PA)'!F48</f>
        <v>0</v>
      </c>
      <c r="G49" s="52"/>
      <c r="H49" s="182">
        <f>+'KY_Res by Plant Acct-P29 (Fin)'!H49+'KY_Res by Plant Acct-P29 (PA)'!H48</f>
        <v>0</v>
      </c>
      <c r="I49" s="52"/>
      <c r="J49" s="182">
        <f>+'KY_Res by Plant Acct-P29 (Fin)'!J49+'KY_Res by Plant Acct-P29 (PA)'!J48</f>
        <v>0</v>
      </c>
      <c r="K49" s="52"/>
      <c r="L49" s="182">
        <f>+'KY_Res by Plant Acct-P29 (Fin)'!L49+'KY_Res by Plant Acct-P29 (PA)'!L48</f>
        <v>0</v>
      </c>
      <c r="M49" s="52"/>
      <c r="N49" s="182">
        <f>+'KY_Res by Plant Acct-P29 (Fin)'!N49+'KY_Res by Plant Acct-P29 (PA)'!N48</f>
        <v>0</v>
      </c>
      <c r="O49" s="52"/>
      <c r="P49" s="182">
        <f>+'KY_Res by Plant Acct-P29 (Fin)'!P49+'KY_Res by Plant Acct-P29 (PA)'!P48</f>
        <v>0</v>
      </c>
      <c r="Q49" s="52"/>
      <c r="R49" s="182">
        <f t="shared" si="4"/>
        <v>0</v>
      </c>
      <c r="S49" s="33"/>
      <c r="T49" s="33"/>
      <c r="U49" s="33"/>
    </row>
    <row r="50" spans="1:21">
      <c r="A50" t="s">
        <v>433</v>
      </c>
      <c r="B50" s="182">
        <f>+'KY_Res by Plant Acct-P29 (Fin)'!B50+'KY_Res by Plant Acct-P29 (PA)'!B49</f>
        <v>56880.53</v>
      </c>
      <c r="C50" s="52"/>
      <c r="D50" s="182">
        <f>+'KY_Res by Plant Acct-P29 (Fin)'!D50+'KY_Res by Plant Acct-P29 (PA)'!D49</f>
        <v>0</v>
      </c>
      <c r="E50" s="52"/>
      <c r="F50" s="182">
        <f>+'KY_Res by Plant Acct-P29 (Fin)'!F50+'KY_Res by Plant Acct-P29 (PA)'!F49</f>
        <v>0</v>
      </c>
      <c r="G50" s="52"/>
      <c r="H50" s="182">
        <f>+'KY_Res by Plant Acct-P29 (Fin)'!H50+'KY_Res by Plant Acct-P29 (PA)'!H49</f>
        <v>0</v>
      </c>
      <c r="I50" s="52"/>
      <c r="J50" s="182">
        <f>+'KY_Res by Plant Acct-P29 (Fin)'!J50+'KY_Res by Plant Acct-P29 (PA)'!J49</f>
        <v>0</v>
      </c>
      <c r="K50" s="52"/>
      <c r="L50" s="182">
        <f>+'KY_Res by Plant Acct-P29 (Fin)'!L50+'KY_Res by Plant Acct-P29 (PA)'!L49</f>
        <v>0</v>
      </c>
      <c r="M50" s="52"/>
      <c r="N50" s="182">
        <f>+'KY_Res by Plant Acct-P29 (Fin)'!N50+'KY_Res by Plant Acct-P29 (PA)'!N49</f>
        <v>0</v>
      </c>
      <c r="O50" s="52"/>
      <c r="P50" s="182">
        <f>+'KY_Res by Plant Acct-P29 (Fin)'!P50+'KY_Res by Plant Acct-P29 (PA)'!P49</f>
        <v>0</v>
      </c>
      <c r="Q50" s="52"/>
      <c r="R50" s="182">
        <f t="shared" si="4"/>
        <v>56880.53</v>
      </c>
      <c r="S50" s="33"/>
      <c r="T50" s="33"/>
      <c r="U50" s="33"/>
    </row>
    <row r="51" spans="1:21">
      <c r="A51" t="s">
        <v>434</v>
      </c>
      <c r="B51" s="48">
        <f>+'KY_Res by Plant Acct-P29 (Fin)'!B51+'KY_Res by Plant Acct-P29 (PA)'!B50</f>
        <v>-2112.6200000000099</v>
      </c>
      <c r="C51" s="52"/>
      <c r="D51" s="48">
        <f>+'KY_Res by Plant Acct-P29 (Fin)'!D51+'KY_Res by Plant Acct-P29 (PA)'!D50</f>
        <v>-437.13</v>
      </c>
      <c r="E51" s="52"/>
      <c r="F51" s="48">
        <f>+'KY_Res by Plant Acct-P29 (Fin)'!F51+'KY_Res by Plant Acct-P29 (PA)'!F50</f>
        <v>0</v>
      </c>
      <c r="G51" s="52"/>
      <c r="H51" s="48">
        <f>+'KY_Res by Plant Acct-P29 (Fin)'!H51+'KY_Res by Plant Acct-P29 (PA)'!H50</f>
        <v>0</v>
      </c>
      <c r="I51" s="52"/>
      <c r="J51" s="48">
        <f>+'KY_Res by Plant Acct-P29 (Fin)'!J51+'KY_Res by Plant Acct-P29 (PA)'!J50</f>
        <v>0</v>
      </c>
      <c r="K51" s="52"/>
      <c r="L51" s="48">
        <f>+'KY_Res by Plant Acct-P29 (Fin)'!L51+'KY_Res by Plant Acct-P29 (PA)'!L50</f>
        <v>0</v>
      </c>
      <c r="M51" s="52"/>
      <c r="N51" s="48">
        <f>+'KY_Res by Plant Acct-P29 (Fin)'!N51+'KY_Res by Plant Acct-P29 (PA)'!N50</f>
        <v>0</v>
      </c>
      <c r="O51" s="52"/>
      <c r="P51" s="48">
        <f>+'KY_Res by Plant Acct-P29 (Fin)'!P51+'KY_Res by Plant Acct-P29 (PA)'!P50</f>
        <v>0</v>
      </c>
      <c r="Q51" s="52"/>
      <c r="R51" s="48">
        <f t="shared" si="4"/>
        <v>-2549.75000000001</v>
      </c>
      <c r="S51" s="37"/>
      <c r="T51" s="33"/>
      <c r="U51" s="33"/>
    </row>
    <row r="52" spans="1:21">
      <c r="B52" s="52">
        <f>SUM(B40:B51)</f>
        <v>576315.89</v>
      </c>
      <c r="C52" s="52"/>
      <c r="D52" s="52">
        <f t="shared" ref="D52:R52" si="5">SUM(D40:D51)</f>
        <v>-152644.28000000003</v>
      </c>
      <c r="E52" s="52"/>
      <c r="F52" s="52">
        <f t="shared" si="5"/>
        <v>-18.109999999999957</v>
      </c>
      <c r="G52" s="52"/>
      <c r="H52" s="52">
        <f t="shared" si="5"/>
        <v>0</v>
      </c>
      <c r="I52" s="52"/>
      <c r="J52" s="52">
        <f t="shared" si="5"/>
        <v>0</v>
      </c>
      <c r="K52" s="52"/>
      <c r="L52" s="52">
        <f t="shared" si="5"/>
        <v>1017.4</v>
      </c>
      <c r="M52" s="52"/>
      <c r="N52" s="52">
        <f t="shared" si="5"/>
        <v>0</v>
      </c>
      <c r="O52" s="52"/>
      <c r="P52" s="52">
        <f t="shared" si="5"/>
        <v>0</v>
      </c>
      <c r="Q52" s="52"/>
      <c r="R52" s="52">
        <f t="shared" si="5"/>
        <v>424670.90000000014</v>
      </c>
      <c r="S52" s="37"/>
      <c r="T52" s="33"/>
      <c r="U52" s="33"/>
    </row>
    <row r="53" spans="1:21">
      <c r="B53" s="182"/>
      <c r="C53" s="52"/>
      <c r="D53" s="182"/>
      <c r="E53" s="52"/>
      <c r="F53" s="182"/>
      <c r="G53" s="52"/>
      <c r="H53" s="182"/>
      <c r="I53" s="52"/>
      <c r="J53" s="182"/>
      <c r="K53" s="52"/>
      <c r="L53" s="182"/>
      <c r="M53" s="52"/>
      <c r="N53" s="182"/>
      <c r="O53" s="52"/>
      <c r="P53" s="182"/>
      <c r="Q53" s="52"/>
      <c r="R53" s="182"/>
      <c r="S53" s="33"/>
      <c r="T53" s="33"/>
      <c r="U53" s="33"/>
    </row>
    <row r="54" spans="1:21">
      <c r="A54" s="3" t="s">
        <v>117</v>
      </c>
      <c r="B54" s="182"/>
      <c r="C54" s="52"/>
      <c r="D54" s="182"/>
      <c r="E54" s="52"/>
      <c r="F54" s="182"/>
      <c r="G54" s="52"/>
      <c r="H54" s="182"/>
      <c r="I54" s="52"/>
      <c r="J54" s="182"/>
      <c r="K54" s="52"/>
      <c r="L54" s="182"/>
      <c r="M54" s="52"/>
      <c r="N54" s="182"/>
      <c r="O54" s="52"/>
      <c r="P54" s="182"/>
      <c r="Q54" s="52"/>
      <c r="R54" s="182"/>
      <c r="S54" s="33"/>
      <c r="T54" s="33"/>
      <c r="U54" s="33"/>
    </row>
    <row r="55" spans="1:21">
      <c r="A55" t="s">
        <v>417</v>
      </c>
      <c r="B55" s="182">
        <f>+'KY_Res by Plant Acct-P29 (Fin)'!B55+'KY_Res by Plant Acct-P29 (PA)'!B54</f>
        <v>0</v>
      </c>
      <c r="C55" s="52"/>
      <c r="D55" s="182">
        <f>+'KY_Res by Plant Acct-P29 (Fin)'!D55+'KY_Res by Plant Acct-P29 (PA)'!D54</f>
        <v>0</v>
      </c>
      <c r="E55" s="52"/>
      <c r="F55" s="182">
        <f>+'KY_Res by Plant Acct-P29 (Fin)'!F55+'KY_Res by Plant Acct-P29 (PA)'!F54</f>
        <v>0</v>
      </c>
      <c r="G55" s="52"/>
      <c r="H55" s="182">
        <f>+'KY_Res by Plant Acct-P29 (Fin)'!H55+'KY_Res by Plant Acct-P29 (PA)'!H54</f>
        <v>0</v>
      </c>
      <c r="I55" s="52"/>
      <c r="J55" s="182">
        <f>+'KY_Res by Plant Acct-P29 (Fin)'!J55+'KY_Res by Plant Acct-P29 (PA)'!J54</f>
        <v>0</v>
      </c>
      <c r="K55" s="52"/>
      <c r="L55" s="182">
        <f>+'KY_Res by Plant Acct-P29 (Fin)'!L55+'KY_Res by Plant Acct-P29 (PA)'!L54</f>
        <v>0</v>
      </c>
      <c r="M55" s="52"/>
      <c r="N55" s="182">
        <f>+'KY_Res by Plant Acct-P29 (Fin)'!N55+'KY_Res by Plant Acct-P29 (PA)'!N54</f>
        <v>0</v>
      </c>
      <c r="O55" s="52"/>
      <c r="P55" s="182">
        <f>+'KY_Res by Plant Acct-P29 (Fin)'!P55+'KY_Res by Plant Acct-P29 (PA)'!P54</f>
        <v>0</v>
      </c>
      <c r="Q55" s="52"/>
      <c r="R55" s="182">
        <f t="shared" ref="R55:R122" si="6">SUM(B55:P55)</f>
        <v>0</v>
      </c>
      <c r="S55" s="33"/>
      <c r="T55" s="33"/>
      <c r="U55" s="33"/>
    </row>
    <row r="56" spans="1:21">
      <c r="A56" t="s">
        <v>980</v>
      </c>
      <c r="B56" s="182">
        <f>+'KY_Res by Plant Acct-P29 (Fin)'!B56+'KY_Res by Plant Acct-P29 (PA)'!B55</f>
        <v>0</v>
      </c>
      <c r="C56" s="52"/>
      <c r="D56" s="182">
        <f>+'KY_Res by Plant Acct-P29 (Fin)'!D56+'KY_Res by Plant Acct-P29 (PA)'!D55</f>
        <v>0</v>
      </c>
      <c r="E56" s="52"/>
      <c r="F56" s="182">
        <f>+'KY_Res by Plant Acct-P29 (Fin)'!F56+'KY_Res by Plant Acct-P29 (PA)'!F55</f>
        <v>0</v>
      </c>
      <c r="G56" s="52"/>
      <c r="H56" s="182">
        <f>+'KY_Res by Plant Acct-P29 (Fin)'!H56+'KY_Res by Plant Acct-P29 (PA)'!H55</f>
        <v>0</v>
      </c>
      <c r="I56" s="52"/>
      <c r="J56" s="182">
        <f>+'KY_Res by Plant Acct-P29 (Fin)'!J56+'KY_Res by Plant Acct-P29 (PA)'!J55</f>
        <v>0</v>
      </c>
      <c r="K56" s="52"/>
      <c r="L56" s="182">
        <f>+'KY_Res by Plant Acct-P29 (Fin)'!L56+'KY_Res by Plant Acct-P29 (PA)'!L55</f>
        <v>0</v>
      </c>
      <c r="M56" s="52"/>
      <c r="N56" s="182">
        <f>+'KY_Res by Plant Acct-P29 (Fin)'!N56+'KY_Res by Plant Acct-P29 (PA)'!N55</f>
        <v>0</v>
      </c>
      <c r="O56" s="52"/>
      <c r="P56" s="182">
        <f>+'KY_Res by Plant Acct-P29 (Fin)'!P56+'KY_Res by Plant Acct-P29 (PA)'!P55</f>
        <v>0</v>
      </c>
      <c r="Q56" s="52"/>
      <c r="R56" s="182">
        <f t="shared" si="6"/>
        <v>0</v>
      </c>
      <c r="S56" s="33"/>
      <c r="T56" s="33"/>
      <c r="U56" s="33"/>
    </row>
    <row r="57" spans="1:21" s="60" customFormat="1" hidden="1" outlineLevel="1">
      <c r="A57" s="60" t="s">
        <v>668</v>
      </c>
      <c r="B57" s="61">
        <f>+'KY_Res by Plant Acct-P29 (Fin)'!B57+'KY_Res by Plant Acct-P29 (PA)'!B56</f>
        <v>6720</v>
      </c>
      <c r="C57" s="62"/>
      <c r="D57" s="61">
        <f>+'KY_Res by Plant Acct-P29 (Fin)'!D57+'KY_Res by Plant Acct-P29 (PA)'!D56</f>
        <v>-708.59999999999991</v>
      </c>
      <c r="E57" s="62"/>
      <c r="F57" s="61">
        <f>+'KY_Res by Plant Acct-P29 (Fin)'!F57+'KY_Res by Plant Acct-P29 (PA)'!F56</f>
        <v>0</v>
      </c>
      <c r="G57" s="62"/>
      <c r="H57" s="61">
        <f>+'KY_Res by Plant Acct-P29 (Fin)'!H57+'KY_Res by Plant Acct-P29 (PA)'!H56</f>
        <v>0</v>
      </c>
      <c r="I57" s="62"/>
      <c r="J57" s="61">
        <f>+'KY_Res by Plant Acct-P29 (Fin)'!J57+'KY_Res by Plant Acct-P29 (PA)'!J56</f>
        <v>0</v>
      </c>
      <c r="K57" s="62"/>
      <c r="L57" s="61">
        <f>+'KY_Res by Plant Acct-P29 (Fin)'!L57+'KY_Res by Plant Acct-P29 (PA)'!L56</f>
        <v>0</v>
      </c>
      <c r="M57" s="62"/>
      <c r="N57" s="61">
        <f>+'KY_Res by Plant Acct-P29 (Fin)'!N57+'KY_Res by Plant Acct-P29 (PA)'!N56</f>
        <v>0</v>
      </c>
      <c r="O57" s="62"/>
      <c r="P57" s="61">
        <f>+'KY_Res by Plant Acct-P29 (Fin)'!P57+'KY_Res by Plant Acct-P29 (PA)'!P56</f>
        <v>0</v>
      </c>
      <c r="Q57" s="62"/>
      <c r="R57" s="61">
        <f t="shared" si="6"/>
        <v>6011.4</v>
      </c>
      <c r="S57" s="63"/>
      <c r="T57" s="63"/>
      <c r="U57" s="63"/>
    </row>
    <row r="58" spans="1:21" s="60" customFormat="1" hidden="1" outlineLevel="1">
      <c r="A58" s="60" t="s">
        <v>982</v>
      </c>
      <c r="B58" s="61">
        <f>+'KY_Res by Plant Acct-P29 (Fin)'!B58+'KY_Res by Plant Acct-P29 (PA)'!B57</f>
        <v>-35966.52999999997</v>
      </c>
      <c r="C58" s="62"/>
      <c r="D58" s="61">
        <f>+'KY_Res by Plant Acct-P29 (Fin)'!D58+'KY_Res by Plant Acct-P29 (PA)'!D57</f>
        <v>-6546.36</v>
      </c>
      <c r="E58" s="62"/>
      <c r="F58" s="61">
        <f>+'KY_Res by Plant Acct-P29 (Fin)'!F58+'KY_Res by Plant Acct-P29 (PA)'!F57</f>
        <v>0</v>
      </c>
      <c r="G58" s="62"/>
      <c r="H58" s="61">
        <f>+'KY_Res by Plant Acct-P29 (Fin)'!H58+'KY_Res by Plant Acct-P29 (PA)'!H57</f>
        <v>0</v>
      </c>
      <c r="I58" s="62"/>
      <c r="J58" s="61">
        <f>+'KY_Res by Plant Acct-P29 (Fin)'!J58+'KY_Res by Plant Acct-P29 (PA)'!J57</f>
        <v>0</v>
      </c>
      <c r="K58" s="62"/>
      <c r="L58" s="61">
        <f>+'KY_Res by Plant Acct-P29 (Fin)'!L58+'KY_Res by Plant Acct-P29 (PA)'!L57</f>
        <v>0</v>
      </c>
      <c r="M58" s="62"/>
      <c r="N58" s="61">
        <f>+'KY_Res by Plant Acct-P29 (Fin)'!N58+'KY_Res by Plant Acct-P29 (PA)'!N57</f>
        <v>0</v>
      </c>
      <c r="O58" s="62"/>
      <c r="P58" s="61">
        <f>+'KY_Res by Plant Acct-P29 (Fin)'!P58+'KY_Res by Plant Acct-P29 (PA)'!P57</f>
        <v>0</v>
      </c>
      <c r="Q58" s="62"/>
      <c r="R58" s="61">
        <f t="shared" si="6"/>
        <v>-42512.88999999997</v>
      </c>
      <c r="S58" s="63"/>
      <c r="T58" s="63"/>
      <c r="U58" s="63"/>
    </row>
    <row r="59" spans="1:21" s="60" customFormat="1" hidden="1" outlineLevel="1">
      <c r="A59" s="60" t="s">
        <v>1017</v>
      </c>
      <c r="B59" s="61">
        <f>+'KY_Res by Plant Acct-P29 (Fin)'!B59+'KY_Res by Plant Acct-P29 (PA)'!B58</f>
        <v>-4664.0399999999972</v>
      </c>
      <c r="C59" s="62"/>
      <c r="D59" s="61">
        <f>+'KY_Res by Plant Acct-P29 (Fin)'!D59+'KY_Res by Plant Acct-P29 (PA)'!D58</f>
        <v>-839.87999999999988</v>
      </c>
      <c r="E59" s="62"/>
      <c r="F59" s="61">
        <f>+'KY_Res by Plant Acct-P29 (Fin)'!F59+'KY_Res by Plant Acct-P29 (PA)'!F58</f>
        <v>0</v>
      </c>
      <c r="G59" s="62"/>
      <c r="H59" s="61">
        <f>+'KY_Res by Plant Acct-P29 (Fin)'!H59+'KY_Res by Plant Acct-P29 (PA)'!H58</f>
        <v>0</v>
      </c>
      <c r="I59" s="62"/>
      <c r="J59" s="61">
        <f>+'KY_Res by Plant Acct-P29 (Fin)'!J59+'KY_Res by Plant Acct-P29 (PA)'!J58</f>
        <v>0</v>
      </c>
      <c r="K59" s="62"/>
      <c r="L59" s="61">
        <f>+'KY_Res by Plant Acct-P29 (Fin)'!L59+'KY_Res by Plant Acct-P29 (PA)'!L58</f>
        <v>0</v>
      </c>
      <c r="M59" s="62"/>
      <c r="N59" s="61">
        <f>+'KY_Res by Plant Acct-P29 (Fin)'!N59+'KY_Res by Plant Acct-P29 (PA)'!N58</f>
        <v>0</v>
      </c>
      <c r="O59" s="62"/>
      <c r="P59" s="61">
        <f>+'KY_Res by Plant Acct-P29 (Fin)'!P59+'KY_Res by Plant Acct-P29 (PA)'!P58</f>
        <v>0</v>
      </c>
      <c r="Q59" s="62"/>
      <c r="R59" s="61">
        <f t="shared" si="6"/>
        <v>-5503.9199999999973</v>
      </c>
      <c r="S59" s="63"/>
      <c r="T59" s="63"/>
      <c r="U59" s="63"/>
    </row>
    <row r="60" spans="1:21" s="60" customFormat="1" hidden="1" outlineLevel="1">
      <c r="A60" s="60" t="s">
        <v>1048</v>
      </c>
      <c r="B60" s="61">
        <f>+'KY_Res by Plant Acct-P29 (Fin)'!B60+'KY_Res by Plant Acct-P29 (PA)'!B59</f>
        <v>-6321.8599999999933</v>
      </c>
      <c r="C60" s="62"/>
      <c r="D60" s="61">
        <f>+'KY_Res by Plant Acct-P29 (Fin)'!D60+'KY_Res by Plant Acct-P29 (PA)'!D59</f>
        <v>-1125.99</v>
      </c>
      <c r="E60" s="62"/>
      <c r="F60" s="61">
        <f>+'KY_Res by Plant Acct-P29 (Fin)'!F60+'KY_Res by Plant Acct-P29 (PA)'!F59</f>
        <v>0</v>
      </c>
      <c r="G60" s="62"/>
      <c r="H60" s="61">
        <f>+'KY_Res by Plant Acct-P29 (Fin)'!H60+'KY_Res by Plant Acct-P29 (PA)'!H59</f>
        <v>0</v>
      </c>
      <c r="I60" s="62"/>
      <c r="J60" s="61">
        <f>+'KY_Res by Plant Acct-P29 (Fin)'!J60+'KY_Res by Plant Acct-P29 (PA)'!J59</f>
        <v>0</v>
      </c>
      <c r="K60" s="62"/>
      <c r="L60" s="61">
        <f>+'KY_Res by Plant Acct-P29 (Fin)'!L60+'KY_Res by Plant Acct-P29 (PA)'!L59</f>
        <v>0</v>
      </c>
      <c r="M60" s="62"/>
      <c r="N60" s="61">
        <f>+'KY_Res by Plant Acct-P29 (Fin)'!N60+'KY_Res by Plant Acct-P29 (PA)'!N59</f>
        <v>0</v>
      </c>
      <c r="O60" s="62"/>
      <c r="P60" s="61">
        <f>+'KY_Res by Plant Acct-P29 (Fin)'!P60+'KY_Res by Plant Acct-P29 (PA)'!P59</f>
        <v>0</v>
      </c>
      <c r="Q60" s="62"/>
      <c r="R60" s="61">
        <f t="shared" si="6"/>
        <v>-7447.8499999999931</v>
      </c>
      <c r="S60" s="63"/>
      <c r="T60" s="63"/>
      <c r="U60" s="63"/>
    </row>
    <row r="61" spans="1:21" s="60" customFormat="1" hidden="1" outlineLevel="1">
      <c r="A61" s="60" t="s">
        <v>264</v>
      </c>
      <c r="B61" s="61">
        <f>+'KY_Res by Plant Acct-P29 (Fin)'!B61+'KY_Res by Plant Acct-P29 (PA)'!B60</f>
        <v>-3429.1900000000023</v>
      </c>
      <c r="C61" s="62"/>
      <c r="D61" s="61">
        <f>+'KY_Res by Plant Acct-P29 (Fin)'!D61+'KY_Res by Plant Acct-P29 (PA)'!D60</f>
        <v>-96.149999999999991</v>
      </c>
      <c r="E61" s="62"/>
      <c r="F61" s="61">
        <f>+'KY_Res by Plant Acct-P29 (Fin)'!F61+'KY_Res by Plant Acct-P29 (PA)'!F60</f>
        <v>0</v>
      </c>
      <c r="G61" s="62"/>
      <c r="H61" s="61">
        <f>+'KY_Res by Plant Acct-P29 (Fin)'!H61+'KY_Res by Plant Acct-P29 (PA)'!H60</f>
        <v>0</v>
      </c>
      <c r="I61" s="62"/>
      <c r="J61" s="61">
        <f>+'KY_Res by Plant Acct-P29 (Fin)'!J61+'KY_Res by Plant Acct-P29 (PA)'!J60</f>
        <v>0</v>
      </c>
      <c r="K61" s="62"/>
      <c r="L61" s="61">
        <f>+'KY_Res by Plant Acct-P29 (Fin)'!L61+'KY_Res by Plant Acct-P29 (PA)'!L60</f>
        <v>0</v>
      </c>
      <c r="M61" s="62"/>
      <c r="N61" s="61">
        <f>+'KY_Res by Plant Acct-P29 (Fin)'!N61+'KY_Res by Plant Acct-P29 (PA)'!N60</f>
        <v>0</v>
      </c>
      <c r="O61" s="62"/>
      <c r="P61" s="61">
        <f>+'KY_Res by Plant Acct-P29 (Fin)'!P61+'KY_Res by Plant Acct-P29 (PA)'!P60</f>
        <v>0</v>
      </c>
      <c r="Q61" s="62"/>
      <c r="R61" s="61">
        <f t="shared" si="6"/>
        <v>-3525.3400000000024</v>
      </c>
      <c r="S61" s="63"/>
      <c r="T61" s="63"/>
      <c r="U61" s="63"/>
    </row>
    <row r="62" spans="1:21" s="60" customFormat="1" hidden="1" outlineLevel="1">
      <c r="A62" s="60" t="s">
        <v>663</v>
      </c>
      <c r="B62" s="61">
        <f>+'KY_Res by Plant Acct-P29 (Fin)'!B62+'KY_Res by Plant Acct-P29 (PA)'!B61</f>
        <v>-90433.930000000051</v>
      </c>
      <c r="C62" s="62"/>
      <c r="D62" s="61">
        <f>+'KY_Res by Plant Acct-P29 (Fin)'!D62+'KY_Res by Plant Acct-P29 (PA)'!D61</f>
        <v>-16460.07</v>
      </c>
      <c r="E62" s="62"/>
      <c r="F62" s="61">
        <f>+'KY_Res by Plant Acct-P29 (Fin)'!F62+'KY_Res by Plant Acct-P29 (PA)'!F61</f>
        <v>0</v>
      </c>
      <c r="G62" s="62"/>
      <c r="H62" s="61">
        <f>+'KY_Res by Plant Acct-P29 (Fin)'!H62+'KY_Res by Plant Acct-P29 (PA)'!H61</f>
        <v>0</v>
      </c>
      <c r="I62" s="62"/>
      <c r="J62" s="61">
        <f>+'KY_Res by Plant Acct-P29 (Fin)'!J62+'KY_Res by Plant Acct-P29 (PA)'!J61</f>
        <v>0</v>
      </c>
      <c r="K62" s="62"/>
      <c r="L62" s="61">
        <f>+'KY_Res by Plant Acct-P29 (Fin)'!L62+'KY_Res by Plant Acct-P29 (PA)'!L61</f>
        <v>0</v>
      </c>
      <c r="M62" s="62"/>
      <c r="N62" s="61">
        <f>+'KY_Res by Plant Acct-P29 (Fin)'!N62+'KY_Res by Plant Acct-P29 (PA)'!N61</f>
        <v>0</v>
      </c>
      <c r="O62" s="62"/>
      <c r="P62" s="61">
        <f>+'KY_Res by Plant Acct-P29 (Fin)'!P62+'KY_Res by Plant Acct-P29 (PA)'!P61</f>
        <v>0</v>
      </c>
      <c r="Q62" s="62"/>
      <c r="R62" s="61">
        <f t="shared" si="6"/>
        <v>-106894.00000000006</v>
      </c>
      <c r="S62" s="63"/>
      <c r="T62" s="63"/>
      <c r="U62" s="63"/>
    </row>
    <row r="63" spans="1:21" s="60" customFormat="1" hidden="1" outlineLevel="1">
      <c r="A63" s="60" t="s">
        <v>1019</v>
      </c>
      <c r="B63" s="61">
        <f>+'KY_Res by Plant Acct-P29 (Fin)'!B63+'KY_Res by Plant Acct-P29 (PA)'!B62</f>
        <v>-87586.660000000033</v>
      </c>
      <c r="C63" s="62"/>
      <c r="D63" s="61">
        <f>+'KY_Res by Plant Acct-P29 (Fin)'!D63+'KY_Res by Plant Acct-P29 (PA)'!D62</f>
        <v>-17808.810000000001</v>
      </c>
      <c r="E63" s="62"/>
      <c r="F63" s="61">
        <f>+'KY_Res by Plant Acct-P29 (Fin)'!F63+'KY_Res by Plant Acct-P29 (PA)'!F62</f>
        <v>0</v>
      </c>
      <c r="G63" s="62"/>
      <c r="H63" s="61">
        <f>+'KY_Res by Plant Acct-P29 (Fin)'!H63+'KY_Res by Plant Acct-P29 (PA)'!H62</f>
        <v>0</v>
      </c>
      <c r="I63" s="62"/>
      <c r="J63" s="61">
        <f>+'KY_Res by Plant Acct-P29 (Fin)'!J63+'KY_Res by Plant Acct-P29 (PA)'!J62</f>
        <v>0</v>
      </c>
      <c r="K63" s="62"/>
      <c r="L63" s="61">
        <f>+'KY_Res by Plant Acct-P29 (Fin)'!L63+'KY_Res by Plant Acct-P29 (PA)'!L62</f>
        <v>0</v>
      </c>
      <c r="M63" s="62"/>
      <c r="N63" s="61">
        <f>+'KY_Res by Plant Acct-P29 (Fin)'!N63+'KY_Res by Plant Acct-P29 (PA)'!N62</f>
        <v>0</v>
      </c>
      <c r="O63" s="62"/>
      <c r="P63" s="61">
        <f>+'KY_Res by Plant Acct-P29 (Fin)'!P63+'KY_Res by Plant Acct-P29 (PA)'!P62</f>
        <v>0</v>
      </c>
      <c r="Q63" s="62"/>
      <c r="R63" s="61">
        <f t="shared" si="6"/>
        <v>-105395.47000000003</v>
      </c>
      <c r="S63" s="63"/>
      <c r="T63" s="63"/>
      <c r="U63" s="63"/>
    </row>
    <row r="64" spans="1:21" s="60" customFormat="1" hidden="1" outlineLevel="1">
      <c r="A64" s="60" t="s">
        <v>265</v>
      </c>
      <c r="B64" s="61">
        <f>+'KY_Res by Plant Acct-P29 (Fin)'!B64+'KY_Res by Plant Acct-P29 (PA)'!B63</f>
        <v>-62669.809999999939</v>
      </c>
      <c r="C64" s="62"/>
      <c r="D64" s="61">
        <f>+'KY_Res by Plant Acct-P29 (Fin)'!D64+'KY_Res by Plant Acct-P29 (PA)'!D63</f>
        <v>-12289.68</v>
      </c>
      <c r="E64" s="62"/>
      <c r="F64" s="61">
        <f>+'KY_Res by Plant Acct-P29 (Fin)'!F64+'KY_Res by Plant Acct-P29 (PA)'!F63</f>
        <v>0</v>
      </c>
      <c r="G64" s="62"/>
      <c r="H64" s="61">
        <f>+'KY_Res by Plant Acct-P29 (Fin)'!H64+'KY_Res by Plant Acct-P29 (PA)'!H63</f>
        <v>0</v>
      </c>
      <c r="I64" s="62"/>
      <c r="J64" s="61">
        <f>+'KY_Res by Plant Acct-P29 (Fin)'!J64+'KY_Res by Plant Acct-P29 (PA)'!J63</f>
        <v>0</v>
      </c>
      <c r="K64" s="62"/>
      <c r="L64" s="61">
        <f>+'KY_Res by Plant Acct-P29 (Fin)'!L64+'KY_Res by Plant Acct-P29 (PA)'!L63</f>
        <v>0</v>
      </c>
      <c r="M64" s="62"/>
      <c r="N64" s="61">
        <f>+'KY_Res by Plant Acct-P29 (Fin)'!N64+'KY_Res by Plant Acct-P29 (PA)'!N63</f>
        <v>0</v>
      </c>
      <c r="O64" s="62"/>
      <c r="P64" s="61">
        <f>+'KY_Res by Plant Acct-P29 (Fin)'!P64+'KY_Res by Plant Acct-P29 (PA)'!P63</f>
        <v>0</v>
      </c>
      <c r="Q64" s="62"/>
      <c r="R64" s="61">
        <f t="shared" si="6"/>
        <v>-74959.489999999932</v>
      </c>
      <c r="S64" s="63"/>
      <c r="T64" s="63"/>
      <c r="U64" s="63"/>
    </row>
    <row r="65" spans="1:21" s="60" customFormat="1" hidden="1" outlineLevel="1">
      <c r="A65" s="60" t="s">
        <v>261</v>
      </c>
      <c r="B65" s="61">
        <f>+'KY_Res by Plant Acct-P29 (Fin)'!B65+'KY_Res by Plant Acct-P29 (PA)'!B64</f>
        <v>-58907.570000000065</v>
      </c>
      <c r="C65" s="62"/>
      <c r="D65" s="61">
        <f>+'KY_Res by Plant Acct-P29 (Fin)'!D65+'KY_Res by Plant Acct-P29 (PA)'!D64</f>
        <v>-11523.210000000001</v>
      </c>
      <c r="E65" s="62"/>
      <c r="F65" s="61">
        <f>+'KY_Res by Plant Acct-P29 (Fin)'!F65+'KY_Res by Plant Acct-P29 (PA)'!F64</f>
        <v>0</v>
      </c>
      <c r="G65" s="62"/>
      <c r="H65" s="61">
        <f>+'KY_Res by Plant Acct-P29 (Fin)'!H65+'KY_Res by Plant Acct-P29 (PA)'!H64</f>
        <v>0</v>
      </c>
      <c r="I65" s="62"/>
      <c r="J65" s="61">
        <f>+'KY_Res by Plant Acct-P29 (Fin)'!J65+'KY_Res by Plant Acct-P29 (PA)'!J64</f>
        <v>0</v>
      </c>
      <c r="K65" s="62"/>
      <c r="L65" s="61">
        <f>+'KY_Res by Plant Acct-P29 (Fin)'!L65+'KY_Res by Plant Acct-P29 (PA)'!L64</f>
        <v>0</v>
      </c>
      <c r="M65" s="62"/>
      <c r="N65" s="61">
        <f>+'KY_Res by Plant Acct-P29 (Fin)'!N65+'KY_Res by Plant Acct-P29 (PA)'!N64</f>
        <v>0</v>
      </c>
      <c r="O65" s="62"/>
      <c r="P65" s="61">
        <f>+'KY_Res by Plant Acct-P29 (Fin)'!P65+'KY_Res by Plant Acct-P29 (PA)'!P64</f>
        <v>0</v>
      </c>
      <c r="Q65" s="62"/>
      <c r="R65" s="61">
        <f t="shared" si="6"/>
        <v>-70430.780000000072</v>
      </c>
      <c r="S65" s="63"/>
      <c r="T65" s="63"/>
      <c r="U65" s="63"/>
    </row>
    <row r="66" spans="1:21" s="60" customFormat="1" hidden="1" outlineLevel="1">
      <c r="A66" s="60" t="s">
        <v>1038</v>
      </c>
      <c r="B66" s="61">
        <f>+'KY_Res by Plant Acct-P29 (Fin)'!B66+'KY_Res by Plant Acct-P29 (PA)'!B65</f>
        <v>-85570.590000000026</v>
      </c>
      <c r="C66" s="62"/>
      <c r="D66" s="61">
        <f>+'KY_Res by Plant Acct-P29 (Fin)'!D66+'KY_Res by Plant Acct-P29 (PA)'!D65</f>
        <v>-17398.89</v>
      </c>
      <c r="E66" s="62"/>
      <c r="F66" s="61">
        <f>+'KY_Res by Plant Acct-P29 (Fin)'!F66+'KY_Res by Plant Acct-P29 (PA)'!F65</f>
        <v>0</v>
      </c>
      <c r="G66" s="62"/>
      <c r="H66" s="61">
        <f>+'KY_Res by Plant Acct-P29 (Fin)'!H66+'KY_Res by Plant Acct-P29 (PA)'!H65</f>
        <v>0</v>
      </c>
      <c r="I66" s="62"/>
      <c r="J66" s="61">
        <f>+'KY_Res by Plant Acct-P29 (Fin)'!J66+'KY_Res by Plant Acct-P29 (PA)'!J65</f>
        <v>0</v>
      </c>
      <c r="K66" s="62"/>
      <c r="L66" s="61">
        <f>+'KY_Res by Plant Acct-P29 (Fin)'!L66+'KY_Res by Plant Acct-P29 (PA)'!L65</f>
        <v>0</v>
      </c>
      <c r="M66" s="62"/>
      <c r="N66" s="61">
        <f>+'KY_Res by Plant Acct-P29 (Fin)'!N66+'KY_Res by Plant Acct-P29 (PA)'!N65</f>
        <v>0</v>
      </c>
      <c r="O66" s="62"/>
      <c r="P66" s="61">
        <f>+'KY_Res by Plant Acct-P29 (Fin)'!P66+'KY_Res by Plant Acct-P29 (PA)'!P65</f>
        <v>0</v>
      </c>
      <c r="Q66" s="62"/>
      <c r="R66" s="61">
        <f t="shared" si="6"/>
        <v>-102969.48000000003</v>
      </c>
      <c r="S66" s="63"/>
      <c r="T66" s="63"/>
      <c r="U66" s="63"/>
    </row>
    <row r="67" spans="1:21" s="60" customFormat="1" hidden="1" outlineLevel="1">
      <c r="A67" s="60" t="s">
        <v>256</v>
      </c>
      <c r="B67" s="61">
        <f>+'KY_Res by Plant Acct-P29 (Fin)'!B67+'KY_Res by Plant Acct-P29 (PA)'!B66</f>
        <v>-85234.869999999937</v>
      </c>
      <c r="C67" s="62"/>
      <c r="D67" s="61">
        <f>+'KY_Res by Plant Acct-P29 (Fin)'!D67+'KY_Res by Plant Acct-P29 (PA)'!D66</f>
        <v>-17330.64</v>
      </c>
      <c r="E67" s="62"/>
      <c r="F67" s="61">
        <f>+'KY_Res by Plant Acct-P29 (Fin)'!F67+'KY_Res by Plant Acct-P29 (PA)'!F66</f>
        <v>0</v>
      </c>
      <c r="G67" s="62"/>
      <c r="H67" s="61">
        <f>+'KY_Res by Plant Acct-P29 (Fin)'!H67+'KY_Res by Plant Acct-P29 (PA)'!H66</f>
        <v>0</v>
      </c>
      <c r="I67" s="62"/>
      <c r="J67" s="61">
        <f>+'KY_Res by Plant Acct-P29 (Fin)'!J67+'KY_Res by Plant Acct-P29 (PA)'!J66</f>
        <v>0</v>
      </c>
      <c r="K67" s="62"/>
      <c r="L67" s="61">
        <f>+'KY_Res by Plant Acct-P29 (Fin)'!L67+'KY_Res by Plant Acct-P29 (PA)'!L66</f>
        <v>0</v>
      </c>
      <c r="M67" s="62"/>
      <c r="N67" s="61">
        <f>+'KY_Res by Plant Acct-P29 (Fin)'!N67+'KY_Res by Plant Acct-P29 (PA)'!N66</f>
        <v>0</v>
      </c>
      <c r="O67" s="62"/>
      <c r="P67" s="61">
        <f>+'KY_Res by Plant Acct-P29 (Fin)'!P67+'KY_Res by Plant Acct-P29 (PA)'!P66</f>
        <v>0</v>
      </c>
      <c r="Q67" s="62"/>
      <c r="R67" s="61">
        <f t="shared" si="6"/>
        <v>-102565.50999999994</v>
      </c>
      <c r="S67" s="63"/>
      <c r="T67" s="63"/>
      <c r="U67" s="63"/>
    </row>
    <row r="68" spans="1:21" s="60" customFormat="1" hidden="1" outlineLevel="1">
      <c r="A68" s="60" t="s">
        <v>694</v>
      </c>
      <c r="B68" s="61">
        <f>+'KY_Res by Plant Acct-P29 (Fin)'!B68+'KY_Res by Plant Acct-P29 (PA)'!B67</f>
        <v>-87775.939999999944</v>
      </c>
      <c r="C68" s="62"/>
      <c r="D68" s="61">
        <f>+'KY_Res by Plant Acct-P29 (Fin)'!D68+'KY_Res by Plant Acct-P29 (PA)'!D67</f>
        <v>-17847.300000000003</v>
      </c>
      <c r="E68" s="62"/>
      <c r="F68" s="61">
        <f>+'KY_Res by Plant Acct-P29 (Fin)'!F68+'KY_Res by Plant Acct-P29 (PA)'!F67</f>
        <v>0</v>
      </c>
      <c r="G68" s="62"/>
      <c r="H68" s="61">
        <f>+'KY_Res by Plant Acct-P29 (Fin)'!H68+'KY_Res by Plant Acct-P29 (PA)'!H67</f>
        <v>0</v>
      </c>
      <c r="I68" s="62"/>
      <c r="J68" s="61">
        <f>+'KY_Res by Plant Acct-P29 (Fin)'!J68+'KY_Res by Plant Acct-P29 (PA)'!J67</f>
        <v>0</v>
      </c>
      <c r="K68" s="62"/>
      <c r="L68" s="61">
        <f>+'KY_Res by Plant Acct-P29 (Fin)'!L68+'KY_Res by Plant Acct-P29 (PA)'!L67</f>
        <v>0</v>
      </c>
      <c r="M68" s="62"/>
      <c r="N68" s="61">
        <f>+'KY_Res by Plant Acct-P29 (Fin)'!N68+'KY_Res by Plant Acct-P29 (PA)'!N67</f>
        <v>0</v>
      </c>
      <c r="O68" s="62"/>
      <c r="P68" s="61">
        <f>+'KY_Res by Plant Acct-P29 (Fin)'!P68+'KY_Res by Plant Acct-P29 (PA)'!P67</f>
        <v>0</v>
      </c>
      <c r="Q68" s="62"/>
      <c r="R68" s="61">
        <f t="shared" si="6"/>
        <v>-105623.23999999995</v>
      </c>
      <c r="S68" s="63"/>
      <c r="T68" s="63"/>
      <c r="U68" s="63"/>
    </row>
    <row r="69" spans="1:21" s="60" customFormat="1" hidden="1" outlineLevel="1">
      <c r="A69" s="60" t="s">
        <v>695</v>
      </c>
      <c r="B69" s="61">
        <f>+'KY_Res by Plant Acct-P29 (Fin)'!B69+'KY_Res by Plant Acct-P29 (PA)'!B68</f>
        <v>0</v>
      </c>
      <c r="C69" s="62"/>
      <c r="D69" s="61">
        <f>+'KY_Res by Plant Acct-P29 (Fin)'!D69+'KY_Res by Plant Acct-P29 (PA)'!D68</f>
        <v>0</v>
      </c>
      <c r="E69" s="62"/>
      <c r="F69" s="61">
        <f>+'KY_Res by Plant Acct-P29 (Fin)'!F69+'KY_Res by Plant Acct-P29 (PA)'!F68</f>
        <v>0</v>
      </c>
      <c r="G69" s="62"/>
      <c r="H69" s="61">
        <f>+'KY_Res by Plant Acct-P29 (Fin)'!H69+'KY_Res by Plant Acct-P29 (PA)'!H68</f>
        <v>0</v>
      </c>
      <c r="I69" s="62"/>
      <c r="J69" s="61">
        <f>+'KY_Res by Plant Acct-P29 (Fin)'!J69+'KY_Res by Plant Acct-P29 (PA)'!J68</f>
        <v>0</v>
      </c>
      <c r="K69" s="62"/>
      <c r="L69" s="61">
        <f>+'KY_Res by Plant Acct-P29 (Fin)'!L69+'KY_Res by Plant Acct-P29 (PA)'!L68</f>
        <v>0</v>
      </c>
      <c r="M69" s="62"/>
      <c r="N69" s="61">
        <f>+'KY_Res by Plant Acct-P29 (Fin)'!N69+'KY_Res by Plant Acct-P29 (PA)'!N68</f>
        <v>0</v>
      </c>
      <c r="O69" s="62"/>
      <c r="P69" s="61">
        <f>+'KY_Res by Plant Acct-P29 (Fin)'!P69+'KY_Res by Plant Acct-P29 (PA)'!P68</f>
        <v>0</v>
      </c>
      <c r="Q69" s="62"/>
      <c r="R69" s="61">
        <f t="shared" si="6"/>
        <v>0</v>
      </c>
      <c r="S69" s="63"/>
      <c r="T69" s="63"/>
      <c r="U69" s="63"/>
    </row>
    <row r="70" spans="1:21" s="60" customFormat="1" hidden="1" outlineLevel="1">
      <c r="A70" s="60" t="s">
        <v>703</v>
      </c>
      <c r="B70" s="61">
        <f>+'KY_Res by Plant Acct-P29 (Fin)'!B70+'KY_Res by Plant Acct-P29 (PA)'!B69</f>
        <v>-625.14999999999964</v>
      </c>
      <c r="C70" s="62"/>
      <c r="D70" s="61">
        <f>+'KY_Res by Plant Acct-P29 (Fin)'!D70+'KY_Res by Plant Acct-P29 (PA)'!D69</f>
        <v>-12.57</v>
      </c>
      <c r="E70" s="62"/>
      <c r="F70" s="61">
        <f>+'KY_Res by Plant Acct-P29 (Fin)'!F70+'KY_Res by Plant Acct-P29 (PA)'!F69</f>
        <v>0</v>
      </c>
      <c r="G70" s="62"/>
      <c r="H70" s="61">
        <f>+'KY_Res by Plant Acct-P29 (Fin)'!H70+'KY_Res by Plant Acct-P29 (PA)'!H69</f>
        <v>0</v>
      </c>
      <c r="I70" s="62"/>
      <c r="J70" s="61">
        <f>+'KY_Res by Plant Acct-P29 (Fin)'!J70+'KY_Res by Plant Acct-P29 (PA)'!J69</f>
        <v>0</v>
      </c>
      <c r="K70" s="62"/>
      <c r="L70" s="61">
        <f>+'KY_Res by Plant Acct-P29 (Fin)'!L70+'KY_Res by Plant Acct-P29 (PA)'!L69</f>
        <v>0</v>
      </c>
      <c r="M70" s="62"/>
      <c r="N70" s="61">
        <f>+'KY_Res by Plant Acct-P29 (Fin)'!N70+'KY_Res by Plant Acct-P29 (PA)'!N69</f>
        <v>0</v>
      </c>
      <c r="O70" s="62"/>
      <c r="P70" s="61">
        <f>+'KY_Res by Plant Acct-P29 (Fin)'!P70+'KY_Res by Plant Acct-P29 (PA)'!P69</f>
        <v>0</v>
      </c>
      <c r="Q70" s="62"/>
      <c r="R70" s="61">
        <f t="shared" si="6"/>
        <v>-637.71999999999969</v>
      </c>
      <c r="S70" s="63"/>
      <c r="T70" s="63"/>
      <c r="U70" s="63"/>
    </row>
    <row r="71" spans="1:21" s="10" customFormat="1" collapsed="1">
      <c r="A71" s="10" t="s">
        <v>793</v>
      </c>
      <c r="B71" s="64">
        <f>+'KY_Res by Plant Acct-P29 (Fin)'!B71+'KY_Res by Plant Acct-P29 (PA)'!B70</f>
        <v>-602466.1399999992</v>
      </c>
      <c r="C71" s="65"/>
      <c r="D71" s="64">
        <f>+'KY_Res by Plant Acct-P29 (Fin)'!D71+'KY_Res by Plant Acct-P29 (PA)'!D70</f>
        <v>-119988.15000000001</v>
      </c>
      <c r="E71" s="65"/>
      <c r="F71" s="64">
        <f>+'KY_Res by Plant Acct-P29 (Fin)'!F71+'KY_Res by Plant Acct-P29 (PA)'!F70</f>
        <v>0</v>
      </c>
      <c r="G71" s="65"/>
      <c r="H71" s="64">
        <f>+'KY_Res by Plant Acct-P29 (Fin)'!H71+'KY_Res by Plant Acct-P29 (PA)'!H70</f>
        <v>0</v>
      </c>
      <c r="I71" s="65"/>
      <c r="J71" s="64">
        <f>+'KY_Res by Plant Acct-P29 (Fin)'!J71+'KY_Res by Plant Acct-P29 (PA)'!J70</f>
        <v>0</v>
      </c>
      <c r="K71" s="65"/>
      <c r="L71" s="64">
        <f>+'KY_Res by Plant Acct-P29 (Fin)'!L71+'KY_Res by Plant Acct-P29 (PA)'!L70</f>
        <v>0</v>
      </c>
      <c r="M71" s="65"/>
      <c r="N71" s="64">
        <f>+'KY_Res by Plant Acct-P29 (Fin)'!N71+'KY_Res by Plant Acct-P29 (PA)'!N70</f>
        <v>0</v>
      </c>
      <c r="O71" s="65"/>
      <c r="P71" s="64">
        <f>+'KY_Res by Plant Acct-P29 (Fin)'!P71+'KY_Res by Plant Acct-P29 (PA)'!P70</f>
        <v>0</v>
      </c>
      <c r="Q71" s="65"/>
      <c r="R71" s="64">
        <f t="shared" ref="R71" si="7">SUM(R57:R70)</f>
        <v>-722454.29</v>
      </c>
      <c r="S71" s="24"/>
      <c r="T71" s="24"/>
      <c r="U71" s="24"/>
    </row>
    <row r="72" spans="1:21" s="60" customFormat="1" hidden="1" outlineLevel="1">
      <c r="A72" s="60" t="s">
        <v>1042</v>
      </c>
      <c r="B72" s="61">
        <f>+'KY_Res by Plant Acct-P29 (Fin)'!B72+'KY_Res by Plant Acct-P29 (PA)'!B71</f>
        <v>18365.599999999999</v>
      </c>
      <c r="C72" s="62"/>
      <c r="D72" s="61">
        <f>+'KY_Res by Plant Acct-P29 (Fin)'!D72+'KY_Res by Plant Acct-P29 (PA)'!D71</f>
        <v>-3070.8</v>
      </c>
      <c r="E72" s="62"/>
      <c r="F72" s="61">
        <f>+'KY_Res by Plant Acct-P29 (Fin)'!F72+'KY_Res by Plant Acct-P29 (PA)'!F71</f>
        <v>0</v>
      </c>
      <c r="G72" s="62"/>
      <c r="H72" s="61">
        <f>+'KY_Res by Plant Acct-P29 (Fin)'!H72+'KY_Res by Plant Acct-P29 (PA)'!H71</f>
        <v>0</v>
      </c>
      <c r="I72" s="62"/>
      <c r="J72" s="61">
        <f>+'KY_Res by Plant Acct-P29 (Fin)'!J72+'KY_Res by Plant Acct-P29 (PA)'!J71</f>
        <v>0</v>
      </c>
      <c r="K72" s="62"/>
      <c r="L72" s="61">
        <f>+'KY_Res by Plant Acct-P29 (Fin)'!L72+'KY_Res by Plant Acct-P29 (PA)'!L71</f>
        <v>0</v>
      </c>
      <c r="M72" s="62"/>
      <c r="N72" s="61">
        <f>+'KY_Res by Plant Acct-P29 (Fin)'!N72+'KY_Res by Plant Acct-P29 (PA)'!N71</f>
        <v>0</v>
      </c>
      <c r="O72" s="62"/>
      <c r="P72" s="61">
        <f>+'KY_Res by Plant Acct-P29 (Fin)'!P72+'KY_Res by Plant Acct-P29 (PA)'!P71</f>
        <v>0</v>
      </c>
      <c r="Q72" s="62"/>
      <c r="R72" s="61">
        <f t="shared" si="6"/>
        <v>15294.8</v>
      </c>
      <c r="S72" s="63"/>
      <c r="T72" s="63"/>
      <c r="U72" s="63"/>
    </row>
    <row r="73" spans="1:21" s="60" customFormat="1" hidden="1" outlineLevel="1">
      <c r="A73" s="60" t="s">
        <v>700</v>
      </c>
      <c r="B73" s="61">
        <f>+'KY_Res by Plant Acct-P29 (Fin)'!B73+'KY_Res by Plant Acct-P29 (PA)'!B72</f>
        <v>-37020.389999999985</v>
      </c>
      <c r="C73" s="62"/>
      <c r="D73" s="61">
        <f>+'KY_Res by Plant Acct-P29 (Fin)'!D73+'KY_Res by Plant Acct-P29 (PA)'!D72</f>
        <v>-6500.01</v>
      </c>
      <c r="E73" s="62"/>
      <c r="F73" s="61">
        <f>+'KY_Res by Plant Acct-P29 (Fin)'!F73+'KY_Res by Plant Acct-P29 (PA)'!F72</f>
        <v>0</v>
      </c>
      <c r="G73" s="62"/>
      <c r="H73" s="61">
        <f>+'KY_Res by Plant Acct-P29 (Fin)'!H73+'KY_Res by Plant Acct-P29 (PA)'!H72</f>
        <v>0</v>
      </c>
      <c r="I73" s="62"/>
      <c r="J73" s="61">
        <f>+'KY_Res by Plant Acct-P29 (Fin)'!J73+'KY_Res by Plant Acct-P29 (PA)'!J72</f>
        <v>0</v>
      </c>
      <c r="K73" s="62"/>
      <c r="L73" s="61">
        <f>+'KY_Res by Plant Acct-P29 (Fin)'!L73+'KY_Res by Plant Acct-P29 (PA)'!L72</f>
        <v>0</v>
      </c>
      <c r="M73" s="62"/>
      <c r="N73" s="61">
        <f>+'KY_Res by Plant Acct-P29 (Fin)'!N73+'KY_Res by Plant Acct-P29 (PA)'!N72</f>
        <v>0</v>
      </c>
      <c r="O73" s="62"/>
      <c r="P73" s="61">
        <f>+'KY_Res by Plant Acct-P29 (Fin)'!P73+'KY_Res by Plant Acct-P29 (PA)'!P72</f>
        <v>0</v>
      </c>
      <c r="Q73" s="62"/>
      <c r="R73" s="61">
        <f t="shared" si="6"/>
        <v>-43520.399999999987</v>
      </c>
      <c r="S73" s="63"/>
      <c r="T73" s="63"/>
      <c r="U73" s="63"/>
    </row>
    <row r="74" spans="1:21" s="60" customFormat="1" hidden="1" outlineLevel="1">
      <c r="A74" s="60" t="s">
        <v>259</v>
      </c>
      <c r="B74" s="61">
        <f>+'KY_Res by Plant Acct-P29 (Fin)'!B74+'KY_Res by Plant Acct-P29 (PA)'!B73</f>
        <v>5551.7200000000084</v>
      </c>
      <c r="C74" s="62"/>
      <c r="D74" s="61">
        <f>+'KY_Res by Plant Acct-P29 (Fin)'!D74+'KY_Res by Plant Acct-P29 (PA)'!D73</f>
        <v>-3012.87</v>
      </c>
      <c r="E74" s="62"/>
      <c r="F74" s="61">
        <f>+'KY_Res by Plant Acct-P29 (Fin)'!F74+'KY_Res by Plant Acct-P29 (PA)'!F73</f>
        <v>0</v>
      </c>
      <c r="G74" s="62"/>
      <c r="H74" s="61">
        <f>+'KY_Res by Plant Acct-P29 (Fin)'!H74+'KY_Res by Plant Acct-P29 (PA)'!H73</f>
        <v>0</v>
      </c>
      <c r="I74" s="62"/>
      <c r="J74" s="61">
        <f>+'KY_Res by Plant Acct-P29 (Fin)'!J74+'KY_Res by Plant Acct-P29 (PA)'!J73</f>
        <v>0</v>
      </c>
      <c r="K74" s="62"/>
      <c r="L74" s="61">
        <f>+'KY_Res by Plant Acct-P29 (Fin)'!L74+'KY_Res by Plant Acct-P29 (PA)'!L73</f>
        <v>0</v>
      </c>
      <c r="M74" s="62"/>
      <c r="N74" s="61">
        <f>+'KY_Res by Plant Acct-P29 (Fin)'!N74+'KY_Res by Plant Acct-P29 (PA)'!N73</f>
        <v>0</v>
      </c>
      <c r="O74" s="62"/>
      <c r="P74" s="61">
        <f>+'KY_Res by Plant Acct-P29 (Fin)'!P74+'KY_Res by Plant Acct-P29 (PA)'!P73</f>
        <v>0</v>
      </c>
      <c r="Q74" s="62"/>
      <c r="R74" s="61">
        <f t="shared" si="6"/>
        <v>2538.8500000000085</v>
      </c>
      <c r="S74" s="63"/>
      <c r="T74" s="63"/>
      <c r="U74" s="63"/>
    </row>
    <row r="75" spans="1:21" s="60" customFormat="1" hidden="1" outlineLevel="1">
      <c r="A75" s="60" t="s">
        <v>698</v>
      </c>
      <c r="B75" s="61">
        <f>+'KY_Res by Plant Acct-P29 (Fin)'!B75+'KY_Res by Plant Acct-P29 (PA)'!B74</f>
        <v>37022.420000000006</v>
      </c>
      <c r="C75" s="62"/>
      <c r="D75" s="61">
        <f>+'KY_Res by Plant Acct-P29 (Fin)'!D75+'KY_Res by Plant Acct-P29 (PA)'!D74</f>
        <v>-1056.69</v>
      </c>
      <c r="E75" s="62"/>
      <c r="F75" s="61">
        <f>+'KY_Res by Plant Acct-P29 (Fin)'!F75+'KY_Res by Plant Acct-P29 (PA)'!F74</f>
        <v>0</v>
      </c>
      <c r="G75" s="62"/>
      <c r="H75" s="61">
        <f>+'KY_Res by Plant Acct-P29 (Fin)'!H75+'KY_Res by Plant Acct-P29 (PA)'!H74</f>
        <v>0</v>
      </c>
      <c r="I75" s="62"/>
      <c r="J75" s="61">
        <f>+'KY_Res by Plant Acct-P29 (Fin)'!J75+'KY_Res by Plant Acct-P29 (PA)'!J74</f>
        <v>0</v>
      </c>
      <c r="K75" s="62"/>
      <c r="L75" s="61">
        <f>+'KY_Res by Plant Acct-P29 (Fin)'!L75+'KY_Res by Plant Acct-P29 (PA)'!L74</f>
        <v>0</v>
      </c>
      <c r="M75" s="62"/>
      <c r="N75" s="61">
        <f>+'KY_Res by Plant Acct-P29 (Fin)'!N75+'KY_Res by Plant Acct-P29 (PA)'!N74</f>
        <v>0</v>
      </c>
      <c r="O75" s="62"/>
      <c r="P75" s="61">
        <f>+'KY_Res by Plant Acct-P29 (Fin)'!P75+'KY_Res by Plant Acct-P29 (PA)'!P74</f>
        <v>0</v>
      </c>
      <c r="Q75" s="62"/>
      <c r="R75" s="61">
        <f t="shared" si="6"/>
        <v>35965.730000000003</v>
      </c>
      <c r="S75" s="63"/>
      <c r="T75" s="63"/>
      <c r="U75" s="63"/>
    </row>
    <row r="76" spans="1:21" s="60" customFormat="1" hidden="1" outlineLevel="1">
      <c r="A76" s="60" t="s">
        <v>706</v>
      </c>
      <c r="B76" s="61">
        <f>+'KY_Res by Plant Acct-P29 (Fin)'!B76+'KY_Res by Plant Acct-P29 (PA)'!B75</f>
        <v>-836.44000000000051</v>
      </c>
      <c r="C76" s="62"/>
      <c r="D76" s="61">
        <f>+'KY_Res by Plant Acct-P29 (Fin)'!D76+'KY_Res by Plant Acct-P29 (PA)'!D75</f>
        <v>-13.379999999999999</v>
      </c>
      <c r="E76" s="62"/>
      <c r="F76" s="61">
        <f>+'KY_Res by Plant Acct-P29 (Fin)'!F76+'KY_Res by Plant Acct-P29 (PA)'!F75</f>
        <v>0</v>
      </c>
      <c r="G76" s="62"/>
      <c r="H76" s="61">
        <f>+'KY_Res by Plant Acct-P29 (Fin)'!H76+'KY_Res by Plant Acct-P29 (PA)'!H75</f>
        <v>0</v>
      </c>
      <c r="I76" s="62"/>
      <c r="J76" s="61">
        <f>+'KY_Res by Plant Acct-P29 (Fin)'!J76+'KY_Res by Plant Acct-P29 (PA)'!J75</f>
        <v>0</v>
      </c>
      <c r="K76" s="62"/>
      <c r="L76" s="61">
        <f>+'KY_Res by Plant Acct-P29 (Fin)'!L76+'KY_Res by Plant Acct-P29 (PA)'!L75</f>
        <v>0</v>
      </c>
      <c r="M76" s="62"/>
      <c r="N76" s="61">
        <f>+'KY_Res by Plant Acct-P29 (Fin)'!N76+'KY_Res by Plant Acct-P29 (PA)'!N75</f>
        <v>0</v>
      </c>
      <c r="O76" s="62"/>
      <c r="P76" s="61">
        <f>+'KY_Res by Plant Acct-P29 (Fin)'!P76+'KY_Res by Plant Acct-P29 (PA)'!P75</f>
        <v>0</v>
      </c>
      <c r="Q76" s="62"/>
      <c r="R76" s="61">
        <f t="shared" si="6"/>
        <v>-849.8200000000005</v>
      </c>
      <c r="S76" s="63"/>
      <c r="T76" s="63"/>
      <c r="U76" s="63"/>
    </row>
    <row r="77" spans="1:21" s="60" customFormat="1" hidden="1" outlineLevel="1">
      <c r="A77" s="60" t="s">
        <v>707</v>
      </c>
      <c r="B77" s="61">
        <f>+'KY_Res by Plant Acct-P29 (Fin)'!B77+'KY_Res by Plant Acct-P29 (PA)'!B76</f>
        <v>-1181.8700000000008</v>
      </c>
      <c r="C77" s="62"/>
      <c r="D77" s="61">
        <f>+'KY_Res by Plant Acct-P29 (Fin)'!D77+'KY_Res by Plant Acct-P29 (PA)'!D76</f>
        <v>-46.05</v>
      </c>
      <c r="E77" s="62"/>
      <c r="F77" s="61">
        <f>+'KY_Res by Plant Acct-P29 (Fin)'!F77+'KY_Res by Plant Acct-P29 (PA)'!F76</f>
        <v>0</v>
      </c>
      <c r="G77" s="62"/>
      <c r="H77" s="61">
        <f>+'KY_Res by Plant Acct-P29 (Fin)'!H77+'KY_Res by Plant Acct-P29 (PA)'!H76</f>
        <v>0</v>
      </c>
      <c r="I77" s="62"/>
      <c r="J77" s="61">
        <f>+'KY_Res by Plant Acct-P29 (Fin)'!J77+'KY_Res by Plant Acct-P29 (PA)'!J76</f>
        <v>0</v>
      </c>
      <c r="K77" s="62"/>
      <c r="L77" s="61">
        <f>+'KY_Res by Plant Acct-P29 (Fin)'!L77+'KY_Res by Plant Acct-P29 (PA)'!L76</f>
        <v>0</v>
      </c>
      <c r="M77" s="62"/>
      <c r="N77" s="61">
        <f>+'KY_Res by Plant Acct-P29 (Fin)'!N77+'KY_Res by Plant Acct-P29 (PA)'!N76</f>
        <v>0</v>
      </c>
      <c r="O77" s="62"/>
      <c r="P77" s="61">
        <f>+'KY_Res by Plant Acct-P29 (Fin)'!P77+'KY_Res by Plant Acct-P29 (PA)'!P76</f>
        <v>0</v>
      </c>
      <c r="Q77" s="62"/>
      <c r="R77" s="61">
        <f t="shared" si="6"/>
        <v>-1227.9200000000008</v>
      </c>
      <c r="S77" s="63"/>
      <c r="T77" s="63"/>
      <c r="U77" s="63"/>
    </row>
    <row r="78" spans="1:21" s="60" customFormat="1" hidden="1" outlineLevel="1">
      <c r="A78" s="60" t="s">
        <v>696</v>
      </c>
      <c r="B78" s="61">
        <f>+'KY_Res by Plant Acct-P29 (Fin)'!B78+'KY_Res by Plant Acct-P29 (PA)'!B77</f>
        <v>-99595.300000000047</v>
      </c>
      <c r="C78" s="62"/>
      <c r="D78" s="61">
        <f>+'KY_Res by Plant Acct-P29 (Fin)'!D78+'KY_Res by Plant Acct-P29 (PA)'!D77</f>
        <v>-17366.099999999999</v>
      </c>
      <c r="E78" s="62"/>
      <c r="F78" s="61">
        <f>+'KY_Res by Plant Acct-P29 (Fin)'!F78+'KY_Res by Plant Acct-P29 (PA)'!F77</f>
        <v>0</v>
      </c>
      <c r="G78" s="62"/>
      <c r="H78" s="61">
        <f>+'KY_Res by Plant Acct-P29 (Fin)'!H78+'KY_Res by Plant Acct-P29 (PA)'!H77</f>
        <v>0</v>
      </c>
      <c r="I78" s="62"/>
      <c r="J78" s="61">
        <f>+'KY_Res by Plant Acct-P29 (Fin)'!J78+'KY_Res by Plant Acct-P29 (PA)'!J77</f>
        <v>0</v>
      </c>
      <c r="K78" s="62"/>
      <c r="L78" s="61">
        <f>+'KY_Res by Plant Acct-P29 (Fin)'!L78+'KY_Res by Plant Acct-P29 (PA)'!L77</f>
        <v>0</v>
      </c>
      <c r="M78" s="62"/>
      <c r="N78" s="61">
        <f>+'KY_Res by Plant Acct-P29 (Fin)'!N78+'KY_Res by Plant Acct-P29 (PA)'!N77</f>
        <v>0</v>
      </c>
      <c r="O78" s="62"/>
      <c r="P78" s="61">
        <f>+'KY_Res by Plant Acct-P29 (Fin)'!P78+'KY_Res by Plant Acct-P29 (PA)'!P77</f>
        <v>0</v>
      </c>
      <c r="Q78" s="62"/>
      <c r="R78" s="61">
        <f t="shared" si="6"/>
        <v>-116961.40000000005</v>
      </c>
      <c r="S78" s="63"/>
      <c r="T78" s="63"/>
      <c r="U78" s="63"/>
    </row>
    <row r="79" spans="1:21" s="60" customFormat="1" hidden="1" outlineLevel="1">
      <c r="A79" s="60" t="s">
        <v>708</v>
      </c>
      <c r="B79" s="61">
        <f>+'KY_Res by Plant Acct-P29 (Fin)'!B79+'KY_Res by Plant Acct-P29 (PA)'!B78</f>
        <v>-15261.25999999998</v>
      </c>
      <c r="C79" s="62"/>
      <c r="D79" s="61">
        <f>+'KY_Res by Plant Acct-P29 (Fin)'!D79+'KY_Res by Plant Acct-P29 (PA)'!D78</f>
        <v>-3039.6000000000004</v>
      </c>
      <c r="E79" s="62"/>
      <c r="F79" s="61">
        <f>+'KY_Res by Plant Acct-P29 (Fin)'!F79+'KY_Res by Plant Acct-P29 (PA)'!F78</f>
        <v>0</v>
      </c>
      <c r="G79" s="62"/>
      <c r="H79" s="61">
        <f>+'KY_Res by Plant Acct-P29 (Fin)'!H79+'KY_Res by Plant Acct-P29 (PA)'!H78</f>
        <v>0</v>
      </c>
      <c r="I79" s="62"/>
      <c r="J79" s="61">
        <f>+'KY_Res by Plant Acct-P29 (Fin)'!J79+'KY_Res by Plant Acct-P29 (PA)'!J78</f>
        <v>0</v>
      </c>
      <c r="K79" s="62"/>
      <c r="L79" s="61">
        <f>+'KY_Res by Plant Acct-P29 (Fin)'!L79+'KY_Res by Plant Acct-P29 (PA)'!L78</f>
        <v>0</v>
      </c>
      <c r="M79" s="62"/>
      <c r="N79" s="61">
        <f>+'KY_Res by Plant Acct-P29 (Fin)'!N79+'KY_Res by Plant Acct-P29 (PA)'!N78</f>
        <v>0</v>
      </c>
      <c r="O79" s="62"/>
      <c r="P79" s="61">
        <f>+'KY_Res by Plant Acct-P29 (Fin)'!P79+'KY_Res by Plant Acct-P29 (PA)'!P78</f>
        <v>0</v>
      </c>
      <c r="Q79" s="62"/>
      <c r="R79" s="61">
        <f t="shared" si="6"/>
        <v>-18300.859999999979</v>
      </c>
      <c r="S79" s="63"/>
      <c r="T79" s="63"/>
      <c r="U79" s="63"/>
    </row>
    <row r="80" spans="1:21" s="60" customFormat="1" hidden="1" outlineLevel="1">
      <c r="A80" s="60" t="s">
        <v>1016</v>
      </c>
      <c r="B80" s="61">
        <f>+'KY_Res by Plant Acct-P29 (Fin)'!B80+'KY_Res by Plant Acct-P29 (PA)'!B79</f>
        <v>-4099.0200000000004</v>
      </c>
      <c r="C80" s="62"/>
      <c r="D80" s="61">
        <f>+'KY_Res by Plant Acct-P29 (Fin)'!D80+'KY_Res by Plant Acct-P29 (PA)'!D79</f>
        <v>-776.64</v>
      </c>
      <c r="E80" s="62"/>
      <c r="F80" s="61">
        <f>+'KY_Res by Plant Acct-P29 (Fin)'!F80+'KY_Res by Plant Acct-P29 (PA)'!F79</f>
        <v>0</v>
      </c>
      <c r="G80" s="62"/>
      <c r="H80" s="61">
        <f>+'KY_Res by Plant Acct-P29 (Fin)'!H80+'KY_Res by Plant Acct-P29 (PA)'!H79</f>
        <v>0</v>
      </c>
      <c r="I80" s="62"/>
      <c r="J80" s="61">
        <f>+'KY_Res by Plant Acct-P29 (Fin)'!J80+'KY_Res by Plant Acct-P29 (PA)'!J79</f>
        <v>0</v>
      </c>
      <c r="K80" s="62"/>
      <c r="L80" s="61">
        <f>+'KY_Res by Plant Acct-P29 (Fin)'!L80+'KY_Res by Plant Acct-P29 (PA)'!L79</f>
        <v>0</v>
      </c>
      <c r="M80" s="62"/>
      <c r="N80" s="61">
        <f>+'KY_Res by Plant Acct-P29 (Fin)'!N80+'KY_Res by Plant Acct-P29 (PA)'!N79</f>
        <v>0</v>
      </c>
      <c r="O80" s="62"/>
      <c r="P80" s="61">
        <f>+'KY_Res by Plant Acct-P29 (Fin)'!P80+'KY_Res by Plant Acct-P29 (PA)'!P79</f>
        <v>0</v>
      </c>
      <c r="Q80" s="62"/>
      <c r="R80" s="61">
        <f t="shared" si="6"/>
        <v>-4875.6600000000008</v>
      </c>
      <c r="S80" s="63"/>
      <c r="T80" s="63"/>
      <c r="U80" s="63"/>
    </row>
    <row r="81" spans="1:21" s="60" customFormat="1" hidden="1" outlineLevel="1">
      <c r="A81" s="60" t="s">
        <v>705</v>
      </c>
      <c r="B81" s="61">
        <f>+'KY_Res by Plant Acct-P29 (Fin)'!B81+'KY_Res by Plant Acct-P29 (PA)'!B80</f>
        <v>-4093.5600000000013</v>
      </c>
      <c r="C81" s="62"/>
      <c r="D81" s="61">
        <f>+'KY_Res by Plant Acct-P29 (Fin)'!D81+'KY_Res by Plant Acct-P29 (PA)'!D80</f>
        <v>-775.56</v>
      </c>
      <c r="E81" s="62"/>
      <c r="F81" s="61">
        <f>+'KY_Res by Plant Acct-P29 (Fin)'!F81+'KY_Res by Plant Acct-P29 (PA)'!F80</f>
        <v>0</v>
      </c>
      <c r="G81" s="62"/>
      <c r="H81" s="61">
        <f>+'KY_Res by Plant Acct-P29 (Fin)'!H81+'KY_Res by Plant Acct-P29 (PA)'!H80</f>
        <v>0</v>
      </c>
      <c r="I81" s="62"/>
      <c r="J81" s="61">
        <f>+'KY_Res by Plant Acct-P29 (Fin)'!J81+'KY_Res by Plant Acct-P29 (PA)'!J80</f>
        <v>0</v>
      </c>
      <c r="K81" s="62"/>
      <c r="L81" s="61">
        <f>+'KY_Res by Plant Acct-P29 (Fin)'!L81+'KY_Res by Plant Acct-P29 (PA)'!L80</f>
        <v>0</v>
      </c>
      <c r="M81" s="62"/>
      <c r="N81" s="61">
        <f>+'KY_Res by Plant Acct-P29 (Fin)'!N81+'KY_Res by Plant Acct-P29 (PA)'!N80</f>
        <v>0</v>
      </c>
      <c r="O81" s="62"/>
      <c r="P81" s="61">
        <f>+'KY_Res by Plant Acct-P29 (Fin)'!P81+'KY_Res by Plant Acct-P29 (PA)'!P80</f>
        <v>0</v>
      </c>
      <c r="Q81" s="62"/>
      <c r="R81" s="61">
        <f t="shared" si="6"/>
        <v>-4869.1200000000008</v>
      </c>
      <c r="S81" s="63"/>
      <c r="T81" s="63"/>
      <c r="U81" s="63"/>
    </row>
    <row r="82" spans="1:21" s="60" customFormat="1" hidden="1" outlineLevel="1">
      <c r="A82" s="60" t="s">
        <v>263</v>
      </c>
      <c r="B82" s="61">
        <f>+'KY_Res by Plant Acct-P29 (Fin)'!B82+'KY_Res by Plant Acct-P29 (PA)'!B81</f>
        <v>-14272.860000000015</v>
      </c>
      <c r="C82" s="62"/>
      <c r="D82" s="61">
        <f>+'KY_Res by Plant Acct-P29 (Fin)'!D82+'KY_Res by Plant Acct-P29 (PA)'!D81</f>
        <v>-2842.7400000000002</v>
      </c>
      <c r="E82" s="62"/>
      <c r="F82" s="61">
        <f>+'KY_Res by Plant Acct-P29 (Fin)'!F82+'KY_Res by Plant Acct-P29 (PA)'!F81</f>
        <v>0</v>
      </c>
      <c r="G82" s="62"/>
      <c r="H82" s="61">
        <f>+'KY_Res by Plant Acct-P29 (Fin)'!H82+'KY_Res by Plant Acct-P29 (PA)'!H81</f>
        <v>0</v>
      </c>
      <c r="I82" s="62"/>
      <c r="J82" s="61">
        <f>+'KY_Res by Plant Acct-P29 (Fin)'!J82+'KY_Res by Plant Acct-P29 (PA)'!J81</f>
        <v>0</v>
      </c>
      <c r="K82" s="62"/>
      <c r="L82" s="61">
        <f>+'KY_Res by Plant Acct-P29 (Fin)'!L82+'KY_Res by Plant Acct-P29 (PA)'!L81</f>
        <v>0</v>
      </c>
      <c r="M82" s="62"/>
      <c r="N82" s="61">
        <f>+'KY_Res by Plant Acct-P29 (Fin)'!N82+'KY_Res by Plant Acct-P29 (PA)'!N81</f>
        <v>0</v>
      </c>
      <c r="O82" s="62"/>
      <c r="P82" s="61">
        <f>+'KY_Res by Plant Acct-P29 (Fin)'!P82+'KY_Res by Plant Acct-P29 (PA)'!P81</f>
        <v>0</v>
      </c>
      <c r="Q82" s="62"/>
      <c r="R82" s="61">
        <f t="shared" si="6"/>
        <v>-17115.600000000017</v>
      </c>
      <c r="S82" s="63"/>
      <c r="T82" s="63"/>
      <c r="U82" s="63"/>
    </row>
    <row r="83" spans="1:21" s="60" customFormat="1" hidden="1" outlineLevel="1">
      <c r="A83" s="60" t="s">
        <v>702</v>
      </c>
      <c r="B83" s="61">
        <f>+'KY_Res by Plant Acct-P29 (Fin)'!B83+'KY_Res by Plant Acct-P29 (PA)'!B82</f>
        <v>-14217.14</v>
      </c>
      <c r="C83" s="62"/>
      <c r="D83" s="61">
        <f>+'KY_Res by Plant Acct-P29 (Fin)'!D83+'KY_Res by Plant Acct-P29 (PA)'!D82</f>
        <v>-2831.61</v>
      </c>
      <c r="E83" s="62"/>
      <c r="F83" s="61">
        <f>+'KY_Res by Plant Acct-P29 (Fin)'!F83+'KY_Res by Plant Acct-P29 (PA)'!F82</f>
        <v>0</v>
      </c>
      <c r="G83" s="62"/>
      <c r="H83" s="61">
        <f>+'KY_Res by Plant Acct-P29 (Fin)'!H83+'KY_Res by Plant Acct-P29 (PA)'!H82</f>
        <v>0</v>
      </c>
      <c r="I83" s="62"/>
      <c r="J83" s="61">
        <f>+'KY_Res by Plant Acct-P29 (Fin)'!J83+'KY_Res by Plant Acct-P29 (PA)'!J82</f>
        <v>0</v>
      </c>
      <c r="K83" s="62"/>
      <c r="L83" s="61">
        <f>+'KY_Res by Plant Acct-P29 (Fin)'!L83+'KY_Res by Plant Acct-P29 (PA)'!L82</f>
        <v>0</v>
      </c>
      <c r="M83" s="62"/>
      <c r="N83" s="61">
        <f>+'KY_Res by Plant Acct-P29 (Fin)'!N83+'KY_Res by Plant Acct-P29 (PA)'!N82</f>
        <v>0</v>
      </c>
      <c r="O83" s="62"/>
      <c r="P83" s="61">
        <f>+'KY_Res by Plant Acct-P29 (Fin)'!P83+'KY_Res by Plant Acct-P29 (PA)'!P82</f>
        <v>0</v>
      </c>
      <c r="Q83" s="62"/>
      <c r="R83" s="61">
        <f t="shared" si="6"/>
        <v>-17048.75</v>
      </c>
      <c r="S83" s="63"/>
      <c r="T83" s="63"/>
      <c r="U83" s="63"/>
    </row>
    <row r="84" spans="1:21" s="60" customFormat="1" hidden="1" outlineLevel="1">
      <c r="A84" s="60" t="s">
        <v>257</v>
      </c>
      <c r="B84" s="61">
        <f>+'KY_Res by Plant Acct-P29 (Fin)'!B84+'KY_Res by Plant Acct-P29 (PA)'!B83</f>
        <v>-14640.919999999984</v>
      </c>
      <c r="C84" s="62"/>
      <c r="D84" s="61">
        <f>+'KY_Res by Plant Acct-P29 (Fin)'!D84+'KY_Res by Plant Acct-P29 (PA)'!D83</f>
        <v>-2916.0299999999997</v>
      </c>
      <c r="E84" s="62"/>
      <c r="F84" s="61">
        <f>+'KY_Res by Plant Acct-P29 (Fin)'!F84+'KY_Res by Plant Acct-P29 (PA)'!F83</f>
        <v>0</v>
      </c>
      <c r="G84" s="62"/>
      <c r="H84" s="61">
        <f>+'KY_Res by Plant Acct-P29 (Fin)'!H84+'KY_Res by Plant Acct-P29 (PA)'!H83</f>
        <v>0</v>
      </c>
      <c r="I84" s="62"/>
      <c r="J84" s="61">
        <f>+'KY_Res by Plant Acct-P29 (Fin)'!J84+'KY_Res by Plant Acct-P29 (PA)'!J83</f>
        <v>0</v>
      </c>
      <c r="K84" s="62"/>
      <c r="L84" s="61">
        <f>+'KY_Res by Plant Acct-P29 (Fin)'!L84+'KY_Res by Plant Acct-P29 (PA)'!L83</f>
        <v>0</v>
      </c>
      <c r="M84" s="62"/>
      <c r="N84" s="61">
        <f>+'KY_Res by Plant Acct-P29 (Fin)'!N84+'KY_Res by Plant Acct-P29 (PA)'!N83</f>
        <v>0</v>
      </c>
      <c r="O84" s="62"/>
      <c r="P84" s="61">
        <f>+'KY_Res by Plant Acct-P29 (Fin)'!P84+'KY_Res by Plant Acct-P29 (PA)'!P83</f>
        <v>0</v>
      </c>
      <c r="Q84" s="62"/>
      <c r="R84" s="61">
        <f t="shared" si="6"/>
        <v>-17556.949999999983</v>
      </c>
      <c r="S84" s="63"/>
      <c r="T84" s="63"/>
      <c r="U84" s="63"/>
    </row>
    <row r="85" spans="1:21" s="60" customFormat="1" hidden="1" outlineLevel="1">
      <c r="A85" s="60" t="s">
        <v>665</v>
      </c>
      <c r="B85" s="61">
        <f>+'KY_Res by Plant Acct-P29 (Fin)'!B85+'KY_Res by Plant Acct-P29 (PA)'!B84</f>
        <v>-83622.420000000042</v>
      </c>
      <c r="C85" s="62"/>
      <c r="D85" s="61">
        <f>+'KY_Res by Plant Acct-P29 (Fin)'!D85+'KY_Res by Plant Acct-P29 (PA)'!D84</f>
        <v>-15937.170000000002</v>
      </c>
      <c r="E85" s="62"/>
      <c r="F85" s="61">
        <f>+'KY_Res by Plant Acct-P29 (Fin)'!F85+'KY_Res by Plant Acct-P29 (PA)'!F84</f>
        <v>0</v>
      </c>
      <c r="G85" s="62"/>
      <c r="H85" s="61">
        <f>+'KY_Res by Plant Acct-P29 (Fin)'!H85+'KY_Res by Plant Acct-P29 (PA)'!H84</f>
        <v>0</v>
      </c>
      <c r="I85" s="62"/>
      <c r="J85" s="61">
        <f>+'KY_Res by Plant Acct-P29 (Fin)'!J85+'KY_Res by Plant Acct-P29 (PA)'!J84</f>
        <v>0</v>
      </c>
      <c r="K85" s="62"/>
      <c r="L85" s="61">
        <f>+'KY_Res by Plant Acct-P29 (Fin)'!L85+'KY_Res by Plant Acct-P29 (PA)'!L84</f>
        <v>0</v>
      </c>
      <c r="M85" s="62"/>
      <c r="N85" s="61">
        <f>+'KY_Res by Plant Acct-P29 (Fin)'!N85+'KY_Res by Plant Acct-P29 (PA)'!N84</f>
        <v>0</v>
      </c>
      <c r="O85" s="62"/>
      <c r="P85" s="61">
        <f>+'KY_Res by Plant Acct-P29 (Fin)'!P85+'KY_Res by Plant Acct-P29 (PA)'!P84</f>
        <v>0</v>
      </c>
      <c r="Q85" s="62"/>
      <c r="R85" s="61">
        <f t="shared" si="6"/>
        <v>-99559.59000000004</v>
      </c>
      <c r="S85" s="63"/>
      <c r="T85" s="63"/>
      <c r="U85" s="63"/>
    </row>
    <row r="86" spans="1:21" s="60" customFormat="1" hidden="1" outlineLevel="1">
      <c r="A86" s="60" t="s">
        <v>664</v>
      </c>
      <c r="B86" s="61">
        <f>+'KY_Res by Plant Acct-P29 (Fin)'!B86+'KY_Res by Plant Acct-P29 (PA)'!B85</f>
        <v>0</v>
      </c>
      <c r="C86" s="62"/>
      <c r="D86" s="61">
        <f>+'KY_Res by Plant Acct-P29 (Fin)'!D86+'KY_Res by Plant Acct-P29 (PA)'!D85</f>
        <v>0</v>
      </c>
      <c r="E86" s="62"/>
      <c r="F86" s="61">
        <f>+'KY_Res by Plant Acct-P29 (Fin)'!F86+'KY_Res by Plant Acct-P29 (PA)'!F85</f>
        <v>0</v>
      </c>
      <c r="G86" s="62"/>
      <c r="H86" s="61">
        <f>+'KY_Res by Plant Acct-P29 (Fin)'!H86+'KY_Res by Plant Acct-P29 (PA)'!H85</f>
        <v>0</v>
      </c>
      <c r="I86" s="62"/>
      <c r="J86" s="61">
        <f>+'KY_Res by Plant Acct-P29 (Fin)'!J86+'KY_Res by Plant Acct-P29 (PA)'!J85</f>
        <v>0</v>
      </c>
      <c r="K86" s="62"/>
      <c r="L86" s="61">
        <f>+'KY_Res by Plant Acct-P29 (Fin)'!L86+'KY_Res by Plant Acct-P29 (PA)'!L85</f>
        <v>0</v>
      </c>
      <c r="M86" s="62"/>
      <c r="N86" s="61">
        <f>+'KY_Res by Plant Acct-P29 (Fin)'!N86+'KY_Res by Plant Acct-P29 (PA)'!N85</f>
        <v>0</v>
      </c>
      <c r="O86" s="62"/>
      <c r="P86" s="61">
        <f>+'KY_Res by Plant Acct-P29 (Fin)'!P86+'KY_Res by Plant Acct-P29 (PA)'!P85</f>
        <v>0</v>
      </c>
      <c r="Q86" s="62"/>
      <c r="R86" s="61">
        <f t="shared" si="6"/>
        <v>0</v>
      </c>
      <c r="S86" s="63"/>
      <c r="T86" s="63"/>
      <c r="U86" s="63"/>
    </row>
    <row r="87" spans="1:21" s="60" customFormat="1" hidden="1" outlineLevel="1">
      <c r="A87" s="60" t="s">
        <v>258</v>
      </c>
      <c r="B87" s="61">
        <f>+'KY_Res by Plant Acct-P29 (Fin)'!B87+'KY_Res by Plant Acct-P29 (PA)'!B86</f>
        <v>-1530.1999999999989</v>
      </c>
      <c r="C87" s="62"/>
      <c r="D87" s="61">
        <f>+'KY_Res by Plant Acct-P29 (Fin)'!D87+'KY_Res by Plant Acct-P29 (PA)'!D86</f>
        <v>-34.56</v>
      </c>
      <c r="E87" s="62"/>
      <c r="F87" s="61">
        <f>+'KY_Res by Plant Acct-P29 (Fin)'!F87+'KY_Res by Plant Acct-P29 (PA)'!F86</f>
        <v>0</v>
      </c>
      <c r="G87" s="62"/>
      <c r="H87" s="61">
        <f>+'KY_Res by Plant Acct-P29 (Fin)'!H87+'KY_Res by Plant Acct-P29 (PA)'!H86</f>
        <v>0</v>
      </c>
      <c r="I87" s="62"/>
      <c r="J87" s="61">
        <f>+'KY_Res by Plant Acct-P29 (Fin)'!J87+'KY_Res by Plant Acct-P29 (PA)'!J86</f>
        <v>0</v>
      </c>
      <c r="K87" s="62"/>
      <c r="L87" s="61">
        <f>+'KY_Res by Plant Acct-P29 (Fin)'!L87+'KY_Res by Plant Acct-P29 (PA)'!L86</f>
        <v>0</v>
      </c>
      <c r="M87" s="62"/>
      <c r="N87" s="61">
        <f>+'KY_Res by Plant Acct-P29 (Fin)'!N87+'KY_Res by Plant Acct-P29 (PA)'!N86</f>
        <v>0</v>
      </c>
      <c r="O87" s="62"/>
      <c r="P87" s="61">
        <f>+'KY_Res by Plant Acct-P29 (Fin)'!P87+'KY_Res by Plant Acct-P29 (PA)'!P86</f>
        <v>0</v>
      </c>
      <c r="Q87" s="62"/>
      <c r="R87" s="61">
        <f t="shared" si="6"/>
        <v>-1564.7599999999989</v>
      </c>
      <c r="S87" s="63"/>
      <c r="T87" s="63"/>
      <c r="U87" s="63"/>
    </row>
    <row r="88" spans="1:21" s="10" customFormat="1" collapsed="1">
      <c r="A88" s="10" t="s">
        <v>794</v>
      </c>
      <c r="B88" s="64">
        <f>+'KY_Res by Plant Acct-P29 (Fin)'!B88+'KY_Res by Plant Acct-P29 (PA)'!B87</f>
        <v>-229431.6399999999</v>
      </c>
      <c r="C88" s="65"/>
      <c r="D88" s="64">
        <f>+'KY_Res by Plant Acct-P29 (Fin)'!D88+'KY_Res by Plant Acct-P29 (PA)'!D87</f>
        <v>-60219.81</v>
      </c>
      <c r="E88" s="65"/>
      <c r="F88" s="64">
        <f>+'KY_Res by Plant Acct-P29 (Fin)'!F88+'KY_Res by Plant Acct-P29 (PA)'!F87</f>
        <v>0</v>
      </c>
      <c r="G88" s="65"/>
      <c r="H88" s="64">
        <f>+'KY_Res by Plant Acct-P29 (Fin)'!H88+'KY_Res by Plant Acct-P29 (PA)'!H87</f>
        <v>0</v>
      </c>
      <c r="I88" s="65"/>
      <c r="J88" s="64">
        <f>+'KY_Res by Plant Acct-P29 (Fin)'!J88+'KY_Res by Plant Acct-P29 (PA)'!J87</f>
        <v>0</v>
      </c>
      <c r="K88" s="65"/>
      <c r="L88" s="64">
        <f>+'KY_Res by Plant Acct-P29 (Fin)'!L88+'KY_Res by Plant Acct-P29 (PA)'!L87</f>
        <v>0</v>
      </c>
      <c r="M88" s="65"/>
      <c r="N88" s="64">
        <f>+'KY_Res by Plant Acct-P29 (Fin)'!N88+'KY_Res by Plant Acct-P29 (PA)'!N87</f>
        <v>0</v>
      </c>
      <c r="O88" s="65"/>
      <c r="P88" s="64">
        <f>+'KY_Res by Plant Acct-P29 (Fin)'!P88+'KY_Res by Plant Acct-P29 (PA)'!P87</f>
        <v>0</v>
      </c>
      <c r="Q88" s="65"/>
      <c r="R88" s="64">
        <f t="shared" ref="R88" si="8">SUM(R72:R87)</f>
        <v>-289651.45000000007</v>
      </c>
      <c r="S88" s="24"/>
      <c r="T88" s="24"/>
      <c r="U88" s="24"/>
    </row>
    <row r="89" spans="1:21" s="60" customFormat="1" hidden="1" outlineLevel="1">
      <c r="A89" s="60" t="s">
        <v>662</v>
      </c>
      <c r="B89" s="61">
        <f>+'KY_Res by Plant Acct-P29 (Fin)'!B89+'KY_Res by Plant Acct-P29 (PA)'!B88</f>
        <v>-594413.74000000022</v>
      </c>
      <c r="C89" s="62"/>
      <c r="D89" s="61">
        <f>+'KY_Res by Plant Acct-P29 (Fin)'!D89+'KY_Res by Plant Acct-P29 (PA)'!D88</f>
        <v>-152427.75</v>
      </c>
      <c r="E89" s="62"/>
      <c r="F89" s="61">
        <f>+'KY_Res by Plant Acct-P29 (Fin)'!F89+'KY_Res by Plant Acct-P29 (PA)'!F88</f>
        <v>0</v>
      </c>
      <c r="G89" s="62"/>
      <c r="H89" s="61">
        <f>+'KY_Res by Plant Acct-P29 (Fin)'!H89+'KY_Res by Plant Acct-P29 (PA)'!H88</f>
        <v>0</v>
      </c>
      <c r="I89" s="62"/>
      <c r="J89" s="61">
        <f>+'KY_Res by Plant Acct-P29 (Fin)'!J89+'KY_Res by Plant Acct-P29 (PA)'!J88</f>
        <v>0</v>
      </c>
      <c r="K89" s="62"/>
      <c r="L89" s="61">
        <f>+'KY_Res by Plant Acct-P29 (Fin)'!L89+'KY_Res by Plant Acct-P29 (PA)'!L88</f>
        <v>0</v>
      </c>
      <c r="M89" s="62"/>
      <c r="N89" s="61">
        <f>+'KY_Res by Plant Acct-P29 (Fin)'!N89+'KY_Res by Plant Acct-P29 (PA)'!N88</f>
        <v>0</v>
      </c>
      <c r="O89" s="62"/>
      <c r="P89" s="61">
        <f>+'KY_Res by Plant Acct-P29 (Fin)'!P89+'KY_Res by Plant Acct-P29 (PA)'!P88</f>
        <v>0</v>
      </c>
      <c r="Q89" s="62"/>
      <c r="R89" s="61">
        <f t="shared" si="6"/>
        <v>-746841.49000000022</v>
      </c>
      <c r="S89" s="63"/>
      <c r="T89" s="63"/>
      <c r="U89" s="63"/>
    </row>
    <row r="90" spans="1:21" s="60" customFormat="1" hidden="1" outlineLevel="1">
      <c r="A90" s="60" t="s">
        <v>1018</v>
      </c>
      <c r="B90" s="61">
        <f>+'KY_Res by Plant Acct-P29 (Fin)'!B90+'KY_Res by Plant Acct-P29 (PA)'!B89</f>
        <v>-970929.87000000011</v>
      </c>
      <c r="C90" s="62"/>
      <c r="D90" s="61">
        <f>+'KY_Res by Plant Acct-P29 (Fin)'!D90+'KY_Res by Plant Acct-P29 (PA)'!D89</f>
        <v>-192035.31</v>
      </c>
      <c r="E90" s="62"/>
      <c r="F90" s="61">
        <f>+'KY_Res by Plant Acct-P29 (Fin)'!F90+'KY_Res by Plant Acct-P29 (PA)'!F89</f>
        <v>0</v>
      </c>
      <c r="G90" s="62"/>
      <c r="H90" s="61">
        <f>+'KY_Res by Plant Acct-P29 (Fin)'!H90+'KY_Res by Plant Acct-P29 (PA)'!H89</f>
        <v>0</v>
      </c>
      <c r="I90" s="62"/>
      <c r="J90" s="61">
        <f>+'KY_Res by Plant Acct-P29 (Fin)'!J90+'KY_Res by Plant Acct-P29 (PA)'!J89</f>
        <v>0</v>
      </c>
      <c r="K90" s="62"/>
      <c r="L90" s="61">
        <f>+'KY_Res by Plant Acct-P29 (Fin)'!L90+'KY_Res by Plant Acct-P29 (PA)'!L89</f>
        <v>0</v>
      </c>
      <c r="M90" s="62"/>
      <c r="N90" s="61">
        <f>+'KY_Res by Plant Acct-P29 (Fin)'!N90+'KY_Res by Plant Acct-P29 (PA)'!N89</f>
        <v>0</v>
      </c>
      <c r="O90" s="62"/>
      <c r="P90" s="61">
        <f>+'KY_Res by Plant Acct-P29 (Fin)'!P90+'KY_Res by Plant Acct-P29 (PA)'!P89</f>
        <v>0</v>
      </c>
      <c r="Q90" s="62"/>
      <c r="R90" s="61">
        <f t="shared" si="6"/>
        <v>-1162965.1800000002</v>
      </c>
      <c r="S90" s="63"/>
      <c r="T90" s="63"/>
      <c r="U90" s="63"/>
    </row>
    <row r="91" spans="1:21" s="60" customFormat="1" hidden="1" outlineLevel="1">
      <c r="A91" s="60" t="s">
        <v>666</v>
      </c>
      <c r="B91" s="61">
        <f>+'KY_Res by Plant Acct-P29 (Fin)'!B91+'KY_Res by Plant Acct-P29 (PA)'!B90</f>
        <v>-2141422.8999999994</v>
      </c>
      <c r="C91" s="62"/>
      <c r="D91" s="61">
        <f>+'KY_Res by Plant Acct-P29 (Fin)'!D91+'KY_Res by Plant Acct-P29 (PA)'!D90</f>
        <v>-173732.63999999998</v>
      </c>
      <c r="E91" s="62"/>
      <c r="F91" s="61">
        <f>+'KY_Res by Plant Acct-P29 (Fin)'!F91+'KY_Res by Plant Acct-P29 (PA)'!F90</f>
        <v>0</v>
      </c>
      <c r="G91" s="62"/>
      <c r="H91" s="61">
        <f>+'KY_Res by Plant Acct-P29 (Fin)'!H91+'KY_Res by Plant Acct-P29 (PA)'!H90</f>
        <v>0</v>
      </c>
      <c r="I91" s="62"/>
      <c r="J91" s="61">
        <f>+'KY_Res by Plant Acct-P29 (Fin)'!J91+'KY_Res by Plant Acct-P29 (PA)'!J90</f>
        <v>0</v>
      </c>
      <c r="K91" s="62"/>
      <c r="L91" s="61">
        <f>+'KY_Res by Plant Acct-P29 (Fin)'!L91+'KY_Res by Plant Acct-P29 (PA)'!L90</f>
        <v>0</v>
      </c>
      <c r="M91" s="62"/>
      <c r="N91" s="61">
        <f>+'KY_Res by Plant Acct-P29 (Fin)'!N91+'KY_Res by Plant Acct-P29 (PA)'!N90</f>
        <v>0</v>
      </c>
      <c r="O91" s="62"/>
      <c r="P91" s="61">
        <f>+'KY_Res by Plant Acct-P29 (Fin)'!P91+'KY_Res by Plant Acct-P29 (PA)'!P90</f>
        <v>0</v>
      </c>
      <c r="Q91" s="62"/>
      <c r="R91" s="61">
        <f t="shared" si="6"/>
        <v>-2315155.5399999996</v>
      </c>
      <c r="S91" s="63"/>
      <c r="T91" s="63"/>
      <c r="U91" s="63"/>
    </row>
    <row r="92" spans="1:21" s="60" customFormat="1" hidden="1" outlineLevel="1">
      <c r="A92" s="60" t="s">
        <v>709</v>
      </c>
      <c r="B92" s="61">
        <f>+'KY_Res by Plant Acct-P29 (Fin)'!B92+'KY_Res by Plant Acct-P29 (PA)'!B91</f>
        <v>-840928.12000000104</v>
      </c>
      <c r="C92" s="62"/>
      <c r="D92" s="61">
        <f>+'KY_Res by Plant Acct-P29 (Fin)'!D92+'KY_Res by Plant Acct-P29 (PA)'!D91</f>
        <v>-194090.26</v>
      </c>
      <c r="E92" s="62"/>
      <c r="F92" s="61">
        <f>+'KY_Res by Plant Acct-P29 (Fin)'!F92+'KY_Res by Plant Acct-P29 (PA)'!F91</f>
        <v>0</v>
      </c>
      <c r="G92" s="62"/>
      <c r="H92" s="61">
        <f>+'KY_Res by Plant Acct-P29 (Fin)'!H92+'KY_Res by Plant Acct-P29 (PA)'!H91</f>
        <v>0</v>
      </c>
      <c r="I92" s="62"/>
      <c r="J92" s="61">
        <f>+'KY_Res by Plant Acct-P29 (Fin)'!J92+'KY_Res by Plant Acct-P29 (PA)'!J91</f>
        <v>0</v>
      </c>
      <c r="K92" s="62"/>
      <c r="L92" s="61">
        <f>+'KY_Res by Plant Acct-P29 (Fin)'!L92+'KY_Res by Plant Acct-P29 (PA)'!L91</f>
        <v>0</v>
      </c>
      <c r="M92" s="62"/>
      <c r="N92" s="61">
        <f>+'KY_Res by Plant Acct-P29 (Fin)'!N92+'KY_Res by Plant Acct-P29 (PA)'!N91</f>
        <v>0</v>
      </c>
      <c r="O92" s="62"/>
      <c r="P92" s="61">
        <f>+'KY_Res by Plant Acct-P29 (Fin)'!P92+'KY_Res by Plant Acct-P29 (PA)'!P91</f>
        <v>0</v>
      </c>
      <c r="Q92" s="62"/>
      <c r="R92" s="61">
        <f t="shared" si="6"/>
        <v>-1035018.3800000011</v>
      </c>
      <c r="S92" s="63"/>
      <c r="T92" s="63"/>
      <c r="U92" s="63"/>
    </row>
    <row r="93" spans="1:21" s="60" customFormat="1" hidden="1" outlineLevel="1">
      <c r="A93" s="60" t="s">
        <v>262</v>
      </c>
      <c r="B93" s="61">
        <f>+'KY_Res by Plant Acct-P29 (Fin)'!B93+'KY_Res by Plant Acct-P29 (PA)'!B92</f>
        <v>-652302.56000000052</v>
      </c>
      <c r="C93" s="62"/>
      <c r="D93" s="61">
        <f>+'KY_Res by Plant Acct-P29 (Fin)'!D93+'KY_Res by Plant Acct-P29 (PA)'!D92</f>
        <v>-135332.59</v>
      </c>
      <c r="E93" s="62"/>
      <c r="F93" s="61">
        <f>+'KY_Res by Plant Acct-P29 (Fin)'!F93+'KY_Res by Plant Acct-P29 (PA)'!F92</f>
        <v>0</v>
      </c>
      <c r="G93" s="62"/>
      <c r="H93" s="61">
        <f>+'KY_Res by Plant Acct-P29 (Fin)'!H93+'KY_Res by Plant Acct-P29 (PA)'!H92</f>
        <v>0</v>
      </c>
      <c r="I93" s="62"/>
      <c r="J93" s="61">
        <f>+'KY_Res by Plant Acct-P29 (Fin)'!J93+'KY_Res by Plant Acct-P29 (PA)'!J92</f>
        <v>0</v>
      </c>
      <c r="K93" s="62"/>
      <c r="L93" s="61">
        <f>+'KY_Res by Plant Acct-P29 (Fin)'!L93+'KY_Res by Plant Acct-P29 (PA)'!L92</f>
        <v>0</v>
      </c>
      <c r="M93" s="62"/>
      <c r="N93" s="61">
        <f>+'KY_Res by Plant Acct-P29 (Fin)'!N93+'KY_Res by Plant Acct-P29 (PA)'!N92</f>
        <v>0</v>
      </c>
      <c r="O93" s="62"/>
      <c r="P93" s="61">
        <f>+'KY_Res by Plant Acct-P29 (Fin)'!P93+'KY_Res by Plant Acct-P29 (PA)'!P92</f>
        <v>0</v>
      </c>
      <c r="Q93" s="62"/>
      <c r="R93" s="61">
        <f t="shared" si="6"/>
        <v>-787635.15000000049</v>
      </c>
      <c r="S93" s="63"/>
      <c r="T93" s="63"/>
      <c r="U93" s="63"/>
    </row>
    <row r="94" spans="1:21" s="60" customFormat="1" hidden="1" outlineLevel="1">
      <c r="A94" s="60" t="s">
        <v>260</v>
      </c>
      <c r="B94" s="61">
        <f>+'KY_Res by Plant Acct-P29 (Fin)'!B94+'KY_Res by Plant Acct-P29 (PA)'!B93</f>
        <v>-621373.18000000063</v>
      </c>
      <c r="C94" s="62"/>
      <c r="D94" s="61">
        <f>+'KY_Res by Plant Acct-P29 (Fin)'!D94+'KY_Res by Plant Acct-P29 (PA)'!D93</f>
        <v>-144563.10999999999</v>
      </c>
      <c r="E94" s="62"/>
      <c r="F94" s="61">
        <f>+'KY_Res by Plant Acct-P29 (Fin)'!F94+'KY_Res by Plant Acct-P29 (PA)'!F93</f>
        <v>482249.92000000004</v>
      </c>
      <c r="G94" s="62"/>
      <c r="H94" s="61">
        <f>+'KY_Res by Plant Acct-P29 (Fin)'!H94+'KY_Res by Plant Acct-P29 (PA)'!H93</f>
        <v>0</v>
      </c>
      <c r="I94" s="62"/>
      <c r="J94" s="61">
        <f>+'KY_Res by Plant Acct-P29 (Fin)'!J94+'KY_Res by Plant Acct-P29 (PA)'!J93</f>
        <v>0</v>
      </c>
      <c r="K94" s="62"/>
      <c r="L94" s="61">
        <f>+'KY_Res by Plant Acct-P29 (Fin)'!L94+'KY_Res by Plant Acct-P29 (PA)'!L93</f>
        <v>170979.16</v>
      </c>
      <c r="M94" s="62"/>
      <c r="N94" s="61">
        <f>+'KY_Res by Plant Acct-P29 (Fin)'!N94+'KY_Res by Plant Acct-P29 (PA)'!N93</f>
        <v>0</v>
      </c>
      <c r="O94" s="62"/>
      <c r="P94" s="61">
        <f>+'KY_Res by Plant Acct-P29 (Fin)'!P94+'KY_Res by Plant Acct-P29 (PA)'!P93</f>
        <v>0</v>
      </c>
      <c r="Q94" s="62"/>
      <c r="R94" s="61">
        <f t="shared" si="6"/>
        <v>-112707.21000000057</v>
      </c>
      <c r="S94" s="63"/>
      <c r="T94" s="63"/>
      <c r="U94" s="63"/>
    </row>
    <row r="95" spans="1:21" s="60" customFormat="1" hidden="1" outlineLevel="1">
      <c r="A95" s="60" t="s">
        <v>669</v>
      </c>
      <c r="B95" s="61">
        <f>+'KY_Res by Plant Acct-P29 (Fin)'!B95+'KY_Res by Plant Acct-P29 (PA)'!B94</f>
        <v>77638.550000000279</v>
      </c>
      <c r="C95" s="62"/>
      <c r="D95" s="61">
        <f>+'KY_Res by Plant Acct-P29 (Fin)'!D95+'KY_Res by Plant Acct-P29 (PA)'!D94</f>
        <v>-128899.83000000002</v>
      </c>
      <c r="E95" s="62"/>
      <c r="F95" s="61">
        <f>+'KY_Res by Plant Acct-P29 (Fin)'!F95+'KY_Res by Plant Acct-P29 (PA)'!F94</f>
        <v>0</v>
      </c>
      <c r="G95" s="62"/>
      <c r="H95" s="61">
        <f>+'KY_Res by Plant Acct-P29 (Fin)'!H95+'KY_Res by Plant Acct-P29 (PA)'!H94</f>
        <v>0</v>
      </c>
      <c r="I95" s="62"/>
      <c r="J95" s="61">
        <f>+'KY_Res by Plant Acct-P29 (Fin)'!J95+'KY_Res by Plant Acct-P29 (PA)'!J94</f>
        <v>0</v>
      </c>
      <c r="K95" s="62"/>
      <c r="L95" s="61">
        <f>+'KY_Res by Plant Acct-P29 (Fin)'!L95+'KY_Res by Plant Acct-P29 (PA)'!L94</f>
        <v>0</v>
      </c>
      <c r="M95" s="62"/>
      <c r="N95" s="61">
        <f>+'KY_Res by Plant Acct-P29 (Fin)'!N95+'KY_Res by Plant Acct-P29 (PA)'!N94</f>
        <v>0</v>
      </c>
      <c r="O95" s="62"/>
      <c r="P95" s="61">
        <f>+'KY_Res by Plant Acct-P29 (Fin)'!P95+'KY_Res by Plant Acct-P29 (PA)'!P94</f>
        <v>0</v>
      </c>
      <c r="Q95" s="62"/>
      <c r="R95" s="61">
        <f t="shared" si="6"/>
        <v>-51261.279999999737</v>
      </c>
      <c r="S95" s="63"/>
      <c r="T95" s="63"/>
      <c r="U95" s="63"/>
    </row>
    <row r="96" spans="1:21" s="60" customFormat="1" hidden="1" outlineLevel="1">
      <c r="A96" s="60" t="s">
        <v>965</v>
      </c>
      <c r="B96" s="61">
        <f>+'KY_Res by Plant Acct-P29 (Fin)'!B96+'KY_Res by Plant Acct-P29 (PA)'!B95</f>
        <v>-667782.32000000076</v>
      </c>
      <c r="C96" s="62"/>
      <c r="D96" s="61">
        <f>+'KY_Res by Plant Acct-P29 (Fin)'!D96+'KY_Res by Plant Acct-P29 (PA)'!D95</f>
        <v>-137916.72999999998</v>
      </c>
      <c r="E96" s="62"/>
      <c r="F96" s="61">
        <f>+'KY_Res by Plant Acct-P29 (Fin)'!F96+'KY_Res by Plant Acct-P29 (PA)'!F95</f>
        <v>0</v>
      </c>
      <c r="G96" s="62"/>
      <c r="H96" s="61">
        <f>+'KY_Res by Plant Acct-P29 (Fin)'!H96+'KY_Res by Plant Acct-P29 (PA)'!H95</f>
        <v>0</v>
      </c>
      <c r="I96" s="62"/>
      <c r="J96" s="61">
        <f>+'KY_Res by Plant Acct-P29 (Fin)'!J96+'KY_Res by Plant Acct-P29 (PA)'!J95</f>
        <v>0</v>
      </c>
      <c r="K96" s="62"/>
      <c r="L96" s="61">
        <f>+'KY_Res by Plant Acct-P29 (Fin)'!L96+'KY_Res by Plant Acct-P29 (PA)'!L95</f>
        <v>0</v>
      </c>
      <c r="M96" s="62"/>
      <c r="N96" s="61">
        <f>+'KY_Res by Plant Acct-P29 (Fin)'!N96+'KY_Res by Plant Acct-P29 (PA)'!N95</f>
        <v>0</v>
      </c>
      <c r="O96" s="62"/>
      <c r="P96" s="61">
        <f>+'KY_Res by Plant Acct-P29 (Fin)'!P96+'KY_Res by Plant Acct-P29 (PA)'!P95</f>
        <v>0</v>
      </c>
      <c r="Q96" s="62"/>
      <c r="R96" s="61">
        <f t="shared" si="6"/>
        <v>-805699.05000000075</v>
      </c>
      <c r="S96" s="63"/>
      <c r="T96" s="63"/>
      <c r="U96" s="63"/>
    </row>
    <row r="97" spans="1:21" s="60" customFormat="1" hidden="1" outlineLevel="1">
      <c r="A97" s="60" t="s">
        <v>661</v>
      </c>
      <c r="B97" s="61">
        <f>+'KY_Res by Plant Acct-P29 (Fin)'!B97+'KY_Res by Plant Acct-P29 (PA)'!B96</f>
        <v>-662065.67000000039</v>
      </c>
      <c r="C97" s="62"/>
      <c r="D97" s="61">
        <f>+'KY_Res by Plant Acct-P29 (Fin)'!D97+'KY_Res by Plant Acct-P29 (PA)'!D96</f>
        <v>-136769.16999999998</v>
      </c>
      <c r="E97" s="62"/>
      <c r="F97" s="61">
        <f>+'KY_Res by Plant Acct-P29 (Fin)'!F97+'KY_Res by Plant Acct-P29 (PA)'!F96</f>
        <v>0</v>
      </c>
      <c r="G97" s="62"/>
      <c r="H97" s="61">
        <f>+'KY_Res by Plant Acct-P29 (Fin)'!H97+'KY_Res by Plant Acct-P29 (PA)'!H96</f>
        <v>0</v>
      </c>
      <c r="I97" s="62"/>
      <c r="J97" s="61">
        <f>+'KY_Res by Plant Acct-P29 (Fin)'!J97+'KY_Res by Plant Acct-P29 (PA)'!J96</f>
        <v>0</v>
      </c>
      <c r="K97" s="62"/>
      <c r="L97" s="61">
        <f>+'KY_Res by Plant Acct-P29 (Fin)'!L97+'KY_Res by Plant Acct-P29 (PA)'!L96</f>
        <v>0</v>
      </c>
      <c r="M97" s="62"/>
      <c r="N97" s="61">
        <f>+'KY_Res by Plant Acct-P29 (Fin)'!N97+'KY_Res by Plant Acct-P29 (PA)'!N96</f>
        <v>0</v>
      </c>
      <c r="O97" s="62"/>
      <c r="P97" s="61">
        <f>+'KY_Res by Plant Acct-P29 (Fin)'!P97+'KY_Res by Plant Acct-P29 (PA)'!P96</f>
        <v>0</v>
      </c>
      <c r="Q97" s="62"/>
      <c r="R97" s="61">
        <f t="shared" si="6"/>
        <v>-798834.84000000032</v>
      </c>
      <c r="S97" s="63"/>
      <c r="T97" s="63"/>
      <c r="U97" s="63"/>
    </row>
    <row r="98" spans="1:21" s="60" customFormat="1" hidden="1" outlineLevel="1">
      <c r="A98" s="60" t="s">
        <v>966</v>
      </c>
      <c r="B98" s="61">
        <f>+'KY_Res by Plant Acct-P29 (Fin)'!B98+'KY_Res by Plant Acct-P29 (PA)'!B97</f>
        <v>-653175.18000000017</v>
      </c>
      <c r="C98" s="62"/>
      <c r="D98" s="61">
        <f>+'KY_Res by Plant Acct-P29 (Fin)'!D98+'KY_Res by Plant Acct-P29 (PA)'!D97</f>
        <v>-135877.31</v>
      </c>
      <c r="E98" s="62"/>
      <c r="F98" s="61">
        <f>+'KY_Res by Plant Acct-P29 (Fin)'!F98+'KY_Res by Plant Acct-P29 (PA)'!F97</f>
        <v>0</v>
      </c>
      <c r="G98" s="62"/>
      <c r="H98" s="61">
        <f>+'KY_Res by Plant Acct-P29 (Fin)'!H98+'KY_Res by Plant Acct-P29 (PA)'!H97</f>
        <v>0</v>
      </c>
      <c r="I98" s="62"/>
      <c r="J98" s="61">
        <f>+'KY_Res by Plant Acct-P29 (Fin)'!J98+'KY_Res by Plant Acct-P29 (PA)'!J97</f>
        <v>0</v>
      </c>
      <c r="K98" s="62"/>
      <c r="L98" s="61">
        <f>+'KY_Res by Plant Acct-P29 (Fin)'!L98+'KY_Res by Plant Acct-P29 (PA)'!L97</f>
        <v>0</v>
      </c>
      <c r="M98" s="62"/>
      <c r="N98" s="61">
        <f>+'KY_Res by Plant Acct-P29 (Fin)'!N98+'KY_Res by Plant Acct-P29 (PA)'!N97</f>
        <v>0</v>
      </c>
      <c r="O98" s="62"/>
      <c r="P98" s="61">
        <f>+'KY_Res by Plant Acct-P29 (Fin)'!P98+'KY_Res by Plant Acct-P29 (PA)'!P97</f>
        <v>0</v>
      </c>
      <c r="Q98" s="62"/>
      <c r="R98" s="61">
        <f t="shared" si="6"/>
        <v>-789052.49000000022</v>
      </c>
      <c r="S98" s="63"/>
      <c r="T98" s="63"/>
      <c r="U98" s="63"/>
    </row>
    <row r="99" spans="1:21" s="60" customFormat="1" hidden="1" outlineLevel="1">
      <c r="A99" s="60" t="s">
        <v>967</v>
      </c>
      <c r="B99" s="61">
        <f>+'KY_Res by Plant Acct-P29 (Fin)'!B99+'KY_Res by Plant Acct-P29 (PA)'!B98</f>
        <v>0</v>
      </c>
      <c r="C99" s="62"/>
      <c r="D99" s="61">
        <f>+'KY_Res by Plant Acct-P29 (Fin)'!D99+'KY_Res by Plant Acct-P29 (PA)'!D98</f>
        <v>0</v>
      </c>
      <c r="E99" s="62"/>
      <c r="F99" s="61">
        <f>+'KY_Res by Plant Acct-P29 (Fin)'!F99+'KY_Res by Plant Acct-P29 (PA)'!F98</f>
        <v>0</v>
      </c>
      <c r="G99" s="62"/>
      <c r="H99" s="61">
        <f>+'KY_Res by Plant Acct-P29 (Fin)'!H99+'KY_Res by Plant Acct-P29 (PA)'!H98</f>
        <v>0</v>
      </c>
      <c r="I99" s="62"/>
      <c r="J99" s="61">
        <f>+'KY_Res by Plant Acct-P29 (Fin)'!J99+'KY_Res by Plant Acct-P29 (PA)'!J98</f>
        <v>0</v>
      </c>
      <c r="K99" s="62"/>
      <c r="L99" s="61">
        <f>+'KY_Res by Plant Acct-P29 (Fin)'!L99+'KY_Res by Plant Acct-P29 (PA)'!L98</f>
        <v>0</v>
      </c>
      <c r="M99" s="62"/>
      <c r="N99" s="61">
        <f>+'KY_Res by Plant Acct-P29 (Fin)'!N99+'KY_Res by Plant Acct-P29 (PA)'!N98</f>
        <v>0</v>
      </c>
      <c r="O99" s="62"/>
      <c r="P99" s="61">
        <f>+'KY_Res by Plant Acct-P29 (Fin)'!P99+'KY_Res by Plant Acct-P29 (PA)'!P98</f>
        <v>0</v>
      </c>
      <c r="Q99" s="62"/>
      <c r="R99" s="61">
        <f t="shared" si="6"/>
        <v>0</v>
      </c>
      <c r="S99" s="63"/>
      <c r="T99" s="63"/>
      <c r="U99" s="63"/>
    </row>
    <row r="100" spans="1:21" s="10" customFormat="1" collapsed="1">
      <c r="A100" s="10" t="s">
        <v>795</v>
      </c>
      <c r="B100" s="64">
        <f>+'KY_Res by Plant Acct-P29 (Fin)'!B100+'KY_Res by Plant Acct-P29 (PA)'!B99</f>
        <v>-7726754.9900000021</v>
      </c>
      <c r="C100" s="65"/>
      <c r="D100" s="64">
        <f>+'KY_Res by Plant Acct-P29 (Fin)'!D100+'KY_Res by Plant Acct-P29 (PA)'!D99</f>
        <v>-1531644.7</v>
      </c>
      <c r="E100" s="65"/>
      <c r="F100" s="64">
        <f>+'KY_Res by Plant Acct-P29 (Fin)'!F100+'KY_Res by Plant Acct-P29 (PA)'!F99</f>
        <v>482249.92000000004</v>
      </c>
      <c r="G100" s="65"/>
      <c r="H100" s="64">
        <f>+'KY_Res by Plant Acct-P29 (Fin)'!H100+'KY_Res by Plant Acct-P29 (PA)'!H99</f>
        <v>0</v>
      </c>
      <c r="I100" s="65"/>
      <c r="J100" s="64">
        <f>+'KY_Res by Plant Acct-P29 (Fin)'!J100+'KY_Res by Plant Acct-P29 (PA)'!J99</f>
        <v>0</v>
      </c>
      <c r="K100" s="65"/>
      <c r="L100" s="64">
        <f>+'KY_Res by Plant Acct-P29 (Fin)'!L100+'KY_Res by Plant Acct-P29 (PA)'!L99</f>
        <v>170979.16</v>
      </c>
      <c r="M100" s="65"/>
      <c r="N100" s="64">
        <f>+'KY_Res by Plant Acct-P29 (Fin)'!N100+'KY_Res by Plant Acct-P29 (PA)'!N99</f>
        <v>0</v>
      </c>
      <c r="O100" s="65"/>
      <c r="P100" s="64">
        <f>+'KY_Res by Plant Acct-P29 (Fin)'!P100+'KY_Res by Plant Acct-P29 (PA)'!P99</f>
        <v>0</v>
      </c>
      <c r="Q100" s="65"/>
      <c r="R100" s="64">
        <f t="shared" ref="R100" si="9">SUM(R89:R99)</f>
        <v>-8605170.6100000031</v>
      </c>
      <c r="S100" s="24"/>
      <c r="T100" s="24"/>
      <c r="U100" s="24"/>
    </row>
    <row r="101" spans="1:21" s="60" customFormat="1" hidden="1" outlineLevel="1">
      <c r="A101" s="60" t="s">
        <v>699</v>
      </c>
      <c r="B101" s="61">
        <f>+'KY_Res by Plant Acct-P29 (Fin)'!B101+'KY_Res by Plant Acct-P29 (PA)'!B100</f>
        <v>-311890.55000000005</v>
      </c>
      <c r="C101" s="62"/>
      <c r="D101" s="61">
        <f>+'KY_Res by Plant Acct-P29 (Fin)'!D101+'KY_Res by Plant Acct-P29 (PA)'!D100</f>
        <v>-41687.520000000004</v>
      </c>
      <c r="E101" s="62"/>
      <c r="F101" s="61">
        <f>+'KY_Res by Plant Acct-P29 (Fin)'!F101+'KY_Res by Plant Acct-P29 (PA)'!F100</f>
        <v>0</v>
      </c>
      <c r="G101" s="62"/>
      <c r="H101" s="61">
        <f>+'KY_Res by Plant Acct-P29 (Fin)'!H101+'KY_Res by Plant Acct-P29 (PA)'!H100</f>
        <v>0</v>
      </c>
      <c r="I101" s="62"/>
      <c r="J101" s="61">
        <f>+'KY_Res by Plant Acct-P29 (Fin)'!J101+'KY_Res by Plant Acct-P29 (PA)'!J100</f>
        <v>0</v>
      </c>
      <c r="K101" s="62"/>
      <c r="L101" s="61">
        <f>+'KY_Res by Plant Acct-P29 (Fin)'!L101+'KY_Res by Plant Acct-P29 (PA)'!L100</f>
        <v>0</v>
      </c>
      <c r="M101" s="62"/>
      <c r="N101" s="61">
        <f>+'KY_Res by Plant Acct-P29 (Fin)'!N101+'KY_Res by Plant Acct-P29 (PA)'!N100</f>
        <v>0</v>
      </c>
      <c r="O101" s="62"/>
      <c r="P101" s="61">
        <f>+'KY_Res by Plant Acct-P29 (Fin)'!P101+'KY_Res by Plant Acct-P29 (PA)'!P100</f>
        <v>0</v>
      </c>
      <c r="Q101" s="62"/>
      <c r="R101" s="61">
        <f t="shared" si="6"/>
        <v>-353578.07000000007</v>
      </c>
      <c r="S101" s="63"/>
      <c r="T101" s="63"/>
      <c r="U101" s="63"/>
    </row>
    <row r="102" spans="1:21" s="60" customFormat="1" hidden="1" outlineLevel="1">
      <c r="A102" s="60" t="s">
        <v>969</v>
      </c>
      <c r="B102" s="61">
        <f>+'KY_Res by Plant Acct-P29 (Fin)'!B102+'KY_Res by Plant Acct-P29 (PA)'!B101</f>
        <v>-98059.219999999856</v>
      </c>
      <c r="C102" s="62"/>
      <c r="D102" s="61">
        <f>+'KY_Res by Plant Acct-P29 (Fin)'!D102+'KY_Res by Plant Acct-P29 (PA)'!D101</f>
        <v>-24370.199999999997</v>
      </c>
      <c r="E102" s="62"/>
      <c r="F102" s="61">
        <f>+'KY_Res by Plant Acct-P29 (Fin)'!F102+'KY_Res by Plant Acct-P29 (PA)'!F101</f>
        <v>0</v>
      </c>
      <c r="G102" s="62"/>
      <c r="H102" s="61">
        <f>+'KY_Res by Plant Acct-P29 (Fin)'!H102+'KY_Res by Plant Acct-P29 (PA)'!H101</f>
        <v>0</v>
      </c>
      <c r="I102" s="62"/>
      <c r="J102" s="61">
        <f>+'KY_Res by Plant Acct-P29 (Fin)'!J102+'KY_Res by Plant Acct-P29 (PA)'!J101</f>
        <v>0</v>
      </c>
      <c r="K102" s="62"/>
      <c r="L102" s="61">
        <f>+'KY_Res by Plant Acct-P29 (Fin)'!L102+'KY_Res by Plant Acct-P29 (PA)'!L101</f>
        <v>0</v>
      </c>
      <c r="M102" s="62"/>
      <c r="N102" s="61">
        <f>+'KY_Res by Plant Acct-P29 (Fin)'!N102+'KY_Res by Plant Acct-P29 (PA)'!N101</f>
        <v>0</v>
      </c>
      <c r="O102" s="62"/>
      <c r="P102" s="61">
        <f>+'KY_Res by Plant Acct-P29 (Fin)'!P102+'KY_Res by Plant Acct-P29 (PA)'!P101</f>
        <v>0</v>
      </c>
      <c r="Q102" s="62"/>
      <c r="R102" s="61">
        <f t="shared" si="6"/>
        <v>-122429.41999999985</v>
      </c>
      <c r="S102" s="63"/>
      <c r="T102" s="63"/>
      <c r="U102" s="63"/>
    </row>
    <row r="103" spans="1:21" s="60" customFormat="1" hidden="1" outlineLevel="1">
      <c r="A103" s="60" t="s">
        <v>697</v>
      </c>
      <c r="B103" s="61">
        <f>+'KY_Res by Plant Acct-P29 (Fin)'!B103+'KY_Res by Plant Acct-P29 (PA)'!B102</f>
        <v>-106767.19000000006</v>
      </c>
      <c r="C103" s="62"/>
      <c r="D103" s="61">
        <f>+'KY_Res by Plant Acct-P29 (Fin)'!D103+'KY_Res by Plant Acct-P29 (PA)'!D102</f>
        <v>-17590.920000000002</v>
      </c>
      <c r="E103" s="62"/>
      <c r="F103" s="61">
        <f>+'KY_Res by Plant Acct-P29 (Fin)'!F103+'KY_Res by Plant Acct-P29 (PA)'!F102</f>
        <v>0</v>
      </c>
      <c r="G103" s="62"/>
      <c r="H103" s="61">
        <f>+'KY_Res by Plant Acct-P29 (Fin)'!H103+'KY_Res by Plant Acct-P29 (PA)'!H102</f>
        <v>0</v>
      </c>
      <c r="I103" s="62"/>
      <c r="J103" s="61">
        <f>+'KY_Res by Plant Acct-P29 (Fin)'!J103+'KY_Res by Plant Acct-P29 (PA)'!J102</f>
        <v>0</v>
      </c>
      <c r="K103" s="62"/>
      <c r="L103" s="61">
        <f>+'KY_Res by Plant Acct-P29 (Fin)'!L103+'KY_Res by Plant Acct-P29 (PA)'!L102</f>
        <v>0</v>
      </c>
      <c r="M103" s="62"/>
      <c r="N103" s="61">
        <f>+'KY_Res by Plant Acct-P29 (Fin)'!N103+'KY_Res by Plant Acct-P29 (PA)'!N102</f>
        <v>0</v>
      </c>
      <c r="O103" s="62"/>
      <c r="P103" s="61">
        <f>+'KY_Res by Plant Acct-P29 (Fin)'!P103+'KY_Res by Plant Acct-P29 (PA)'!P102</f>
        <v>0</v>
      </c>
      <c r="Q103" s="62"/>
      <c r="R103" s="61">
        <f t="shared" si="6"/>
        <v>-124358.11000000006</v>
      </c>
      <c r="S103" s="63"/>
      <c r="T103" s="63"/>
      <c r="U103" s="63"/>
    </row>
    <row r="104" spans="1:21" s="60" customFormat="1" hidden="1" outlineLevel="1">
      <c r="A104" s="60" t="s">
        <v>970</v>
      </c>
      <c r="B104" s="61">
        <f>+'KY_Res by Plant Acct-P29 (Fin)'!B104+'KY_Res by Plant Acct-P29 (PA)'!B103</f>
        <v>-106282.47000000009</v>
      </c>
      <c r="C104" s="62"/>
      <c r="D104" s="61">
        <f>+'KY_Res by Plant Acct-P29 (Fin)'!D104+'KY_Res by Plant Acct-P29 (PA)'!D103</f>
        <v>-17613.36</v>
      </c>
      <c r="E104" s="62"/>
      <c r="F104" s="61">
        <f>+'KY_Res by Plant Acct-P29 (Fin)'!F104+'KY_Res by Plant Acct-P29 (PA)'!F103</f>
        <v>0</v>
      </c>
      <c r="G104" s="62"/>
      <c r="H104" s="61">
        <f>+'KY_Res by Plant Acct-P29 (Fin)'!H104+'KY_Res by Plant Acct-P29 (PA)'!H103</f>
        <v>0</v>
      </c>
      <c r="I104" s="62"/>
      <c r="J104" s="61">
        <f>+'KY_Res by Plant Acct-P29 (Fin)'!J104+'KY_Res by Plant Acct-P29 (PA)'!J103</f>
        <v>0</v>
      </c>
      <c r="K104" s="62"/>
      <c r="L104" s="61">
        <f>+'KY_Res by Plant Acct-P29 (Fin)'!L104+'KY_Res by Plant Acct-P29 (PA)'!L103</f>
        <v>0</v>
      </c>
      <c r="M104" s="62"/>
      <c r="N104" s="61">
        <f>+'KY_Res by Plant Acct-P29 (Fin)'!N104+'KY_Res by Plant Acct-P29 (PA)'!N103</f>
        <v>0</v>
      </c>
      <c r="O104" s="62"/>
      <c r="P104" s="61">
        <f>+'KY_Res by Plant Acct-P29 (Fin)'!P104+'KY_Res by Plant Acct-P29 (PA)'!P103</f>
        <v>0</v>
      </c>
      <c r="Q104" s="62"/>
      <c r="R104" s="61">
        <f t="shared" si="6"/>
        <v>-123895.83000000009</v>
      </c>
      <c r="S104" s="63"/>
      <c r="T104" s="63"/>
      <c r="U104" s="63"/>
    </row>
    <row r="105" spans="1:21" s="60" customFormat="1" hidden="1" outlineLevel="1">
      <c r="A105" s="60" t="s">
        <v>704</v>
      </c>
      <c r="B105" s="61">
        <f>+'KY_Res by Plant Acct-P29 (Fin)'!B105+'KY_Res by Plant Acct-P29 (PA)'!B104</f>
        <v>-148416.2100000002</v>
      </c>
      <c r="C105" s="62"/>
      <c r="D105" s="61">
        <f>+'KY_Res by Plant Acct-P29 (Fin)'!D105+'KY_Res by Plant Acct-P29 (PA)'!D104</f>
        <v>-10433.34</v>
      </c>
      <c r="E105" s="62"/>
      <c r="F105" s="61">
        <f>+'KY_Res by Plant Acct-P29 (Fin)'!F105+'KY_Res by Plant Acct-P29 (PA)'!F104</f>
        <v>0</v>
      </c>
      <c r="G105" s="62"/>
      <c r="H105" s="61">
        <f>+'KY_Res by Plant Acct-P29 (Fin)'!H105+'KY_Res by Plant Acct-P29 (PA)'!H104</f>
        <v>0</v>
      </c>
      <c r="I105" s="62"/>
      <c r="J105" s="61">
        <f>+'KY_Res by Plant Acct-P29 (Fin)'!J105+'KY_Res by Plant Acct-P29 (PA)'!J104</f>
        <v>0</v>
      </c>
      <c r="K105" s="62"/>
      <c r="L105" s="61">
        <f>+'KY_Res by Plant Acct-P29 (Fin)'!L105+'KY_Res by Plant Acct-P29 (PA)'!L104</f>
        <v>0</v>
      </c>
      <c r="M105" s="62"/>
      <c r="N105" s="61">
        <f>+'KY_Res by Plant Acct-P29 (Fin)'!N105+'KY_Res by Plant Acct-P29 (PA)'!N104</f>
        <v>0</v>
      </c>
      <c r="O105" s="62"/>
      <c r="P105" s="61">
        <f>+'KY_Res by Plant Acct-P29 (Fin)'!P105+'KY_Res by Plant Acct-P29 (PA)'!P104</f>
        <v>0</v>
      </c>
      <c r="Q105" s="62"/>
      <c r="R105" s="61">
        <f t="shared" si="6"/>
        <v>-158849.55000000019</v>
      </c>
      <c r="S105" s="63"/>
      <c r="T105" s="63"/>
      <c r="U105" s="63"/>
    </row>
    <row r="106" spans="1:21" s="60" customFormat="1" hidden="1" outlineLevel="1">
      <c r="A106" s="60" t="s">
        <v>1021</v>
      </c>
      <c r="B106" s="61">
        <f>+'KY_Res by Plant Acct-P29 (Fin)'!B106+'KY_Res by Plant Acct-P29 (PA)'!B105</f>
        <v>-295530.1799999997</v>
      </c>
      <c r="C106" s="62"/>
      <c r="D106" s="61">
        <f>+'KY_Res by Plant Acct-P29 (Fin)'!D106+'KY_Res by Plant Acct-P29 (PA)'!D105</f>
        <v>-19669.71</v>
      </c>
      <c r="E106" s="62"/>
      <c r="F106" s="61">
        <f>+'KY_Res by Plant Acct-P29 (Fin)'!F106+'KY_Res by Plant Acct-P29 (PA)'!F105</f>
        <v>0</v>
      </c>
      <c r="G106" s="62"/>
      <c r="H106" s="61">
        <f>+'KY_Res by Plant Acct-P29 (Fin)'!H106+'KY_Res by Plant Acct-P29 (PA)'!H105</f>
        <v>0</v>
      </c>
      <c r="I106" s="62"/>
      <c r="J106" s="61">
        <f>+'KY_Res by Plant Acct-P29 (Fin)'!J106+'KY_Res by Plant Acct-P29 (PA)'!J105</f>
        <v>0</v>
      </c>
      <c r="K106" s="62"/>
      <c r="L106" s="61">
        <f>+'KY_Res by Plant Acct-P29 (Fin)'!L106+'KY_Res by Plant Acct-P29 (PA)'!L105</f>
        <v>0</v>
      </c>
      <c r="M106" s="62"/>
      <c r="N106" s="61">
        <f>+'KY_Res by Plant Acct-P29 (Fin)'!N106+'KY_Res by Plant Acct-P29 (PA)'!N105</f>
        <v>0</v>
      </c>
      <c r="O106" s="62"/>
      <c r="P106" s="61">
        <f>+'KY_Res by Plant Acct-P29 (Fin)'!P106+'KY_Res by Plant Acct-P29 (PA)'!P105</f>
        <v>0</v>
      </c>
      <c r="Q106" s="62"/>
      <c r="R106" s="61">
        <f t="shared" si="6"/>
        <v>-315199.88999999972</v>
      </c>
      <c r="S106" s="63"/>
      <c r="T106" s="63"/>
      <c r="U106" s="63"/>
    </row>
    <row r="107" spans="1:21" s="60" customFormat="1" hidden="1" outlineLevel="1">
      <c r="A107" s="60" t="s">
        <v>701</v>
      </c>
      <c r="B107" s="61">
        <f>+'KY_Res by Plant Acct-P29 (Fin)'!B107+'KY_Res by Plant Acct-P29 (PA)'!B106</f>
        <v>-245009.6100000001</v>
      </c>
      <c r="C107" s="62"/>
      <c r="D107" s="61">
        <f>+'KY_Res by Plant Acct-P29 (Fin)'!D107+'KY_Res by Plant Acct-P29 (PA)'!D106</f>
        <v>-43948.92</v>
      </c>
      <c r="E107" s="62"/>
      <c r="F107" s="61">
        <f>+'KY_Res by Plant Acct-P29 (Fin)'!F107+'KY_Res by Plant Acct-P29 (PA)'!F106</f>
        <v>0</v>
      </c>
      <c r="G107" s="62"/>
      <c r="H107" s="61">
        <f>+'KY_Res by Plant Acct-P29 (Fin)'!H107+'KY_Res by Plant Acct-P29 (PA)'!H106</f>
        <v>0</v>
      </c>
      <c r="I107" s="62"/>
      <c r="J107" s="61">
        <f>+'KY_Res by Plant Acct-P29 (Fin)'!J107+'KY_Res by Plant Acct-P29 (PA)'!J106</f>
        <v>0</v>
      </c>
      <c r="K107" s="62"/>
      <c r="L107" s="61">
        <f>+'KY_Res by Plant Acct-P29 (Fin)'!L107+'KY_Res by Plant Acct-P29 (PA)'!L106</f>
        <v>0</v>
      </c>
      <c r="M107" s="62"/>
      <c r="N107" s="61">
        <f>+'KY_Res by Plant Acct-P29 (Fin)'!N107+'KY_Res by Plant Acct-P29 (PA)'!N106</f>
        <v>0</v>
      </c>
      <c r="O107" s="62"/>
      <c r="P107" s="61">
        <f>+'KY_Res by Plant Acct-P29 (Fin)'!P107+'KY_Res by Plant Acct-P29 (PA)'!P106</f>
        <v>0</v>
      </c>
      <c r="Q107" s="62"/>
      <c r="R107" s="61">
        <f t="shared" si="6"/>
        <v>-288958.53000000009</v>
      </c>
      <c r="S107" s="63"/>
      <c r="T107" s="63"/>
      <c r="U107" s="63"/>
    </row>
    <row r="108" spans="1:21" s="60" customFormat="1" hidden="1" outlineLevel="1">
      <c r="A108" s="60" t="s">
        <v>977</v>
      </c>
      <c r="B108" s="61">
        <f>+'KY_Res by Plant Acct-P29 (Fin)'!B108+'KY_Res by Plant Acct-P29 (PA)'!B107</f>
        <v>-70744.450000000012</v>
      </c>
      <c r="C108" s="62"/>
      <c r="D108" s="61">
        <f>+'KY_Res by Plant Acct-P29 (Fin)'!D108+'KY_Res by Plant Acct-P29 (PA)'!D107</f>
        <v>-14125.920000000002</v>
      </c>
      <c r="E108" s="62"/>
      <c r="F108" s="61">
        <f>+'KY_Res by Plant Acct-P29 (Fin)'!F108+'KY_Res by Plant Acct-P29 (PA)'!F107</f>
        <v>0</v>
      </c>
      <c r="G108" s="62"/>
      <c r="H108" s="61">
        <f>+'KY_Res by Plant Acct-P29 (Fin)'!H108+'KY_Res by Plant Acct-P29 (PA)'!H107</f>
        <v>0</v>
      </c>
      <c r="I108" s="62"/>
      <c r="J108" s="61">
        <f>+'KY_Res by Plant Acct-P29 (Fin)'!J108+'KY_Res by Plant Acct-P29 (PA)'!J107</f>
        <v>0</v>
      </c>
      <c r="K108" s="62"/>
      <c r="L108" s="61">
        <f>+'KY_Res by Plant Acct-P29 (Fin)'!L108+'KY_Res by Plant Acct-P29 (PA)'!L107</f>
        <v>0</v>
      </c>
      <c r="M108" s="62"/>
      <c r="N108" s="61">
        <f>+'KY_Res by Plant Acct-P29 (Fin)'!N108+'KY_Res by Plant Acct-P29 (PA)'!N107</f>
        <v>0</v>
      </c>
      <c r="O108" s="62"/>
      <c r="P108" s="61">
        <f>+'KY_Res by Plant Acct-P29 (Fin)'!P108+'KY_Res by Plant Acct-P29 (PA)'!P107</f>
        <v>0</v>
      </c>
      <c r="Q108" s="62"/>
      <c r="R108" s="61">
        <f t="shared" si="6"/>
        <v>-84870.37000000001</v>
      </c>
      <c r="S108" s="63"/>
      <c r="T108" s="63"/>
      <c r="U108" s="63"/>
    </row>
    <row r="109" spans="1:21" s="60" customFormat="1" hidden="1" outlineLevel="1">
      <c r="A109" s="60" t="s">
        <v>1045</v>
      </c>
      <c r="B109" s="61">
        <f>+'KY_Res by Plant Acct-P29 (Fin)'!B109+'KY_Res by Plant Acct-P29 (PA)'!B108</f>
        <v>-61757.129999999946</v>
      </c>
      <c r="C109" s="62"/>
      <c r="D109" s="61">
        <f>+'KY_Res by Plant Acct-P29 (Fin)'!D109+'KY_Res by Plant Acct-P29 (PA)'!D108</f>
        <v>-11891.039999999999</v>
      </c>
      <c r="E109" s="62"/>
      <c r="F109" s="61">
        <f>+'KY_Res by Plant Acct-P29 (Fin)'!F109+'KY_Res by Plant Acct-P29 (PA)'!F108</f>
        <v>0</v>
      </c>
      <c r="G109" s="62"/>
      <c r="H109" s="61">
        <f>+'KY_Res by Plant Acct-P29 (Fin)'!H109+'KY_Res by Plant Acct-P29 (PA)'!H108</f>
        <v>0</v>
      </c>
      <c r="I109" s="62"/>
      <c r="J109" s="61">
        <f>+'KY_Res by Plant Acct-P29 (Fin)'!J109+'KY_Res by Plant Acct-P29 (PA)'!J108</f>
        <v>0</v>
      </c>
      <c r="K109" s="62"/>
      <c r="L109" s="61">
        <f>+'KY_Res by Plant Acct-P29 (Fin)'!L109+'KY_Res by Plant Acct-P29 (PA)'!L108</f>
        <v>0</v>
      </c>
      <c r="M109" s="62"/>
      <c r="N109" s="61">
        <f>+'KY_Res by Plant Acct-P29 (Fin)'!N109+'KY_Res by Plant Acct-P29 (PA)'!N108</f>
        <v>0</v>
      </c>
      <c r="O109" s="62"/>
      <c r="P109" s="61">
        <f>+'KY_Res by Plant Acct-P29 (Fin)'!P109+'KY_Res by Plant Acct-P29 (PA)'!P108</f>
        <v>0</v>
      </c>
      <c r="Q109" s="62"/>
      <c r="R109" s="61">
        <f t="shared" si="6"/>
        <v>-73648.16999999994</v>
      </c>
      <c r="S109" s="63"/>
      <c r="T109" s="63"/>
      <c r="U109" s="63"/>
    </row>
    <row r="110" spans="1:21" s="60" customFormat="1" hidden="1" outlineLevel="1">
      <c r="A110" s="60" t="s">
        <v>693</v>
      </c>
      <c r="B110" s="61">
        <f>+'KY_Res by Plant Acct-P29 (Fin)'!B110+'KY_Res by Plant Acct-P29 (PA)'!B109</f>
        <v>-61674.090000000084</v>
      </c>
      <c r="C110" s="62"/>
      <c r="D110" s="61">
        <f>+'KY_Res by Plant Acct-P29 (Fin)'!D110+'KY_Res by Plant Acct-P29 (PA)'!D109</f>
        <v>-11874.630000000001</v>
      </c>
      <c r="E110" s="62"/>
      <c r="F110" s="61">
        <f>+'KY_Res by Plant Acct-P29 (Fin)'!F110+'KY_Res by Plant Acct-P29 (PA)'!F109</f>
        <v>0</v>
      </c>
      <c r="G110" s="62"/>
      <c r="H110" s="61">
        <f>+'KY_Res by Plant Acct-P29 (Fin)'!H110+'KY_Res by Plant Acct-P29 (PA)'!H109</f>
        <v>0</v>
      </c>
      <c r="I110" s="62"/>
      <c r="J110" s="61">
        <f>+'KY_Res by Plant Acct-P29 (Fin)'!J110+'KY_Res by Plant Acct-P29 (PA)'!J109</f>
        <v>0</v>
      </c>
      <c r="K110" s="62"/>
      <c r="L110" s="61">
        <f>+'KY_Res by Plant Acct-P29 (Fin)'!L110+'KY_Res by Plant Acct-P29 (PA)'!L109</f>
        <v>0</v>
      </c>
      <c r="M110" s="62"/>
      <c r="N110" s="61">
        <f>+'KY_Res by Plant Acct-P29 (Fin)'!N110+'KY_Res by Plant Acct-P29 (PA)'!N109</f>
        <v>0</v>
      </c>
      <c r="O110" s="62"/>
      <c r="P110" s="61">
        <f>+'KY_Res by Plant Acct-P29 (Fin)'!P110+'KY_Res by Plant Acct-P29 (PA)'!P109</f>
        <v>0</v>
      </c>
      <c r="Q110" s="62"/>
      <c r="R110" s="61">
        <f t="shared" si="6"/>
        <v>-73548.720000000088</v>
      </c>
      <c r="S110" s="63"/>
      <c r="T110" s="63"/>
      <c r="U110" s="63"/>
    </row>
    <row r="111" spans="1:21" s="60" customFormat="1" hidden="1" outlineLevel="1">
      <c r="A111" s="60" t="s">
        <v>1022</v>
      </c>
      <c r="B111" s="61">
        <f>+'KY_Res by Plant Acct-P29 (Fin)'!B111+'KY_Res by Plant Acct-P29 (PA)'!B110</f>
        <v>-70914.760000000068</v>
      </c>
      <c r="C111" s="62"/>
      <c r="D111" s="61">
        <f>+'KY_Res by Plant Acct-P29 (Fin)'!D111+'KY_Res by Plant Acct-P29 (PA)'!D110</f>
        <v>-14159.939999999999</v>
      </c>
      <c r="E111" s="62"/>
      <c r="F111" s="61">
        <f>+'KY_Res by Plant Acct-P29 (Fin)'!F111+'KY_Res by Plant Acct-P29 (PA)'!F110</f>
        <v>0</v>
      </c>
      <c r="G111" s="62"/>
      <c r="H111" s="61">
        <f>+'KY_Res by Plant Acct-P29 (Fin)'!H111+'KY_Res by Plant Acct-P29 (PA)'!H110</f>
        <v>0</v>
      </c>
      <c r="I111" s="62"/>
      <c r="J111" s="61">
        <f>+'KY_Res by Plant Acct-P29 (Fin)'!J111+'KY_Res by Plant Acct-P29 (PA)'!J110</f>
        <v>0</v>
      </c>
      <c r="K111" s="62"/>
      <c r="L111" s="61">
        <f>+'KY_Res by Plant Acct-P29 (Fin)'!L111+'KY_Res by Plant Acct-P29 (PA)'!L110</f>
        <v>0</v>
      </c>
      <c r="M111" s="62"/>
      <c r="N111" s="61">
        <f>+'KY_Res by Plant Acct-P29 (Fin)'!N111+'KY_Res by Plant Acct-P29 (PA)'!N110</f>
        <v>0</v>
      </c>
      <c r="O111" s="62"/>
      <c r="P111" s="61">
        <f>+'KY_Res by Plant Acct-P29 (Fin)'!P111+'KY_Res by Plant Acct-P29 (PA)'!P110</f>
        <v>0</v>
      </c>
      <c r="Q111" s="62"/>
      <c r="R111" s="61">
        <f t="shared" si="6"/>
        <v>-85074.70000000007</v>
      </c>
      <c r="S111" s="63"/>
      <c r="T111" s="63"/>
      <c r="U111" s="63"/>
    </row>
    <row r="112" spans="1:21" s="60" customFormat="1" hidden="1" outlineLevel="1">
      <c r="A112" s="60" t="s">
        <v>968</v>
      </c>
      <c r="B112" s="61">
        <f>+'KY_Res by Plant Acct-P29 (Fin)'!B112+'KY_Res by Plant Acct-P29 (PA)'!B111</f>
        <v>-70522.829999999958</v>
      </c>
      <c r="C112" s="62"/>
      <c r="D112" s="61">
        <f>+'KY_Res by Plant Acct-P29 (Fin)'!D112+'KY_Res by Plant Acct-P29 (PA)'!D111</f>
        <v>-14081.670000000002</v>
      </c>
      <c r="E112" s="62"/>
      <c r="F112" s="61">
        <f>+'KY_Res by Plant Acct-P29 (Fin)'!F112+'KY_Res by Plant Acct-P29 (PA)'!F111</f>
        <v>0</v>
      </c>
      <c r="G112" s="62"/>
      <c r="H112" s="61">
        <f>+'KY_Res by Plant Acct-P29 (Fin)'!H112+'KY_Res by Plant Acct-P29 (PA)'!H111</f>
        <v>0</v>
      </c>
      <c r="I112" s="62"/>
      <c r="J112" s="61">
        <f>+'KY_Res by Plant Acct-P29 (Fin)'!J112+'KY_Res by Plant Acct-P29 (PA)'!J111</f>
        <v>0</v>
      </c>
      <c r="K112" s="62"/>
      <c r="L112" s="61">
        <f>+'KY_Res by Plant Acct-P29 (Fin)'!L112+'KY_Res by Plant Acct-P29 (PA)'!L111</f>
        <v>0</v>
      </c>
      <c r="M112" s="62"/>
      <c r="N112" s="61">
        <f>+'KY_Res by Plant Acct-P29 (Fin)'!N112+'KY_Res by Plant Acct-P29 (PA)'!N111</f>
        <v>0</v>
      </c>
      <c r="O112" s="62"/>
      <c r="P112" s="61">
        <f>+'KY_Res by Plant Acct-P29 (Fin)'!P112+'KY_Res by Plant Acct-P29 (PA)'!P111</f>
        <v>0</v>
      </c>
      <c r="Q112" s="62"/>
      <c r="R112" s="61">
        <f t="shared" si="6"/>
        <v>-84604.499999999956</v>
      </c>
      <c r="S112" s="63"/>
      <c r="T112" s="63"/>
      <c r="U112" s="63"/>
    </row>
    <row r="113" spans="1:21" s="60" customFormat="1" hidden="1" outlineLevel="1">
      <c r="A113" s="60" t="s">
        <v>1046</v>
      </c>
      <c r="B113" s="61">
        <f>+'KY_Res by Plant Acct-P29 (Fin)'!B113+'KY_Res by Plant Acct-P29 (PA)'!B112</f>
        <v>-70963.479999999981</v>
      </c>
      <c r="C113" s="62"/>
      <c r="D113" s="61">
        <f>+'KY_Res by Plant Acct-P29 (Fin)'!D113+'KY_Res by Plant Acct-P29 (PA)'!D112</f>
        <v>-14169.66</v>
      </c>
      <c r="E113" s="62"/>
      <c r="F113" s="61">
        <f>+'KY_Res by Plant Acct-P29 (Fin)'!F113+'KY_Res by Plant Acct-P29 (PA)'!F112</f>
        <v>0</v>
      </c>
      <c r="G113" s="62"/>
      <c r="H113" s="61">
        <f>+'KY_Res by Plant Acct-P29 (Fin)'!H113+'KY_Res by Plant Acct-P29 (PA)'!H112</f>
        <v>0</v>
      </c>
      <c r="I113" s="62"/>
      <c r="J113" s="61">
        <f>+'KY_Res by Plant Acct-P29 (Fin)'!J113+'KY_Res by Plant Acct-P29 (PA)'!J112</f>
        <v>0</v>
      </c>
      <c r="K113" s="62"/>
      <c r="L113" s="61">
        <f>+'KY_Res by Plant Acct-P29 (Fin)'!L113+'KY_Res by Plant Acct-P29 (PA)'!L112</f>
        <v>0</v>
      </c>
      <c r="M113" s="62"/>
      <c r="N113" s="61">
        <f>+'KY_Res by Plant Acct-P29 (Fin)'!N113+'KY_Res by Plant Acct-P29 (PA)'!N112</f>
        <v>0</v>
      </c>
      <c r="O113" s="62"/>
      <c r="P113" s="61">
        <f>+'KY_Res by Plant Acct-P29 (Fin)'!P113+'KY_Res by Plant Acct-P29 (PA)'!P112</f>
        <v>0</v>
      </c>
      <c r="Q113" s="62"/>
      <c r="R113" s="61">
        <f t="shared" si="6"/>
        <v>-85133.139999999985</v>
      </c>
      <c r="S113" s="63"/>
      <c r="T113" s="63"/>
      <c r="U113" s="63"/>
    </row>
    <row r="114" spans="1:21" s="60" customFormat="1" hidden="1" outlineLevel="1">
      <c r="A114" s="60" t="s">
        <v>972</v>
      </c>
      <c r="B114" s="61">
        <f>+'KY_Res by Plant Acct-P29 (Fin)'!B114+'KY_Res by Plant Acct-P29 (PA)'!B113</f>
        <v>0</v>
      </c>
      <c r="C114" s="62"/>
      <c r="D114" s="61">
        <f>+'KY_Res by Plant Acct-P29 (Fin)'!D114+'KY_Res by Plant Acct-P29 (PA)'!D113</f>
        <v>0</v>
      </c>
      <c r="E114" s="62"/>
      <c r="F114" s="61">
        <f>+'KY_Res by Plant Acct-P29 (Fin)'!F114+'KY_Res by Plant Acct-P29 (PA)'!F113</f>
        <v>0</v>
      </c>
      <c r="G114" s="62"/>
      <c r="H114" s="61">
        <f>+'KY_Res by Plant Acct-P29 (Fin)'!H114+'KY_Res by Plant Acct-P29 (PA)'!H113</f>
        <v>0</v>
      </c>
      <c r="I114" s="62"/>
      <c r="J114" s="61">
        <f>+'KY_Res by Plant Acct-P29 (Fin)'!J114+'KY_Res by Plant Acct-P29 (PA)'!J113</f>
        <v>0</v>
      </c>
      <c r="K114" s="62"/>
      <c r="L114" s="61">
        <f>+'KY_Res by Plant Acct-P29 (Fin)'!L114+'KY_Res by Plant Acct-P29 (PA)'!L113</f>
        <v>0</v>
      </c>
      <c r="M114" s="62"/>
      <c r="N114" s="61">
        <f>+'KY_Res by Plant Acct-P29 (Fin)'!N114+'KY_Res by Plant Acct-P29 (PA)'!N113</f>
        <v>0</v>
      </c>
      <c r="O114" s="62"/>
      <c r="P114" s="61">
        <f>+'KY_Res by Plant Acct-P29 (Fin)'!P114+'KY_Res by Plant Acct-P29 (PA)'!P113</f>
        <v>0</v>
      </c>
      <c r="Q114" s="62"/>
      <c r="R114" s="61">
        <f t="shared" si="6"/>
        <v>0</v>
      </c>
      <c r="S114" s="63"/>
      <c r="T114" s="63"/>
      <c r="U114" s="63"/>
    </row>
    <row r="115" spans="1:21" s="60" customFormat="1" hidden="1" outlineLevel="1">
      <c r="A115" s="60" t="s">
        <v>1047</v>
      </c>
      <c r="B115" s="61">
        <f>+'KY_Res by Plant Acct-P29 (Fin)'!B115+'KY_Res by Plant Acct-P29 (PA)'!B114</f>
        <v>-177569.37999999989</v>
      </c>
      <c r="C115" s="62"/>
      <c r="D115" s="61">
        <f>+'KY_Res by Plant Acct-P29 (Fin)'!D115+'KY_Res by Plant Acct-P29 (PA)'!D114</f>
        <v>-12336.18</v>
      </c>
      <c r="E115" s="62"/>
      <c r="F115" s="61">
        <f>+'KY_Res by Plant Acct-P29 (Fin)'!F115+'KY_Res by Plant Acct-P29 (PA)'!F114</f>
        <v>0</v>
      </c>
      <c r="G115" s="62"/>
      <c r="H115" s="61">
        <f>+'KY_Res by Plant Acct-P29 (Fin)'!H115+'KY_Res by Plant Acct-P29 (PA)'!H114</f>
        <v>0</v>
      </c>
      <c r="I115" s="62"/>
      <c r="J115" s="61">
        <f>+'KY_Res by Plant Acct-P29 (Fin)'!J115+'KY_Res by Plant Acct-P29 (PA)'!J114</f>
        <v>0</v>
      </c>
      <c r="K115" s="62"/>
      <c r="L115" s="61">
        <f>+'KY_Res by Plant Acct-P29 (Fin)'!L115+'KY_Res by Plant Acct-P29 (PA)'!L114</f>
        <v>0</v>
      </c>
      <c r="M115" s="62"/>
      <c r="N115" s="61">
        <f>+'KY_Res by Plant Acct-P29 (Fin)'!N115+'KY_Res by Plant Acct-P29 (PA)'!N114</f>
        <v>0</v>
      </c>
      <c r="O115" s="62"/>
      <c r="P115" s="61">
        <f>+'KY_Res by Plant Acct-P29 (Fin)'!P115+'KY_Res by Plant Acct-P29 (PA)'!P114</f>
        <v>0</v>
      </c>
      <c r="Q115" s="62"/>
      <c r="R115" s="61">
        <f t="shared" si="6"/>
        <v>-189905.55999999988</v>
      </c>
      <c r="S115" s="63"/>
      <c r="T115" s="63"/>
      <c r="U115" s="63"/>
    </row>
    <row r="116" spans="1:21" s="10" customFormat="1" collapsed="1">
      <c r="A116" s="10" t="s">
        <v>796</v>
      </c>
      <c r="B116" s="64">
        <f>+'KY_Res by Plant Acct-P29 (Fin)'!B116+'KY_Res by Plant Acct-P29 (PA)'!B115</f>
        <v>-1896101.549999997</v>
      </c>
      <c r="C116" s="65"/>
      <c r="D116" s="64">
        <f>+'KY_Res by Plant Acct-P29 (Fin)'!D116+'KY_Res by Plant Acct-P29 (PA)'!D115</f>
        <v>-267953.01</v>
      </c>
      <c r="E116" s="65"/>
      <c r="F116" s="64">
        <f>+'KY_Res by Plant Acct-P29 (Fin)'!F116+'KY_Res by Plant Acct-P29 (PA)'!F115</f>
        <v>0</v>
      </c>
      <c r="G116" s="65"/>
      <c r="H116" s="64">
        <f>+'KY_Res by Plant Acct-P29 (Fin)'!H116+'KY_Res by Plant Acct-P29 (PA)'!H115</f>
        <v>0</v>
      </c>
      <c r="I116" s="65"/>
      <c r="J116" s="64">
        <f>+'KY_Res by Plant Acct-P29 (Fin)'!J116+'KY_Res by Plant Acct-P29 (PA)'!J115</f>
        <v>0</v>
      </c>
      <c r="K116" s="65"/>
      <c r="L116" s="64">
        <f>+'KY_Res by Plant Acct-P29 (Fin)'!L116+'KY_Res by Plant Acct-P29 (PA)'!L115</f>
        <v>0</v>
      </c>
      <c r="M116" s="65"/>
      <c r="N116" s="64">
        <f>+'KY_Res by Plant Acct-P29 (Fin)'!N116+'KY_Res by Plant Acct-P29 (PA)'!N115</f>
        <v>0</v>
      </c>
      <c r="O116" s="65"/>
      <c r="P116" s="64">
        <f>+'KY_Res by Plant Acct-P29 (Fin)'!P116+'KY_Res by Plant Acct-P29 (PA)'!P115</f>
        <v>0</v>
      </c>
      <c r="Q116" s="65"/>
      <c r="R116" s="64">
        <f>SUM(R101:R115)</f>
        <v>-2164054.56</v>
      </c>
      <c r="S116" s="24"/>
      <c r="T116" s="24"/>
      <c r="U116" s="24"/>
    </row>
    <row r="117" spans="1:21" s="60" customFormat="1" hidden="1" outlineLevel="1">
      <c r="A117" s="60" t="s">
        <v>1039</v>
      </c>
      <c r="B117" s="61">
        <f>+'KY_Res by Plant Acct-P29 (Fin)'!B117+'KY_Res by Plant Acct-P29 (PA)'!B116</f>
        <v>-6445.5</v>
      </c>
      <c r="C117" s="62"/>
      <c r="D117" s="61">
        <f>+'KY_Res by Plant Acct-P29 (Fin)'!D117+'KY_Res by Plant Acct-P29 (PA)'!D116</f>
        <v>-699.75</v>
      </c>
      <c r="E117" s="62"/>
      <c r="F117" s="61">
        <f>+'KY_Res by Plant Acct-P29 (Fin)'!F117+'KY_Res by Plant Acct-P29 (PA)'!F116</f>
        <v>0</v>
      </c>
      <c r="G117" s="62"/>
      <c r="H117" s="61">
        <f>+'KY_Res by Plant Acct-P29 (Fin)'!H117+'KY_Res by Plant Acct-P29 (PA)'!H116</f>
        <v>0</v>
      </c>
      <c r="I117" s="62"/>
      <c r="J117" s="61">
        <f>+'KY_Res by Plant Acct-P29 (Fin)'!J117+'KY_Res by Plant Acct-P29 (PA)'!J116</f>
        <v>0</v>
      </c>
      <c r="K117" s="62"/>
      <c r="L117" s="61">
        <f>+'KY_Res by Plant Acct-P29 (Fin)'!L117+'KY_Res by Plant Acct-P29 (PA)'!L116</f>
        <v>0</v>
      </c>
      <c r="M117" s="62"/>
      <c r="N117" s="61">
        <f>+'KY_Res by Plant Acct-P29 (Fin)'!N117+'KY_Res by Plant Acct-P29 (PA)'!N116</f>
        <v>0</v>
      </c>
      <c r="O117" s="62"/>
      <c r="P117" s="61">
        <f>+'KY_Res by Plant Acct-P29 (Fin)'!P117+'KY_Res by Plant Acct-P29 (PA)'!P116</f>
        <v>0</v>
      </c>
      <c r="Q117" s="62"/>
      <c r="R117" s="61">
        <f t="shared" si="6"/>
        <v>-7145.25</v>
      </c>
      <c r="S117" s="63"/>
      <c r="T117" s="63"/>
      <c r="U117" s="63"/>
    </row>
    <row r="118" spans="1:21" s="60" customFormat="1" hidden="1" outlineLevel="1">
      <c r="A118" s="60" t="s">
        <v>981</v>
      </c>
      <c r="B118" s="61">
        <f>+'KY_Res by Plant Acct-P29 (Fin)'!B118+'KY_Res by Plant Acct-P29 (PA)'!B117</f>
        <v>-104946.19999999995</v>
      </c>
      <c r="C118" s="62"/>
      <c r="D118" s="61">
        <f>+'KY_Res by Plant Acct-P29 (Fin)'!D118+'KY_Res by Plant Acct-P29 (PA)'!D117</f>
        <v>-22549.59</v>
      </c>
      <c r="E118" s="62"/>
      <c r="F118" s="61">
        <f>+'KY_Res by Plant Acct-P29 (Fin)'!F118+'KY_Res by Plant Acct-P29 (PA)'!F117</f>
        <v>0</v>
      </c>
      <c r="G118" s="62"/>
      <c r="H118" s="61">
        <f>+'KY_Res by Plant Acct-P29 (Fin)'!H118+'KY_Res by Plant Acct-P29 (PA)'!H117</f>
        <v>0</v>
      </c>
      <c r="I118" s="62"/>
      <c r="J118" s="61">
        <f>+'KY_Res by Plant Acct-P29 (Fin)'!J118+'KY_Res by Plant Acct-P29 (PA)'!J117</f>
        <v>0</v>
      </c>
      <c r="K118" s="62"/>
      <c r="L118" s="61">
        <f>+'KY_Res by Plant Acct-P29 (Fin)'!L118+'KY_Res by Plant Acct-P29 (PA)'!L117</f>
        <v>0</v>
      </c>
      <c r="M118" s="62"/>
      <c r="N118" s="61">
        <f>+'KY_Res by Plant Acct-P29 (Fin)'!N118+'KY_Res by Plant Acct-P29 (PA)'!N117</f>
        <v>0</v>
      </c>
      <c r="O118" s="62"/>
      <c r="P118" s="61">
        <f>+'KY_Res by Plant Acct-P29 (Fin)'!P118+'KY_Res by Plant Acct-P29 (PA)'!P117</f>
        <v>0</v>
      </c>
      <c r="Q118" s="62"/>
      <c r="R118" s="61">
        <f t="shared" si="6"/>
        <v>-127495.78999999995</v>
      </c>
      <c r="S118" s="63"/>
      <c r="T118" s="63"/>
      <c r="U118" s="63"/>
    </row>
    <row r="119" spans="1:21" s="60" customFormat="1" hidden="1" outlineLevel="1">
      <c r="A119" s="60" t="s">
        <v>989</v>
      </c>
      <c r="B119" s="61">
        <f>+'KY_Res by Plant Acct-P29 (Fin)'!B119+'KY_Res by Plant Acct-P29 (PA)'!B118</f>
        <v>-39940.569999999949</v>
      </c>
      <c r="C119" s="62"/>
      <c r="D119" s="61">
        <f>+'KY_Res by Plant Acct-P29 (Fin)'!D119+'KY_Res by Plant Acct-P29 (PA)'!D118</f>
        <v>-7907.0399999999991</v>
      </c>
      <c r="E119" s="62"/>
      <c r="F119" s="61">
        <f>+'KY_Res by Plant Acct-P29 (Fin)'!F119+'KY_Res by Plant Acct-P29 (PA)'!F118</f>
        <v>0</v>
      </c>
      <c r="G119" s="62"/>
      <c r="H119" s="61">
        <f>+'KY_Res by Plant Acct-P29 (Fin)'!H119+'KY_Res by Plant Acct-P29 (PA)'!H118</f>
        <v>0</v>
      </c>
      <c r="I119" s="62"/>
      <c r="J119" s="61">
        <f>+'KY_Res by Plant Acct-P29 (Fin)'!J119+'KY_Res by Plant Acct-P29 (PA)'!J118</f>
        <v>0</v>
      </c>
      <c r="K119" s="62"/>
      <c r="L119" s="61">
        <f>+'KY_Res by Plant Acct-P29 (Fin)'!L119+'KY_Res by Plant Acct-P29 (PA)'!L118</f>
        <v>0</v>
      </c>
      <c r="M119" s="62"/>
      <c r="N119" s="61">
        <f>+'KY_Res by Plant Acct-P29 (Fin)'!N119+'KY_Res by Plant Acct-P29 (PA)'!N118</f>
        <v>0</v>
      </c>
      <c r="O119" s="62"/>
      <c r="P119" s="61">
        <f>+'KY_Res by Plant Acct-P29 (Fin)'!P119+'KY_Res by Plant Acct-P29 (PA)'!P118</f>
        <v>0</v>
      </c>
      <c r="Q119" s="62"/>
      <c r="R119" s="61">
        <f t="shared" si="6"/>
        <v>-47847.60999999995</v>
      </c>
      <c r="S119" s="63"/>
      <c r="T119" s="63"/>
      <c r="U119" s="63"/>
    </row>
    <row r="120" spans="1:21" s="60" customFormat="1" hidden="1" outlineLevel="1">
      <c r="A120" s="60" t="s">
        <v>983</v>
      </c>
      <c r="B120" s="61">
        <f>+'KY_Res by Plant Acct-P29 (Fin)'!B120+'KY_Res by Plant Acct-P29 (PA)'!B119</f>
        <v>-39202.469999999914</v>
      </c>
      <c r="C120" s="62"/>
      <c r="D120" s="61">
        <f>+'KY_Res by Plant Acct-P29 (Fin)'!D120+'KY_Res by Plant Acct-P29 (PA)'!D119</f>
        <v>-7768.59</v>
      </c>
      <c r="E120" s="62"/>
      <c r="F120" s="61">
        <f>+'KY_Res by Plant Acct-P29 (Fin)'!F120+'KY_Res by Plant Acct-P29 (PA)'!F119</f>
        <v>0</v>
      </c>
      <c r="G120" s="62"/>
      <c r="H120" s="61">
        <f>+'KY_Res by Plant Acct-P29 (Fin)'!H120+'KY_Res by Plant Acct-P29 (PA)'!H119</f>
        <v>0</v>
      </c>
      <c r="I120" s="62"/>
      <c r="J120" s="61">
        <f>+'KY_Res by Plant Acct-P29 (Fin)'!J120+'KY_Res by Plant Acct-P29 (PA)'!J119</f>
        <v>0</v>
      </c>
      <c r="K120" s="62"/>
      <c r="L120" s="61">
        <f>+'KY_Res by Plant Acct-P29 (Fin)'!L120+'KY_Res by Plant Acct-P29 (PA)'!L119</f>
        <v>0</v>
      </c>
      <c r="M120" s="62"/>
      <c r="N120" s="61">
        <f>+'KY_Res by Plant Acct-P29 (Fin)'!N120+'KY_Res by Plant Acct-P29 (PA)'!N119</f>
        <v>0</v>
      </c>
      <c r="O120" s="62"/>
      <c r="P120" s="61">
        <f>+'KY_Res by Plant Acct-P29 (Fin)'!P120+'KY_Res by Plant Acct-P29 (PA)'!P119</f>
        <v>0</v>
      </c>
      <c r="Q120" s="62"/>
      <c r="R120" s="61">
        <f t="shared" si="6"/>
        <v>-46971.05999999991</v>
      </c>
      <c r="S120" s="63"/>
      <c r="T120" s="63"/>
      <c r="U120" s="63"/>
    </row>
    <row r="121" spans="1:21" s="60" customFormat="1" hidden="1" outlineLevel="1">
      <c r="A121" s="60" t="s">
        <v>1043</v>
      </c>
      <c r="B121" s="61">
        <f>+'KY_Res by Plant Acct-P29 (Fin)'!B121+'KY_Res by Plant Acct-P29 (PA)'!B120</f>
        <v>-5018.0400000000081</v>
      </c>
      <c r="C121" s="62"/>
      <c r="D121" s="61">
        <f>+'KY_Res by Plant Acct-P29 (Fin)'!D121+'KY_Res by Plant Acct-P29 (PA)'!D120</f>
        <v>-727.08</v>
      </c>
      <c r="E121" s="62"/>
      <c r="F121" s="61">
        <f>+'KY_Res by Plant Acct-P29 (Fin)'!F121+'KY_Res by Plant Acct-P29 (PA)'!F120</f>
        <v>0</v>
      </c>
      <c r="G121" s="62"/>
      <c r="H121" s="61">
        <f>+'KY_Res by Plant Acct-P29 (Fin)'!H121+'KY_Res by Plant Acct-P29 (PA)'!H120</f>
        <v>0</v>
      </c>
      <c r="I121" s="62"/>
      <c r="J121" s="61">
        <f>+'KY_Res by Plant Acct-P29 (Fin)'!J121+'KY_Res by Plant Acct-P29 (PA)'!J120</f>
        <v>0</v>
      </c>
      <c r="K121" s="62"/>
      <c r="L121" s="61">
        <f>+'KY_Res by Plant Acct-P29 (Fin)'!L121+'KY_Res by Plant Acct-P29 (PA)'!L120</f>
        <v>0</v>
      </c>
      <c r="M121" s="62"/>
      <c r="N121" s="61">
        <f>+'KY_Res by Plant Acct-P29 (Fin)'!N121+'KY_Res by Plant Acct-P29 (PA)'!N120</f>
        <v>0</v>
      </c>
      <c r="O121" s="62"/>
      <c r="P121" s="61">
        <f>+'KY_Res by Plant Acct-P29 (Fin)'!P121+'KY_Res by Plant Acct-P29 (PA)'!P120</f>
        <v>0</v>
      </c>
      <c r="Q121" s="62"/>
      <c r="R121" s="61">
        <f t="shared" si="6"/>
        <v>-5745.1200000000081</v>
      </c>
      <c r="S121" s="63"/>
      <c r="T121" s="63"/>
      <c r="U121" s="63"/>
    </row>
    <row r="122" spans="1:21" s="60" customFormat="1" hidden="1" outlineLevel="1">
      <c r="A122" s="60" t="s">
        <v>986</v>
      </c>
      <c r="B122" s="61">
        <f>+'KY_Res by Plant Acct-P29 (Fin)'!B122+'KY_Res by Plant Acct-P29 (PA)'!B121</f>
        <v>-20737.289999999994</v>
      </c>
      <c r="C122" s="62"/>
      <c r="D122" s="61">
        <f>+'KY_Res by Plant Acct-P29 (Fin)'!D122+'KY_Res by Plant Acct-P29 (PA)'!D121</f>
        <v>-8715.7199999999993</v>
      </c>
      <c r="E122" s="62"/>
      <c r="F122" s="61">
        <f>+'KY_Res by Plant Acct-P29 (Fin)'!F122+'KY_Res by Plant Acct-P29 (PA)'!F121</f>
        <v>0</v>
      </c>
      <c r="G122" s="62"/>
      <c r="H122" s="61">
        <f>+'KY_Res by Plant Acct-P29 (Fin)'!H122+'KY_Res by Plant Acct-P29 (PA)'!H121</f>
        <v>32971.370000000003</v>
      </c>
      <c r="I122" s="62"/>
      <c r="J122" s="61">
        <f>+'KY_Res by Plant Acct-P29 (Fin)'!J122+'KY_Res by Plant Acct-P29 (PA)'!J121</f>
        <v>0</v>
      </c>
      <c r="K122" s="62"/>
      <c r="L122" s="61">
        <f>+'KY_Res by Plant Acct-P29 (Fin)'!L122+'KY_Res by Plant Acct-P29 (PA)'!L121</f>
        <v>0</v>
      </c>
      <c r="M122" s="62"/>
      <c r="N122" s="61">
        <f>+'KY_Res by Plant Acct-P29 (Fin)'!N122+'KY_Res by Plant Acct-P29 (PA)'!N121</f>
        <v>0</v>
      </c>
      <c r="O122" s="62"/>
      <c r="P122" s="61">
        <f>+'KY_Res by Plant Acct-P29 (Fin)'!P122+'KY_Res by Plant Acct-P29 (PA)'!P121</f>
        <v>0</v>
      </c>
      <c r="Q122" s="62"/>
      <c r="R122" s="61">
        <f t="shared" si="6"/>
        <v>3518.3600000000079</v>
      </c>
      <c r="S122" s="63"/>
      <c r="T122" s="63"/>
      <c r="U122" s="63"/>
    </row>
    <row r="123" spans="1:21" s="60" customFormat="1" hidden="1" outlineLevel="1">
      <c r="A123" s="60" t="s">
        <v>984</v>
      </c>
      <c r="B123" s="61">
        <f>+'KY_Res by Plant Acct-P29 (Fin)'!B123+'KY_Res by Plant Acct-P29 (PA)'!B122</f>
        <v>-112697.69999999995</v>
      </c>
      <c r="C123" s="62"/>
      <c r="D123" s="61">
        <f>+'KY_Res by Plant Acct-P29 (Fin)'!D123+'KY_Res by Plant Acct-P29 (PA)'!D122</f>
        <v>-23065.65</v>
      </c>
      <c r="E123" s="62"/>
      <c r="F123" s="61">
        <f>+'KY_Res by Plant Acct-P29 (Fin)'!F123+'KY_Res by Plant Acct-P29 (PA)'!F122</f>
        <v>0</v>
      </c>
      <c r="G123" s="62"/>
      <c r="H123" s="61">
        <f>+'KY_Res by Plant Acct-P29 (Fin)'!H123+'KY_Res by Plant Acct-P29 (PA)'!H122</f>
        <v>0</v>
      </c>
      <c r="I123" s="62"/>
      <c r="J123" s="61">
        <f>+'KY_Res by Plant Acct-P29 (Fin)'!J123+'KY_Res by Plant Acct-P29 (PA)'!J122</f>
        <v>0</v>
      </c>
      <c r="K123" s="62"/>
      <c r="L123" s="61">
        <f>+'KY_Res by Plant Acct-P29 (Fin)'!L123+'KY_Res by Plant Acct-P29 (PA)'!L122</f>
        <v>0</v>
      </c>
      <c r="M123" s="62"/>
      <c r="N123" s="61">
        <f>+'KY_Res by Plant Acct-P29 (Fin)'!N123+'KY_Res by Plant Acct-P29 (PA)'!N122</f>
        <v>0</v>
      </c>
      <c r="O123" s="62"/>
      <c r="P123" s="61">
        <f>+'KY_Res by Plant Acct-P29 (Fin)'!P123+'KY_Res by Plant Acct-P29 (PA)'!P122</f>
        <v>0</v>
      </c>
      <c r="Q123" s="62"/>
      <c r="R123" s="61">
        <f t="shared" ref="R123:R148" si="10">SUM(B123:P123)</f>
        <v>-135763.34999999995</v>
      </c>
      <c r="S123" s="63"/>
      <c r="T123" s="63"/>
      <c r="U123" s="63"/>
    </row>
    <row r="124" spans="1:21" s="60" customFormat="1" hidden="1" outlineLevel="1">
      <c r="A124" s="60" t="s">
        <v>987</v>
      </c>
      <c r="B124" s="61">
        <f>+'KY_Res by Plant Acct-P29 (Fin)'!B124+'KY_Res by Plant Acct-P29 (PA)'!B123</f>
        <v>-180310.61</v>
      </c>
      <c r="C124" s="62"/>
      <c r="D124" s="61">
        <f>+'KY_Res by Plant Acct-P29 (Fin)'!D124+'KY_Res by Plant Acct-P29 (PA)'!D123</f>
        <v>-38612.97</v>
      </c>
      <c r="E124" s="62"/>
      <c r="F124" s="61">
        <f>+'KY_Res by Plant Acct-P29 (Fin)'!F124+'KY_Res by Plant Acct-P29 (PA)'!F123</f>
        <v>0</v>
      </c>
      <c r="G124" s="62"/>
      <c r="H124" s="61">
        <f>+'KY_Res by Plant Acct-P29 (Fin)'!H124+'KY_Res by Plant Acct-P29 (PA)'!H123</f>
        <v>0</v>
      </c>
      <c r="I124" s="62"/>
      <c r="J124" s="61">
        <f>+'KY_Res by Plant Acct-P29 (Fin)'!J124+'KY_Res by Plant Acct-P29 (PA)'!J123</f>
        <v>0</v>
      </c>
      <c r="K124" s="62"/>
      <c r="L124" s="61">
        <f>+'KY_Res by Plant Acct-P29 (Fin)'!L124+'KY_Res by Plant Acct-P29 (PA)'!L123</f>
        <v>0</v>
      </c>
      <c r="M124" s="62"/>
      <c r="N124" s="61">
        <f>+'KY_Res by Plant Acct-P29 (Fin)'!N124+'KY_Res by Plant Acct-P29 (PA)'!N123</f>
        <v>0</v>
      </c>
      <c r="O124" s="62"/>
      <c r="P124" s="61">
        <f>+'KY_Res by Plant Acct-P29 (Fin)'!P124+'KY_Res by Plant Acct-P29 (PA)'!P123</f>
        <v>0</v>
      </c>
      <c r="Q124" s="62"/>
      <c r="R124" s="61">
        <f t="shared" si="10"/>
        <v>-218923.58</v>
      </c>
      <c r="S124" s="63"/>
      <c r="T124" s="63"/>
      <c r="U124" s="63"/>
    </row>
    <row r="125" spans="1:21" s="60" customFormat="1" hidden="1" outlineLevel="1">
      <c r="A125" s="60" t="s">
        <v>988</v>
      </c>
      <c r="B125" s="61">
        <f>+'KY_Res by Plant Acct-P29 (Fin)'!B125+'KY_Res by Plant Acct-P29 (PA)'!B124</f>
        <v>-21994.509999999951</v>
      </c>
      <c r="C125" s="62"/>
      <c r="D125" s="61">
        <f>+'KY_Res by Plant Acct-P29 (Fin)'!D125+'KY_Res by Plant Acct-P29 (PA)'!D124</f>
        <v>-5973.84</v>
      </c>
      <c r="E125" s="62"/>
      <c r="F125" s="61">
        <f>+'KY_Res by Plant Acct-P29 (Fin)'!F125+'KY_Res by Plant Acct-P29 (PA)'!F124</f>
        <v>0</v>
      </c>
      <c r="G125" s="62"/>
      <c r="H125" s="61">
        <f>+'KY_Res by Plant Acct-P29 (Fin)'!H125+'KY_Res by Plant Acct-P29 (PA)'!H124</f>
        <v>0</v>
      </c>
      <c r="I125" s="62"/>
      <c r="J125" s="61">
        <f>+'KY_Res by Plant Acct-P29 (Fin)'!J125+'KY_Res by Plant Acct-P29 (PA)'!J124</f>
        <v>0</v>
      </c>
      <c r="K125" s="62"/>
      <c r="L125" s="61">
        <f>+'KY_Res by Plant Acct-P29 (Fin)'!L125+'KY_Res by Plant Acct-P29 (PA)'!L124</f>
        <v>0</v>
      </c>
      <c r="M125" s="62"/>
      <c r="N125" s="61">
        <f>+'KY_Res by Plant Acct-P29 (Fin)'!N125+'KY_Res by Plant Acct-P29 (PA)'!N124</f>
        <v>0</v>
      </c>
      <c r="O125" s="62"/>
      <c r="P125" s="61">
        <f>+'KY_Res by Plant Acct-P29 (Fin)'!P125+'KY_Res by Plant Acct-P29 (PA)'!P124</f>
        <v>0</v>
      </c>
      <c r="Q125" s="62"/>
      <c r="R125" s="61">
        <f t="shared" si="10"/>
        <v>-27968.349999999951</v>
      </c>
      <c r="S125" s="63"/>
      <c r="T125" s="63"/>
      <c r="U125" s="63"/>
    </row>
    <row r="126" spans="1:21" s="60" customFormat="1" hidden="1" outlineLevel="1">
      <c r="A126" s="60" t="s">
        <v>410</v>
      </c>
      <c r="B126" s="61">
        <f>+'KY_Res by Plant Acct-P29 (Fin)'!B126+'KY_Res by Plant Acct-P29 (PA)'!B125</f>
        <v>-63561.089999999967</v>
      </c>
      <c r="C126" s="62"/>
      <c r="D126" s="61">
        <f>+'KY_Res by Plant Acct-P29 (Fin)'!D126+'KY_Res by Plant Acct-P29 (PA)'!D125</f>
        <v>-13476.84</v>
      </c>
      <c r="E126" s="62"/>
      <c r="F126" s="61">
        <f>+'KY_Res by Plant Acct-P29 (Fin)'!F126+'KY_Res by Plant Acct-P29 (PA)'!F125</f>
        <v>0</v>
      </c>
      <c r="G126" s="62"/>
      <c r="H126" s="61">
        <f>+'KY_Res by Plant Acct-P29 (Fin)'!H126+'KY_Res by Plant Acct-P29 (PA)'!H125</f>
        <v>0</v>
      </c>
      <c r="I126" s="62"/>
      <c r="J126" s="61">
        <f>+'KY_Res by Plant Acct-P29 (Fin)'!J126+'KY_Res by Plant Acct-P29 (PA)'!J125</f>
        <v>0</v>
      </c>
      <c r="K126" s="62"/>
      <c r="L126" s="61">
        <f>+'KY_Res by Plant Acct-P29 (Fin)'!L126+'KY_Res by Plant Acct-P29 (PA)'!L125</f>
        <v>0</v>
      </c>
      <c r="M126" s="62"/>
      <c r="N126" s="61">
        <f>+'KY_Res by Plant Acct-P29 (Fin)'!N126+'KY_Res by Plant Acct-P29 (PA)'!N125</f>
        <v>0</v>
      </c>
      <c r="O126" s="62"/>
      <c r="P126" s="61">
        <f>+'KY_Res by Plant Acct-P29 (Fin)'!P126+'KY_Res by Plant Acct-P29 (PA)'!P125</f>
        <v>0</v>
      </c>
      <c r="Q126" s="62"/>
      <c r="R126" s="61">
        <f t="shared" si="10"/>
        <v>-77037.929999999964</v>
      </c>
      <c r="S126" s="63"/>
      <c r="T126" s="63"/>
      <c r="U126" s="63"/>
    </row>
    <row r="127" spans="1:21" s="60" customFormat="1" hidden="1" outlineLevel="1">
      <c r="A127" s="60" t="s">
        <v>415</v>
      </c>
      <c r="B127" s="61">
        <f>+'KY_Res by Plant Acct-P29 (Fin)'!B127+'KY_Res by Plant Acct-P29 (PA)'!B126</f>
        <v>-75700.79999999993</v>
      </c>
      <c r="C127" s="62"/>
      <c r="D127" s="61">
        <f>+'KY_Res by Plant Acct-P29 (Fin)'!D127+'KY_Res by Plant Acct-P29 (PA)'!D126</f>
        <v>-16221.599999999999</v>
      </c>
      <c r="E127" s="62"/>
      <c r="F127" s="61">
        <f>+'KY_Res by Plant Acct-P29 (Fin)'!F127+'KY_Res by Plant Acct-P29 (PA)'!F126</f>
        <v>0</v>
      </c>
      <c r="G127" s="62"/>
      <c r="H127" s="61">
        <f>+'KY_Res by Plant Acct-P29 (Fin)'!H127+'KY_Res by Plant Acct-P29 (PA)'!H126</f>
        <v>0</v>
      </c>
      <c r="I127" s="62"/>
      <c r="J127" s="61">
        <f>+'KY_Res by Plant Acct-P29 (Fin)'!J127+'KY_Res by Plant Acct-P29 (PA)'!J126</f>
        <v>0</v>
      </c>
      <c r="K127" s="62"/>
      <c r="L127" s="61">
        <f>+'KY_Res by Plant Acct-P29 (Fin)'!L127+'KY_Res by Plant Acct-P29 (PA)'!L126</f>
        <v>0</v>
      </c>
      <c r="M127" s="62"/>
      <c r="N127" s="61">
        <f>+'KY_Res by Plant Acct-P29 (Fin)'!N127+'KY_Res by Plant Acct-P29 (PA)'!N126</f>
        <v>0</v>
      </c>
      <c r="O127" s="62"/>
      <c r="P127" s="61">
        <f>+'KY_Res by Plant Acct-P29 (Fin)'!P127+'KY_Res by Plant Acct-P29 (PA)'!P126</f>
        <v>0</v>
      </c>
      <c r="Q127" s="62"/>
      <c r="R127" s="61">
        <f t="shared" si="10"/>
        <v>-91922.399999999936</v>
      </c>
      <c r="S127" s="63"/>
      <c r="T127" s="63"/>
      <c r="U127" s="63"/>
    </row>
    <row r="128" spans="1:21" s="60" customFormat="1" hidden="1" outlineLevel="1">
      <c r="A128" s="60" t="s">
        <v>1041</v>
      </c>
      <c r="B128" s="61">
        <f>+'KY_Res by Plant Acct-P29 (Fin)'!B128+'KY_Res by Plant Acct-P29 (PA)'!B127</f>
        <v>-75404.140000000014</v>
      </c>
      <c r="C128" s="62"/>
      <c r="D128" s="61">
        <f>+'KY_Res by Plant Acct-P29 (Fin)'!D128+'KY_Res by Plant Acct-P29 (PA)'!D127</f>
        <v>-16158.03</v>
      </c>
      <c r="E128" s="62"/>
      <c r="F128" s="61">
        <f>+'KY_Res by Plant Acct-P29 (Fin)'!F128+'KY_Res by Plant Acct-P29 (PA)'!F127</f>
        <v>0</v>
      </c>
      <c r="G128" s="62"/>
      <c r="H128" s="61">
        <f>+'KY_Res by Plant Acct-P29 (Fin)'!H128+'KY_Res by Plant Acct-P29 (PA)'!H127</f>
        <v>0</v>
      </c>
      <c r="I128" s="62"/>
      <c r="J128" s="61">
        <f>+'KY_Res by Plant Acct-P29 (Fin)'!J128+'KY_Res by Plant Acct-P29 (PA)'!J127</f>
        <v>0</v>
      </c>
      <c r="K128" s="62"/>
      <c r="L128" s="61">
        <f>+'KY_Res by Plant Acct-P29 (Fin)'!L128+'KY_Res by Plant Acct-P29 (PA)'!L127</f>
        <v>0</v>
      </c>
      <c r="M128" s="62"/>
      <c r="N128" s="61">
        <f>+'KY_Res by Plant Acct-P29 (Fin)'!N128+'KY_Res by Plant Acct-P29 (PA)'!N127</f>
        <v>0</v>
      </c>
      <c r="O128" s="62"/>
      <c r="P128" s="61">
        <f>+'KY_Res by Plant Acct-P29 (Fin)'!P128+'KY_Res by Plant Acct-P29 (PA)'!P127</f>
        <v>0</v>
      </c>
      <c r="Q128" s="62"/>
      <c r="R128" s="61">
        <f t="shared" si="10"/>
        <v>-91562.170000000013</v>
      </c>
      <c r="S128" s="63"/>
      <c r="T128" s="63"/>
      <c r="U128" s="63"/>
    </row>
    <row r="129" spans="1:21" s="60" customFormat="1" hidden="1" outlineLevel="1">
      <c r="A129" s="60" t="s">
        <v>413</v>
      </c>
      <c r="B129" s="61">
        <f>+'KY_Res by Plant Acct-P29 (Fin)'!B129+'KY_Res by Plant Acct-P29 (PA)'!B128</f>
        <v>-77650.440000000061</v>
      </c>
      <c r="C129" s="62"/>
      <c r="D129" s="61">
        <f>+'KY_Res by Plant Acct-P29 (Fin)'!D129+'KY_Res by Plant Acct-P29 (PA)'!D128</f>
        <v>-16639.38</v>
      </c>
      <c r="E129" s="62"/>
      <c r="F129" s="61">
        <f>+'KY_Res by Plant Acct-P29 (Fin)'!F129+'KY_Res by Plant Acct-P29 (PA)'!F128</f>
        <v>0</v>
      </c>
      <c r="G129" s="62"/>
      <c r="H129" s="61">
        <f>+'KY_Res by Plant Acct-P29 (Fin)'!H129+'KY_Res by Plant Acct-P29 (PA)'!H128</f>
        <v>0</v>
      </c>
      <c r="I129" s="62"/>
      <c r="J129" s="61">
        <f>+'KY_Res by Plant Acct-P29 (Fin)'!J129+'KY_Res by Plant Acct-P29 (PA)'!J128</f>
        <v>0</v>
      </c>
      <c r="K129" s="62"/>
      <c r="L129" s="61">
        <f>+'KY_Res by Plant Acct-P29 (Fin)'!L129+'KY_Res by Plant Acct-P29 (PA)'!L128</f>
        <v>0</v>
      </c>
      <c r="M129" s="62"/>
      <c r="N129" s="61">
        <f>+'KY_Res by Plant Acct-P29 (Fin)'!N129+'KY_Res by Plant Acct-P29 (PA)'!N128</f>
        <v>0</v>
      </c>
      <c r="O129" s="62"/>
      <c r="P129" s="61">
        <f>+'KY_Res by Plant Acct-P29 (Fin)'!P129+'KY_Res by Plant Acct-P29 (PA)'!P128</f>
        <v>0</v>
      </c>
      <c r="Q129" s="62"/>
      <c r="R129" s="61">
        <f t="shared" si="10"/>
        <v>-94289.820000000065</v>
      </c>
      <c r="S129" s="63"/>
      <c r="T129" s="63"/>
      <c r="U129" s="63"/>
    </row>
    <row r="130" spans="1:21" s="60" customFormat="1" hidden="1" outlineLevel="1">
      <c r="A130" s="60" t="s">
        <v>412</v>
      </c>
      <c r="B130" s="61">
        <f>+'KY_Res by Plant Acct-P29 (Fin)'!B130+'KY_Res by Plant Acct-P29 (PA)'!B129</f>
        <v>0</v>
      </c>
      <c r="C130" s="62"/>
      <c r="D130" s="61">
        <f>+'KY_Res by Plant Acct-P29 (Fin)'!D130+'KY_Res by Plant Acct-P29 (PA)'!D129</f>
        <v>0</v>
      </c>
      <c r="E130" s="62"/>
      <c r="F130" s="61">
        <f>+'KY_Res by Plant Acct-P29 (Fin)'!F130+'KY_Res by Plant Acct-P29 (PA)'!F129</f>
        <v>0</v>
      </c>
      <c r="G130" s="62"/>
      <c r="H130" s="61">
        <f>+'KY_Res by Plant Acct-P29 (Fin)'!H130+'KY_Res by Plant Acct-P29 (PA)'!H129</f>
        <v>0</v>
      </c>
      <c r="I130" s="62"/>
      <c r="J130" s="61">
        <f>+'KY_Res by Plant Acct-P29 (Fin)'!J130+'KY_Res by Plant Acct-P29 (PA)'!J129</f>
        <v>0</v>
      </c>
      <c r="K130" s="62"/>
      <c r="L130" s="61">
        <f>+'KY_Res by Plant Acct-P29 (Fin)'!L130+'KY_Res by Plant Acct-P29 (PA)'!L129</f>
        <v>0</v>
      </c>
      <c r="M130" s="62"/>
      <c r="N130" s="61">
        <f>+'KY_Res by Plant Acct-P29 (Fin)'!N130+'KY_Res by Plant Acct-P29 (PA)'!N129</f>
        <v>0</v>
      </c>
      <c r="O130" s="62"/>
      <c r="P130" s="61">
        <f>+'KY_Res by Plant Acct-P29 (Fin)'!P130+'KY_Res by Plant Acct-P29 (PA)'!P129</f>
        <v>0</v>
      </c>
      <c r="Q130" s="62"/>
      <c r="R130" s="61">
        <f t="shared" si="10"/>
        <v>0</v>
      </c>
      <c r="S130" s="63"/>
      <c r="T130" s="63"/>
      <c r="U130" s="63"/>
    </row>
    <row r="131" spans="1:21" s="60" customFormat="1" hidden="1" outlineLevel="1">
      <c r="A131" s="60" t="s">
        <v>416</v>
      </c>
      <c r="B131" s="61">
        <f>+'KY_Res by Plant Acct-P29 (Fin)'!B131+'KY_Res by Plant Acct-P29 (PA)'!B130</f>
        <v>-2380.1299999999974</v>
      </c>
      <c r="C131" s="62"/>
      <c r="D131" s="61">
        <f>+'KY_Res by Plant Acct-P29 (Fin)'!D131+'KY_Res by Plant Acct-P29 (PA)'!D130</f>
        <v>-255.71999999999997</v>
      </c>
      <c r="E131" s="62"/>
      <c r="F131" s="61">
        <f>+'KY_Res by Plant Acct-P29 (Fin)'!F131+'KY_Res by Plant Acct-P29 (PA)'!F130</f>
        <v>0</v>
      </c>
      <c r="G131" s="62"/>
      <c r="H131" s="61">
        <f>+'KY_Res by Plant Acct-P29 (Fin)'!H131+'KY_Res by Plant Acct-P29 (PA)'!H130</f>
        <v>0</v>
      </c>
      <c r="I131" s="62"/>
      <c r="J131" s="61">
        <f>+'KY_Res by Plant Acct-P29 (Fin)'!J131+'KY_Res by Plant Acct-P29 (PA)'!J130</f>
        <v>0</v>
      </c>
      <c r="K131" s="62"/>
      <c r="L131" s="61">
        <f>+'KY_Res by Plant Acct-P29 (Fin)'!L131+'KY_Res by Plant Acct-P29 (PA)'!L130</f>
        <v>0</v>
      </c>
      <c r="M131" s="62"/>
      <c r="N131" s="61">
        <f>+'KY_Res by Plant Acct-P29 (Fin)'!N131+'KY_Res by Plant Acct-P29 (PA)'!N130</f>
        <v>0</v>
      </c>
      <c r="O131" s="62"/>
      <c r="P131" s="61">
        <f>+'KY_Res by Plant Acct-P29 (Fin)'!P131+'KY_Res by Plant Acct-P29 (PA)'!P130</f>
        <v>0</v>
      </c>
      <c r="Q131" s="62"/>
      <c r="R131" s="61">
        <f t="shared" si="10"/>
        <v>-2635.8499999999972</v>
      </c>
      <c r="S131" s="63"/>
      <c r="T131" s="63"/>
      <c r="U131" s="63"/>
    </row>
    <row r="132" spans="1:21" s="10" customFormat="1" collapsed="1">
      <c r="A132" s="10" t="s">
        <v>797</v>
      </c>
      <c r="B132" s="64">
        <f>+'KY_Res by Plant Acct-P29 (Fin)'!B132+'KY_Res by Plant Acct-P29 (PA)'!B131</f>
        <v>-825989.48999999836</v>
      </c>
      <c r="C132" s="65"/>
      <c r="D132" s="64">
        <f>+'KY_Res by Plant Acct-P29 (Fin)'!D132+'KY_Res by Plant Acct-P29 (PA)'!D131</f>
        <v>-178771.80000000002</v>
      </c>
      <c r="E132" s="65"/>
      <c r="F132" s="64">
        <f>+'KY_Res by Plant Acct-P29 (Fin)'!F132+'KY_Res by Plant Acct-P29 (PA)'!F131</f>
        <v>0</v>
      </c>
      <c r="G132" s="65"/>
      <c r="H132" s="64">
        <f>+'KY_Res by Plant Acct-P29 (Fin)'!H132+'KY_Res by Plant Acct-P29 (PA)'!H131</f>
        <v>32971.370000000003</v>
      </c>
      <c r="I132" s="65"/>
      <c r="J132" s="64">
        <f>+'KY_Res by Plant Acct-P29 (Fin)'!J132+'KY_Res by Plant Acct-P29 (PA)'!J131</f>
        <v>0</v>
      </c>
      <c r="K132" s="64"/>
      <c r="L132" s="64">
        <f>+'KY_Res by Plant Acct-P29 (Fin)'!L132+'KY_Res by Plant Acct-P29 (PA)'!L131</f>
        <v>0</v>
      </c>
      <c r="M132" s="65"/>
      <c r="N132" s="64">
        <f>+'KY_Res by Plant Acct-P29 (Fin)'!N132+'KY_Res by Plant Acct-P29 (PA)'!N131</f>
        <v>0</v>
      </c>
      <c r="O132" s="65"/>
      <c r="P132" s="64">
        <f>+'KY_Res by Plant Acct-P29 (Fin)'!P132+'KY_Res by Plant Acct-P29 (PA)'!P131</f>
        <v>0</v>
      </c>
      <c r="Q132" s="65"/>
      <c r="R132" s="64">
        <f>SUM(R117:R131)</f>
        <v>-971789.91999999958</v>
      </c>
      <c r="S132" s="24"/>
      <c r="T132" s="24"/>
      <c r="U132" s="24"/>
    </row>
    <row r="133" spans="1:21" s="60" customFormat="1" hidden="1" outlineLevel="1">
      <c r="A133" s="60" t="s">
        <v>411</v>
      </c>
      <c r="B133" s="61">
        <f>+'KY_Res by Plant Acct-P29 (Fin)'!B133+'KY_Res by Plant Acct-P29 (PA)'!B132</f>
        <v>-82897.479999999981</v>
      </c>
      <c r="C133" s="62"/>
      <c r="D133" s="61">
        <f>+'KY_Res by Plant Acct-P29 (Fin)'!D133+'KY_Res by Plant Acct-P29 (PA)'!D132</f>
        <v>-16826.46</v>
      </c>
      <c r="E133" s="62"/>
      <c r="F133" s="61">
        <f>+'KY_Res by Plant Acct-P29 (Fin)'!F133+'KY_Res by Plant Acct-P29 (PA)'!F132</f>
        <v>0</v>
      </c>
      <c r="G133" s="62"/>
      <c r="H133" s="61">
        <f>+'KY_Res by Plant Acct-P29 (Fin)'!H133+'KY_Res by Plant Acct-P29 (PA)'!H132</f>
        <v>0</v>
      </c>
      <c r="I133" s="62"/>
      <c r="J133" s="61">
        <f>+'KY_Res by Plant Acct-P29 (Fin)'!J133+'KY_Res by Plant Acct-P29 (PA)'!J132</f>
        <v>0</v>
      </c>
      <c r="K133" s="62"/>
      <c r="L133" s="61">
        <f>+'KY_Res by Plant Acct-P29 (Fin)'!L133+'KY_Res by Plant Acct-P29 (PA)'!L132</f>
        <v>0</v>
      </c>
      <c r="M133" s="62"/>
      <c r="N133" s="61">
        <f>+'KY_Res by Plant Acct-P29 (Fin)'!N133+'KY_Res by Plant Acct-P29 (PA)'!N132</f>
        <v>0</v>
      </c>
      <c r="O133" s="62"/>
      <c r="P133" s="61">
        <f>+'KY_Res by Plant Acct-P29 (Fin)'!P133+'KY_Res by Plant Acct-P29 (PA)'!P132</f>
        <v>0</v>
      </c>
      <c r="Q133" s="62"/>
      <c r="R133" s="61">
        <f t="shared" si="10"/>
        <v>-99723.939999999973</v>
      </c>
      <c r="S133" s="63"/>
      <c r="T133" s="63"/>
      <c r="U133" s="63"/>
    </row>
    <row r="134" spans="1:21" s="60" customFormat="1" hidden="1" outlineLevel="1">
      <c r="A134" s="60" t="s">
        <v>1040</v>
      </c>
      <c r="B134" s="61">
        <f>+'KY_Res by Plant Acct-P29 (Fin)'!B134+'KY_Res by Plant Acct-P29 (PA)'!B133</f>
        <v>-785.27999999999975</v>
      </c>
      <c r="C134" s="62"/>
      <c r="D134" s="61">
        <f>+'KY_Res by Plant Acct-P29 (Fin)'!D134+'KY_Res by Plant Acct-P29 (PA)'!D133</f>
        <v>-160.56</v>
      </c>
      <c r="E134" s="62"/>
      <c r="F134" s="61">
        <f>+'KY_Res by Plant Acct-P29 (Fin)'!F134+'KY_Res by Plant Acct-P29 (PA)'!F133</f>
        <v>0</v>
      </c>
      <c r="G134" s="62"/>
      <c r="H134" s="61">
        <f>+'KY_Res by Plant Acct-P29 (Fin)'!H134+'KY_Res by Plant Acct-P29 (PA)'!H133</f>
        <v>0</v>
      </c>
      <c r="I134" s="62"/>
      <c r="J134" s="61">
        <f>+'KY_Res by Plant Acct-P29 (Fin)'!J134+'KY_Res by Plant Acct-P29 (PA)'!J133</f>
        <v>0</v>
      </c>
      <c r="K134" s="62"/>
      <c r="L134" s="61">
        <f>+'KY_Res by Plant Acct-P29 (Fin)'!L134+'KY_Res by Plant Acct-P29 (PA)'!L133</f>
        <v>0</v>
      </c>
      <c r="M134" s="62"/>
      <c r="N134" s="61">
        <f>+'KY_Res by Plant Acct-P29 (Fin)'!N134+'KY_Res by Plant Acct-P29 (PA)'!N133</f>
        <v>0</v>
      </c>
      <c r="O134" s="62"/>
      <c r="P134" s="61">
        <f>+'KY_Res by Plant Acct-P29 (Fin)'!P134+'KY_Res by Plant Acct-P29 (PA)'!P133</f>
        <v>0</v>
      </c>
      <c r="Q134" s="62"/>
      <c r="R134" s="61">
        <f t="shared" si="10"/>
        <v>-945.83999999999969</v>
      </c>
      <c r="S134" s="63"/>
      <c r="T134" s="63"/>
      <c r="U134" s="63"/>
    </row>
    <row r="135" spans="1:21" s="60" customFormat="1" hidden="1" outlineLevel="1">
      <c r="A135" s="60" t="s">
        <v>414</v>
      </c>
      <c r="B135" s="61">
        <f>+'KY_Res by Plant Acct-P29 (Fin)'!B135+'KY_Res by Plant Acct-P29 (PA)'!B134</f>
        <v>-804.01999999999953</v>
      </c>
      <c r="C135" s="62"/>
      <c r="D135" s="61">
        <f>+'KY_Res by Plant Acct-P29 (Fin)'!D135+'KY_Res by Plant Acct-P29 (PA)'!D134</f>
        <v>-164.79</v>
      </c>
      <c r="E135" s="62"/>
      <c r="F135" s="61">
        <f>+'KY_Res by Plant Acct-P29 (Fin)'!F135+'KY_Res by Plant Acct-P29 (PA)'!F134</f>
        <v>0</v>
      </c>
      <c r="G135" s="62"/>
      <c r="H135" s="61">
        <f>+'KY_Res by Plant Acct-P29 (Fin)'!H135+'KY_Res by Plant Acct-P29 (PA)'!H134</f>
        <v>0</v>
      </c>
      <c r="I135" s="62"/>
      <c r="J135" s="61">
        <f>+'KY_Res by Plant Acct-P29 (Fin)'!J135+'KY_Res by Plant Acct-P29 (PA)'!J134</f>
        <v>0</v>
      </c>
      <c r="K135" s="62"/>
      <c r="L135" s="61">
        <f>+'KY_Res by Plant Acct-P29 (Fin)'!L135+'KY_Res by Plant Acct-P29 (PA)'!L134</f>
        <v>0</v>
      </c>
      <c r="M135" s="62"/>
      <c r="N135" s="61">
        <f>+'KY_Res by Plant Acct-P29 (Fin)'!N135+'KY_Res by Plant Acct-P29 (PA)'!N134</f>
        <v>0</v>
      </c>
      <c r="O135" s="62"/>
      <c r="P135" s="61">
        <f>+'KY_Res by Plant Acct-P29 (Fin)'!P135+'KY_Res by Plant Acct-P29 (PA)'!P134</f>
        <v>0</v>
      </c>
      <c r="Q135" s="62"/>
      <c r="R135" s="61">
        <f t="shared" si="10"/>
        <v>-968.80999999999949</v>
      </c>
      <c r="S135" s="63"/>
      <c r="T135" s="63"/>
      <c r="U135" s="63"/>
    </row>
    <row r="136" spans="1:21" s="60" customFormat="1" hidden="1" outlineLevel="1">
      <c r="A136" s="60" t="s">
        <v>985</v>
      </c>
      <c r="B136" s="61">
        <f>+'KY_Res by Plant Acct-P29 (Fin)'!B136+'KY_Res by Plant Acct-P29 (PA)'!B135</f>
        <v>0</v>
      </c>
      <c r="C136" s="62"/>
      <c r="D136" s="61">
        <f>+'KY_Res by Plant Acct-P29 (Fin)'!D136+'KY_Res by Plant Acct-P29 (PA)'!D135</f>
        <v>0</v>
      </c>
      <c r="E136" s="62"/>
      <c r="F136" s="61">
        <f>+'KY_Res by Plant Acct-P29 (Fin)'!F136+'KY_Res by Plant Acct-P29 (PA)'!F135</f>
        <v>0</v>
      </c>
      <c r="G136" s="62"/>
      <c r="H136" s="61">
        <f>+'KY_Res by Plant Acct-P29 (Fin)'!H136+'KY_Res by Plant Acct-P29 (PA)'!H135</f>
        <v>0</v>
      </c>
      <c r="I136" s="62"/>
      <c r="J136" s="61">
        <f>+'KY_Res by Plant Acct-P29 (Fin)'!J136+'KY_Res by Plant Acct-P29 (PA)'!J135</f>
        <v>0</v>
      </c>
      <c r="K136" s="62"/>
      <c r="L136" s="61">
        <f>+'KY_Res by Plant Acct-P29 (Fin)'!L136+'KY_Res by Plant Acct-P29 (PA)'!L135</f>
        <v>0</v>
      </c>
      <c r="M136" s="62"/>
      <c r="N136" s="61">
        <f>+'KY_Res by Plant Acct-P29 (Fin)'!N136+'KY_Res by Plant Acct-P29 (PA)'!N135</f>
        <v>0</v>
      </c>
      <c r="O136" s="62"/>
      <c r="P136" s="61">
        <f>+'KY_Res by Plant Acct-P29 (Fin)'!P136+'KY_Res by Plant Acct-P29 (PA)'!P135</f>
        <v>0</v>
      </c>
      <c r="Q136" s="62"/>
      <c r="R136" s="61">
        <f t="shared" si="10"/>
        <v>0</v>
      </c>
      <c r="S136" s="63"/>
      <c r="T136" s="63"/>
      <c r="U136" s="63"/>
    </row>
    <row r="137" spans="1:21" s="60" customFormat="1" hidden="1" outlineLevel="1">
      <c r="A137" s="60" t="s">
        <v>1049</v>
      </c>
      <c r="B137" s="61">
        <f>+'KY_Res by Plant Acct-P29 (Fin)'!B137+'KY_Res by Plant Acct-P29 (PA)'!B136</f>
        <v>32971.370000000003</v>
      </c>
      <c r="C137" s="62"/>
      <c r="D137" s="61">
        <f>+'KY_Res by Plant Acct-P29 (Fin)'!D137+'KY_Res by Plant Acct-P29 (PA)'!D136</f>
        <v>0</v>
      </c>
      <c r="E137" s="62"/>
      <c r="F137" s="61">
        <f>+'KY_Res by Plant Acct-P29 (Fin)'!F137+'KY_Res by Plant Acct-P29 (PA)'!F136</f>
        <v>0</v>
      </c>
      <c r="G137" s="62"/>
      <c r="H137" s="61">
        <f>+'KY_Res by Plant Acct-P29 (Fin)'!H137+'KY_Res by Plant Acct-P29 (PA)'!H136</f>
        <v>-32971.370000000003</v>
      </c>
      <c r="I137" s="62"/>
      <c r="J137" s="61">
        <f>+'KY_Res by Plant Acct-P29 (Fin)'!J137+'KY_Res by Plant Acct-P29 (PA)'!J136</f>
        <v>0</v>
      </c>
      <c r="K137" s="62"/>
      <c r="L137" s="61">
        <f>+'KY_Res by Plant Acct-P29 (Fin)'!L137+'KY_Res by Plant Acct-P29 (PA)'!L136</f>
        <v>0</v>
      </c>
      <c r="M137" s="62"/>
      <c r="N137" s="61">
        <f>+'KY_Res by Plant Acct-P29 (Fin)'!N137+'KY_Res by Plant Acct-P29 (PA)'!N136</f>
        <v>0</v>
      </c>
      <c r="O137" s="62"/>
      <c r="P137" s="61">
        <f>+'KY_Res by Plant Acct-P29 (Fin)'!P137+'KY_Res by Plant Acct-P29 (PA)'!P136</f>
        <v>0</v>
      </c>
      <c r="Q137" s="62"/>
      <c r="R137" s="61">
        <f t="shared" si="10"/>
        <v>0</v>
      </c>
      <c r="S137" s="63"/>
      <c r="T137" s="63"/>
      <c r="U137" s="63"/>
    </row>
    <row r="138" spans="1:21" s="60" customFormat="1" hidden="1" outlineLevel="1">
      <c r="A138" s="60" t="s">
        <v>1044</v>
      </c>
      <c r="B138" s="61">
        <f>+'KY_Res by Plant Acct-P29 (Fin)'!B138+'KY_Res by Plant Acct-P29 (PA)'!B137</f>
        <v>-44320.640000000014</v>
      </c>
      <c r="C138" s="62"/>
      <c r="D138" s="61">
        <f>+'KY_Res by Plant Acct-P29 (Fin)'!D138+'KY_Res by Plant Acct-P29 (PA)'!D137</f>
        <v>-8999.2800000000007</v>
      </c>
      <c r="E138" s="62"/>
      <c r="F138" s="61">
        <f>+'KY_Res by Plant Acct-P29 (Fin)'!F138+'KY_Res by Plant Acct-P29 (PA)'!F137</f>
        <v>0</v>
      </c>
      <c r="G138" s="62"/>
      <c r="H138" s="61">
        <f>+'KY_Res by Plant Acct-P29 (Fin)'!H138+'KY_Res by Plant Acct-P29 (PA)'!H137</f>
        <v>0</v>
      </c>
      <c r="I138" s="62"/>
      <c r="J138" s="61">
        <f>+'KY_Res by Plant Acct-P29 (Fin)'!J138+'KY_Res by Plant Acct-P29 (PA)'!J137</f>
        <v>0</v>
      </c>
      <c r="K138" s="62"/>
      <c r="L138" s="61">
        <f>+'KY_Res by Plant Acct-P29 (Fin)'!L138+'KY_Res by Plant Acct-P29 (PA)'!L137</f>
        <v>0</v>
      </c>
      <c r="M138" s="62"/>
      <c r="N138" s="61">
        <f>+'KY_Res by Plant Acct-P29 (Fin)'!N138+'KY_Res by Plant Acct-P29 (PA)'!N137</f>
        <v>0</v>
      </c>
      <c r="O138" s="62"/>
      <c r="P138" s="61">
        <f>+'KY_Res by Plant Acct-P29 (Fin)'!P138+'KY_Res by Plant Acct-P29 (PA)'!P137</f>
        <v>0</v>
      </c>
      <c r="Q138" s="62"/>
      <c r="R138" s="61">
        <f t="shared" si="10"/>
        <v>-53319.920000000013</v>
      </c>
      <c r="S138" s="63"/>
      <c r="T138" s="63"/>
      <c r="U138" s="63"/>
    </row>
    <row r="139" spans="1:21" s="60" customFormat="1" hidden="1" outlineLevel="1">
      <c r="A139" s="60" t="s">
        <v>979</v>
      </c>
      <c r="B139" s="61">
        <f>+'KY_Res by Plant Acct-P29 (Fin)'!B139+'KY_Res by Plant Acct-P29 (PA)'!B138</f>
        <v>-970.43000000000029</v>
      </c>
      <c r="C139" s="62"/>
      <c r="D139" s="61">
        <f>+'KY_Res by Plant Acct-P29 (Fin)'!D139+'KY_Res by Plant Acct-P29 (PA)'!D138</f>
        <v>-196.32</v>
      </c>
      <c r="E139" s="62"/>
      <c r="F139" s="61">
        <f>+'KY_Res by Plant Acct-P29 (Fin)'!F139+'KY_Res by Plant Acct-P29 (PA)'!F138</f>
        <v>0</v>
      </c>
      <c r="G139" s="62"/>
      <c r="H139" s="61">
        <f>+'KY_Res by Plant Acct-P29 (Fin)'!H139+'KY_Res by Plant Acct-P29 (PA)'!H138</f>
        <v>0</v>
      </c>
      <c r="I139" s="62"/>
      <c r="J139" s="61">
        <f>+'KY_Res by Plant Acct-P29 (Fin)'!J139+'KY_Res by Plant Acct-P29 (PA)'!J138</f>
        <v>0</v>
      </c>
      <c r="K139" s="62"/>
      <c r="L139" s="61">
        <f>+'KY_Res by Plant Acct-P29 (Fin)'!L139+'KY_Res by Plant Acct-P29 (PA)'!L138</f>
        <v>0</v>
      </c>
      <c r="M139" s="62"/>
      <c r="N139" s="61">
        <f>+'KY_Res by Plant Acct-P29 (Fin)'!N139+'KY_Res by Plant Acct-P29 (PA)'!N138</f>
        <v>0</v>
      </c>
      <c r="O139" s="62"/>
      <c r="P139" s="61">
        <f>+'KY_Res by Plant Acct-P29 (Fin)'!P139+'KY_Res by Plant Acct-P29 (PA)'!P138</f>
        <v>0</v>
      </c>
      <c r="Q139" s="62"/>
      <c r="R139" s="61">
        <f t="shared" si="10"/>
        <v>-1166.7500000000002</v>
      </c>
      <c r="S139" s="63"/>
      <c r="T139" s="63"/>
      <c r="U139" s="63"/>
    </row>
    <row r="140" spans="1:21" s="60" customFormat="1" hidden="1" outlineLevel="1">
      <c r="A140" s="60" t="s">
        <v>978</v>
      </c>
      <c r="B140" s="61">
        <f>+'KY_Res by Plant Acct-P29 (Fin)'!B140+'KY_Res by Plant Acct-P29 (PA)'!B139</f>
        <v>-545.86000000000058</v>
      </c>
      <c r="C140" s="62"/>
      <c r="D140" s="61">
        <f>+'KY_Res by Plant Acct-P29 (Fin)'!D140+'KY_Res by Plant Acct-P29 (PA)'!D139</f>
        <v>-116.97</v>
      </c>
      <c r="E140" s="62"/>
      <c r="F140" s="61">
        <f>+'KY_Res by Plant Acct-P29 (Fin)'!F140+'KY_Res by Plant Acct-P29 (PA)'!F139</f>
        <v>0</v>
      </c>
      <c r="G140" s="62"/>
      <c r="H140" s="61">
        <f>+'KY_Res by Plant Acct-P29 (Fin)'!H140+'KY_Res by Plant Acct-P29 (PA)'!H139</f>
        <v>0</v>
      </c>
      <c r="I140" s="62"/>
      <c r="J140" s="61">
        <f>+'KY_Res by Plant Acct-P29 (Fin)'!J140+'KY_Res by Plant Acct-P29 (PA)'!J139</f>
        <v>0</v>
      </c>
      <c r="K140" s="62"/>
      <c r="L140" s="61">
        <f>+'KY_Res by Plant Acct-P29 (Fin)'!L140+'KY_Res by Plant Acct-P29 (PA)'!L139</f>
        <v>0</v>
      </c>
      <c r="M140" s="62"/>
      <c r="N140" s="61">
        <f>+'KY_Res by Plant Acct-P29 (Fin)'!N140+'KY_Res by Plant Acct-P29 (PA)'!N139</f>
        <v>0</v>
      </c>
      <c r="O140" s="62"/>
      <c r="P140" s="61">
        <f>+'KY_Res by Plant Acct-P29 (Fin)'!P140+'KY_Res by Plant Acct-P29 (PA)'!P139</f>
        <v>0</v>
      </c>
      <c r="Q140" s="62"/>
      <c r="R140" s="61">
        <f t="shared" si="10"/>
        <v>-662.83000000000061</v>
      </c>
      <c r="S140" s="63"/>
      <c r="T140" s="63"/>
      <c r="U140" s="63"/>
    </row>
    <row r="141" spans="1:21" s="60" customFormat="1" hidden="1" outlineLevel="1">
      <c r="A141" s="60" t="s">
        <v>976</v>
      </c>
      <c r="B141" s="61">
        <f>+'KY_Res by Plant Acct-P29 (Fin)'!B141+'KY_Res by Plant Acct-P29 (PA)'!B140</f>
        <v>-188.86000000000013</v>
      </c>
      <c r="C141" s="62"/>
      <c r="D141" s="61">
        <f>+'KY_Res by Plant Acct-P29 (Fin)'!D141+'KY_Res by Plant Acct-P29 (PA)'!D140</f>
        <v>-40.47</v>
      </c>
      <c r="E141" s="62"/>
      <c r="F141" s="61">
        <f>+'KY_Res by Plant Acct-P29 (Fin)'!F141+'KY_Res by Plant Acct-P29 (PA)'!F140</f>
        <v>0</v>
      </c>
      <c r="G141" s="62"/>
      <c r="H141" s="61">
        <f>+'KY_Res by Plant Acct-P29 (Fin)'!H141+'KY_Res by Plant Acct-P29 (PA)'!H140</f>
        <v>0</v>
      </c>
      <c r="I141" s="62"/>
      <c r="J141" s="61">
        <f>+'KY_Res by Plant Acct-P29 (Fin)'!J141+'KY_Res by Plant Acct-P29 (PA)'!J140</f>
        <v>0</v>
      </c>
      <c r="K141" s="62"/>
      <c r="L141" s="61">
        <f>+'KY_Res by Plant Acct-P29 (Fin)'!L141+'KY_Res by Plant Acct-P29 (PA)'!L140</f>
        <v>0</v>
      </c>
      <c r="M141" s="62"/>
      <c r="N141" s="61">
        <f>+'KY_Res by Plant Acct-P29 (Fin)'!N141+'KY_Res by Plant Acct-P29 (PA)'!N140</f>
        <v>0</v>
      </c>
      <c r="O141" s="62"/>
      <c r="P141" s="61">
        <f>+'KY_Res by Plant Acct-P29 (Fin)'!P141+'KY_Res by Plant Acct-P29 (PA)'!P140</f>
        <v>0</v>
      </c>
      <c r="Q141" s="62"/>
      <c r="R141" s="61">
        <f t="shared" si="10"/>
        <v>-229.33000000000013</v>
      </c>
      <c r="S141" s="63"/>
      <c r="T141" s="63"/>
      <c r="U141" s="63"/>
    </row>
    <row r="142" spans="1:21" s="60" customFormat="1" hidden="1" outlineLevel="1">
      <c r="A142" s="60" t="s">
        <v>1020</v>
      </c>
      <c r="B142" s="61">
        <f>+'KY_Res by Plant Acct-P29 (Fin)'!B142+'KY_Res by Plant Acct-P29 (PA)'!B141</f>
        <v>-188.02000000000021</v>
      </c>
      <c r="C142" s="62"/>
      <c r="D142" s="61">
        <f>+'KY_Res by Plant Acct-P29 (Fin)'!D142+'KY_Res by Plant Acct-P29 (PA)'!D141</f>
        <v>-40.29</v>
      </c>
      <c r="E142" s="62"/>
      <c r="F142" s="61">
        <f>+'KY_Res by Plant Acct-P29 (Fin)'!F142+'KY_Res by Plant Acct-P29 (PA)'!F141</f>
        <v>0</v>
      </c>
      <c r="G142" s="62"/>
      <c r="H142" s="61">
        <f>+'KY_Res by Plant Acct-P29 (Fin)'!H142+'KY_Res by Plant Acct-P29 (PA)'!H141</f>
        <v>0</v>
      </c>
      <c r="I142" s="62"/>
      <c r="J142" s="61">
        <f>+'KY_Res by Plant Acct-P29 (Fin)'!J142+'KY_Res by Plant Acct-P29 (PA)'!J141</f>
        <v>0</v>
      </c>
      <c r="K142" s="62"/>
      <c r="L142" s="61">
        <f>+'KY_Res by Plant Acct-P29 (Fin)'!L142+'KY_Res by Plant Acct-P29 (PA)'!L141</f>
        <v>0</v>
      </c>
      <c r="M142" s="62"/>
      <c r="N142" s="61">
        <f>+'KY_Res by Plant Acct-P29 (Fin)'!N142+'KY_Res by Plant Acct-P29 (PA)'!N141</f>
        <v>0</v>
      </c>
      <c r="O142" s="62"/>
      <c r="P142" s="61">
        <f>+'KY_Res by Plant Acct-P29 (Fin)'!P142+'KY_Res by Plant Acct-P29 (PA)'!P141</f>
        <v>0</v>
      </c>
      <c r="Q142" s="62"/>
      <c r="R142" s="61">
        <f t="shared" si="10"/>
        <v>-228.3100000000002</v>
      </c>
      <c r="S142" s="63"/>
      <c r="T142" s="63"/>
      <c r="U142" s="63"/>
    </row>
    <row r="143" spans="1:21" s="60" customFormat="1" hidden="1" outlineLevel="1">
      <c r="A143" s="60" t="s">
        <v>670</v>
      </c>
      <c r="B143" s="61">
        <f>+'KY_Res by Plant Acct-P29 (Fin)'!B143+'KY_Res by Plant Acct-P29 (PA)'!B142</f>
        <v>-193.89999999999986</v>
      </c>
      <c r="C143" s="62"/>
      <c r="D143" s="61">
        <f>+'KY_Res by Plant Acct-P29 (Fin)'!D143+'KY_Res by Plant Acct-P29 (PA)'!D142</f>
        <v>-41.55</v>
      </c>
      <c r="E143" s="62"/>
      <c r="F143" s="61">
        <f>+'KY_Res by Plant Acct-P29 (Fin)'!F143+'KY_Res by Plant Acct-P29 (PA)'!F142</f>
        <v>0</v>
      </c>
      <c r="G143" s="62"/>
      <c r="H143" s="61">
        <f>+'KY_Res by Plant Acct-P29 (Fin)'!H143+'KY_Res by Plant Acct-P29 (PA)'!H142</f>
        <v>0</v>
      </c>
      <c r="I143" s="62"/>
      <c r="J143" s="61">
        <f>+'KY_Res by Plant Acct-P29 (Fin)'!J143+'KY_Res by Plant Acct-P29 (PA)'!J142</f>
        <v>0</v>
      </c>
      <c r="K143" s="62"/>
      <c r="L143" s="61">
        <f>+'KY_Res by Plant Acct-P29 (Fin)'!L143+'KY_Res by Plant Acct-P29 (PA)'!L142</f>
        <v>0</v>
      </c>
      <c r="M143" s="62"/>
      <c r="N143" s="61">
        <f>+'KY_Res by Plant Acct-P29 (Fin)'!N143+'KY_Res by Plant Acct-P29 (PA)'!N142</f>
        <v>0</v>
      </c>
      <c r="O143" s="62"/>
      <c r="P143" s="61">
        <f>+'KY_Res by Plant Acct-P29 (Fin)'!P143+'KY_Res by Plant Acct-P29 (PA)'!P142</f>
        <v>0</v>
      </c>
      <c r="Q143" s="62"/>
      <c r="R143" s="61">
        <f t="shared" si="10"/>
        <v>-235.44999999999987</v>
      </c>
      <c r="S143" s="63"/>
      <c r="T143" s="63"/>
      <c r="U143" s="63"/>
    </row>
    <row r="144" spans="1:21" s="60" customFormat="1" hidden="1" outlineLevel="1">
      <c r="A144" s="60" t="s">
        <v>971</v>
      </c>
      <c r="B144" s="61">
        <f>+'KY_Res by Plant Acct-P29 (Fin)'!B144+'KY_Res by Plant Acct-P29 (PA)'!B143</f>
        <v>0</v>
      </c>
      <c r="C144" s="62"/>
      <c r="D144" s="61">
        <f>+'KY_Res by Plant Acct-P29 (Fin)'!D144+'KY_Res by Plant Acct-P29 (PA)'!D143</f>
        <v>0</v>
      </c>
      <c r="E144" s="62"/>
      <c r="F144" s="61">
        <f>+'KY_Res by Plant Acct-P29 (Fin)'!F144+'KY_Res by Plant Acct-P29 (PA)'!F143</f>
        <v>0</v>
      </c>
      <c r="G144" s="62"/>
      <c r="H144" s="61">
        <f>+'KY_Res by Plant Acct-P29 (Fin)'!H144+'KY_Res by Plant Acct-P29 (PA)'!H143</f>
        <v>0</v>
      </c>
      <c r="I144" s="62"/>
      <c r="J144" s="61">
        <f>+'KY_Res by Plant Acct-P29 (Fin)'!J144+'KY_Res by Plant Acct-P29 (PA)'!J143</f>
        <v>0</v>
      </c>
      <c r="K144" s="62"/>
      <c r="L144" s="61">
        <f>+'KY_Res by Plant Acct-P29 (Fin)'!L144+'KY_Res by Plant Acct-P29 (PA)'!L143</f>
        <v>0</v>
      </c>
      <c r="M144" s="62"/>
      <c r="N144" s="61">
        <f>+'KY_Res by Plant Acct-P29 (Fin)'!N144+'KY_Res by Plant Acct-P29 (PA)'!N143</f>
        <v>0</v>
      </c>
      <c r="O144" s="62"/>
      <c r="P144" s="61">
        <f>+'KY_Res by Plant Acct-P29 (Fin)'!P144+'KY_Res by Plant Acct-P29 (PA)'!P143</f>
        <v>0</v>
      </c>
      <c r="Q144" s="62"/>
      <c r="R144" s="61">
        <f t="shared" si="10"/>
        <v>0</v>
      </c>
      <c r="S144" s="63"/>
      <c r="T144" s="63"/>
      <c r="U144" s="63"/>
    </row>
    <row r="145" spans="1:21" s="60" customFormat="1" hidden="1" outlineLevel="1">
      <c r="A145" s="60" t="s">
        <v>667</v>
      </c>
      <c r="B145" s="61">
        <f>+'KY_Res by Plant Acct-P29 (Fin)'!B145+'KY_Res by Plant Acct-P29 (PA)'!B144</f>
        <v>0</v>
      </c>
      <c r="C145" s="62"/>
      <c r="D145" s="61">
        <f>+'KY_Res by Plant Acct-P29 (Fin)'!D145+'KY_Res by Plant Acct-P29 (PA)'!D144</f>
        <v>0</v>
      </c>
      <c r="E145" s="62"/>
      <c r="F145" s="61">
        <f>+'KY_Res by Plant Acct-P29 (Fin)'!F145+'KY_Res by Plant Acct-P29 (PA)'!F144</f>
        <v>0</v>
      </c>
      <c r="G145" s="62"/>
      <c r="H145" s="61">
        <f>+'KY_Res by Plant Acct-P29 (Fin)'!H145+'KY_Res by Plant Acct-P29 (PA)'!H144</f>
        <v>0</v>
      </c>
      <c r="I145" s="62"/>
      <c r="J145" s="61">
        <f>+'KY_Res by Plant Acct-P29 (Fin)'!J145+'KY_Res by Plant Acct-P29 (PA)'!J144</f>
        <v>0</v>
      </c>
      <c r="K145" s="62"/>
      <c r="L145" s="61">
        <f>+'KY_Res by Plant Acct-P29 (Fin)'!L145+'KY_Res by Plant Acct-P29 (PA)'!L144</f>
        <v>0</v>
      </c>
      <c r="M145" s="62"/>
      <c r="N145" s="61">
        <f>+'KY_Res by Plant Acct-P29 (Fin)'!N145+'KY_Res by Plant Acct-P29 (PA)'!N144</f>
        <v>0</v>
      </c>
      <c r="O145" s="62"/>
      <c r="P145" s="61">
        <f>+'KY_Res by Plant Acct-P29 (Fin)'!P145+'KY_Res by Plant Acct-P29 (PA)'!P144</f>
        <v>0</v>
      </c>
      <c r="Q145" s="62"/>
      <c r="R145" s="61">
        <f t="shared" si="10"/>
        <v>0</v>
      </c>
      <c r="S145" s="63"/>
      <c r="T145" s="63"/>
      <c r="U145" s="63"/>
    </row>
    <row r="146" spans="1:21" s="10" customFormat="1" collapsed="1">
      <c r="A146" s="10" t="s">
        <v>798</v>
      </c>
      <c r="B146" s="64">
        <f>+'KY_Res by Plant Acct-P29 (Fin)'!B146+'KY_Res by Plant Acct-P29 (PA)'!B145</f>
        <v>-97923.120000000577</v>
      </c>
      <c r="C146" s="65"/>
      <c r="D146" s="64">
        <f>+'KY_Res by Plant Acct-P29 (Fin)'!D146+'KY_Res by Plant Acct-P29 (PA)'!D145</f>
        <v>-26586.690000000006</v>
      </c>
      <c r="E146" s="65"/>
      <c r="F146" s="64">
        <f>+'KY_Res by Plant Acct-P29 (Fin)'!F146+'KY_Res by Plant Acct-P29 (PA)'!F145</f>
        <v>0</v>
      </c>
      <c r="G146" s="65"/>
      <c r="H146" s="64">
        <f>+'KY_Res by Plant Acct-P29 (Fin)'!H146+'KY_Res by Plant Acct-P29 (PA)'!H145</f>
        <v>-32971.370000000003</v>
      </c>
      <c r="I146" s="65"/>
      <c r="J146" s="64">
        <f>+'KY_Res by Plant Acct-P29 (Fin)'!J146+'KY_Res by Plant Acct-P29 (PA)'!J145</f>
        <v>0</v>
      </c>
      <c r="K146" s="65"/>
      <c r="L146" s="64">
        <f>+'KY_Res by Plant Acct-P29 (Fin)'!L146+'KY_Res by Plant Acct-P29 (PA)'!L145</f>
        <v>0</v>
      </c>
      <c r="M146" s="65"/>
      <c r="N146" s="64">
        <f>+'KY_Res by Plant Acct-P29 (Fin)'!N146+'KY_Res by Plant Acct-P29 (PA)'!N145</f>
        <v>0</v>
      </c>
      <c r="O146" s="65"/>
      <c r="P146" s="64">
        <f>+'KY_Res by Plant Acct-P29 (Fin)'!P146+'KY_Res by Plant Acct-P29 (PA)'!P145</f>
        <v>0</v>
      </c>
      <c r="Q146" s="65"/>
      <c r="R146" s="64">
        <f t="shared" ref="R146" si="11">SUM(R133:R145)</f>
        <v>-157481.17999999996</v>
      </c>
      <c r="S146" s="24"/>
      <c r="T146" s="24"/>
      <c r="U146" s="24"/>
    </row>
    <row r="147" spans="1:21">
      <c r="A147" t="s">
        <v>1050</v>
      </c>
      <c r="B147" s="182">
        <f>+'KY_Res by Plant Acct-P29 (Fin)'!B147+'KY_Res by Plant Acct-P29 (PA)'!B146</f>
        <v>-1302.8199999999974</v>
      </c>
      <c r="C147" s="52"/>
      <c r="D147" s="182">
        <f>+'KY_Res by Plant Acct-P29 (Fin)'!D147+'KY_Res by Plant Acct-P29 (PA)'!D146</f>
        <v>-289.68</v>
      </c>
      <c r="E147" s="52"/>
      <c r="F147" s="182">
        <f>+'KY_Res by Plant Acct-P29 (Fin)'!F147+'KY_Res by Plant Acct-P29 (PA)'!F146</f>
        <v>0</v>
      </c>
      <c r="G147" s="52"/>
      <c r="H147" s="182">
        <f>+'KY_Res by Plant Acct-P29 (Fin)'!H147+'KY_Res by Plant Acct-P29 (PA)'!H146</f>
        <v>0</v>
      </c>
      <c r="I147" s="52"/>
      <c r="J147" s="182">
        <f>+'KY_Res by Plant Acct-P29 (Fin)'!J147+'KY_Res by Plant Acct-P29 (PA)'!J146</f>
        <v>0</v>
      </c>
      <c r="K147" s="52"/>
      <c r="L147" s="182">
        <f>+'KY_Res by Plant Acct-P29 (Fin)'!L147+'KY_Res by Plant Acct-P29 (PA)'!L146</f>
        <v>0</v>
      </c>
      <c r="M147" s="52"/>
      <c r="N147" s="182">
        <f>+'KY_Res by Plant Acct-P29 (Fin)'!N147+'KY_Res by Plant Acct-P29 (PA)'!N146</f>
        <v>0</v>
      </c>
      <c r="O147" s="52"/>
      <c r="P147" s="182">
        <f>+'KY_Res by Plant Acct-P29 (Fin)'!P147+'KY_Res by Plant Acct-P29 (PA)'!P146</f>
        <v>0</v>
      </c>
      <c r="Q147" s="52"/>
      <c r="R147" s="182">
        <f t="shared" si="10"/>
        <v>-1592.4999999999975</v>
      </c>
      <c r="S147" s="33"/>
      <c r="T147" s="33"/>
      <c r="U147" s="33"/>
    </row>
    <row r="148" spans="1:21">
      <c r="A148" t="s">
        <v>1051</v>
      </c>
      <c r="B148" s="48">
        <f>+'KY_Res by Plant Acct-P29 (Fin)'!B148+'KY_Res by Plant Acct-P29 (PA)'!B147</f>
        <v>-2.3283064365386963E-10</v>
      </c>
      <c r="C148" s="52"/>
      <c r="D148" s="48">
        <f>+'KY_Res by Plant Acct-P29 (Fin)'!D148+'KY_Res by Plant Acct-P29 (PA)'!D147</f>
        <v>0</v>
      </c>
      <c r="E148" s="52"/>
      <c r="F148" s="48">
        <f>+'KY_Res by Plant Acct-P29 (Fin)'!F148+'KY_Res by Plant Acct-P29 (PA)'!F147</f>
        <v>0</v>
      </c>
      <c r="G148" s="52"/>
      <c r="H148" s="48">
        <f>+'KY_Res by Plant Acct-P29 (Fin)'!H148+'KY_Res by Plant Acct-P29 (PA)'!H147</f>
        <v>0</v>
      </c>
      <c r="I148" s="52"/>
      <c r="J148" s="48">
        <f>+'KY_Res by Plant Acct-P29 (Fin)'!J148+'KY_Res by Plant Acct-P29 (PA)'!J147</f>
        <v>0</v>
      </c>
      <c r="K148" s="52"/>
      <c r="L148" s="48">
        <f>+'KY_Res by Plant Acct-P29 (Fin)'!L148+'KY_Res by Plant Acct-P29 (PA)'!L147</f>
        <v>0</v>
      </c>
      <c r="M148" s="52"/>
      <c r="N148" s="48">
        <f>+'KY_Res by Plant Acct-P29 (Fin)'!N148+'KY_Res by Plant Acct-P29 (PA)'!N147</f>
        <v>0</v>
      </c>
      <c r="O148" s="52"/>
      <c r="P148" s="48">
        <f>+'KY_Res by Plant Acct-P29 (Fin)'!P148+'KY_Res by Plant Acct-P29 (PA)'!P147</f>
        <v>0</v>
      </c>
      <c r="Q148" s="52"/>
      <c r="R148" s="48">
        <f t="shared" si="10"/>
        <v>-2.3283064365386963E-10</v>
      </c>
      <c r="S148" s="37"/>
      <c r="T148" s="33"/>
      <c r="U148" s="33"/>
    </row>
    <row r="149" spans="1:21">
      <c r="B149" s="52">
        <f>B148+B147+B146+B132+B116+B100+B88+B71+B56+B55</f>
        <v>-11379969.749999998</v>
      </c>
      <c r="C149" s="52"/>
      <c r="D149" s="52">
        <f>D148+D147+D146+D132+D116+D100+D88+D71+D56+D55</f>
        <v>-2185453.84</v>
      </c>
      <c r="E149" s="52"/>
      <c r="F149" s="52">
        <f>F148+F147+F146+F132+F116+F100+F88+F71+F56+F55</f>
        <v>482249.92000000004</v>
      </c>
      <c r="G149" s="52"/>
      <c r="H149" s="52">
        <f t="shared" ref="H149:P149" si="12">H148+H147+H146+H132+H116+H100+H88+H71+H56+H55</f>
        <v>0</v>
      </c>
      <c r="I149" s="52"/>
      <c r="J149" s="52">
        <f t="shared" si="12"/>
        <v>0</v>
      </c>
      <c r="K149" s="52"/>
      <c r="L149" s="52">
        <f t="shared" si="12"/>
        <v>170979.16</v>
      </c>
      <c r="M149" s="52"/>
      <c r="N149" s="52">
        <f t="shared" si="12"/>
        <v>0</v>
      </c>
      <c r="O149" s="52"/>
      <c r="P149" s="52">
        <f t="shared" si="12"/>
        <v>0</v>
      </c>
      <c r="Q149" s="52"/>
      <c r="R149" s="52">
        <f>R148+R147+R146+R132+R116+R100+R88+R71+R56+R55</f>
        <v>-12912194.510000002</v>
      </c>
      <c r="S149" s="37"/>
      <c r="T149" s="33"/>
      <c r="U149" s="33"/>
    </row>
    <row r="150" spans="1:21" ht="6" customHeight="1">
      <c r="B150" s="52"/>
      <c r="C150" s="52"/>
      <c r="D150" s="52"/>
      <c r="E150" s="52"/>
      <c r="F150" s="52"/>
      <c r="G150" s="52"/>
      <c r="H150" s="52"/>
      <c r="I150" s="52"/>
      <c r="J150" s="52"/>
      <c r="K150" s="52"/>
      <c r="L150" s="52"/>
      <c r="M150" s="52"/>
      <c r="N150" s="52"/>
      <c r="O150" s="52"/>
      <c r="P150" s="52"/>
      <c r="Q150" s="52"/>
      <c r="R150" s="52"/>
      <c r="S150" s="37"/>
      <c r="T150" s="33"/>
      <c r="U150" s="33"/>
    </row>
    <row r="151" spans="1:21">
      <c r="A151" s="3" t="s">
        <v>118</v>
      </c>
      <c r="B151" s="52"/>
      <c r="C151" s="52"/>
      <c r="D151" s="52"/>
      <c r="E151" s="52"/>
      <c r="F151" s="52"/>
      <c r="G151" s="52"/>
      <c r="H151" s="52"/>
      <c r="I151" s="52"/>
      <c r="J151" s="52"/>
      <c r="K151" s="52"/>
      <c r="L151" s="52"/>
      <c r="M151" s="52"/>
      <c r="N151" s="52"/>
      <c r="O151" s="52"/>
      <c r="P151" s="52"/>
      <c r="Q151" s="52"/>
      <c r="R151" s="52"/>
      <c r="S151" s="37"/>
      <c r="T151" s="33"/>
      <c r="U151" s="33"/>
    </row>
    <row r="152" spans="1:21" s="60" customFormat="1" hidden="1" outlineLevel="1">
      <c r="A152" s="60" t="s">
        <v>1427</v>
      </c>
      <c r="B152" s="62">
        <f>+'KY_Res by Plant Acct-P29 (Fin)'!B152+'KY_Res by Plant Acct-P29 (PA)'!B151</f>
        <v>0</v>
      </c>
      <c r="C152" s="62"/>
      <c r="D152" s="62">
        <f>+'KY_Res by Plant Acct-P29 (Fin)'!D152+'KY_Res by Plant Acct-P29 (PA)'!D151</f>
        <v>0</v>
      </c>
      <c r="E152" s="62"/>
      <c r="F152" s="62">
        <f>+'KY_Res by Plant Acct-P29 (Fin)'!F152+'KY_Res by Plant Acct-P29 (PA)'!F151</f>
        <v>0</v>
      </c>
      <c r="G152" s="62"/>
      <c r="H152" s="62">
        <f>+'KY_Res by Plant Acct-P29 (Fin)'!H152+'KY_Res by Plant Acct-P29 (PA)'!H151</f>
        <v>0</v>
      </c>
      <c r="I152" s="62"/>
      <c r="J152" s="62">
        <f>+'KY_Res by Plant Acct-P29 (Fin)'!J152+'KY_Res by Plant Acct-P29 (PA)'!J151</f>
        <v>0</v>
      </c>
      <c r="K152" s="62"/>
      <c r="L152" s="62">
        <f>+'KY_Res by Plant Acct-P29 (Fin)'!L152+'KY_Res by Plant Acct-P29 (PA)'!L151</f>
        <v>0</v>
      </c>
      <c r="M152" s="62"/>
      <c r="N152" s="62">
        <f>+'KY_Res by Plant Acct-P29 (Fin)'!N152+'KY_Res by Plant Acct-P29 (PA)'!N151</f>
        <v>0</v>
      </c>
      <c r="O152" s="62"/>
      <c r="P152" s="62">
        <f>+'KY_Res by Plant Acct-P29 (Fin)'!P152+'KY_Res by Plant Acct-P29 (PA)'!P151</f>
        <v>0</v>
      </c>
      <c r="Q152" s="62"/>
      <c r="R152" s="62">
        <f>SUM(B152:P152)</f>
        <v>0</v>
      </c>
      <c r="S152" s="66"/>
      <c r="T152" s="63"/>
      <c r="U152" s="63"/>
    </row>
    <row r="153" spans="1:21" s="60" customFormat="1" hidden="1" outlineLevel="1">
      <c r="A153" s="60" t="s">
        <v>1428</v>
      </c>
      <c r="B153" s="62">
        <f>+'KY_Res by Plant Acct-P29 (Fin)'!B153+'KY_Res by Plant Acct-P29 (PA)'!B152</f>
        <v>0</v>
      </c>
      <c r="C153" s="62"/>
      <c r="D153" s="62">
        <f>+'KY_Res by Plant Acct-P29 (Fin)'!D153+'KY_Res by Plant Acct-P29 (PA)'!D152</f>
        <v>0</v>
      </c>
      <c r="E153" s="62"/>
      <c r="F153" s="62">
        <f>+'KY_Res by Plant Acct-P29 (Fin)'!F153+'KY_Res by Plant Acct-P29 (PA)'!F152</f>
        <v>0</v>
      </c>
      <c r="G153" s="62"/>
      <c r="H153" s="62">
        <f>+'KY_Res by Plant Acct-P29 (Fin)'!H153+'KY_Res by Plant Acct-P29 (PA)'!H152</f>
        <v>0</v>
      </c>
      <c r="I153" s="62"/>
      <c r="J153" s="62">
        <f>+'KY_Res by Plant Acct-P29 (Fin)'!J153+'KY_Res by Plant Acct-P29 (PA)'!J152</f>
        <v>0</v>
      </c>
      <c r="K153" s="62"/>
      <c r="L153" s="62">
        <f>+'KY_Res by Plant Acct-P29 (Fin)'!L153+'KY_Res by Plant Acct-P29 (PA)'!L152</f>
        <v>0</v>
      </c>
      <c r="M153" s="62"/>
      <c r="N153" s="62">
        <f>+'KY_Res by Plant Acct-P29 (Fin)'!N153+'KY_Res by Plant Acct-P29 (PA)'!N152</f>
        <v>0</v>
      </c>
      <c r="O153" s="62"/>
      <c r="P153" s="62">
        <f>+'KY_Res by Plant Acct-P29 (Fin)'!P153+'KY_Res by Plant Acct-P29 (PA)'!P152</f>
        <v>0</v>
      </c>
      <c r="Q153" s="62"/>
      <c r="R153" s="62">
        <f>SUM(B153:P153)</f>
        <v>0</v>
      </c>
      <c r="S153" s="66"/>
      <c r="T153" s="63"/>
      <c r="U153" s="63"/>
    </row>
    <row r="154" spans="1:21" s="10" customFormat="1" collapsed="1">
      <c r="A154" s="10" t="s">
        <v>876</v>
      </c>
      <c r="B154" s="65">
        <f>SUM(B152:B153)</f>
        <v>0</v>
      </c>
      <c r="C154" s="65"/>
      <c r="D154" s="65">
        <f>SUM(D152:D153)</f>
        <v>0</v>
      </c>
      <c r="E154" s="65"/>
      <c r="F154" s="65">
        <f>SUM(F152:F153)</f>
        <v>0</v>
      </c>
      <c r="G154" s="65"/>
      <c r="H154" s="65">
        <f>SUM(H152:H153)</f>
        <v>0</v>
      </c>
      <c r="I154" s="65"/>
      <c r="J154" s="65">
        <f>SUM(J152:J153)</f>
        <v>0</v>
      </c>
      <c r="K154" s="65"/>
      <c r="L154" s="65">
        <f>SUM(L152:L153)</f>
        <v>0</v>
      </c>
      <c r="M154" s="65"/>
      <c r="N154" s="65">
        <f>SUM(N152:N153)</f>
        <v>0</v>
      </c>
      <c r="O154" s="65"/>
      <c r="P154" s="65">
        <f>SUM(P152:P153)</f>
        <v>0</v>
      </c>
      <c r="Q154" s="65"/>
      <c r="R154" s="65">
        <f>SUM(R152:R153)</f>
        <v>0</v>
      </c>
      <c r="S154" s="27"/>
      <c r="T154" s="24"/>
      <c r="U154" s="24"/>
    </row>
    <row r="155" spans="1:21" s="60" customFormat="1" hidden="1" outlineLevel="1">
      <c r="A155" s="60" t="s">
        <v>869</v>
      </c>
      <c r="B155" s="62">
        <f>+'KY_Res by Plant Acct-P29 (Fin)'!B155+'KY_Res by Plant Acct-P29 (PA)'!B154</f>
        <v>-306825.76999999955</v>
      </c>
      <c r="C155" s="62"/>
      <c r="D155" s="62">
        <f>+'KY_Res by Plant Acct-P29 (Fin)'!D155+'KY_Res by Plant Acct-P29 (PA)'!D154</f>
        <v>0</v>
      </c>
      <c r="E155" s="62"/>
      <c r="F155" s="62">
        <f>+'KY_Res by Plant Acct-P29 (Fin)'!F155+'KY_Res by Plant Acct-P29 (PA)'!F154</f>
        <v>0</v>
      </c>
      <c r="G155" s="62"/>
      <c r="H155" s="62">
        <f>+'KY_Res by Plant Acct-P29 (Fin)'!H155+'KY_Res by Plant Acct-P29 (PA)'!H154</f>
        <v>0</v>
      </c>
      <c r="I155" s="62"/>
      <c r="J155" s="62">
        <f>+'KY_Res by Plant Acct-P29 (Fin)'!J155+'KY_Res by Plant Acct-P29 (PA)'!J154</f>
        <v>0</v>
      </c>
      <c r="K155" s="62"/>
      <c r="L155" s="62">
        <f>+'KY_Res by Plant Acct-P29 (Fin)'!L155+'KY_Res by Plant Acct-P29 (PA)'!L154</f>
        <v>0</v>
      </c>
      <c r="M155" s="62"/>
      <c r="N155" s="62">
        <f>+'KY_Res by Plant Acct-P29 (Fin)'!N155+'KY_Res by Plant Acct-P29 (PA)'!N154</f>
        <v>0</v>
      </c>
      <c r="O155" s="62"/>
      <c r="P155" s="62">
        <f>+'KY_Res by Plant Acct-P29 (Fin)'!P155+'KY_Res by Plant Acct-P29 (PA)'!P154</f>
        <v>0</v>
      </c>
      <c r="Q155" s="62"/>
      <c r="R155" s="62">
        <f>SUM(B155:P155)</f>
        <v>-306825.76999999955</v>
      </c>
      <c r="S155" s="66"/>
      <c r="T155" s="63"/>
      <c r="U155" s="63"/>
    </row>
    <row r="156" spans="1:21" s="60" customFormat="1" hidden="1" outlineLevel="1">
      <c r="A156" s="60" t="s">
        <v>1053</v>
      </c>
      <c r="B156" s="62">
        <f>+'KY_Res by Plant Acct-P29 (Fin)'!B156+'KY_Res by Plant Acct-P29 (PA)'!B155</f>
        <v>-152471</v>
      </c>
      <c r="C156" s="62"/>
      <c r="D156" s="62">
        <f>+'KY_Res by Plant Acct-P29 (Fin)'!D156+'KY_Res by Plant Acct-P29 (PA)'!D155</f>
        <v>0</v>
      </c>
      <c r="E156" s="62"/>
      <c r="F156" s="62">
        <f>+'KY_Res by Plant Acct-P29 (Fin)'!F156+'KY_Res by Plant Acct-P29 (PA)'!F155</f>
        <v>0</v>
      </c>
      <c r="G156" s="62"/>
      <c r="H156" s="62">
        <f>+'KY_Res by Plant Acct-P29 (Fin)'!H156+'KY_Res by Plant Acct-P29 (PA)'!H155</f>
        <v>0</v>
      </c>
      <c r="I156" s="62"/>
      <c r="J156" s="62">
        <f>+'KY_Res by Plant Acct-P29 (Fin)'!J156+'KY_Res by Plant Acct-P29 (PA)'!J155</f>
        <v>0</v>
      </c>
      <c r="K156" s="62"/>
      <c r="L156" s="62">
        <f>+'KY_Res by Plant Acct-P29 (Fin)'!L156+'KY_Res by Plant Acct-P29 (PA)'!L155</f>
        <v>0</v>
      </c>
      <c r="M156" s="62"/>
      <c r="N156" s="62">
        <f>+'KY_Res by Plant Acct-P29 (Fin)'!N156+'KY_Res by Plant Acct-P29 (PA)'!N155</f>
        <v>0</v>
      </c>
      <c r="O156" s="62"/>
      <c r="P156" s="62">
        <f>+'KY_Res by Plant Acct-P29 (Fin)'!P156+'KY_Res by Plant Acct-P29 (PA)'!P155</f>
        <v>0</v>
      </c>
      <c r="Q156" s="62"/>
      <c r="R156" s="62">
        <f t="shared" ref="R156:R174" si="13">SUM(B156:P156)</f>
        <v>-152471</v>
      </c>
      <c r="S156" s="66"/>
      <c r="T156" s="63"/>
      <c r="U156" s="63"/>
    </row>
    <row r="157" spans="1:21" s="60" customFormat="1" hidden="1" outlineLevel="1">
      <c r="A157" s="60" t="s">
        <v>1054</v>
      </c>
      <c r="B157" s="62">
        <f>+'KY_Res by Plant Acct-P29 (Fin)'!B157+'KY_Res by Plant Acct-P29 (PA)'!B156</f>
        <v>-252726.4299999997</v>
      </c>
      <c r="C157" s="62"/>
      <c r="D157" s="62">
        <f>+'KY_Res by Plant Acct-P29 (Fin)'!D157+'KY_Res by Plant Acct-P29 (PA)'!D156</f>
        <v>0</v>
      </c>
      <c r="E157" s="62"/>
      <c r="F157" s="62">
        <f>+'KY_Res by Plant Acct-P29 (Fin)'!F157+'KY_Res by Plant Acct-P29 (PA)'!F156</f>
        <v>0</v>
      </c>
      <c r="G157" s="62"/>
      <c r="H157" s="62">
        <f>+'KY_Res by Plant Acct-P29 (Fin)'!H157+'KY_Res by Plant Acct-P29 (PA)'!H156</f>
        <v>0</v>
      </c>
      <c r="I157" s="62"/>
      <c r="J157" s="62">
        <f>+'KY_Res by Plant Acct-P29 (Fin)'!J157+'KY_Res by Plant Acct-P29 (PA)'!J156</f>
        <v>0</v>
      </c>
      <c r="K157" s="62"/>
      <c r="L157" s="62">
        <f>+'KY_Res by Plant Acct-P29 (Fin)'!L157+'KY_Res by Plant Acct-P29 (PA)'!L156</f>
        <v>0</v>
      </c>
      <c r="M157" s="62"/>
      <c r="N157" s="62">
        <f>+'KY_Res by Plant Acct-P29 (Fin)'!N157+'KY_Res by Plant Acct-P29 (PA)'!N156</f>
        <v>0</v>
      </c>
      <c r="O157" s="62"/>
      <c r="P157" s="62">
        <f>+'KY_Res by Plant Acct-P29 (Fin)'!P157+'KY_Res by Plant Acct-P29 (PA)'!P156</f>
        <v>0</v>
      </c>
      <c r="Q157" s="62"/>
      <c r="R157" s="62">
        <f t="shared" si="13"/>
        <v>-252726.4299999997</v>
      </c>
      <c r="S157" s="66"/>
      <c r="T157" s="63"/>
      <c r="U157" s="63"/>
    </row>
    <row r="158" spans="1:21" s="60" customFormat="1" hidden="1" outlineLevel="1">
      <c r="A158" s="60" t="s">
        <v>865</v>
      </c>
      <c r="B158" s="62">
        <f>+'KY_Res by Plant Acct-P29 (Fin)'!B158+'KY_Res by Plant Acct-P29 (PA)'!B157</f>
        <v>-51597.34999999986</v>
      </c>
      <c r="C158" s="62"/>
      <c r="D158" s="62">
        <f>+'KY_Res by Plant Acct-P29 (Fin)'!D158+'KY_Res by Plant Acct-P29 (PA)'!D157</f>
        <v>-1830.02</v>
      </c>
      <c r="E158" s="62"/>
      <c r="F158" s="62">
        <f>+'KY_Res by Plant Acct-P29 (Fin)'!F158+'KY_Res by Plant Acct-P29 (PA)'!F157</f>
        <v>0</v>
      </c>
      <c r="G158" s="62"/>
      <c r="H158" s="62">
        <f>+'KY_Res by Plant Acct-P29 (Fin)'!H158+'KY_Res by Plant Acct-P29 (PA)'!H157</f>
        <v>0</v>
      </c>
      <c r="I158" s="62"/>
      <c r="J158" s="62">
        <f>+'KY_Res by Plant Acct-P29 (Fin)'!J158+'KY_Res by Plant Acct-P29 (PA)'!J157</f>
        <v>0</v>
      </c>
      <c r="K158" s="62"/>
      <c r="L158" s="62">
        <f>+'KY_Res by Plant Acct-P29 (Fin)'!L158+'KY_Res by Plant Acct-P29 (PA)'!L157</f>
        <v>0</v>
      </c>
      <c r="M158" s="62"/>
      <c r="N158" s="62">
        <f>+'KY_Res by Plant Acct-P29 (Fin)'!N158+'KY_Res by Plant Acct-P29 (PA)'!N157</f>
        <v>0</v>
      </c>
      <c r="O158" s="62"/>
      <c r="P158" s="62">
        <f>+'KY_Res by Plant Acct-P29 (Fin)'!P158+'KY_Res by Plant Acct-P29 (PA)'!P157</f>
        <v>0</v>
      </c>
      <c r="Q158" s="62"/>
      <c r="R158" s="62">
        <f t="shared" si="13"/>
        <v>-53427.369999999857</v>
      </c>
      <c r="S158" s="66"/>
      <c r="T158" s="63"/>
      <c r="U158" s="63"/>
    </row>
    <row r="159" spans="1:21" s="60" customFormat="1" hidden="1" outlineLevel="1">
      <c r="A159" s="60" t="s">
        <v>711</v>
      </c>
      <c r="B159" s="62">
        <f>+'KY_Res by Plant Acct-P29 (Fin)'!B159+'KY_Res by Plant Acct-P29 (PA)'!B158</f>
        <v>-333320.99000000115</v>
      </c>
      <c r="C159" s="62"/>
      <c r="D159" s="62">
        <f>+'KY_Res by Plant Acct-P29 (Fin)'!D159+'KY_Res by Plant Acct-P29 (PA)'!D158</f>
        <v>-11643.52</v>
      </c>
      <c r="E159" s="62"/>
      <c r="F159" s="141">
        <f>+'KY_Res by Plant Acct-P29 (Fin)'!F159+'KY_Res by Plant Acct-P29 (PA)'!F158</f>
        <v>0</v>
      </c>
      <c r="G159" s="141"/>
      <c r="H159" s="141">
        <f>+'KY_Res by Plant Acct-P29 (Fin)'!H159+'KY_Res by Plant Acct-P29 (PA)'!H158</f>
        <v>0</v>
      </c>
      <c r="I159" s="141"/>
      <c r="J159" s="141">
        <f>+'KY_Res by Plant Acct-P29 (Fin)'!J159+'KY_Res by Plant Acct-P29 (PA)'!J158</f>
        <v>0</v>
      </c>
      <c r="K159" s="141"/>
      <c r="L159" s="141">
        <f>+'KY_Res by Plant Acct-P29 (Fin)'!L159+'KY_Res by Plant Acct-P29 (PA)'!L158</f>
        <v>0</v>
      </c>
      <c r="M159" s="62"/>
      <c r="N159" s="62">
        <f>+'KY_Res by Plant Acct-P29 (Fin)'!N159+'KY_Res by Plant Acct-P29 (PA)'!N158</f>
        <v>0</v>
      </c>
      <c r="O159" s="62"/>
      <c r="P159" s="62">
        <f>+'KY_Res by Plant Acct-P29 (Fin)'!P159+'KY_Res by Plant Acct-P29 (PA)'!P158</f>
        <v>0</v>
      </c>
      <c r="Q159" s="62"/>
      <c r="R159" s="62">
        <f t="shared" si="13"/>
        <v>-344964.51000000117</v>
      </c>
      <c r="S159" s="66"/>
      <c r="T159" s="63"/>
      <c r="U159" s="63"/>
    </row>
    <row r="160" spans="1:21" s="60" customFormat="1" hidden="1" outlineLevel="1">
      <c r="A160" s="60" t="s">
        <v>712</v>
      </c>
      <c r="B160" s="62">
        <f>+'KY_Res by Plant Acct-P29 (Fin)'!B160+'KY_Res by Plant Acct-P29 (PA)'!B159</f>
        <v>-187958.11999999965</v>
      </c>
      <c r="C160" s="62"/>
      <c r="D160" s="62">
        <f>+'KY_Res by Plant Acct-P29 (Fin)'!D160+'KY_Res by Plant Acct-P29 (PA)'!D159</f>
        <v>-6616.11</v>
      </c>
      <c r="E160" s="62"/>
      <c r="F160" s="141">
        <f>+'KY_Res by Plant Acct-P29 (Fin)'!F160+'KY_Res by Plant Acct-P29 (PA)'!F159</f>
        <v>0</v>
      </c>
      <c r="G160" s="141"/>
      <c r="H160" s="141">
        <f>+'KY_Res by Plant Acct-P29 (Fin)'!H160+'KY_Res by Plant Acct-P29 (PA)'!H159</f>
        <v>0</v>
      </c>
      <c r="I160" s="141"/>
      <c r="J160" s="141">
        <f>+'KY_Res by Plant Acct-P29 (Fin)'!J160+'KY_Res by Plant Acct-P29 (PA)'!J159</f>
        <v>0</v>
      </c>
      <c r="K160" s="141"/>
      <c r="L160" s="141">
        <f>+'KY_Res by Plant Acct-P29 (Fin)'!L160+'KY_Res by Plant Acct-P29 (PA)'!L159</f>
        <v>0</v>
      </c>
      <c r="M160" s="62"/>
      <c r="N160" s="62">
        <f>+'KY_Res by Plant Acct-P29 (Fin)'!N160+'KY_Res by Plant Acct-P29 (PA)'!N159</f>
        <v>0</v>
      </c>
      <c r="O160" s="62"/>
      <c r="P160" s="62">
        <f>+'KY_Res by Plant Acct-P29 (Fin)'!P160+'KY_Res by Plant Acct-P29 (PA)'!P159</f>
        <v>0</v>
      </c>
      <c r="Q160" s="62"/>
      <c r="R160" s="62">
        <f t="shared" si="13"/>
        <v>-194574.22999999963</v>
      </c>
      <c r="S160" s="66"/>
      <c r="T160" s="63"/>
      <c r="U160" s="63"/>
    </row>
    <row r="161" spans="1:21" s="60" customFormat="1" hidden="1" outlineLevel="1">
      <c r="A161" s="60" t="s">
        <v>861</v>
      </c>
      <c r="B161" s="62">
        <f>+'KY_Res by Plant Acct-P29 (Fin)'!B161+'KY_Res by Plant Acct-P29 (PA)'!B160</f>
        <v>-638322.54000000097</v>
      </c>
      <c r="C161" s="62"/>
      <c r="D161" s="62">
        <f>+'KY_Res by Plant Acct-P29 (Fin)'!D161+'KY_Res by Plant Acct-P29 (PA)'!D160</f>
        <v>-30095.760000000002</v>
      </c>
      <c r="E161" s="62"/>
      <c r="F161" s="141">
        <f>+'KY_Res by Plant Acct-P29 (Fin)'!F161+'KY_Res by Plant Acct-P29 (PA)'!F160</f>
        <v>0</v>
      </c>
      <c r="G161" s="141"/>
      <c r="H161" s="141">
        <f>+'KY_Res by Plant Acct-P29 (Fin)'!H161+'KY_Res by Plant Acct-P29 (PA)'!H160</f>
        <v>0</v>
      </c>
      <c r="I161" s="141"/>
      <c r="J161" s="141">
        <f>+'KY_Res by Plant Acct-P29 (Fin)'!J161+'KY_Res by Plant Acct-P29 (PA)'!J160</f>
        <v>0</v>
      </c>
      <c r="K161" s="141"/>
      <c r="L161" s="141">
        <f>+'KY_Res by Plant Acct-P29 (Fin)'!L161+'KY_Res by Plant Acct-P29 (PA)'!L160</f>
        <v>0</v>
      </c>
      <c r="M161" s="62"/>
      <c r="N161" s="62">
        <f>+'KY_Res by Plant Acct-P29 (Fin)'!N161+'KY_Res by Plant Acct-P29 (PA)'!N160</f>
        <v>0</v>
      </c>
      <c r="O161" s="62"/>
      <c r="P161" s="62">
        <f>+'KY_Res by Plant Acct-P29 (Fin)'!P161+'KY_Res by Plant Acct-P29 (PA)'!P160</f>
        <v>0</v>
      </c>
      <c r="Q161" s="62"/>
      <c r="R161" s="62">
        <f t="shared" si="13"/>
        <v>-668418.30000000098</v>
      </c>
      <c r="S161" s="66"/>
      <c r="T161" s="63"/>
      <c r="U161" s="63"/>
    </row>
    <row r="162" spans="1:21" s="60" customFormat="1" hidden="1" outlineLevel="1">
      <c r="A162" s="60" t="s">
        <v>714</v>
      </c>
      <c r="B162" s="62">
        <f>+'KY_Res by Plant Acct-P29 (Fin)'!B162+'KY_Res by Plant Acct-P29 (PA)'!B161</f>
        <v>-212284.95999999973</v>
      </c>
      <c r="C162" s="62"/>
      <c r="D162" s="62">
        <f>+'KY_Res by Plant Acct-P29 (Fin)'!D162+'KY_Res by Plant Acct-P29 (PA)'!D161</f>
        <v>-10221.960000000001</v>
      </c>
      <c r="E162" s="62"/>
      <c r="F162" s="141">
        <f>+'KY_Res by Plant Acct-P29 (Fin)'!F162+'KY_Res by Plant Acct-P29 (PA)'!F161</f>
        <v>0</v>
      </c>
      <c r="G162" s="141"/>
      <c r="H162" s="141">
        <f>+'KY_Res by Plant Acct-P29 (Fin)'!H162+'KY_Res by Plant Acct-P29 (PA)'!H161</f>
        <v>0</v>
      </c>
      <c r="I162" s="141"/>
      <c r="J162" s="141">
        <f>+'KY_Res by Plant Acct-P29 (Fin)'!J162+'KY_Res by Plant Acct-P29 (PA)'!J161</f>
        <v>0</v>
      </c>
      <c r="K162" s="141"/>
      <c r="L162" s="141">
        <f>+'KY_Res by Plant Acct-P29 (Fin)'!L162+'KY_Res by Plant Acct-P29 (PA)'!L161</f>
        <v>0</v>
      </c>
      <c r="M162" s="62"/>
      <c r="N162" s="62">
        <f>+'KY_Res by Plant Acct-P29 (Fin)'!N162+'KY_Res by Plant Acct-P29 (PA)'!N161</f>
        <v>0</v>
      </c>
      <c r="O162" s="62"/>
      <c r="P162" s="62">
        <f>+'KY_Res by Plant Acct-P29 (Fin)'!P162+'KY_Res by Plant Acct-P29 (PA)'!P161</f>
        <v>0</v>
      </c>
      <c r="Q162" s="62"/>
      <c r="R162" s="62">
        <f t="shared" si="13"/>
        <v>-222506.91999999972</v>
      </c>
      <c r="S162" s="66"/>
      <c r="T162" s="63"/>
      <c r="U162" s="63"/>
    </row>
    <row r="163" spans="1:21" s="60" customFormat="1" hidden="1" outlineLevel="1">
      <c r="A163" s="307" t="s">
        <v>1386</v>
      </c>
      <c r="B163" s="62">
        <f>+'KY_Res by Plant Acct-P29 (Fin)'!B163+'KY_Res by Plant Acct-P29 (PA)'!B162</f>
        <v>-1935382.9499999993</v>
      </c>
      <c r="C163" s="62"/>
      <c r="D163" s="62">
        <f>+'KY_Res by Plant Acct-P29 (Fin)'!D163+'KY_Res by Plant Acct-P29 (PA)'!D162</f>
        <v>-107886.67000000001</v>
      </c>
      <c r="E163" s="62"/>
      <c r="F163" s="141">
        <f>+'KY_Res by Plant Acct-P29 (Fin)'!F163+'KY_Res by Plant Acct-P29 (PA)'!F162</f>
        <v>442.77</v>
      </c>
      <c r="G163" s="141"/>
      <c r="H163" s="141">
        <f>+'KY_Res by Plant Acct-P29 (Fin)'!H163+'KY_Res by Plant Acct-P29 (PA)'!H162</f>
        <v>-2361.9299999999998</v>
      </c>
      <c r="I163" s="141"/>
      <c r="J163" s="141">
        <f>+'KY_Res by Plant Acct-P29 (Fin)'!J163+'KY_Res by Plant Acct-P29 (PA)'!J162</f>
        <v>0</v>
      </c>
      <c r="K163" s="141"/>
      <c r="L163" s="141">
        <f>+'KY_Res by Plant Acct-P29 (Fin)'!L163+'KY_Res by Plant Acct-P29 (PA)'!L162</f>
        <v>9291.26</v>
      </c>
      <c r="M163" s="62"/>
      <c r="N163" s="62">
        <f>+'KY_Res by Plant Acct-P29 (Fin)'!N163+'KY_Res by Plant Acct-P29 (PA)'!N162</f>
        <v>0</v>
      </c>
      <c r="O163" s="62"/>
      <c r="P163" s="62">
        <f>+'KY_Res by Plant Acct-P29 (Fin)'!P163+'KY_Res by Plant Acct-P29 (PA)'!P162</f>
        <v>0</v>
      </c>
      <c r="Q163" s="62"/>
      <c r="R163" s="62">
        <f t="shared" si="13"/>
        <v>-2035897.5199999991</v>
      </c>
      <c r="S163" s="66"/>
      <c r="T163" s="63"/>
      <c r="U163" s="63"/>
    </row>
    <row r="164" spans="1:21" s="60" customFormat="1" hidden="1" outlineLevel="1">
      <c r="A164" s="307" t="s">
        <v>1387</v>
      </c>
      <c r="B164" s="62">
        <f>+'KY_Res by Plant Acct-P29 (Fin)'!B164+'KY_Res by Plant Acct-P29 (PA)'!B163</f>
        <v>-1152.0100000000093</v>
      </c>
      <c r="C164" s="62"/>
      <c r="D164" s="62">
        <f>+'KY_Res by Plant Acct-P29 (Fin)'!D164+'KY_Res by Plant Acct-P29 (PA)'!D163</f>
        <v>-25829.32</v>
      </c>
      <c r="E164" s="62"/>
      <c r="F164" s="141">
        <f>+'KY_Res by Plant Acct-P29 (Fin)'!F164+'KY_Res by Plant Acct-P29 (PA)'!F163</f>
        <v>0</v>
      </c>
      <c r="G164" s="141"/>
      <c r="H164" s="141">
        <f>+'KY_Res by Plant Acct-P29 (Fin)'!H164+'KY_Res by Plant Acct-P29 (PA)'!H163</f>
        <v>0</v>
      </c>
      <c r="I164" s="141"/>
      <c r="J164" s="141">
        <f>+'KY_Res by Plant Acct-P29 (Fin)'!J164+'KY_Res by Plant Acct-P29 (PA)'!J163</f>
        <v>0</v>
      </c>
      <c r="K164" s="141"/>
      <c r="L164" s="141">
        <f>+'KY_Res by Plant Acct-P29 (Fin)'!L164+'KY_Res by Plant Acct-P29 (PA)'!L163</f>
        <v>0</v>
      </c>
      <c r="M164" s="62"/>
      <c r="N164" s="62">
        <f>+'KY_Res by Plant Acct-P29 (Fin)'!N164+'KY_Res by Plant Acct-P29 (PA)'!N163</f>
        <v>0</v>
      </c>
      <c r="O164" s="62"/>
      <c r="P164" s="62">
        <f>+'KY_Res by Plant Acct-P29 (Fin)'!P164+'KY_Res by Plant Acct-P29 (PA)'!P163</f>
        <v>0</v>
      </c>
      <c r="Q164" s="62"/>
      <c r="R164" s="62">
        <f t="shared" ref="R164" si="14">SUM(B164:P164)</f>
        <v>-26981.330000000009</v>
      </c>
      <c r="S164" s="66"/>
      <c r="T164" s="63"/>
      <c r="U164" s="63"/>
    </row>
    <row r="165" spans="1:21" s="60" customFormat="1" hidden="1" outlineLevel="1">
      <c r="A165" s="307" t="s">
        <v>1390</v>
      </c>
      <c r="B165" s="62">
        <f>+'KY_Res by Plant Acct-P29 (Fin)'!B165+'KY_Res by Plant Acct-P29 (PA)'!B164</f>
        <v>-1108794.0399999991</v>
      </c>
      <c r="C165" s="62"/>
      <c r="D165" s="62">
        <f>+'KY_Res by Plant Acct-P29 (Fin)'!D165+'KY_Res by Plant Acct-P29 (PA)'!D164</f>
        <v>-256435.81</v>
      </c>
      <c r="E165" s="62"/>
      <c r="F165" s="141">
        <f>+'KY_Res by Plant Acct-P29 (Fin)'!F165+'KY_Res by Plant Acct-P29 (PA)'!F164</f>
        <v>0</v>
      </c>
      <c r="G165" s="141"/>
      <c r="H165" s="141">
        <f>+'KY_Res by Plant Acct-P29 (Fin)'!H165+'KY_Res by Plant Acct-P29 (PA)'!H164</f>
        <v>0</v>
      </c>
      <c r="I165" s="141"/>
      <c r="J165" s="141">
        <f>+'KY_Res by Plant Acct-P29 (Fin)'!J165+'KY_Res by Plant Acct-P29 (PA)'!J164</f>
        <v>0</v>
      </c>
      <c r="K165" s="141"/>
      <c r="L165" s="141">
        <f>+'KY_Res by Plant Acct-P29 (Fin)'!L165+'KY_Res by Plant Acct-P29 (PA)'!L164</f>
        <v>0</v>
      </c>
      <c r="M165" s="62"/>
      <c r="N165" s="62">
        <f>+'KY_Res by Plant Acct-P29 (Fin)'!N165+'KY_Res by Plant Acct-P29 (PA)'!N164</f>
        <v>0</v>
      </c>
      <c r="O165" s="62"/>
      <c r="P165" s="62">
        <f>+'KY_Res by Plant Acct-P29 (Fin)'!P165+'KY_Res by Plant Acct-P29 (PA)'!P164</f>
        <v>0</v>
      </c>
      <c r="Q165" s="62"/>
      <c r="R165" s="62">
        <f>SUM(B165:P165)</f>
        <v>-1365229.8499999992</v>
      </c>
      <c r="S165" s="66"/>
      <c r="T165" s="63"/>
      <c r="U165" s="63"/>
    </row>
    <row r="166" spans="1:21" s="60" customFormat="1" hidden="1" outlineLevel="1">
      <c r="A166" s="307" t="s">
        <v>1389</v>
      </c>
      <c r="B166" s="62">
        <f>+'KY_Res by Plant Acct-P29 (Fin)'!B166+'KY_Res by Plant Acct-P29 (PA)'!B165</f>
        <v>-11783.270000000004</v>
      </c>
      <c r="C166" s="62"/>
      <c r="D166" s="62">
        <f>+'KY_Res by Plant Acct-P29 (Fin)'!D166+'KY_Res by Plant Acct-P29 (PA)'!D165</f>
        <v>-2316.75</v>
      </c>
      <c r="E166" s="62"/>
      <c r="F166" s="141">
        <f>+'KY_Res by Plant Acct-P29 (Fin)'!F166+'KY_Res by Plant Acct-P29 (PA)'!F165</f>
        <v>0</v>
      </c>
      <c r="G166" s="141"/>
      <c r="H166" s="141">
        <f>+'KY_Res by Plant Acct-P29 (Fin)'!H166+'KY_Res by Plant Acct-P29 (PA)'!H165</f>
        <v>0</v>
      </c>
      <c r="I166" s="141"/>
      <c r="J166" s="141">
        <f>+'KY_Res by Plant Acct-P29 (Fin)'!J166+'KY_Res by Plant Acct-P29 (PA)'!J165</f>
        <v>0</v>
      </c>
      <c r="K166" s="141"/>
      <c r="L166" s="141">
        <f>+'KY_Res by Plant Acct-P29 (Fin)'!L166+'KY_Res by Plant Acct-P29 (PA)'!L165</f>
        <v>0</v>
      </c>
      <c r="M166" s="62"/>
      <c r="N166" s="62">
        <f>+'KY_Res by Plant Acct-P29 (Fin)'!N166+'KY_Res by Plant Acct-P29 (PA)'!N165</f>
        <v>0</v>
      </c>
      <c r="O166" s="62"/>
      <c r="P166" s="62">
        <f>+'KY_Res by Plant Acct-P29 (Fin)'!P166+'KY_Res by Plant Acct-P29 (PA)'!P165</f>
        <v>0</v>
      </c>
      <c r="Q166" s="62"/>
      <c r="R166" s="62">
        <f t="shared" ref="R166" si="15">SUM(B166:P166)</f>
        <v>-14100.020000000004</v>
      </c>
      <c r="S166" s="66"/>
      <c r="T166" s="63"/>
      <c r="U166" s="63"/>
    </row>
    <row r="167" spans="1:21" s="60" customFormat="1" hidden="1" outlineLevel="1">
      <c r="A167" s="60" t="s">
        <v>715</v>
      </c>
      <c r="B167" s="62">
        <f>+'KY_Res by Plant Acct-P29 (Fin)'!B167+'KY_Res by Plant Acct-P29 (PA)'!B166</f>
        <v>-126519.25999999978</v>
      </c>
      <c r="C167" s="62"/>
      <c r="D167" s="62">
        <f>+'KY_Res by Plant Acct-P29 (Fin)'!D167+'KY_Res by Plant Acct-P29 (PA)'!D166</f>
        <v>-7052.5499999999993</v>
      </c>
      <c r="E167" s="62"/>
      <c r="F167" s="141">
        <f>+'KY_Res by Plant Acct-P29 (Fin)'!F167+'KY_Res by Plant Acct-P29 (PA)'!F166</f>
        <v>0</v>
      </c>
      <c r="G167" s="141"/>
      <c r="H167" s="141">
        <f>+'KY_Res by Plant Acct-P29 (Fin)'!H167+'KY_Res by Plant Acct-P29 (PA)'!H166</f>
        <v>0</v>
      </c>
      <c r="I167" s="141"/>
      <c r="J167" s="141">
        <f>+'KY_Res by Plant Acct-P29 (Fin)'!J167+'KY_Res by Plant Acct-P29 (PA)'!J166</f>
        <v>0</v>
      </c>
      <c r="K167" s="141"/>
      <c r="L167" s="141">
        <f>+'KY_Res by Plant Acct-P29 (Fin)'!L167+'KY_Res by Plant Acct-P29 (PA)'!L166</f>
        <v>0</v>
      </c>
      <c r="M167" s="62"/>
      <c r="N167" s="62">
        <f>+'KY_Res by Plant Acct-P29 (Fin)'!N167+'KY_Res by Plant Acct-P29 (PA)'!N166</f>
        <v>0</v>
      </c>
      <c r="O167" s="62"/>
      <c r="P167" s="62">
        <f>+'KY_Res by Plant Acct-P29 (Fin)'!P167+'KY_Res by Plant Acct-P29 (PA)'!P166</f>
        <v>0</v>
      </c>
      <c r="Q167" s="62"/>
      <c r="R167" s="62">
        <f t="shared" si="13"/>
        <v>-133571.80999999976</v>
      </c>
      <c r="S167" s="66"/>
      <c r="T167" s="63"/>
      <c r="U167" s="63"/>
    </row>
    <row r="168" spans="1:21" s="60" customFormat="1" hidden="1" outlineLevel="1">
      <c r="A168" s="60" t="s">
        <v>716</v>
      </c>
      <c r="B168" s="62">
        <f>+'KY_Res by Plant Acct-P29 (Fin)'!B168+'KY_Res by Plant Acct-P29 (PA)'!B167</f>
        <v>-1467785.709999999</v>
      </c>
      <c r="C168" s="62"/>
      <c r="D168" s="62">
        <f>+'KY_Res by Plant Acct-P29 (Fin)'!D168+'KY_Res by Plant Acct-P29 (PA)'!D167</f>
        <v>-80977.259999999995</v>
      </c>
      <c r="E168" s="62"/>
      <c r="F168" s="141">
        <f>+'KY_Res by Plant Acct-P29 (Fin)'!F168+'KY_Res by Plant Acct-P29 (PA)'!F167</f>
        <v>350.24000000000069</v>
      </c>
      <c r="G168" s="141"/>
      <c r="H168" s="141">
        <f>+'KY_Res by Plant Acct-P29 (Fin)'!H168+'KY_Res by Plant Acct-P29 (PA)'!H167</f>
        <v>0</v>
      </c>
      <c r="I168" s="141"/>
      <c r="J168" s="141">
        <f>+'KY_Res by Plant Acct-P29 (Fin)'!J168+'KY_Res by Plant Acct-P29 (PA)'!J167</f>
        <v>0</v>
      </c>
      <c r="K168" s="141"/>
      <c r="L168" s="141">
        <f>+'KY_Res by Plant Acct-P29 (Fin)'!L168+'KY_Res by Plant Acct-P29 (PA)'!L167</f>
        <v>30001.5</v>
      </c>
      <c r="M168" s="62"/>
      <c r="N168" s="62">
        <f>+'KY_Res by Plant Acct-P29 (Fin)'!N168+'KY_Res by Plant Acct-P29 (PA)'!N167</f>
        <v>0</v>
      </c>
      <c r="O168" s="62"/>
      <c r="P168" s="62">
        <f>+'KY_Res by Plant Acct-P29 (Fin)'!P168+'KY_Res by Plant Acct-P29 (PA)'!P167</f>
        <v>0</v>
      </c>
      <c r="Q168" s="62"/>
      <c r="R168" s="62">
        <f t="shared" si="13"/>
        <v>-1518411.2299999991</v>
      </c>
      <c r="S168" s="66"/>
      <c r="T168" s="63"/>
      <c r="U168" s="63"/>
    </row>
    <row r="169" spans="1:21" s="60" customFormat="1" hidden="1" outlineLevel="1">
      <c r="A169" s="60" t="s">
        <v>717</v>
      </c>
      <c r="B169" s="62">
        <f>+'KY_Res by Plant Acct-P29 (Fin)'!B169+'KY_Res by Plant Acct-P29 (PA)'!B168</f>
        <v>-125748.45999999973</v>
      </c>
      <c r="C169" s="62"/>
      <c r="D169" s="62">
        <f>+'KY_Res by Plant Acct-P29 (Fin)'!D169+'KY_Res by Plant Acct-P29 (PA)'!D168</f>
        <v>-6305.16</v>
      </c>
      <c r="E169" s="62"/>
      <c r="F169" s="141">
        <f>+'KY_Res by Plant Acct-P29 (Fin)'!F169+'KY_Res by Plant Acct-P29 (PA)'!F168</f>
        <v>0</v>
      </c>
      <c r="G169" s="141"/>
      <c r="H169" s="141">
        <f>+'KY_Res by Plant Acct-P29 (Fin)'!H169+'KY_Res by Plant Acct-P29 (PA)'!H168</f>
        <v>0</v>
      </c>
      <c r="I169" s="141"/>
      <c r="J169" s="141">
        <f>+'KY_Res by Plant Acct-P29 (Fin)'!J169+'KY_Res by Plant Acct-P29 (PA)'!J168</f>
        <v>0</v>
      </c>
      <c r="K169" s="141"/>
      <c r="L169" s="141">
        <f>+'KY_Res by Plant Acct-P29 (Fin)'!L169+'KY_Res by Plant Acct-P29 (PA)'!L168</f>
        <v>0</v>
      </c>
      <c r="M169" s="62"/>
      <c r="N169" s="62">
        <f>+'KY_Res by Plant Acct-P29 (Fin)'!N169+'KY_Res by Plant Acct-P29 (PA)'!N168</f>
        <v>0</v>
      </c>
      <c r="O169" s="62"/>
      <c r="P169" s="62">
        <f>+'KY_Res by Plant Acct-P29 (Fin)'!P169+'KY_Res by Plant Acct-P29 (PA)'!P168</f>
        <v>0</v>
      </c>
      <c r="Q169" s="62"/>
      <c r="R169" s="62">
        <f t="shared" si="13"/>
        <v>-132053.61999999973</v>
      </c>
      <c r="S169" s="66"/>
      <c r="T169" s="63"/>
      <c r="U169" s="63"/>
    </row>
    <row r="170" spans="1:21" s="60" customFormat="1" hidden="1" outlineLevel="1">
      <c r="A170" s="60" t="s">
        <v>718</v>
      </c>
      <c r="B170" s="62">
        <f>+'KY_Res by Plant Acct-P29 (Fin)'!B170+'KY_Res by Plant Acct-P29 (PA)'!B169</f>
        <v>-677235.8599999994</v>
      </c>
      <c r="C170" s="62"/>
      <c r="D170" s="62">
        <f>+'KY_Res by Plant Acct-P29 (Fin)'!D170+'KY_Res by Plant Acct-P29 (PA)'!D169</f>
        <v>-40858.490000000005</v>
      </c>
      <c r="E170" s="62"/>
      <c r="F170" s="141">
        <f>+'KY_Res by Plant Acct-P29 (Fin)'!F170+'KY_Res by Plant Acct-P29 (PA)'!F169</f>
        <v>4564.2799999999988</v>
      </c>
      <c r="G170" s="141"/>
      <c r="H170" s="141">
        <f>+'KY_Res by Plant Acct-P29 (Fin)'!H170+'KY_Res by Plant Acct-P29 (PA)'!H169</f>
        <v>0</v>
      </c>
      <c r="I170" s="141"/>
      <c r="J170" s="141">
        <f>+'KY_Res by Plant Acct-P29 (Fin)'!J170+'KY_Res by Plant Acct-P29 (PA)'!J169</f>
        <v>0</v>
      </c>
      <c r="K170" s="141"/>
      <c r="L170" s="141">
        <f>+'KY_Res by Plant Acct-P29 (Fin)'!L170+'KY_Res by Plant Acct-P29 (PA)'!L169</f>
        <v>110346.1</v>
      </c>
      <c r="M170" s="62"/>
      <c r="N170" s="62">
        <f>+'KY_Res by Plant Acct-P29 (Fin)'!N170+'KY_Res by Plant Acct-P29 (PA)'!N169</f>
        <v>0</v>
      </c>
      <c r="O170" s="62"/>
      <c r="P170" s="62">
        <f>+'KY_Res by Plant Acct-P29 (Fin)'!P170+'KY_Res by Plant Acct-P29 (PA)'!P169</f>
        <v>0</v>
      </c>
      <c r="Q170" s="62"/>
      <c r="R170" s="62">
        <f t="shared" si="13"/>
        <v>-603183.96999999939</v>
      </c>
      <c r="S170" s="66"/>
      <c r="T170" s="63"/>
      <c r="U170" s="63"/>
    </row>
    <row r="171" spans="1:21" s="60" customFormat="1" hidden="1" outlineLevel="1">
      <c r="A171" s="60" t="s">
        <v>307</v>
      </c>
      <c r="B171" s="62">
        <f>+'KY_Res by Plant Acct-P29 (Fin)'!B171+'KY_Res by Plant Acct-P29 (PA)'!B170</f>
        <v>-30558.789999999979</v>
      </c>
      <c r="C171" s="62"/>
      <c r="D171" s="62">
        <f>+'KY_Res by Plant Acct-P29 (Fin)'!D171+'KY_Res by Plant Acct-P29 (PA)'!D170</f>
        <v>-1333.53</v>
      </c>
      <c r="E171" s="62"/>
      <c r="F171" s="141">
        <f>+'KY_Res by Plant Acct-P29 (Fin)'!F171+'KY_Res by Plant Acct-P29 (PA)'!F170</f>
        <v>0</v>
      </c>
      <c r="G171" s="141"/>
      <c r="H171" s="141">
        <f>+'KY_Res by Plant Acct-P29 (Fin)'!H171+'KY_Res by Plant Acct-P29 (PA)'!H170</f>
        <v>0</v>
      </c>
      <c r="I171" s="141"/>
      <c r="J171" s="141">
        <f>+'KY_Res by Plant Acct-P29 (Fin)'!J171+'KY_Res by Plant Acct-P29 (PA)'!J170</f>
        <v>0</v>
      </c>
      <c r="K171" s="141"/>
      <c r="L171" s="141">
        <f>+'KY_Res by Plant Acct-P29 (Fin)'!L171+'KY_Res by Plant Acct-P29 (PA)'!L170</f>
        <v>0</v>
      </c>
      <c r="M171" s="62"/>
      <c r="N171" s="62">
        <f>+'KY_Res by Plant Acct-P29 (Fin)'!N171+'KY_Res by Plant Acct-P29 (PA)'!N170</f>
        <v>0</v>
      </c>
      <c r="O171" s="62"/>
      <c r="P171" s="62">
        <f>+'KY_Res by Plant Acct-P29 (Fin)'!P171+'KY_Res by Plant Acct-P29 (PA)'!P170</f>
        <v>0</v>
      </c>
      <c r="Q171" s="62"/>
      <c r="R171" s="62">
        <f t="shared" si="13"/>
        <v>-31892.319999999978</v>
      </c>
      <c r="S171" s="66"/>
      <c r="T171" s="63"/>
      <c r="U171" s="63"/>
    </row>
    <row r="172" spans="1:21" s="60" customFormat="1" hidden="1" outlineLevel="1">
      <c r="A172" s="60" t="s">
        <v>720</v>
      </c>
      <c r="B172" s="62">
        <f>+'KY_Res by Plant Acct-P29 (Fin)'!B172+'KY_Res by Plant Acct-P29 (PA)'!B171</f>
        <v>-1698032.7699999958</v>
      </c>
      <c r="C172" s="62"/>
      <c r="D172" s="62">
        <f>+'KY_Res by Plant Acct-P29 (Fin)'!D172+'KY_Res by Plant Acct-P29 (PA)'!D171</f>
        <v>-92488.35</v>
      </c>
      <c r="E172" s="62"/>
      <c r="F172" s="141">
        <f>+'KY_Res by Plant Acct-P29 (Fin)'!F172+'KY_Res by Plant Acct-P29 (PA)'!F171</f>
        <v>0</v>
      </c>
      <c r="G172" s="141"/>
      <c r="H172" s="141">
        <f>+'KY_Res by Plant Acct-P29 (Fin)'!H172+'KY_Res by Plant Acct-P29 (PA)'!H171</f>
        <v>731499.23</v>
      </c>
      <c r="I172" s="141"/>
      <c r="J172" s="141">
        <f>+'KY_Res by Plant Acct-P29 (Fin)'!J172+'KY_Res by Plant Acct-P29 (PA)'!J171</f>
        <v>0</v>
      </c>
      <c r="K172" s="141"/>
      <c r="L172" s="141">
        <f>+'KY_Res by Plant Acct-P29 (Fin)'!L172+'KY_Res by Plant Acct-P29 (PA)'!L171</f>
        <v>0</v>
      </c>
      <c r="M172" s="62"/>
      <c r="N172" s="62">
        <f>+'KY_Res by Plant Acct-P29 (Fin)'!N172+'KY_Res by Plant Acct-P29 (PA)'!N171</f>
        <v>0</v>
      </c>
      <c r="O172" s="62"/>
      <c r="P172" s="62">
        <f>+'KY_Res by Plant Acct-P29 (Fin)'!P172+'KY_Res by Plant Acct-P29 (PA)'!P171</f>
        <v>0</v>
      </c>
      <c r="Q172" s="62"/>
      <c r="R172" s="62">
        <f t="shared" si="13"/>
        <v>-1059021.8899999959</v>
      </c>
      <c r="S172" s="66"/>
      <c r="T172" s="63"/>
      <c r="U172" s="63"/>
    </row>
    <row r="173" spans="1:21" s="60" customFormat="1" hidden="1" outlineLevel="1">
      <c r="A173" s="60" t="s">
        <v>721</v>
      </c>
      <c r="B173" s="62">
        <f>+'KY_Res by Plant Acct-P29 (Fin)'!B173+'KY_Res by Plant Acct-P29 (PA)'!B172</f>
        <v>-414109.33999999985</v>
      </c>
      <c r="C173" s="62"/>
      <c r="D173" s="62">
        <f>+'KY_Res by Plant Acct-P29 (Fin)'!D173+'KY_Res by Plant Acct-P29 (PA)'!D172</f>
        <v>-23454.420000000002</v>
      </c>
      <c r="E173" s="62"/>
      <c r="F173" s="141">
        <f>+'KY_Res by Plant Acct-P29 (Fin)'!F173+'KY_Res by Plant Acct-P29 (PA)'!F172</f>
        <v>0</v>
      </c>
      <c r="G173" s="141"/>
      <c r="H173" s="141">
        <f>+'KY_Res by Plant Acct-P29 (Fin)'!H173+'KY_Res by Plant Acct-P29 (PA)'!H172</f>
        <v>0</v>
      </c>
      <c r="I173" s="141"/>
      <c r="J173" s="141">
        <f>+'KY_Res by Plant Acct-P29 (Fin)'!J173+'KY_Res by Plant Acct-P29 (PA)'!J172</f>
        <v>0</v>
      </c>
      <c r="K173" s="141"/>
      <c r="L173" s="141">
        <f>+'KY_Res by Plant Acct-P29 (Fin)'!L173+'KY_Res by Plant Acct-P29 (PA)'!L172</f>
        <v>0</v>
      </c>
      <c r="M173" s="62"/>
      <c r="N173" s="62">
        <f>+'KY_Res by Plant Acct-P29 (Fin)'!N173+'KY_Res by Plant Acct-P29 (PA)'!N172</f>
        <v>0</v>
      </c>
      <c r="O173" s="62"/>
      <c r="P173" s="62">
        <f>+'KY_Res by Plant Acct-P29 (Fin)'!P173+'KY_Res by Plant Acct-P29 (PA)'!P172</f>
        <v>0</v>
      </c>
      <c r="Q173" s="62"/>
      <c r="R173" s="62">
        <f t="shared" si="13"/>
        <v>-437563.75999999983</v>
      </c>
      <c r="S173" s="66"/>
      <c r="T173" s="63"/>
      <c r="U173" s="63"/>
    </row>
    <row r="174" spans="1:21" s="60" customFormat="1" hidden="1" outlineLevel="1">
      <c r="A174" s="60" t="s">
        <v>447</v>
      </c>
      <c r="B174" s="62">
        <f>+'KY_Res by Plant Acct-P29 (Fin)'!B174+'KY_Res by Plant Acct-P29 (PA)'!B173</f>
        <v>0</v>
      </c>
      <c r="C174" s="62"/>
      <c r="D174" s="62">
        <f>+'KY_Res by Plant Acct-P29 (Fin)'!D174+'KY_Res by Plant Acct-P29 (PA)'!D173</f>
        <v>0</v>
      </c>
      <c r="E174" s="62"/>
      <c r="F174" s="141">
        <f>+'KY_Res by Plant Acct-P29 (Fin)'!F174+'KY_Res by Plant Acct-P29 (PA)'!F173</f>
        <v>0</v>
      </c>
      <c r="G174" s="141"/>
      <c r="H174" s="141">
        <f>+'KY_Res by Plant Acct-P29 (Fin)'!H174+'KY_Res by Plant Acct-P29 (PA)'!H173</f>
        <v>0</v>
      </c>
      <c r="I174" s="141"/>
      <c r="J174" s="141">
        <f>+'KY_Res by Plant Acct-P29 (Fin)'!J174+'KY_Res by Plant Acct-P29 (PA)'!J173</f>
        <v>0</v>
      </c>
      <c r="K174" s="141"/>
      <c r="L174" s="141">
        <f>+'KY_Res by Plant Acct-P29 (Fin)'!L174+'KY_Res by Plant Acct-P29 (PA)'!L173</f>
        <v>0</v>
      </c>
      <c r="M174" s="62"/>
      <c r="N174" s="62">
        <f>+'KY_Res by Plant Acct-P29 (Fin)'!N174+'KY_Res by Plant Acct-P29 (PA)'!N173</f>
        <v>0</v>
      </c>
      <c r="O174" s="62"/>
      <c r="P174" s="62">
        <f>+'KY_Res by Plant Acct-P29 (Fin)'!P174+'KY_Res by Plant Acct-P29 (PA)'!P173</f>
        <v>0</v>
      </c>
      <c r="Q174" s="62"/>
      <c r="R174" s="62">
        <f t="shared" si="13"/>
        <v>0</v>
      </c>
      <c r="S174" s="66"/>
      <c r="T174" s="63"/>
      <c r="U174" s="63"/>
    </row>
    <row r="175" spans="1:21" s="60" customFormat="1" hidden="1" outlineLevel="1">
      <c r="A175" s="60" t="s">
        <v>1401</v>
      </c>
      <c r="B175" s="62">
        <f>+'KY_Res by Plant Acct-P29 (Fin)'!B175+'KY_Res by Plant Acct-P29 (PA)'!B174</f>
        <v>-4940698.2000000104</v>
      </c>
      <c r="C175" s="62"/>
      <c r="D175" s="62">
        <f>+'KY_Res by Plant Acct-P29 (Fin)'!D175+'KY_Res by Plant Acct-P29 (PA)'!D174</f>
        <v>-571045.82999999996</v>
      </c>
      <c r="E175" s="62"/>
      <c r="F175" s="141">
        <f>+'KY_Res by Plant Acct-P29 (Fin)'!F175+'KY_Res by Plant Acct-P29 (PA)'!F174</f>
        <v>0</v>
      </c>
      <c r="G175" s="141"/>
      <c r="H175" s="141">
        <f>+'KY_Res by Plant Acct-P29 (Fin)'!H175+'KY_Res by Plant Acct-P29 (PA)'!H174</f>
        <v>0</v>
      </c>
      <c r="I175" s="141"/>
      <c r="J175" s="141">
        <f>+'KY_Res by Plant Acct-P29 (Fin)'!J175+'KY_Res by Plant Acct-P29 (PA)'!J174</f>
        <v>0</v>
      </c>
      <c r="K175" s="141"/>
      <c r="L175" s="141">
        <f>+'KY_Res by Plant Acct-P29 (Fin)'!L175+'KY_Res by Plant Acct-P29 (PA)'!L174</f>
        <v>0</v>
      </c>
      <c r="M175" s="62"/>
      <c r="N175" s="62">
        <f>+'KY_Res by Plant Acct-P29 (Fin)'!N175+'KY_Res by Plant Acct-P29 (PA)'!N174</f>
        <v>0</v>
      </c>
      <c r="O175" s="62"/>
      <c r="P175" s="62">
        <f>+'KY_Res by Plant Acct-P29 (Fin)'!P175+'KY_Res by Plant Acct-P29 (PA)'!P174</f>
        <v>0</v>
      </c>
      <c r="Q175" s="62"/>
      <c r="R175" s="62">
        <f t="shared" ref="R175:R180" si="16">SUM(B175:P175)</f>
        <v>-5511744.0300000105</v>
      </c>
      <c r="S175" s="66"/>
      <c r="T175" s="63"/>
      <c r="U175" s="63"/>
    </row>
    <row r="176" spans="1:21" s="60" customFormat="1" hidden="1" outlineLevel="1">
      <c r="A176" s="60" t="s">
        <v>1402</v>
      </c>
      <c r="B176" s="62">
        <f>+'KY_Res by Plant Acct-P29 (Fin)'!B176+'KY_Res by Plant Acct-P29 (PA)'!B175</f>
        <v>-9434.98</v>
      </c>
      <c r="C176" s="62"/>
      <c r="D176" s="62">
        <f>+'KY_Res by Plant Acct-P29 (Fin)'!D176+'KY_Res by Plant Acct-P29 (PA)'!D175</f>
        <v>-2435.0700000000002</v>
      </c>
      <c r="E176" s="62"/>
      <c r="F176" s="141">
        <f>+'KY_Res by Plant Acct-P29 (Fin)'!F176+'KY_Res by Plant Acct-P29 (PA)'!F175</f>
        <v>0</v>
      </c>
      <c r="G176" s="141"/>
      <c r="H176" s="141">
        <f>+'KY_Res by Plant Acct-P29 (Fin)'!H176+'KY_Res by Plant Acct-P29 (PA)'!H175</f>
        <v>0</v>
      </c>
      <c r="I176" s="141"/>
      <c r="J176" s="141">
        <f>+'KY_Res by Plant Acct-P29 (Fin)'!J176+'KY_Res by Plant Acct-P29 (PA)'!J175</f>
        <v>0</v>
      </c>
      <c r="K176" s="141"/>
      <c r="L176" s="141">
        <f>+'KY_Res by Plant Acct-P29 (Fin)'!L176+'KY_Res by Plant Acct-P29 (PA)'!L175</f>
        <v>0</v>
      </c>
      <c r="M176" s="62"/>
      <c r="N176" s="62">
        <f>+'KY_Res by Plant Acct-P29 (Fin)'!N176+'KY_Res by Plant Acct-P29 (PA)'!N175</f>
        <v>0</v>
      </c>
      <c r="O176" s="62"/>
      <c r="P176" s="62">
        <f>+'KY_Res by Plant Acct-P29 (Fin)'!P176+'KY_Res by Plant Acct-P29 (PA)'!P175</f>
        <v>0</v>
      </c>
      <c r="Q176" s="62"/>
      <c r="R176" s="62">
        <f t="shared" si="16"/>
        <v>-11870.05</v>
      </c>
      <c r="S176" s="66"/>
      <c r="T176" s="63"/>
      <c r="U176" s="63"/>
    </row>
    <row r="177" spans="1:21" s="60" customFormat="1" hidden="1" outlineLevel="1">
      <c r="A177" s="60" t="s">
        <v>1403</v>
      </c>
      <c r="B177" s="62">
        <f>+'KY_Res by Plant Acct-P29 (Fin)'!B177+'KY_Res by Plant Acct-P29 (PA)'!B176</f>
        <v>-286984</v>
      </c>
      <c r="C177" s="62"/>
      <c r="D177" s="62">
        <f>+'KY_Res by Plant Acct-P29 (Fin)'!D177+'KY_Res by Plant Acct-P29 (PA)'!D176</f>
        <v>-75066.25</v>
      </c>
      <c r="E177" s="62"/>
      <c r="F177" s="141">
        <f>+'KY_Res by Plant Acct-P29 (Fin)'!F177+'KY_Res by Plant Acct-P29 (PA)'!F176</f>
        <v>0</v>
      </c>
      <c r="G177" s="141"/>
      <c r="H177" s="141">
        <f>+'KY_Res by Plant Acct-P29 (Fin)'!H177+'KY_Res by Plant Acct-P29 (PA)'!H176</f>
        <v>0</v>
      </c>
      <c r="I177" s="141"/>
      <c r="J177" s="141">
        <f>+'KY_Res by Plant Acct-P29 (Fin)'!J177+'KY_Res by Plant Acct-P29 (PA)'!J176</f>
        <v>0</v>
      </c>
      <c r="K177" s="141"/>
      <c r="L177" s="141">
        <f>+'KY_Res by Plant Acct-P29 (Fin)'!L177+'KY_Res by Plant Acct-P29 (PA)'!L176</f>
        <v>0</v>
      </c>
      <c r="M177" s="62"/>
      <c r="N177" s="62">
        <f>+'KY_Res by Plant Acct-P29 (Fin)'!N177+'KY_Res by Plant Acct-P29 (PA)'!N176</f>
        <v>0</v>
      </c>
      <c r="O177" s="62"/>
      <c r="P177" s="62">
        <f>+'KY_Res by Plant Acct-P29 (Fin)'!P177+'KY_Res by Plant Acct-P29 (PA)'!P176</f>
        <v>0</v>
      </c>
      <c r="Q177" s="62"/>
      <c r="R177" s="62">
        <f t="shared" si="16"/>
        <v>-362050.25</v>
      </c>
      <c r="S177" s="66"/>
      <c r="T177" s="63"/>
      <c r="U177" s="63"/>
    </row>
    <row r="178" spans="1:21" s="60" customFormat="1" hidden="1" outlineLevel="1">
      <c r="A178" s="60" t="s">
        <v>1404</v>
      </c>
      <c r="B178" s="62">
        <f>+'KY_Res by Plant Acct-P29 (Fin)'!B178+'KY_Res by Plant Acct-P29 (PA)'!B177</f>
        <v>-2223.8100000000004</v>
      </c>
      <c r="C178" s="62"/>
      <c r="D178" s="62">
        <f>+'KY_Res by Plant Acct-P29 (Fin)'!D178+'KY_Res by Plant Acct-P29 (PA)'!D177</f>
        <v>-847.98</v>
      </c>
      <c r="E178" s="62"/>
      <c r="F178" s="141">
        <f>+'KY_Res by Plant Acct-P29 (Fin)'!F178+'KY_Res by Plant Acct-P29 (PA)'!F177</f>
        <v>0</v>
      </c>
      <c r="G178" s="141"/>
      <c r="H178" s="141">
        <f>+'KY_Res by Plant Acct-P29 (Fin)'!H178+'KY_Res by Plant Acct-P29 (PA)'!H177</f>
        <v>0</v>
      </c>
      <c r="I178" s="141"/>
      <c r="J178" s="141">
        <f>+'KY_Res by Plant Acct-P29 (Fin)'!J178+'KY_Res by Plant Acct-P29 (PA)'!J177</f>
        <v>0</v>
      </c>
      <c r="K178" s="141"/>
      <c r="L178" s="141">
        <f>+'KY_Res by Plant Acct-P29 (Fin)'!L178+'KY_Res by Plant Acct-P29 (PA)'!L177</f>
        <v>0</v>
      </c>
      <c r="M178" s="62"/>
      <c r="N178" s="62">
        <f>+'KY_Res by Plant Acct-P29 (Fin)'!N178+'KY_Res by Plant Acct-P29 (PA)'!N177</f>
        <v>0</v>
      </c>
      <c r="O178" s="62"/>
      <c r="P178" s="62">
        <f>+'KY_Res by Plant Acct-P29 (Fin)'!P178+'KY_Res by Plant Acct-P29 (PA)'!P177</f>
        <v>0</v>
      </c>
      <c r="Q178" s="62"/>
      <c r="R178" s="62">
        <f t="shared" si="16"/>
        <v>-3071.7900000000004</v>
      </c>
      <c r="S178" s="66"/>
      <c r="T178" s="63"/>
      <c r="U178" s="63"/>
    </row>
    <row r="179" spans="1:21" s="60" customFormat="1" hidden="1" outlineLevel="1">
      <c r="A179" s="332" t="s">
        <v>1451</v>
      </c>
      <c r="B179" s="62">
        <f>+'KY_Res by Plant Acct-P29 (Fin)'!B179+'KY_Res by Plant Acct-P29 (PA)'!B178</f>
        <v>-293.27999999999997</v>
      </c>
      <c r="C179" s="62"/>
      <c r="D179" s="62">
        <f>+'KY_Res by Plant Acct-P29 (Fin)'!D179+'KY_Res by Plant Acct-P29 (PA)'!D178</f>
        <v>-1759.6799999999998</v>
      </c>
      <c r="E179" s="62"/>
      <c r="F179" s="141">
        <f>+'KY_Res by Plant Acct-P29 (Fin)'!F179+'KY_Res by Plant Acct-P29 (PA)'!F178</f>
        <v>0</v>
      </c>
      <c r="G179" s="141"/>
      <c r="H179" s="141">
        <f>+'KY_Res by Plant Acct-P29 (Fin)'!H179+'KY_Res by Plant Acct-P29 (PA)'!H178</f>
        <v>0</v>
      </c>
      <c r="I179" s="141"/>
      <c r="J179" s="141">
        <f>+'KY_Res by Plant Acct-P29 (Fin)'!J179+'KY_Res by Plant Acct-P29 (PA)'!J178</f>
        <v>0</v>
      </c>
      <c r="K179" s="141"/>
      <c r="L179" s="141">
        <f>+'KY_Res by Plant Acct-P29 (Fin)'!L179+'KY_Res by Plant Acct-P29 (PA)'!L178</f>
        <v>0</v>
      </c>
      <c r="M179" s="62"/>
      <c r="N179" s="62">
        <f>+'KY_Res by Plant Acct-P29 (Fin)'!N179+'KY_Res by Plant Acct-P29 (PA)'!N178</f>
        <v>0</v>
      </c>
      <c r="O179" s="62"/>
      <c r="P179" s="62">
        <f>+'KY_Res by Plant Acct-P29 (Fin)'!P179+'KY_Res by Plant Acct-P29 (PA)'!P178</f>
        <v>0</v>
      </c>
      <c r="Q179" s="62"/>
      <c r="R179" s="62">
        <f t="shared" si="16"/>
        <v>-2052.96</v>
      </c>
      <c r="S179" s="66"/>
      <c r="T179" s="63"/>
      <c r="U179" s="63"/>
    </row>
    <row r="180" spans="1:21" s="60" customFormat="1" hidden="1" outlineLevel="1">
      <c r="A180" s="60" t="s">
        <v>723</v>
      </c>
      <c r="B180" s="62">
        <f>+'KY_Res by Plant Acct-P29 (Fin)'!B180+'KY_Res by Plant Acct-P29 (PA)'!B179</f>
        <v>-26444.669999999925</v>
      </c>
      <c r="C180" s="62"/>
      <c r="D180" s="62">
        <f>+'KY_Res by Plant Acct-P29 (Fin)'!D180+'KY_Res by Plant Acct-P29 (PA)'!D179</f>
        <v>-2815.29</v>
      </c>
      <c r="E180" s="62"/>
      <c r="F180" s="141">
        <f>+'KY_Res by Plant Acct-P29 (Fin)'!F180+'KY_Res by Plant Acct-P29 (PA)'!F179</f>
        <v>0</v>
      </c>
      <c r="G180" s="141"/>
      <c r="H180" s="141">
        <f>+'KY_Res by Plant Acct-P29 (Fin)'!H180+'KY_Res by Plant Acct-P29 (PA)'!H179</f>
        <v>0</v>
      </c>
      <c r="I180" s="141"/>
      <c r="J180" s="141">
        <f>+'KY_Res by Plant Acct-P29 (Fin)'!J180+'KY_Res by Plant Acct-P29 (PA)'!J179</f>
        <v>0</v>
      </c>
      <c r="K180" s="141"/>
      <c r="L180" s="141">
        <f>+'KY_Res by Plant Acct-P29 (Fin)'!L180+'KY_Res by Plant Acct-P29 (PA)'!L179</f>
        <v>0</v>
      </c>
      <c r="M180" s="62"/>
      <c r="N180" s="62">
        <f>+'KY_Res by Plant Acct-P29 (Fin)'!N180+'KY_Res by Plant Acct-P29 (PA)'!N179</f>
        <v>0</v>
      </c>
      <c r="O180" s="62"/>
      <c r="P180" s="62">
        <f>+'KY_Res by Plant Acct-P29 (Fin)'!P180+'KY_Res by Plant Acct-P29 (PA)'!P179</f>
        <v>0</v>
      </c>
      <c r="Q180" s="62"/>
      <c r="R180" s="62">
        <f t="shared" si="16"/>
        <v>-29259.959999999926</v>
      </c>
      <c r="S180" s="66"/>
      <c r="T180" s="63"/>
      <c r="U180" s="63"/>
    </row>
    <row r="181" spans="1:21" s="10" customFormat="1" collapsed="1">
      <c r="A181" s="10" t="s">
        <v>799</v>
      </c>
      <c r="B181" s="65">
        <f>+'KY_Res by Plant Acct-P29 (Fin)'!B181+'KY_Res by Plant Acct-P29 (PA)'!B180</f>
        <v>-14998688.560000002</v>
      </c>
      <c r="C181" s="65"/>
      <c r="D181" s="65">
        <f>+'KY_Res by Plant Acct-P29 (Fin)'!D181+'KY_Res by Plant Acct-P29 (PA)'!D180</f>
        <v>-1359315.78</v>
      </c>
      <c r="E181" s="65"/>
      <c r="F181" s="142">
        <f>+'KY_Res by Plant Acct-P29 (Fin)'!F181+'KY_Res by Plant Acct-P29 (PA)'!F180</f>
        <v>5357.2900000000009</v>
      </c>
      <c r="G181" s="142"/>
      <c r="H181" s="142">
        <f>+'KY_Res by Plant Acct-P29 (Fin)'!H181+'KY_Res by Plant Acct-P29 (PA)'!H180</f>
        <v>729137.29999999993</v>
      </c>
      <c r="I181" s="142"/>
      <c r="J181" s="142">
        <f>+'KY_Res by Plant Acct-P29 (Fin)'!J181+'KY_Res by Plant Acct-P29 (PA)'!J180</f>
        <v>0</v>
      </c>
      <c r="K181" s="142"/>
      <c r="L181" s="142">
        <f>+'KY_Res by Plant Acct-P29 (Fin)'!L181+'KY_Res by Plant Acct-P29 (PA)'!L180</f>
        <v>149638.86000000002</v>
      </c>
      <c r="M181" s="65"/>
      <c r="N181" s="65">
        <f>+'KY_Res by Plant Acct-P29 (Fin)'!N181+'KY_Res by Plant Acct-P29 (PA)'!N180</f>
        <v>0</v>
      </c>
      <c r="O181" s="65"/>
      <c r="P181" s="65">
        <f>+'KY_Res by Plant Acct-P29 (Fin)'!P181+'KY_Res by Plant Acct-P29 (PA)'!P180</f>
        <v>0</v>
      </c>
      <c r="Q181" s="65"/>
      <c r="R181" s="65">
        <f>SUM(R155:R180)</f>
        <v>-15473870.890000002</v>
      </c>
      <c r="S181" s="27"/>
      <c r="T181" s="24"/>
      <c r="U181" s="24"/>
    </row>
    <row r="182" spans="1:21" s="60" customFormat="1" hidden="1" outlineLevel="1">
      <c r="A182" s="60" t="s">
        <v>300</v>
      </c>
      <c r="B182" s="62">
        <f>+'KY_Res by Plant Acct-P29 (Fin)'!B182+'KY_Res by Plant Acct-P29 (PA)'!B181</f>
        <v>0</v>
      </c>
      <c r="C182" s="62"/>
      <c r="D182" s="62">
        <f>+'KY_Res by Plant Acct-P29 (Fin)'!D182+'KY_Res by Plant Acct-P29 (PA)'!D181</f>
        <v>0</v>
      </c>
      <c r="E182" s="62"/>
      <c r="F182" s="141">
        <f>+'KY_Res by Plant Acct-P29 (Fin)'!F182+'KY_Res by Plant Acct-P29 (PA)'!F181</f>
        <v>0</v>
      </c>
      <c r="G182" s="141"/>
      <c r="H182" s="141">
        <f>+'KY_Res by Plant Acct-P29 (Fin)'!H182+'KY_Res by Plant Acct-P29 (PA)'!H181</f>
        <v>0</v>
      </c>
      <c r="I182" s="141"/>
      <c r="J182" s="141">
        <f>+'KY_Res by Plant Acct-P29 (Fin)'!J182+'KY_Res by Plant Acct-P29 (PA)'!J181</f>
        <v>0</v>
      </c>
      <c r="K182" s="141"/>
      <c r="L182" s="141">
        <f>+'KY_Res by Plant Acct-P29 (Fin)'!L182+'KY_Res by Plant Acct-P29 (PA)'!L181</f>
        <v>0</v>
      </c>
      <c r="M182" s="62"/>
      <c r="N182" s="62">
        <f>+'KY_Res by Plant Acct-P29 (Fin)'!N182+'KY_Res by Plant Acct-P29 (PA)'!N181</f>
        <v>0</v>
      </c>
      <c r="O182" s="62"/>
      <c r="P182" s="62">
        <f>+'KY_Res by Plant Acct-P29 (Fin)'!P182+'KY_Res by Plant Acct-P29 (PA)'!P181</f>
        <v>0</v>
      </c>
      <c r="Q182" s="62"/>
      <c r="R182" s="62">
        <f t="shared" ref="R182:R246" si="17">SUM(B182:P182)</f>
        <v>0</v>
      </c>
      <c r="S182" s="66"/>
      <c r="T182" s="63"/>
      <c r="U182" s="63"/>
    </row>
    <row r="183" spans="1:21" s="60" customFormat="1" hidden="1" outlineLevel="1">
      <c r="A183" s="60" t="s">
        <v>725</v>
      </c>
      <c r="B183" s="62">
        <f>+'KY_Res by Plant Acct-P29 (Fin)'!B183+'KY_Res by Plant Acct-P29 (PA)'!B182</f>
        <v>-55140.120000000112</v>
      </c>
      <c r="C183" s="62"/>
      <c r="D183" s="62">
        <f>+'KY_Res by Plant Acct-P29 (Fin)'!D183+'KY_Res by Plant Acct-P29 (PA)'!D182</f>
        <v>-11815.739999999998</v>
      </c>
      <c r="E183" s="62"/>
      <c r="F183" s="141">
        <f>+'KY_Res by Plant Acct-P29 (Fin)'!F183+'KY_Res by Plant Acct-P29 (PA)'!F182</f>
        <v>0</v>
      </c>
      <c r="G183" s="141"/>
      <c r="H183" s="141">
        <f>+'KY_Res by Plant Acct-P29 (Fin)'!H183+'KY_Res by Plant Acct-P29 (PA)'!H182</f>
        <v>0</v>
      </c>
      <c r="I183" s="141"/>
      <c r="J183" s="141">
        <f>+'KY_Res by Plant Acct-P29 (Fin)'!J183+'KY_Res by Plant Acct-P29 (PA)'!J182</f>
        <v>0</v>
      </c>
      <c r="K183" s="141"/>
      <c r="L183" s="141">
        <f>+'KY_Res by Plant Acct-P29 (Fin)'!L183+'KY_Res by Plant Acct-P29 (PA)'!L182</f>
        <v>0</v>
      </c>
      <c r="M183" s="62"/>
      <c r="N183" s="62">
        <f>+'KY_Res by Plant Acct-P29 (Fin)'!N183+'KY_Res by Plant Acct-P29 (PA)'!N182</f>
        <v>0</v>
      </c>
      <c r="O183" s="62"/>
      <c r="P183" s="62">
        <f>+'KY_Res by Plant Acct-P29 (Fin)'!P183+'KY_Res by Plant Acct-P29 (PA)'!P182</f>
        <v>0</v>
      </c>
      <c r="Q183" s="62"/>
      <c r="R183" s="62">
        <f t="shared" si="17"/>
        <v>-66955.860000000102</v>
      </c>
      <c r="S183" s="66"/>
      <c r="T183" s="63"/>
      <c r="U183" s="63"/>
    </row>
    <row r="184" spans="1:21" s="60" customFormat="1" hidden="1" outlineLevel="1">
      <c r="A184" s="60" t="s">
        <v>726</v>
      </c>
      <c r="B184" s="62">
        <f>+'KY_Res by Plant Acct-P29 (Fin)'!B184+'KY_Res by Plant Acct-P29 (PA)'!B183</f>
        <v>-2301.5999999999767</v>
      </c>
      <c r="C184" s="62"/>
      <c r="D184" s="62">
        <f>+'KY_Res by Plant Acct-P29 (Fin)'!D184+'KY_Res by Plant Acct-P29 (PA)'!D183</f>
        <v>-493.2</v>
      </c>
      <c r="E184" s="62"/>
      <c r="F184" s="141">
        <f>+'KY_Res by Plant Acct-P29 (Fin)'!F184+'KY_Res by Plant Acct-P29 (PA)'!F183</f>
        <v>0</v>
      </c>
      <c r="G184" s="141"/>
      <c r="H184" s="141">
        <f>+'KY_Res by Plant Acct-P29 (Fin)'!H184+'KY_Res by Plant Acct-P29 (PA)'!H183</f>
        <v>0</v>
      </c>
      <c r="I184" s="141"/>
      <c r="J184" s="141">
        <f>+'KY_Res by Plant Acct-P29 (Fin)'!J184+'KY_Res by Plant Acct-P29 (PA)'!J183</f>
        <v>0</v>
      </c>
      <c r="K184" s="141"/>
      <c r="L184" s="141">
        <f>+'KY_Res by Plant Acct-P29 (Fin)'!L184+'KY_Res by Plant Acct-P29 (PA)'!L183</f>
        <v>0</v>
      </c>
      <c r="M184" s="62"/>
      <c r="N184" s="62">
        <f>+'KY_Res by Plant Acct-P29 (Fin)'!N184+'KY_Res by Plant Acct-P29 (PA)'!N183</f>
        <v>0</v>
      </c>
      <c r="O184" s="62"/>
      <c r="P184" s="62">
        <f>+'KY_Res by Plant Acct-P29 (Fin)'!P184+'KY_Res by Plant Acct-P29 (PA)'!P183</f>
        <v>0</v>
      </c>
      <c r="Q184" s="62"/>
      <c r="R184" s="62">
        <f t="shared" si="17"/>
        <v>-2794.7999999999765</v>
      </c>
      <c r="S184" s="66"/>
      <c r="T184" s="63"/>
      <c r="U184" s="63"/>
    </row>
    <row r="185" spans="1:21" s="60" customFormat="1" hidden="1" outlineLevel="1">
      <c r="A185" s="60" t="s">
        <v>727</v>
      </c>
      <c r="B185" s="62">
        <f>+'KY_Res by Plant Acct-P29 (Fin)'!B185+'KY_Res by Plant Acct-P29 (PA)'!B184</f>
        <v>199817.44999999995</v>
      </c>
      <c r="C185" s="62"/>
      <c r="D185" s="62">
        <f>+'KY_Res by Plant Acct-P29 (Fin)'!D185+'KY_Res by Plant Acct-P29 (PA)'!D184</f>
        <v>0</v>
      </c>
      <c r="E185" s="62"/>
      <c r="F185" s="62">
        <f>+'KY_Res by Plant Acct-P29 (Fin)'!F185+'KY_Res by Plant Acct-P29 (PA)'!F184</f>
        <v>0</v>
      </c>
      <c r="G185" s="62"/>
      <c r="H185" s="62">
        <f>+'KY_Res by Plant Acct-P29 (Fin)'!H185+'KY_Res by Plant Acct-P29 (PA)'!H184</f>
        <v>-731499.23</v>
      </c>
      <c r="I185" s="62"/>
      <c r="J185" s="62">
        <f>+'KY_Res by Plant Acct-P29 (Fin)'!J185+'KY_Res by Plant Acct-P29 (PA)'!J184</f>
        <v>0</v>
      </c>
      <c r="K185" s="62"/>
      <c r="L185" s="62">
        <f>+'KY_Res by Plant Acct-P29 (Fin)'!L185+'KY_Res by Plant Acct-P29 (PA)'!L184</f>
        <v>0</v>
      </c>
      <c r="M185" s="62"/>
      <c r="N185" s="62">
        <f>+'KY_Res by Plant Acct-P29 (Fin)'!N185+'KY_Res by Plant Acct-P29 (PA)'!N184</f>
        <v>0</v>
      </c>
      <c r="O185" s="62"/>
      <c r="P185" s="62">
        <f>+'KY_Res by Plant Acct-P29 (Fin)'!P185+'KY_Res by Plant Acct-P29 (PA)'!P184</f>
        <v>0</v>
      </c>
      <c r="Q185" s="62"/>
      <c r="R185" s="62">
        <f t="shared" si="17"/>
        <v>-531681.78</v>
      </c>
      <c r="S185" s="66"/>
      <c r="T185" s="63"/>
      <c r="U185" s="63"/>
    </row>
    <row r="186" spans="1:21" s="60" customFormat="1" hidden="1" outlineLevel="1">
      <c r="A186" s="60" t="s">
        <v>728</v>
      </c>
      <c r="B186" s="62">
        <f>+'KY_Res by Plant Acct-P29 (Fin)'!B186+'KY_Res by Plant Acct-P29 (PA)'!B185</f>
        <v>231934.12999999989</v>
      </c>
      <c r="C186" s="62"/>
      <c r="D186" s="62">
        <f>+'KY_Res by Plant Acct-P29 (Fin)'!D186+'KY_Res by Plant Acct-P29 (PA)'!D185</f>
        <v>-35363.85</v>
      </c>
      <c r="E186" s="62"/>
      <c r="F186" s="62">
        <f>+'KY_Res by Plant Acct-P29 (Fin)'!F186+'KY_Res by Plant Acct-P29 (PA)'!F185</f>
        <v>0</v>
      </c>
      <c r="G186" s="62"/>
      <c r="H186" s="62">
        <f>+'KY_Res by Plant Acct-P29 (Fin)'!H186+'KY_Res by Plant Acct-P29 (PA)'!H185</f>
        <v>0</v>
      </c>
      <c r="I186" s="62"/>
      <c r="J186" s="62">
        <f>+'KY_Res by Plant Acct-P29 (Fin)'!J186+'KY_Res by Plant Acct-P29 (PA)'!J185</f>
        <v>0</v>
      </c>
      <c r="K186" s="62"/>
      <c r="L186" s="62">
        <f>+'KY_Res by Plant Acct-P29 (Fin)'!L186+'KY_Res by Plant Acct-P29 (PA)'!L185</f>
        <v>0</v>
      </c>
      <c r="M186" s="62"/>
      <c r="N186" s="62">
        <f>+'KY_Res by Plant Acct-P29 (Fin)'!N186+'KY_Res by Plant Acct-P29 (PA)'!N185</f>
        <v>0</v>
      </c>
      <c r="O186" s="62"/>
      <c r="P186" s="62">
        <f>+'KY_Res by Plant Acct-P29 (Fin)'!P186+'KY_Res by Plant Acct-P29 (PA)'!P185</f>
        <v>0</v>
      </c>
      <c r="Q186" s="62"/>
      <c r="R186" s="62">
        <f t="shared" si="17"/>
        <v>196570.27999999988</v>
      </c>
      <c r="S186" s="66"/>
      <c r="T186" s="63"/>
      <c r="U186" s="63"/>
    </row>
    <row r="187" spans="1:21" s="60" customFormat="1" hidden="1" outlineLevel="1">
      <c r="A187" s="60" t="s">
        <v>729</v>
      </c>
      <c r="B187" s="62">
        <f>+'KY_Res by Plant Acct-P29 (Fin)'!B187+'KY_Res by Plant Acct-P29 (PA)'!B186</f>
        <v>-97846.419999999925</v>
      </c>
      <c r="C187" s="62"/>
      <c r="D187" s="62">
        <f>+'KY_Res by Plant Acct-P29 (Fin)'!D187+'KY_Res by Plant Acct-P29 (PA)'!D186</f>
        <v>-20967.090000000004</v>
      </c>
      <c r="E187" s="62"/>
      <c r="F187" s="62">
        <f>+'KY_Res by Plant Acct-P29 (Fin)'!F187+'KY_Res by Plant Acct-P29 (PA)'!F186</f>
        <v>0</v>
      </c>
      <c r="G187" s="62"/>
      <c r="H187" s="62">
        <f>+'KY_Res by Plant Acct-P29 (Fin)'!H187+'KY_Res by Plant Acct-P29 (PA)'!H186</f>
        <v>0</v>
      </c>
      <c r="I187" s="62"/>
      <c r="J187" s="62">
        <f>+'KY_Res by Plant Acct-P29 (Fin)'!J187+'KY_Res by Plant Acct-P29 (PA)'!J186</f>
        <v>0</v>
      </c>
      <c r="K187" s="62"/>
      <c r="L187" s="62">
        <f>+'KY_Res by Plant Acct-P29 (Fin)'!L187+'KY_Res by Plant Acct-P29 (PA)'!L186</f>
        <v>0</v>
      </c>
      <c r="M187" s="62"/>
      <c r="N187" s="62">
        <f>+'KY_Res by Plant Acct-P29 (Fin)'!N187+'KY_Res by Plant Acct-P29 (PA)'!N186</f>
        <v>0</v>
      </c>
      <c r="O187" s="62"/>
      <c r="P187" s="62">
        <f>+'KY_Res by Plant Acct-P29 (Fin)'!P187+'KY_Res by Plant Acct-P29 (PA)'!P186</f>
        <v>0</v>
      </c>
      <c r="Q187" s="62"/>
      <c r="R187" s="62">
        <f t="shared" si="17"/>
        <v>-118813.50999999992</v>
      </c>
      <c r="S187" s="66"/>
      <c r="T187" s="63"/>
      <c r="U187" s="63"/>
    </row>
    <row r="188" spans="1:21" s="60" customFormat="1" hidden="1" outlineLevel="1">
      <c r="A188" s="332" t="s">
        <v>1452</v>
      </c>
      <c r="B188" s="62">
        <f>+'KY_Res by Plant Acct-P29 (Fin)'!B188+'KY_Res by Plant Acct-P29 (PA)'!B187</f>
        <v>-8909.7899999999991</v>
      </c>
      <c r="C188" s="62"/>
      <c r="D188" s="62">
        <f>+'KY_Res by Plant Acct-P29 (Fin)'!D188+'KY_Res by Plant Acct-P29 (PA)'!D187</f>
        <v>-53458.710000000014</v>
      </c>
      <c r="E188" s="62"/>
      <c r="F188" s="62">
        <f>+'KY_Res by Plant Acct-P29 (Fin)'!F188+'KY_Res by Plant Acct-P29 (PA)'!F187</f>
        <v>0</v>
      </c>
      <c r="G188" s="62"/>
      <c r="H188" s="62">
        <f>+'KY_Res by Plant Acct-P29 (Fin)'!H188+'KY_Res by Plant Acct-P29 (PA)'!H187</f>
        <v>0</v>
      </c>
      <c r="I188" s="62"/>
      <c r="J188" s="62">
        <f>+'KY_Res by Plant Acct-P29 (Fin)'!J188+'KY_Res by Plant Acct-P29 (PA)'!J187</f>
        <v>0</v>
      </c>
      <c r="K188" s="62"/>
      <c r="L188" s="62">
        <f>+'KY_Res by Plant Acct-P29 (Fin)'!L188+'KY_Res by Plant Acct-P29 (PA)'!L187</f>
        <v>0</v>
      </c>
      <c r="M188" s="62"/>
      <c r="N188" s="62">
        <f>+'KY_Res by Plant Acct-P29 (Fin)'!N188+'KY_Res by Plant Acct-P29 (PA)'!N187</f>
        <v>0</v>
      </c>
      <c r="O188" s="62"/>
      <c r="P188" s="62">
        <f>+'KY_Res by Plant Acct-P29 (Fin)'!P188+'KY_Res by Plant Acct-P29 (PA)'!P187</f>
        <v>0</v>
      </c>
      <c r="Q188" s="62"/>
      <c r="R188" s="62">
        <f t="shared" ref="R188" si="18">SUM(B188:P188)</f>
        <v>-62368.500000000015</v>
      </c>
      <c r="S188" s="66"/>
      <c r="T188" s="63"/>
      <c r="U188" s="63"/>
    </row>
    <row r="189" spans="1:21" s="10" customFormat="1" collapsed="1">
      <c r="A189" s="10" t="s">
        <v>800</v>
      </c>
      <c r="B189" s="324">
        <f>SUM(B182:B188)</f>
        <v>267553.64999999985</v>
      </c>
      <c r="C189" s="65"/>
      <c r="D189" s="65">
        <f>SUM(D182:D188)</f>
        <v>-122098.59000000003</v>
      </c>
      <c r="E189" s="65"/>
      <c r="F189" s="324">
        <f>SUM(F182:F188)</f>
        <v>0</v>
      </c>
      <c r="G189" s="65"/>
      <c r="H189" s="324">
        <f>SUM(H182:H188)</f>
        <v>-731499.23</v>
      </c>
      <c r="I189" s="65"/>
      <c r="J189" s="324">
        <f>SUM(J182:J188)</f>
        <v>0</v>
      </c>
      <c r="K189" s="65"/>
      <c r="L189" s="324">
        <f>SUM(L182:L188)</f>
        <v>0</v>
      </c>
      <c r="M189" s="65"/>
      <c r="N189" s="324">
        <f>SUM(N182:N188)</f>
        <v>0</v>
      </c>
      <c r="O189" s="65"/>
      <c r="P189" s="324">
        <f>SUM(P182:P188)</f>
        <v>0</v>
      </c>
      <c r="Q189" s="65"/>
      <c r="R189" s="324">
        <f>SUM(R182:R188)</f>
        <v>-586044.17000000004</v>
      </c>
      <c r="S189" s="27"/>
      <c r="T189" s="24"/>
      <c r="U189" s="24"/>
    </row>
    <row r="190" spans="1:21" s="60" customFormat="1" hidden="1" outlineLevel="1">
      <c r="A190" s="60" t="s">
        <v>730</v>
      </c>
      <c r="B190" s="62">
        <f>+'KY_Res by Plant Acct-P29 (Fin)'!B190+'KY_Res by Plant Acct-P29 (PA)'!B189</f>
        <v>-1097.3999999999651</v>
      </c>
      <c r="C190" s="62"/>
      <c r="D190" s="62">
        <f>+'KY_Res by Plant Acct-P29 (Fin)'!D190+'KY_Res by Plant Acct-P29 (PA)'!D189</f>
        <v>0</v>
      </c>
      <c r="E190" s="62"/>
      <c r="F190" s="62">
        <f>+'KY_Res by Plant Acct-P29 (Fin)'!F190+'KY_Res by Plant Acct-P29 (PA)'!F189</f>
        <v>0</v>
      </c>
      <c r="G190" s="62"/>
      <c r="H190" s="62">
        <f>+'KY_Res by Plant Acct-P29 (Fin)'!H190+'KY_Res by Plant Acct-P29 (PA)'!H189</f>
        <v>1097.4000000000001</v>
      </c>
      <c r="I190" s="62"/>
      <c r="J190" s="62">
        <f>+'KY_Res by Plant Acct-P29 (Fin)'!J190+'KY_Res by Plant Acct-P29 (PA)'!J189</f>
        <v>0</v>
      </c>
      <c r="K190" s="62"/>
      <c r="L190" s="62">
        <f>+'KY_Res by Plant Acct-P29 (Fin)'!L190+'KY_Res by Plant Acct-P29 (PA)'!L189</f>
        <v>0</v>
      </c>
      <c r="M190" s="62"/>
      <c r="N190" s="62">
        <f>+'KY_Res by Plant Acct-P29 (Fin)'!N190+'KY_Res by Plant Acct-P29 (PA)'!N189</f>
        <v>0</v>
      </c>
      <c r="O190" s="62"/>
      <c r="P190" s="62">
        <f>+'KY_Res by Plant Acct-P29 (Fin)'!P190+'KY_Res by Plant Acct-P29 (PA)'!P189</f>
        <v>0</v>
      </c>
      <c r="Q190" s="62"/>
      <c r="R190" s="62">
        <f t="shared" si="17"/>
        <v>3.5015546018257737E-11</v>
      </c>
      <c r="S190" s="66"/>
      <c r="T190" s="63"/>
      <c r="U190" s="63"/>
    </row>
    <row r="191" spans="1:21" s="60" customFormat="1" hidden="1" outlineLevel="1">
      <c r="A191" s="60" t="s">
        <v>366</v>
      </c>
      <c r="B191" s="62">
        <f>+'KY_Res by Plant Acct-P29 (Fin)'!B191+'KY_Res by Plant Acct-P29 (PA)'!B190</f>
        <v>-1264.5300000000279</v>
      </c>
      <c r="C191" s="62"/>
      <c r="D191" s="62">
        <f>+'KY_Res by Plant Acct-P29 (Fin)'!D191+'KY_Res by Plant Acct-P29 (PA)'!D190</f>
        <v>0</v>
      </c>
      <c r="E191" s="62"/>
      <c r="F191" s="62">
        <f>+'KY_Res by Plant Acct-P29 (Fin)'!F191+'KY_Res by Plant Acct-P29 (PA)'!F190</f>
        <v>0</v>
      </c>
      <c r="G191" s="62"/>
      <c r="H191" s="62">
        <f>+'KY_Res by Plant Acct-P29 (Fin)'!H191+'KY_Res by Plant Acct-P29 (PA)'!H190</f>
        <v>1264.53</v>
      </c>
      <c r="I191" s="62"/>
      <c r="J191" s="62">
        <f>+'KY_Res by Plant Acct-P29 (Fin)'!J191+'KY_Res by Plant Acct-P29 (PA)'!J190</f>
        <v>0</v>
      </c>
      <c r="K191" s="62"/>
      <c r="L191" s="62">
        <f>+'KY_Res by Plant Acct-P29 (Fin)'!L191+'KY_Res by Plant Acct-P29 (PA)'!L190</f>
        <v>0</v>
      </c>
      <c r="M191" s="62"/>
      <c r="N191" s="62">
        <f>+'KY_Res by Plant Acct-P29 (Fin)'!N191+'KY_Res by Plant Acct-P29 (PA)'!N190</f>
        <v>0</v>
      </c>
      <c r="O191" s="62"/>
      <c r="P191" s="62">
        <f>+'KY_Res by Plant Acct-P29 (Fin)'!P191+'KY_Res by Plant Acct-P29 (PA)'!P190</f>
        <v>0</v>
      </c>
      <c r="Q191" s="62"/>
      <c r="R191" s="62">
        <f t="shared" si="17"/>
        <v>-2.7966962079517543E-11</v>
      </c>
      <c r="S191" s="66"/>
      <c r="T191" s="63"/>
      <c r="U191" s="63"/>
    </row>
    <row r="192" spans="1:21" s="10" customFormat="1" collapsed="1">
      <c r="A192" s="10" t="s">
        <v>502</v>
      </c>
      <c r="B192" s="65">
        <f>+'KY_Res by Plant Acct-P29 (Fin)'!B192+'KY_Res by Plant Acct-P29 (PA)'!B191</f>
        <v>-2361.929999999993</v>
      </c>
      <c r="C192" s="65"/>
      <c r="D192" s="65">
        <f>+'KY_Res by Plant Acct-P29 (Fin)'!D192+'KY_Res by Plant Acct-P29 (PA)'!D191</f>
        <v>0</v>
      </c>
      <c r="E192" s="65"/>
      <c r="F192" s="65">
        <f>+'KY_Res by Plant Acct-P29 (Fin)'!F192+'KY_Res by Plant Acct-P29 (PA)'!F191</f>
        <v>0</v>
      </c>
      <c r="G192" s="65"/>
      <c r="H192" s="65">
        <f>+'KY_Res by Plant Acct-P29 (Fin)'!H192+'KY_Res by Plant Acct-P29 (PA)'!H191</f>
        <v>2361.9300000000003</v>
      </c>
      <c r="I192" s="65"/>
      <c r="J192" s="65">
        <f>+'KY_Res by Plant Acct-P29 (Fin)'!J192+'KY_Res by Plant Acct-P29 (PA)'!J191</f>
        <v>0</v>
      </c>
      <c r="K192" s="65"/>
      <c r="L192" s="65">
        <f>+'KY_Res by Plant Acct-P29 (Fin)'!L192+'KY_Res by Plant Acct-P29 (PA)'!L191</f>
        <v>0</v>
      </c>
      <c r="M192" s="65"/>
      <c r="N192" s="65">
        <f>+'KY_Res by Plant Acct-P29 (Fin)'!N192+'KY_Res by Plant Acct-P29 (PA)'!N191</f>
        <v>0</v>
      </c>
      <c r="O192" s="65"/>
      <c r="P192" s="65">
        <f>+'KY_Res by Plant Acct-P29 (Fin)'!P192+'KY_Res by Plant Acct-P29 (PA)'!P191</f>
        <v>0</v>
      </c>
      <c r="Q192" s="65"/>
      <c r="R192" s="65">
        <f>SUM(R190:R191)</f>
        <v>7.0485839387401938E-12</v>
      </c>
      <c r="S192" s="27"/>
      <c r="T192" s="24"/>
      <c r="U192" s="24"/>
    </row>
    <row r="193" spans="1:21" s="60" customFormat="1" hidden="1" outlineLevel="1">
      <c r="A193" s="60" t="s">
        <v>1056</v>
      </c>
      <c r="B193" s="62">
        <f>+'KY_Res by Plant Acct-P29 (Fin)'!B193+'KY_Res by Plant Acct-P29 (PA)'!B192</f>
        <v>-4593.0300000000061</v>
      </c>
      <c r="C193" s="62"/>
      <c r="D193" s="62">
        <f>+'KY_Res by Plant Acct-P29 (Fin)'!D193+'KY_Res by Plant Acct-P29 (PA)'!D192</f>
        <v>-344.1</v>
      </c>
      <c r="E193" s="62"/>
      <c r="F193" s="62">
        <f>+'KY_Res by Plant Acct-P29 (Fin)'!F193+'KY_Res by Plant Acct-P29 (PA)'!F192</f>
        <v>0</v>
      </c>
      <c r="G193" s="62"/>
      <c r="H193" s="62">
        <f>+'KY_Res by Plant Acct-P29 (Fin)'!H193+'KY_Res by Plant Acct-P29 (PA)'!H192</f>
        <v>0</v>
      </c>
      <c r="I193" s="62"/>
      <c r="J193" s="62">
        <f>+'KY_Res by Plant Acct-P29 (Fin)'!J193+'KY_Res by Plant Acct-P29 (PA)'!J192</f>
        <v>0</v>
      </c>
      <c r="K193" s="62"/>
      <c r="L193" s="62">
        <f>+'KY_Res by Plant Acct-P29 (Fin)'!L193+'KY_Res by Plant Acct-P29 (PA)'!L192</f>
        <v>0</v>
      </c>
      <c r="M193" s="62"/>
      <c r="N193" s="62">
        <f>+'KY_Res by Plant Acct-P29 (Fin)'!N193+'KY_Res by Plant Acct-P29 (PA)'!N192</f>
        <v>0</v>
      </c>
      <c r="O193" s="62"/>
      <c r="P193" s="62">
        <f>+'KY_Res by Plant Acct-P29 (Fin)'!P193+'KY_Res by Plant Acct-P29 (PA)'!P192</f>
        <v>0</v>
      </c>
      <c r="Q193" s="62"/>
      <c r="R193" s="62">
        <f t="shared" si="17"/>
        <v>-4937.1300000000065</v>
      </c>
      <c r="S193" s="66"/>
      <c r="T193" s="63"/>
      <c r="U193" s="63"/>
    </row>
    <row r="194" spans="1:21" s="60" customFormat="1" hidden="1" outlineLevel="1">
      <c r="A194" s="60" t="s">
        <v>1057</v>
      </c>
      <c r="B194" s="62">
        <f>+'KY_Res by Plant Acct-P29 (Fin)'!B194+'KY_Res by Plant Acct-P29 (PA)'!B193</f>
        <v>-90723.949999999721</v>
      </c>
      <c r="C194" s="62"/>
      <c r="D194" s="62">
        <f>+'KY_Res by Plant Acct-P29 (Fin)'!D194+'KY_Res by Plant Acct-P29 (PA)'!D193</f>
        <v>-11788.92</v>
      </c>
      <c r="E194" s="62"/>
      <c r="F194" s="62">
        <f>+'KY_Res by Plant Acct-P29 (Fin)'!F194+'KY_Res by Plant Acct-P29 (PA)'!F193</f>
        <v>0</v>
      </c>
      <c r="G194" s="62"/>
      <c r="H194" s="62">
        <f>+'KY_Res by Plant Acct-P29 (Fin)'!H194+'KY_Res by Plant Acct-P29 (PA)'!H193</f>
        <v>0</v>
      </c>
      <c r="I194" s="62"/>
      <c r="J194" s="62">
        <f>+'KY_Res by Plant Acct-P29 (Fin)'!J194+'KY_Res by Plant Acct-P29 (PA)'!J193</f>
        <v>0</v>
      </c>
      <c r="K194" s="62"/>
      <c r="L194" s="62">
        <f>+'KY_Res by Plant Acct-P29 (Fin)'!L194+'KY_Res by Plant Acct-P29 (PA)'!L193</f>
        <v>0</v>
      </c>
      <c r="M194" s="62"/>
      <c r="N194" s="62">
        <f>+'KY_Res by Plant Acct-P29 (Fin)'!N194+'KY_Res by Plant Acct-P29 (PA)'!N193</f>
        <v>0</v>
      </c>
      <c r="O194" s="62"/>
      <c r="P194" s="62">
        <f>+'KY_Res by Plant Acct-P29 (Fin)'!P194+'KY_Res by Plant Acct-P29 (PA)'!P193</f>
        <v>0</v>
      </c>
      <c r="Q194" s="62"/>
      <c r="R194" s="62">
        <f t="shared" si="17"/>
        <v>-102512.86999999972</v>
      </c>
      <c r="S194" s="66"/>
      <c r="T194" s="63"/>
      <c r="U194" s="63"/>
    </row>
    <row r="195" spans="1:21" s="60" customFormat="1" hidden="1" outlineLevel="1">
      <c r="A195" s="60" t="s">
        <v>362</v>
      </c>
      <c r="B195" s="62">
        <f>+'KY_Res by Plant Acct-P29 (Fin)'!B195+'KY_Res by Plant Acct-P29 (PA)'!B194</f>
        <v>-87820.189999999944</v>
      </c>
      <c r="C195" s="62"/>
      <c r="D195" s="62">
        <f>+'KY_Res by Plant Acct-P29 (Fin)'!D195+'KY_Res by Plant Acct-P29 (PA)'!D194</f>
        <v>0</v>
      </c>
      <c r="E195" s="62"/>
      <c r="F195" s="62">
        <f>+'KY_Res by Plant Acct-P29 (Fin)'!F195+'KY_Res by Plant Acct-P29 (PA)'!F194</f>
        <v>0</v>
      </c>
      <c r="G195" s="62"/>
      <c r="H195" s="62">
        <f>+'KY_Res by Plant Acct-P29 (Fin)'!H195+'KY_Res by Plant Acct-P29 (PA)'!H194</f>
        <v>0</v>
      </c>
      <c r="I195" s="62"/>
      <c r="J195" s="62">
        <f>+'KY_Res by Plant Acct-P29 (Fin)'!J195+'KY_Res by Plant Acct-P29 (PA)'!J194</f>
        <v>0</v>
      </c>
      <c r="K195" s="62"/>
      <c r="L195" s="62">
        <f>+'KY_Res by Plant Acct-P29 (Fin)'!L195+'KY_Res by Plant Acct-P29 (PA)'!L194</f>
        <v>0</v>
      </c>
      <c r="M195" s="62"/>
      <c r="N195" s="62">
        <f>+'KY_Res by Plant Acct-P29 (Fin)'!N195+'KY_Res by Plant Acct-P29 (PA)'!N194</f>
        <v>0</v>
      </c>
      <c r="O195" s="62"/>
      <c r="P195" s="62">
        <f>+'KY_Res by Plant Acct-P29 (Fin)'!P195+'KY_Res by Plant Acct-P29 (PA)'!P194</f>
        <v>0</v>
      </c>
      <c r="Q195" s="62"/>
      <c r="R195" s="62">
        <f t="shared" si="17"/>
        <v>-87820.189999999944</v>
      </c>
      <c r="S195" s="66"/>
      <c r="T195" s="63"/>
      <c r="U195" s="63"/>
    </row>
    <row r="196" spans="1:21" s="60" customFormat="1" hidden="1" outlineLevel="1">
      <c r="A196" s="60" t="s">
        <v>350</v>
      </c>
      <c r="B196" s="62">
        <f>+'KY_Res by Plant Acct-P29 (Fin)'!B196+'KY_Res by Plant Acct-P29 (PA)'!B195</f>
        <v>-25425.790000000023</v>
      </c>
      <c r="C196" s="62"/>
      <c r="D196" s="62">
        <f>+'KY_Res by Plant Acct-P29 (Fin)'!D196+'KY_Res by Plant Acct-P29 (PA)'!D195</f>
        <v>0</v>
      </c>
      <c r="E196" s="62"/>
      <c r="F196" s="141">
        <f>+'KY_Res by Plant Acct-P29 (Fin)'!F196+'KY_Res by Plant Acct-P29 (PA)'!F195</f>
        <v>0</v>
      </c>
      <c r="G196" s="141"/>
      <c r="H196" s="141">
        <f>+'KY_Res by Plant Acct-P29 (Fin)'!H196+'KY_Res by Plant Acct-P29 (PA)'!H195</f>
        <v>0</v>
      </c>
      <c r="I196" s="141"/>
      <c r="J196" s="141">
        <f>+'KY_Res by Plant Acct-P29 (Fin)'!J196+'KY_Res by Plant Acct-P29 (PA)'!J195</f>
        <v>0</v>
      </c>
      <c r="K196" s="141"/>
      <c r="L196" s="141">
        <f>+'KY_Res by Plant Acct-P29 (Fin)'!L196+'KY_Res by Plant Acct-P29 (PA)'!L195</f>
        <v>0</v>
      </c>
      <c r="M196" s="62"/>
      <c r="N196" s="62">
        <f>+'KY_Res by Plant Acct-P29 (Fin)'!N196+'KY_Res by Plant Acct-P29 (PA)'!N195</f>
        <v>0</v>
      </c>
      <c r="O196" s="62"/>
      <c r="P196" s="62">
        <f>+'KY_Res by Plant Acct-P29 (Fin)'!P196+'KY_Res by Plant Acct-P29 (PA)'!P195</f>
        <v>0</v>
      </c>
      <c r="Q196" s="62"/>
      <c r="R196" s="62">
        <f t="shared" si="17"/>
        <v>-25425.790000000023</v>
      </c>
      <c r="S196" s="66"/>
      <c r="T196" s="63"/>
      <c r="U196" s="63"/>
    </row>
    <row r="197" spans="1:21" s="60" customFormat="1" hidden="1" outlineLevel="1">
      <c r="A197" s="60" t="s">
        <v>351</v>
      </c>
      <c r="B197" s="62">
        <f>+'KY_Res by Plant Acct-P29 (Fin)'!B197+'KY_Res by Plant Acct-P29 (PA)'!B196</f>
        <v>-115513.93000000017</v>
      </c>
      <c r="C197" s="62"/>
      <c r="D197" s="62">
        <f>+'KY_Res by Plant Acct-P29 (Fin)'!D197+'KY_Res by Plant Acct-P29 (PA)'!D196</f>
        <v>0</v>
      </c>
      <c r="E197" s="62"/>
      <c r="F197" s="141">
        <f>+'KY_Res by Plant Acct-P29 (Fin)'!F197+'KY_Res by Plant Acct-P29 (PA)'!F196</f>
        <v>0</v>
      </c>
      <c r="G197" s="141"/>
      <c r="H197" s="141">
        <f>+'KY_Res by Plant Acct-P29 (Fin)'!H197+'KY_Res by Plant Acct-P29 (PA)'!H196</f>
        <v>0</v>
      </c>
      <c r="I197" s="141"/>
      <c r="J197" s="141">
        <f>+'KY_Res by Plant Acct-P29 (Fin)'!J197+'KY_Res by Plant Acct-P29 (PA)'!J196</f>
        <v>0</v>
      </c>
      <c r="K197" s="141"/>
      <c r="L197" s="141">
        <f>+'KY_Res by Plant Acct-P29 (Fin)'!L197+'KY_Res by Plant Acct-P29 (PA)'!L196</f>
        <v>0</v>
      </c>
      <c r="M197" s="62"/>
      <c r="N197" s="62">
        <f>+'KY_Res by Plant Acct-P29 (Fin)'!N197+'KY_Res by Plant Acct-P29 (PA)'!N196</f>
        <v>0</v>
      </c>
      <c r="O197" s="62"/>
      <c r="P197" s="62">
        <f>+'KY_Res by Plant Acct-P29 (Fin)'!P197+'KY_Res by Plant Acct-P29 (PA)'!P196</f>
        <v>0</v>
      </c>
      <c r="Q197" s="62"/>
      <c r="R197" s="62">
        <f t="shared" si="17"/>
        <v>-115513.93000000017</v>
      </c>
      <c r="S197" s="66"/>
      <c r="T197" s="63"/>
      <c r="U197" s="63"/>
    </row>
    <row r="198" spans="1:21" s="60" customFormat="1" hidden="1" outlineLevel="1">
      <c r="A198" s="60" t="s">
        <v>353</v>
      </c>
      <c r="B198" s="62">
        <f>+'KY_Res by Plant Acct-P29 (Fin)'!B198+'KY_Res by Plant Acct-P29 (PA)'!B197</f>
        <v>-1747059.8099999987</v>
      </c>
      <c r="C198" s="62"/>
      <c r="D198" s="62">
        <f>+'KY_Res by Plant Acct-P29 (Fin)'!D198+'KY_Res by Plant Acct-P29 (PA)'!D197</f>
        <v>-210145.77</v>
      </c>
      <c r="E198" s="62"/>
      <c r="F198" s="167">
        <f>+'KY_Res by Plant Acct-P29 (Fin)'!F198+'KY_Res by Plant Acct-P29 (PA)'!F197</f>
        <v>0</v>
      </c>
      <c r="G198" s="141"/>
      <c r="H198" s="141">
        <f>+'KY_Res by Plant Acct-P29 (Fin)'!H198+'KY_Res by Plant Acct-P29 (PA)'!H197</f>
        <v>0</v>
      </c>
      <c r="I198" s="141"/>
      <c r="J198" s="141">
        <f>+'KY_Res by Plant Acct-P29 (Fin)'!J198+'KY_Res by Plant Acct-P29 (PA)'!J197</f>
        <v>0</v>
      </c>
      <c r="K198" s="141"/>
      <c r="L198" s="141">
        <f>+'KY_Res by Plant Acct-P29 (Fin)'!L198+'KY_Res by Plant Acct-P29 (PA)'!L197</f>
        <v>0</v>
      </c>
      <c r="M198" s="62"/>
      <c r="N198" s="62">
        <f>+'KY_Res by Plant Acct-P29 (Fin)'!N198+'KY_Res by Plant Acct-P29 (PA)'!N197</f>
        <v>0</v>
      </c>
      <c r="O198" s="62"/>
      <c r="P198" s="62">
        <f>+'KY_Res by Plant Acct-P29 (Fin)'!P198+'KY_Res by Plant Acct-P29 (PA)'!P197</f>
        <v>0</v>
      </c>
      <c r="Q198" s="62"/>
      <c r="R198" s="62">
        <f>SUM(B198:P198)</f>
        <v>-1957205.5799999987</v>
      </c>
      <c r="S198" s="66"/>
      <c r="T198" s="63"/>
      <c r="U198" s="63"/>
    </row>
    <row r="199" spans="1:21" s="60" customFormat="1" hidden="1" outlineLevel="1">
      <c r="A199" s="60" t="s">
        <v>354</v>
      </c>
      <c r="B199" s="62">
        <f>+'KY_Res by Plant Acct-P29 (Fin)'!B199+'KY_Res by Plant Acct-P29 (PA)'!B198</f>
        <v>-3897906.0299999975</v>
      </c>
      <c r="C199" s="62"/>
      <c r="D199" s="62">
        <f>+'KY_Res by Plant Acct-P29 (Fin)'!D199+'KY_Res by Plant Acct-P29 (PA)'!D198</f>
        <v>-286042.26</v>
      </c>
      <c r="E199" s="62"/>
      <c r="F199" s="141">
        <f>+'KY_Res by Plant Acct-P29 (Fin)'!F199+'KY_Res by Plant Acct-P29 (PA)'!F198</f>
        <v>0</v>
      </c>
      <c r="G199" s="141"/>
      <c r="H199" s="141">
        <f>+'KY_Res by Plant Acct-P29 (Fin)'!H199+'KY_Res by Plant Acct-P29 (PA)'!H198</f>
        <v>0</v>
      </c>
      <c r="I199" s="141"/>
      <c r="J199" s="141">
        <f>+'KY_Res by Plant Acct-P29 (Fin)'!J199+'KY_Res by Plant Acct-P29 (PA)'!J198</f>
        <v>0</v>
      </c>
      <c r="K199" s="141"/>
      <c r="L199" s="141">
        <f>+'KY_Res by Plant Acct-P29 (Fin)'!L199+'KY_Res by Plant Acct-P29 (PA)'!L198</f>
        <v>0</v>
      </c>
      <c r="M199" s="62"/>
      <c r="N199" s="62">
        <f>+'KY_Res by Plant Acct-P29 (Fin)'!N199+'KY_Res by Plant Acct-P29 (PA)'!N198</f>
        <v>0</v>
      </c>
      <c r="O199" s="62"/>
      <c r="P199" s="62">
        <f>+'KY_Res by Plant Acct-P29 (Fin)'!P199+'KY_Res by Plant Acct-P29 (PA)'!P198</f>
        <v>0</v>
      </c>
      <c r="Q199" s="62"/>
      <c r="R199" s="62">
        <f>SUM(B199:P199)</f>
        <v>-4183948.2899999972</v>
      </c>
      <c r="S199" s="66"/>
      <c r="T199" s="63"/>
      <c r="U199" s="63"/>
    </row>
    <row r="200" spans="1:21" s="60" customFormat="1" hidden="1" outlineLevel="1">
      <c r="A200" s="60" t="s">
        <v>1405</v>
      </c>
      <c r="B200" s="62">
        <f>+'KY_Res by Plant Acct-P29 (Fin)'!B200+'KY_Res by Plant Acct-P29 (PA)'!B199</f>
        <v>-3683990.2400000021</v>
      </c>
      <c r="C200" s="62"/>
      <c r="D200" s="62">
        <f>+'KY_Res by Plant Acct-P29 (Fin)'!D200+'KY_Res by Plant Acct-P29 (PA)'!D199</f>
        <v>-458297.26</v>
      </c>
      <c r="E200" s="62"/>
      <c r="F200" s="141">
        <f>+'KY_Res by Plant Acct-P29 (Fin)'!F200+'KY_Res by Plant Acct-P29 (PA)'!F199</f>
        <v>0</v>
      </c>
      <c r="G200" s="141"/>
      <c r="H200" s="141">
        <f>+'KY_Res by Plant Acct-P29 (Fin)'!H200+'KY_Res by Plant Acct-P29 (PA)'!H199</f>
        <v>0</v>
      </c>
      <c r="I200" s="141"/>
      <c r="J200" s="141">
        <f>+'KY_Res by Plant Acct-P29 (Fin)'!J200+'KY_Res by Plant Acct-P29 (PA)'!J199</f>
        <v>0</v>
      </c>
      <c r="K200" s="141"/>
      <c r="L200" s="141">
        <f>+'KY_Res by Plant Acct-P29 (Fin)'!L200+'KY_Res by Plant Acct-P29 (PA)'!L199</f>
        <v>0</v>
      </c>
      <c r="M200" s="62"/>
      <c r="N200" s="62">
        <f>+'KY_Res by Plant Acct-P29 (Fin)'!N200+'KY_Res by Plant Acct-P29 (PA)'!N199</f>
        <v>0</v>
      </c>
      <c r="O200" s="62"/>
      <c r="P200" s="62">
        <f>+'KY_Res by Plant Acct-P29 (Fin)'!P200+'KY_Res by Plant Acct-P29 (PA)'!P199</f>
        <v>0</v>
      </c>
      <c r="Q200" s="62"/>
      <c r="R200" s="62">
        <f t="shared" si="17"/>
        <v>-4142287.5000000019</v>
      </c>
      <c r="S200" s="66"/>
      <c r="T200" s="63"/>
      <c r="U200" s="63"/>
    </row>
    <row r="201" spans="1:21" s="60" customFormat="1" hidden="1" outlineLevel="1">
      <c r="A201" s="60" t="s">
        <v>1406</v>
      </c>
      <c r="B201" s="62">
        <f>+'KY_Res by Plant Acct-P29 (Fin)'!B201+'KY_Res by Plant Acct-P29 (PA)'!B200</f>
        <v>-8217.1499999999978</v>
      </c>
      <c r="C201" s="62"/>
      <c r="D201" s="62">
        <f>+'KY_Res by Plant Acct-P29 (Fin)'!D201+'KY_Res by Plant Acct-P29 (PA)'!D200</f>
        <v>-2535.54</v>
      </c>
      <c r="E201" s="62"/>
      <c r="F201" s="141">
        <f>+'KY_Res by Plant Acct-P29 (Fin)'!F201+'KY_Res by Plant Acct-P29 (PA)'!F200</f>
        <v>0</v>
      </c>
      <c r="G201" s="141"/>
      <c r="H201" s="141">
        <f>+'KY_Res by Plant Acct-P29 (Fin)'!H201+'KY_Res by Plant Acct-P29 (PA)'!H200</f>
        <v>0</v>
      </c>
      <c r="I201" s="141"/>
      <c r="J201" s="141">
        <f>+'KY_Res by Plant Acct-P29 (Fin)'!J201+'KY_Res by Plant Acct-P29 (PA)'!J200</f>
        <v>0</v>
      </c>
      <c r="K201" s="141"/>
      <c r="L201" s="141">
        <f>+'KY_Res by Plant Acct-P29 (Fin)'!L201+'KY_Res by Plant Acct-P29 (PA)'!L200</f>
        <v>0</v>
      </c>
      <c r="M201" s="62"/>
      <c r="N201" s="62">
        <f>+'KY_Res by Plant Acct-P29 (Fin)'!N201+'KY_Res by Plant Acct-P29 (PA)'!N200</f>
        <v>0</v>
      </c>
      <c r="O201" s="62"/>
      <c r="P201" s="62">
        <f>+'KY_Res by Plant Acct-P29 (Fin)'!P201+'KY_Res by Plant Acct-P29 (PA)'!P200</f>
        <v>0</v>
      </c>
      <c r="Q201" s="62"/>
      <c r="R201" s="62">
        <f t="shared" si="17"/>
        <v>-10752.689999999999</v>
      </c>
      <c r="S201" s="66"/>
      <c r="T201" s="63"/>
      <c r="U201" s="63"/>
    </row>
    <row r="202" spans="1:21" s="60" customFormat="1" hidden="1" outlineLevel="1">
      <c r="A202" s="60" t="s">
        <v>1407</v>
      </c>
      <c r="B202" s="62">
        <f>+'KY_Res by Plant Acct-P29 (Fin)'!B202+'KY_Res by Plant Acct-P29 (PA)'!B201</f>
        <v>-3215676.9799999967</v>
      </c>
      <c r="C202" s="62"/>
      <c r="D202" s="62">
        <f>+'KY_Res by Plant Acct-P29 (Fin)'!D202+'KY_Res by Plant Acct-P29 (PA)'!D201</f>
        <v>-620575.43000000005</v>
      </c>
      <c r="E202" s="62"/>
      <c r="F202" s="141">
        <f>+'KY_Res by Plant Acct-P29 (Fin)'!F202+'KY_Res by Plant Acct-P29 (PA)'!F201</f>
        <v>67638.51999999999</v>
      </c>
      <c r="G202" s="141"/>
      <c r="H202" s="141">
        <f>+'KY_Res by Plant Acct-P29 (Fin)'!H202+'KY_Res by Plant Acct-P29 (PA)'!H201</f>
        <v>0</v>
      </c>
      <c r="I202" s="141"/>
      <c r="J202" s="141">
        <f>+'KY_Res by Plant Acct-P29 (Fin)'!J202+'KY_Res by Plant Acct-P29 (PA)'!J201</f>
        <v>0</v>
      </c>
      <c r="K202" s="141"/>
      <c r="L202" s="141">
        <f>+'KY_Res by Plant Acct-P29 (Fin)'!L202+'KY_Res by Plant Acct-P29 (PA)'!L201</f>
        <v>34151.4</v>
      </c>
      <c r="M202" s="62"/>
      <c r="N202" s="62">
        <f>+'KY_Res by Plant Acct-P29 (Fin)'!N202+'KY_Res by Plant Acct-P29 (PA)'!N201</f>
        <v>0</v>
      </c>
      <c r="O202" s="62"/>
      <c r="P202" s="62">
        <f>+'KY_Res by Plant Acct-P29 (Fin)'!P202+'KY_Res by Plant Acct-P29 (PA)'!P201</f>
        <v>0</v>
      </c>
      <c r="Q202" s="62"/>
      <c r="R202" s="62">
        <f t="shared" si="17"/>
        <v>-3734462.489999997</v>
      </c>
      <c r="S202" s="66"/>
      <c r="T202" s="63"/>
      <c r="U202" s="63"/>
    </row>
    <row r="203" spans="1:21" s="60" customFormat="1" hidden="1" outlineLevel="1">
      <c r="A203" s="60" t="s">
        <v>1408</v>
      </c>
      <c r="B203" s="62">
        <f>+'KY_Res by Plant Acct-P29 (Fin)'!B203+'KY_Res by Plant Acct-P29 (PA)'!B202</f>
        <v>-8119.0699999999988</v>
      </c>
      <c r="C203" s="62"/>
      <c r="D203" s="62">
        <f>+'KY_Res by Plant Acct-P29 (Fin)'!D203+'KY_Res by Plant Acct-P29 (PA)'!D202</f>
        <v>-2634.69</v>
      </c>
      <c r="E203" s="62"/>
      <c r="F203" s="141">
        <f>+'KY_Res by Plant Acct-P29 (Fin)'!F203+'KY_Res by Plant Acct-P29 (PA)'!F202</f>
        <v>0</v>
      </c>
      <c r="G203" s="141"/>
      <c r="H203" s="141">
        <f>+'KY_Res by Plant Acct-P29 (Fin)'!H203+'KY_Res by Plant Acct-P29 (PA)'!H202</f>
        <v>0</v>
      </c>
      <c r="I203" s="141"/>
      <c r="J203" s="141">
        <f>+'KY_Res by Plant Acct-P29 (Fin)'!J203+'KY_Res by Plant Acct-P29 (PA)'!J202</f>
        <v>0</v>
      </c>
      <c r="K203" s="141"/>
      <c r="L203" s="141">
        <f>+'KY_Res by Plant Acct-P29 (Fin)'!L203+'KY_Res by Plant Acct-P29 (PA)'!L202</f>
        <v>0</v>
      </c>
      <c r="M203" s="62"/>
      <c r="N203" s="62">
        <f>+'KY_Res by Plant Acct-P29 (Fin)'!N203+'KY_Res by Plant Acct-P29 (PA)'!N202</f>
        <v>0</v>
      </c>
      <c r="O203" s="62"/>
      <c r="P203" s="62">
        <f>+'KY_Res by Plant Acct-P29 (Fin)'!P203+'KY_Res by Plant Acct-P29 (PA)'!P202</f>
        <v>0</v>
      </c>
      <c r="Q203" s="62"/>
      <c r="R203" s="62">
        <f t="shared" si="17"/>
        <v>-10753.759999999998</v>
      </c>
      <c r="S203" s="66"/>
      <c r="T203" s="63"/>
      <c r="U203" s="63"/>
    </row>
    <row r="204" spans="1:21" s="60" customFormat="1" hidden="1" outlineLevel="1">
      <c r="A204" s="60" t="s">
        <v>1409</v>
      </c>
      <c r="B204" s="62">
        <f>+'KY_Res by Plant Acct-P29 (Fin)'!B204+'KY_Res by Plant Acct-P29 (PA)'!B203</f>
        <v>-3510799.7599999942</v>
      </c>
      <c r="C204" s="62"/>
      <c r="D204" s="62">
        <f>+'KY_Res by Plant Acct-P29 (Fin)'!D204+'KY_Res by Plant Acct-P29 (PA)'!D203</f>
        <v>-714687.37</v>
      </c>
      <c r="E204" s="62"/>
      <c r="F204" s="141">
        <f>+'KY_Res by Plant Acct-P29 (Fin)'!F204+'KY_Res by Plant Acct-P29 (PA)'!F203</f>
        <v>117472.45000000001</v>
      </c>
      <c r="G204" s="141"/>
      <c r="H204" s="141">
        <f>+'KY_Res by Plant Acct-P29 (Fin)'!H204+'KY_Res by Plant Acct-P29 (PA)'!H203</f>
        <v>0</v>
      </c>
      <c r="I204" s="141"/>
      <c r="J204" s="141">
        <f>+'KY_Res by Plant Acct-P29 (Fin)'!J204+'KY_Res by Plant Acct-P29 (PA)'!J203</f>
        <v>0</v>
      </c>
      <c r="K204" s="141"/>
      <c r="L204" s="141">
        <f>+'KY_Res by Plant Acct-P29 (Fin)'!L204+'KY_Res by Plant Acct-P29 (PA)'!L203</f>
        <v>11022.78</v>
      </c>
      <c r="M204" s="62"/>
      <c r="N204" s="62">
        <f>+'KY_Res by Plant Acct-P29 (Fin)'!N204+'KY_Res by Plant Acct-P29 (PA)'!N203</f>
        <v>0</v>
      </c>
      <c r="O204" s="62"/>
      <c r="P204" s="62">
        <f>+'KY_Res by Plant Acct-P29 (Fin)'!P204+'KY_Res by Plant Acct-P29 (PA)'!P203</f>
        <v>0</v>
      </c>
      <c r="Q204" s="62"/>
      <c r="R204" s="62">
        <f t="shared" si="17"/>
        <v>-4096991.8999999943</v>
      </c>
      <c r="S204" s="66"/>
      <c r="T204" s="63"/>
      <c r="U204" s="63"/>
    </row>
    <row r="205" spans="1:21" s="60" customFormat="1" hidden="1" outlineLevel="1">
      <c r="A205" s="60" t="s">
        <v>1410</v>
      </c>
      <c r="B205" s="62">
        <f>+'KY_Res by Plant Acct-P29 (Fin)'!B205+'KY_Res by Plant Acct-P29 (PA)'!B204</f>
        <v>-9098.7899999999991</v>
      </c>
      <c r="C205" s="62"/>
      <c r="D205" s="62">
        <f>+'KY_Res by Plant Acct-P29 (Fin)'!D205+'KY_Res by Plant Acct-P29 (PA)'!D204</f>
        <v>-2908.29</v>
      </c>
      <c r="E205" s="62"/>
      <c r="F205" s="141">
        <f>+'KY_Res by Plant Acct-P29 (Fin)'!F205+'KY_Res by Plant Acct-P29 (PA)'!F204</f>
        <v>0</v>
      </c>
      <c r="G205" s="141"/>
      <c r="H205" s="141">
        <f>+'KY_Res by Plant Acct-P29 (Fin)'!H205+'KY_Res by Plant Acct-P29 (PA)'!H204</f>
        <v>0</v>
      </c>
      <c r="I205" s="141"/>
      <c r="J205" s="141">
        <f>+'KY_Res by Plant Acct-P29 (Fin)'!J205+'KY_Res by Plant Acct-P29 (PA)'!J204</f>
        <v>0</v>
      </c>
      <c r="K205" s="141"/>
      <c r="L205" s="141">
        <f>+'KY_Res by Plant Acct-P29 (Fin)'!L205+'KY_Res by Plant Acct-P29 (PA)'!L204</f>
        <v>0</v>
      </c>
      <c r="M205" s="62"/>
      <c r="N205" s="62">
        <f>+'KY_Res by Plant Acct-P29 (Fin)'!N205+'KY_Res by Plant Acct-P29 (PA)'!N204</f>
        <v>0</v>
      </c>
      <c r="O205" s="62"/>
      <c r="P205" s="62">
        <f>+'KY_Res by Plant Acct-P29 (Fin)'!P205+'KY_Res by Plant Acct-P29 (PA)'!P204</f>
        <v>0</v>
      </c>
      <c r="Q205" s="62"/>
      <c r="R205" s="62">
        <f t="shared" si="17"/>
        <v>-12007.079999999998</v>
      </c>
      <c r="S205" s="66"/>
      <c r="T205" s="63"/>
      <c r="U205" s="63"/>
    </row>
    <row r="206" spans="1:21" s="60" customFormat="1" hidden="1" outlineLevel="1">
      <c r="A206" s="307" t="s">
        <v>1392</v>
      </c>
      <c r="B206" s="62">
        <f>+'KY_Res by Plant Acct-P29 (Fin)'!B206+'KY_Res by Plant Acct-P29 (PA)'!B205</f>
        <v>-3987400.5300000012</v>
      </c>
      <c r="C206" s="62"/>
      <c r="D206" s="62">
        <f>+'KY_Res by Plant Acct-P29 (Fin)'!D206+'KY_Res by Plant Acct-P29 (PA)'!D205</f>
        <v>-358963.92</v>
      </c>
      <c r="E206" s="62"/>
      <c r="F206" s="141">
        <f>+'KY_Res by Plant Acct-P29 (Fin)'!F206+'KY_Res by Plant Acct-P29 (PA)'!F205</f>
        <v>0</v>
      </c>
      <c r="G206" s="141"/>
      <c r="H206" s="141">
        <f>+'KY_Res by Plant Acct-P29 (Fin)'!H206+'KY_Res by Plant Acct-P29 (PA)'!H205</f>
        <v>0</v>
      </c>
      <c r="I206" s="141"/>
      <c r="J206" s="141">
        <f>+'KY_Res by Plant Acct-P29 (Fin)'!J206+'KY_Res by Plant Acct-P29 (PA)'!J205</f>
        <v>0</v>
      </c>
      <c r="K206" s="141"/>
      <c r="L206" s="141">
        <f>+'KY_Res by Plant Acct-P29 (Fin)'!L206+'KY_Res by Plant Acct-P29 (PA)'!L205</f>
        <v>0</v>
      </c>
      <c r="M206" s="62"/>
      <c r="N206" s="62">
        <f>+'KY_Res by Plant Acct-P29 (Fin)'!N206+'KY_Res by Plant Acct-P29 (PA)'!N205</f>
        <v>0</v>
      </c>
      <c r="O206" s="62"/>
      <c r="P206" s="62">
        <f>+'KY_Res by Plant Acct-P29 (Fin)'!P206+'KY_Res by Plant Acct-P29 (PA)'!P205</f>
        <v>0</v>
      </c>
      <c r="Q206" s="62"/>
      <c r="R206" s="62">
        <f t="shared" si="17"/>
        <v>-4346364.4500000011</v>
      </c>
      <c r="S206" s="66"/>
      <c r="T206" s="63"/>
      <c r="U206" s="63"/>
    </row>
    <row r="207" spans="1:21" s="60" customFormat="1" hidden="1" outlineLevel="1">
      <c r="A207" s="307" t="s">
        <v>1391</v>
      </c>
      <c r="B207" s="62">
        <f>+'KY_Res by Plant Acct-P29 (Fin)'!B207+'KY_Res by Plant Acct-P29 (PA)'!B206</f>
        <v>-18950.610000000004</v>
      </c>
      <c r="C207" s="62"/>
      <c r="D207" s="62">
        <f>+'KY_Res by Plant Acct-P29 (Fin)'!D207+'KY_Res by Plant Acct-P29 (PA)'!D206</f>
        <v>-2950.2</v>
      </c>
      <c r="E207" s="62"/>
      <c r="F207" s="141">
        <f>+'KY_Res by Plant Acct-P29 (Fin)'!F207+'KY_Res by Plant Acct-P29 (PA)'!F206</f>
        <v>0</v>
      </c>
      <c r="G207" s="141"/>
      <c r="H207" s="141">
        <f>+'KY_Res by Plant Acct-P29 (Fin)'!H207+'KY_Res by Plant Acct-P29 (PA)'!H206</f>
        <v>0</v>
      </c>
      <c r="I207" s="141"/>
      <c r="J207" s="141">
        <f>+'KY_Res by Plant Acct-P29 (Fin)'!J207+'KY_Res by Plant Acct-P29 (PA)'!J206</f>
        <v>0</v>
      </c>
      <c r="K207" s="141"/>
      <c r="L207" s="141">
        <f>+'KY_Res by Plant Acct-P29 (Fin)'!L207+'KY_Res by Plant Acct-P29 (PA)'!L206</f>
        <v>0</v>
      </c>
      <c r="M207" s="62"/>
      <c r="N207" s="62">
        <f>+'KY_Res by Plant Acct-P29 (Fin)'!N207+'KY_Res by Plant Acct-P29 (PA)'!N206</f>
        <v>0</v>
      </c>
      <c r="O207" s="62"/>
      <c r="P207" s="62">
        <f>+'KY_Res by Plant Acct-P29 (Fin)'!P207+'KY_Res by Plant Acct-P29 (PA)'!P206</f>
        <v>0</v>
      </c>
      <c r="Q207" s="62"/>
      <c r="R207" s="62">
        <f t="shared" ref="R207" si="19">SUM(B207:P207)</f>
        <v>-21900.810000000005</v>
      </c>
      <c r="S207" s="66"/>
      <c r="T207" s="63"/>
      <c r="U207" s="63"/>
    </row>
    <row r="208" spans="1:21" s="60" customFormat="1" hidden="1" outlineLevel="1">
      <c r="A208" s="60" t="s">
        <v>138</v>
      </c>
      <c r="B208" s="62">
        <f>+'KY_Res by Plant Acct-P29 (Fin)'!B208+'KY_Res by Plant Acct-P29 (PA)'!B207</f>
        <v>0</v>
      </c>
      <c r="C208" s="62"/>
      <c r="D208" s="62">
        <f>+'KY_Res by Plant Acct-P29 (Fin)'!D208+'KY_Res by Plant Acct-P29 (PA)'!D207</f>
        <v>0</v>
      </c>
      <c r="E208" s="62"/>
      <c r="F208" s="141">
        <f>+'KY_Res by Plant Acct-P29 (Fin)'!F208+'KY_Res by Plant Acct-P29 (PA)'!F207</f>
        <v>0</v>
      </c>
      <c r="G208" s="141"/>
      <c r="H208" s="141">
        <f>+'KY_Res by Plant Acct-P29 (Fin)'!H208+'KY_Res by Plant Acct-P29 (PA)'!H207</f>
        <v>0</v>
      </c>
      <c r="I208" s="141"/>
      <c r="J208" s="141">
        <f>+'KY_Res by Plant Acct-P29 (Fin)'!J208+'KY_Res by Plant Acct-P29 (PA)'!J207</f>
        <v>0</v>
      </c>
      <c r="K208" s="141"/>
      <c r="L208" s="141">
        <f>+'KY_Res by Plant Acct-P29 (Fin)'!L208+'KY_Res by Plant Acct-P29 (PA)'!L207</f>
        <v>0</v>
      </c>
      <c r="M208" s="62"/>
      <c r="N208" s="62">
        <f>+'KY_Res by Plant Acct-P29 (Fin)'!N208+'KY_Res by Plant Acct-P29 (PA)'!N207</f>
        <v>0</v>
      </c>
      <c r="O208" s="62"/>
      <c r="P208" s="62">
        <f>+'KY_Res by Plant Acct-P29 (Fin)'!P208+'KY_Res by Plant Acct-P29 (PA)'!P207</f>
        <v>0</v>
      </c>
      <c r="Q208" s="62"/>
      <c r="R208" s="62">
        <f t="shared" ref="R208:R224" si="20">SUM(B208:P208)</f>
        <v>0</v>
      </c>
      <c r="S208" s="66"/>
      <c r="T208" s="63"/>
      <c r="U208" s="63"/>
    </row>
    <row r="209" spans="1:21" s="60" customFormat="1" hidden="1" outlineLevel="1">
      <c r="A209" s="60" t="s">
        <v>1412</v>
      </c>
      <c r="B209" s="62">
        <f>+'KY_Res by Plant Acct-P29 (Fin)'!B209+'KY_Res by Plant Acct-P29 (PA)'!B208</f>
        <v>-3961244.8199999966</v>
      </c>
      <c r="C209" s="62"/>
      <c r="D209" s="62">
        <f>+'KY_Res by Plant Acct-P29 (Fin)'!D209+'KY_Res by Plant Acct-P29 (PA)'!D208</f>
        <v>-592339.87</v>
      </c>
      <c r="E209" s="62"/>
      <c r="F209" s="141">
        <f>+'KY_Res by Plant Acct-P29 (Fin)'!F209+'KY_Res by Plant Acct-P29 (PA)'!F208</f>
        <v>17993.460000000003</v>
      </c>
      <c r="G209" s="141"/>
      <c r="H209" s="141">
        <f>+'KY_Res by Plant Acct-P29 (Fin)'!H209+'KY_Res by Plant Acct-P29 (PA)'!H208</f>
        <v>0</v>
      </c>
      <c r="I209" s="141"/>
      <c r="J209" s="141">
        <f>+'KY_Res by Plant Acct-P29 (Fin)'!J209+'KY_Res by Plant Acct-P29 (PA)'!J208</f>
        <v>0</v>
      </c>
      <c r="K209" s="141"/>
      <c r="L209" s="141">
        <f>+'KY_Res by Plant Acct-P29 (Fin)'!L209+'KY_Res by Plant Acct-P29 (PA)'!L208</f>
        <v>460.58</v>
      </c>
      <c r="M209" s="62"/>
      <c r="N209" s="62">
        <f>+'KY_Res by Plant Acct-P29 (Fin)'!N209+'KY_Res by Plant Acct-P29 (PA)'!N208</f>
        <v>0</v>
      </c>
      <c r="O209" s="62"/>
      <c r="P209" s="62">
        <f>+'KY_Res by Plant Acct-P29 (Fin)'!P209+'KY_Res by Plant Acct-P29 (PA)'!P208</f>
        <v>0</v>
      </c>
      <c r="Q209" s="62"/>
      <c r="R209" s="62">
        <f t="shared" si="20"/>
        <v>-4535130.6499999966</v>
      </c>
      <c r="S209" s="66"/>
      <c r="T209" s="63"/>
      <c r="U209" s="63"/>
    </row>
    <row r="210" spans="1:21" s="60" customFormat="1" hidden="1" outlineLevel="1">
      <c r="A210" s="60" t="s">
        <v>1413</v>
      </c>
      <c r="B210" s="62">
        <f>+'KY_Res by Plant Acct-P29 (Fin)'!B210+'KY_Res by Plant Acct-P29 (PA)'!B209</f>
        <v>-15291.729999999998</v>
      </c>
      <c r="C210" s="62"/>
      <c r="D210" s="62">
        <f>+'KY_Res by Plant Acct-P29 (Fin)'!D210+'KY_Res by Plant Acct-P29 (PA)'!D209</f>
        <v>-3944.6400000000003</v>
      </c>
      <c r="E210" s="62"/>
      <c r="F210" s="141">
        <f>+'KY_Res by Plant Acct-P29 (Fin)'!F210+'KY_Res by Plant Acct-P29 (PA)'!F209</f>
        <v>0</v>
      </c>
      <c r="G210" s="141"/>
      <c r="H210" s="141">
        <f>+'KY_Res by Plant Acct-P29 (Fin)'!H210+'KY_Res by Plant Acct-P29 (PA)'!H209</f>
        <v>0</v>
      </c>
      <c r="I210" s="141"/>
      <c r="J210" s="141">
        <f>+'KY_Res by Plant Acct-P29 (Fin)'!J210+'KY_Res by Plant Acct-P29 (PA)'!J209</f>
        <v>0</v>
      </c>
      <c r="K210" s="141"/>
      <c r="L210" s="141">
        <f>+'KY_Res by Plant Acct-P29 (Fin)'!L210+'KY_Res by Plant Acct-P29 (PA)'!L209</f>
        <v>0</v>
      </c>
      <c r="M210" s="62"/>
      <c r="N210" s="62">
        <f>+'KY_Res by Plant Acct-P29 (Fin)'!N210+'KY_Res by Plant Acct-P29 (PA)'!N209</f>
        <v>0</v>
      </c>
      <c r="O210" s="62"/>
      <c r="P210" s="62">
        <f>+'KY_Res by Plant Acct-P29 (Fin)'!P210+'KY_Res by Plant Acct-P29 (PA)'!P209</f>
        <v>0</v>
      </c>
      <c r="Q210" s="62"/>
      <c r="R210" s="62">
        <f t="shared" si="20"/>
        <v>-19236.37</v>
      </c>
      <c r="S210" s="66"/>
      <c r="T210" s="63"/>
      <c r="U210" s="63"/>
    </row>
    <row r="211" spans="1:21" s="60" customFormat="1" hidden="1" outlineLevel="1">
      <c r="A211" s="60" t="s">
        <v>1414</v>
      </c>
      <c r="B211" s="62">
        <f>+'KY_Res by Plant Acct-P29 (Fin)'!B211+'KY_Res by Plant Acct-P29 (PA)'!B210</f>
        <v>-4351810.570000004</v>
      </c>
      <c r="C211" s="62"/>
      <c r="D211" s="62">
        <f>+'KY_Res by Plant Acct-P29 (Fin)'!D211+'KY_Res by Plant Acct-P29 (PA)'!D210</f>
        <v>-622226.79</v>
      </c>
      <c r="E211" s="62"/>
      <c r="F211" s="141">
        <f>+'KY_Res by Plant Acct-P29 (Fin)'!F211+'KY_Res by Plant Acct-P29 (PA)'!F210</f>
        <v>0</v>
      </c>
      <c r="G211" s="141"/>
      <c r="H211" s="141">
        <f>+'KY_Res by Plant Acct-P29 (Fin)'!H211+'KY_Res by Plant Acct-P29 (PA)'!H210</f>
        <v>0</v>
      </c>
      <c r="I211" s="141"/>
      <c r="J211" s="141">
        <f>+'KY_Res by Plant Acct-P29 (Fin)'!J211+'KY_Res by Plant Acct-P29 (PA)'!J210</f>
        <v>0</v>
      </c>
      <c r="K211" s="141"/>
      <c r="L211" s="141">
        <f>+'KY_Res by Plant Acct-P29 (Fin)'!L211+'KY_Res by Plant Acct-P29 (PA)'!L210</f>
        <v>2310.42</v>
      </c>
      <c r="M211" s="62"/>
      <c r="N211" s="62">
        <f>+'KY_Res by Plant Acct-P29 (Fin)'!N211+'KY_Res by Plant Acct-P29 (PA)'!N210</f>
        <v>0</v>
      </c>
      <c r="O211" s="62"/>
      <c r="P211" s="62">
        <f>+'KY_Res by Plant Acct-P29 (Fin)'!P211+'KY_Res by Plant Acct-P29 (PA)'!P210</f>
        <v>0</v>
      </c>
      <c r="Q211" s="62"/>
      <c r="R211" s="62">
        <f t="shared" si="20"/>
        <v>-4971726.9400000041</v>
      </c>
      <c r="S211" s="66"/>
      <c r="T211" s="63"/>
      <c r="U211" s="63"/>
    </row>
    <row r="212" spans="1:21" s="60" customFormat="1" hidden="1" outlineLevel="1">
      <c r="A212" s="60" t="s">
        <v>1415</v>
      </c>
      <c r="B212" s="62">
        <f>+'KY_Res by Plant Acct-P29 (Fin)'!B212+'KY_Res by Plant Acct-P29 (PA)'!B211</f>
        <v>-16257.069999999998</v>
      </c>
      <c r="C212" s="62"/>
      <c r="D212" s="62">
        <f>+'KY_Res by Plant Acct-P29 (Fin)'!D212+'KY_Res by Plant Acct-P29 (PA)'!D211</f>
        <v>-4534.0499999999993</v>
      </c>
      <c r="E212" s="62"/>
      <c r="F212" s="141">
        <f>+'KY_Res by Plant Acct-P29 (Fin)'!F212+'KY_Res by Plant Acct-P29 (PA)'!F211</f>
        <v>0</v>
      </c>
      <c r="G212" s="141"/>
      <c r="H212" s="141">
        <f>+'KY_Res by Plant Acct-P29 (Fin)'!H212+'KY_Res by Plant Acct-P29 (PA)'!H211</f>
        <v>0</v>
      </c>
      <c r="I212" s="141"/>
      <c r="J212" s="141">
        <f>+'KY_Res by Plant Acct-P29 (Fin)'!J212+'KY_Res by Plant Acct-P29 (PA)'!J211</f>
        <v>0</v>
      </c>
      <c r="K212" s="141"/>
      <c r="L212" s="141">
        <f>+'KY_Res by Plant Acct-P29 (Fin)'!L212+'KY_Res by Plant Acct-P29 (PA)'!L211</f>
        <v>0</v>
      </c>
      <c r="M212" s="62"/>
      <c r="N212" s="62">
        <f>+'KY_Res by Plant Acct-P29 (Fin)'!N212+'KY_Res by Plant Acct-P29 (PA)'!N211</f>
        <v>0</v>
      </c>
      <c r="O212" s="62"/>
      <c r="P212" s="62">
        <f>+'KY_Res by Plant Acct-P29 (Fin)'!P212+'KY_Res by Plant Acct-P29 (PA)'!P211</f>
        <v>0</v>
      </c>
      <c r="Q212" s="62"/>
      <c r="R212" s="62">
        <f t="shared" si="20"/>
        <v>-20791.119999999995</v>
      </c>
      <c r="S212" s="66"/>
      <c r="T212" s="63"/>
      <c r="U212" s="63"/>
    </row>
    <row r="213" spans="1:21" s="60" customFormat="1" hidden="1" outlineLevel="1">
      <c r="A213" s="60" t="s">
        <v>1416</v>
      </c>
      <c r="B213" s="62">
        <f>+'KY_Res by Plant Acct-P29 (Fin)'!B213+'KY_Res by Plant Acct-P29 (PA)'!B212</f>
        <v>-8999689.8100000098</v>
      </c>
      <c r="C213" s="62"/>
      <c r="D213" s="62">
        <f>+'KY_Res by Plant Acct-P29 (Fin)'!D213+'KY_Res by Plant Acct-P29 (PA)'!D212</f>
        <v>-1399359.75</v>
      </c>
      <c r="E213" s="62"/>
      <c r="F213" s="141">
        <f>+'KY_Res by Plant Acct-P29 (Fin)'!F213+'KY_Res by Plant Acct-P29 (PA)'!F212</f>
        <v>-160817.52000000002</v>
      </c>
      <c r="G213" s="141"/>
      <c r="H213" s="141">
        <f>+'KY_Res by Plant Acct-P29 (Fin)'!H213+'KY_Res by Plant Acct-P29 (PA)'!H212</f>
        <v>0</v>
      </c>
      <c r="I213" s="141"/>
      <c r="J213" s="141">
        <f>+'KY_Res by Plant Acct-P29 (Fin)'!J213+'KY_Res by Plant Acct-P29 (PA)'!J212</f>
        <v>0</v>
      </c>
      <c r="K213" s="141"/>
      <c r="L213" s="141">
        <f>+'KY_Res by Plant Acct-P29 (Fin)'!L213+'KY_Res by Plant Acct-P29 (PA)'!L212</f>
        <v>62359.12</v>
      </c>
      <c r="M213" s="62"/>
      <c r="N213" s="62">
        <f>+'KY_Res by Plant Acct-P29 (Fin)'!N213+'KY_Res by Plant Acct-P29 (PA)'!N212</f>
        <v>-73581.56</v>
      </c>
      <c r="O213" s="62"/>
      <c r="P213" s="62">
        <f>+'KY_Res by Plant Acct-P29 (Fin)'!P213+'KY_Res by Plant Acct-P29 (PA)'!P212</f>
        <v>0</v>
      </c>
      <c r="Q213" s="62"/>
      <c r="R213" s="62">
        <f t="shared" si="20"/>
        <v>-10571089.520000011</v>
      </c>
      <c r="S213" s="66"/>
      <c r="T213" s="63"/>
      <c r="U213" s="63"/>
    </row>
    <row r="214" spans="1:21" s="60" customFormat="1" hidden="1" outlineLevel="1">
      <c r="A214" s="60" t="s">
        <v>1417</v>
      </c>
      <c r="B214" s="62">
        <f>+'KY_Res by Plant Acct-P29 (Fin)'!B214+'KY_Res by Plant Acct-P29 (PA)'!B213</f>
        <v>-14868.270000000002</v>
      </c>
      <c r="C214" s="62"/>
      <c r="D214" s="62">
        <f>+'KY_Res by Plant Acct-P29 (Fin)'!D214+'KY_Res by Plant Acct-P29 (PA)'!D213</f>
        <v>-3743.13</v>
      </c>
      <c r="E214" s="62"/>
      <c r="F214" s="141">
        <f>+'KY_Res by Plant Acct-P29 (Fin)'!F214+'KY_Res by Plant Acct-P29 (PA)'!F213</f>
        <v>0</v>
      </c>
      <c r="G214" s="141"/>
      <c r="H214" s="141">
        <f>+'KY_Res by Plant Acct-P29 (Fin)'!H214+'KY_Res by Plant Acct-P29 (PA)'!H213</f>
        <v>0</v>
      </c>
      <c r="I214" s="141"/>
      <c r="J214" s="141">
        <f>+'KY_Res by Plant Acct-P29 (Fin)'!J214+'KY_Res by Plant Acct-P29 (PA)'!J213</f>
        <v>0</v>
      </c>
      <c r="K214" s="141"/>
      <c r="L214" s="141">
        <f>+'KY_Res by Plant Acct-P29 (Fin)'!L214+'KY_Res by Plant Acct-P29 (PA)'!L213</f>
        <v>0</v>
      </c>
      <c r="M214" s="62"/>
      <c r="N214" s="62">
        <f>+'KY_Res by Plant Acct-P29 (Fin)'!N214+'KY_Res by Plant Acct-P29 (PA)'!N213</f>
        <v>0</v>
      </c>
      <c r="O214" s="62"/>
      <c r="P214" s="62">
        <f>+'KY_Res by Plant Acct-P29 (Fin)'!P214+'KY_Res by Plant Acct-P29 (PA)'!P213</f>
        <v>0</v>
      </c>
      <c r="Q214" s="62"/>
      <c r="R214" s="62">
        <f t="shared" si="20"/>
        <v>-18611.400000000001</v>
      </c>
      <c r="S214" s="66"/>
      <c r="T214" s="63"/>
      <c r="U214" s="63"/>
    </row>
    <row r="215" spans="1:21" s="60" customFormat="1" hidden="1" outlineLevel="1">
      <c r="A215" s="307" t="s">
        <v>1396</v>
      </c>
      <c r="B215" s="62">
        <f>+'KY_Res by Plant Acct-P29 (Fin)'!B215+'KY_Res by Plant Acct-P29 (PA)'!B214</f>
        <v>-16604018.430000007</v>
      </c>
      <c r="C215" s="62"/>
      <c r="D215" s="62">
        <f>+'KY_Res by Plant Acct-P29 (Fin)'!D215+'KY_Res by Plant Acct-P29 (PA)'!D214</f>
        <v>-2365616.0300000003</v>
      </c>
      <c r="E215" s="62"/>
      <c r="F215" s="141">
        <f>+'KY_Res by Plant Acct-P29 (Fin)'!F215+'KY_Res by Plant Acct-P29 (PA)'!F214</f>
        <v>1503081.72</v>
      </c>
      <c r="G215" s="141"/>
      <c r="H215" s="141">
        <f>+'KY_Res by Plant Acct-P29 (Fin)'!H215+'KY_Res by Plant Acct-P29 (PA)'!H214</f>
        <v>0</v>
      </c>
      <c r="I215" s="141"/>
      <c r="J215" s="141">
        <f>+'KY_Res by Plant Acct-P29 (Fin)'!J215+'KY_Res by Plant Acct-P29 (PA)'!J214</f>
        <v>0</v>
      </c>
      <c r="K215" s="141"/>
      <c r="L215" s="141">
        <f>+'KY_Res by Plant Acct-P29 (Fin)'!L215+'KY_Res by Plant Acct-P29 (PA)'!L214</f>
        <v>106633.12000000001</v>
      </c>
      <c r="M215" s="62"/>
      <c r="N215" s="62">
        <f>+'KY_Res by Plant Acct-P29 (Fin)'!N215+'KY_Res by Plant Acct-P29 (PA)'!N214</f>
        <v>-3000</v>
      </c>
      <c r="O215" s="62"/>
      <c r="P215" s="62">
        <f>+'KY_Res by Plant Acct-P29 (Fin)'!P215+'KY_Res by Plant Acct-P29 (PA)'!P214</f>
        <v>0</v>
      </c>
      <c r="Q215" s="62"/>
      <c r="R215" s="62">
        <f t="shared" si="20"/>
        <v>-17362919.620000008</v>
      </c>
      <c r="S215" s="66"/>
      <c r="T215" s="63"/>
      <c r="U215" s="63"/>
    </row>
    <row r="216" spans="1:21" s="60" customFormat="1" hidden="1" outlineLevel="1">
      <c r="A216" s="307" t="s">
        <v>1395</v>
      </c>
      <c r="B216" s="62">
        <f>+'KY_Res by Plant Acct-P29 (Fin)'!B216+'KY_Res by Plant Acct-P29 (PA)'!B215</f>
        <v>-75660.62</v>
      </c>
      <c r="C216" s="62"/>
      <c r="D216" s="62">
        <f>+'KY_Res by Plant Acct-P29 (Fin)'!D216+'KY_Res by Plant Acct-P29 (PA)'!D215</f>
        <v>-15276.150000000001</v>
      </c>
      <c r="E216" s="62"/>
      <c r="F216" s="141">
        <f>+'KY_Res by Plant Acct-P29 (Fin)'!F216+'KY_Res by Plant Acct-P29 (PA)'!F215</f>
        <v>0</v>
      </c>
      <c r="G216" s="141"/>
      <c r="H216" s="141">
        <f>+'KY_Res by Plant Acct-P29 (Fin)'!H216+'KY_Res by Plant Acct-P29 (PA)'!H215</f>
        <v>0</v>
      </c>
      <c r="I216" s="141"/>
      <c r="J216" s="141">
        <f>+'KY_Res by Plant Acct-P29 (Fin)'!J216+'KY_Res by Plant Acct-P29 (PA)'!J215</f>
        <v>0</v>
      </c>
      <c r="K216" s="141"/>
      <c r="L216" s="141">
        <f>+'KY_Res by Plant Acct-P29 (Fin)'!L216+'KY_Res by Plant Acct-P29 (PA)'!L215</f>
        <v>0</v>
      </c>
      <c r="M216" s="62"/>
      <c r="N216" s="62">
        <f>+'KY_Res by Plant Acct-P29 (Fin)'!N216+'KY_Res by Plant Acct-P29 (PA)'!N215</f>
        <v>0</v>
      </c>
      <c r="O216" s="62"/>
      <c r="P216" s="62">
        <f>+'KY_Res by Plant Acct-P29 (Fin)'!P216+'KY_Res by Plant Acct-P29 (PA)'!P215</f>
        <v>0</v>
      </c>
      <c r="Q216" s="62"/>
      <c r="R216" s="62">
        <f t="shared" si="20"/>
        <v>-90936.76999999999</v>
      </c>
      <c r="S216" s="66"/>
      <c r="T216" s="63"/>
      <c r="U216" s="63"/>
    </row>
    <row r="217" spans="1:21" s="60" customFormat="1" hidden="1" outlineLevel="1">
      <c r="A217" s="307" t="s">
        <v>1418</v>
      </c>
      <c r="B217" s="62">
        <f>+'KY_Res by Plant Acct-P29 (Fin)'!B217+'KY_Res by Plant Acct-P29 (PA)'!B216</f>
        <v>-19408.620000000003</v>
      </c>
      <c r="C217" s="62"/>
      <c r="D217" s="62">
        <f>+'KY_Res by Plant Acct-P29 (Fin)'!D217+'KY_Res by Plant Acct-P29 (PA)'!D216</f>
        <v>-4690.8900000000003</v>
      </c>
      <c r="E217" s="62"/>
      <c r="F217" s="141">
        <f>+'KY_Res by Plant Acct-P29 (Fin)'!F217+'KY_Res by Plant Acct-P29 (PA)'!F216</f>
        <v>0</v>
      </c>
      <c r="G217" s="141"/>
      <c r="H217" s="141">
        <f>+'KY_Res by Plant Acct-P29 (Fin)'!H217+'KY_Res by Plant Acct-P29 (PA)'!H216</f>
        <v>0</v>
      </c>
      <c r="I217" s="141"/>
      <c r="J217" s="141">
        <f>+'KY_Res by Plant Acct-P29 (Fin)'!J217+'KY_Res by Plant Acct-P29 (PA)'!J216</f>
        <v>0</v>
      </c>
      <c r="K217" s="141"/>
      <c r="L217" s="141">
        <f>+'KY_Res by Plant Acct-P29 (Fin)'!L217+'KY_Res by Plant Acct-P29 (PA)'!L216</f>
        <v>0</v>
      </c>
      <c r="M217" s="62"/>
      <c r="N217" s="62">
        <f>+'KY_Res by Plant Acct-P29 (Fin)'!N217+'KY_Res by Plant Acct-P29 (PA)'!N216</f>
        <v>0</v>
      </c>
      <c r="O217" s="62"/>
      <c r="P217" s="62">
        <f>+'KY_Res by Plant Acct-P29 (Fin)'!P217+'KY_Res by Plant Acct-P29 (PA)'!P216</f>
        <v>0</v>
      </c>
      <c r="Q217" s="62"/>
      <c r="R217" s="62">
        <f t="shared" si="20"/>
        <v>-24099.510000000002</v>
      </c>
      <c r="S217" s="66"/>
      <c r="T217" s="63"/>
      <c r="U217" s="63"/>
    </row>
    <row r="218" spans="1:21" s="60" customFormat="1" hidden="1" outlineLevel="1">
      <c r="A218" s="307" t="s">
        <v>1397</v>
      </c>
      <c r="B218" s="62">
        <f>+'KY_Res by Plant Acct-P29 (Fin)'!B218+'KY_Res by Plant Acct-P29 (PA)'!B217</f>
        <v>-11166342.469999991</v>
      </c>
      <c r="C218" s="62"/>
      <c r="D218" s="62">
        <f>+'KY_Res by Plant Acct-P29 (Fin)'!D218+'KY_Res by Plant Acct-P29 (PA)'!D217</f>
        <v>-1055282.8</v>
      </c>
      <c r="E218" s="62"/>
      <c r="F218" s="141">
        <f>+'KY_Res by Plant Acct-P29 (Fin)'!F218+'KY_Res by Plant Acct-P29 (PA)'!F217</f>
        <v>-422070.04</v>
      </c>
      <c r="G218" s="141"/>
      <c r="H218" s="141">
        <f>+'KY_Res by Plant Acct-P29 (Fin)'!H218+'KY_Res by Plant Acct-P29 (PA)'!H217</f>
        <v>0</v>
      </c>
      <c r="I218" s="141"/>
      <c r="J218" s="141">
        <f>+'KY_Res by Plant Acct-P29 (Fin)'!J218+'KY_Res by Plant Acct-P29 (PA)'!J217</f>
        <v>0</v>
      </c>
      <c r="K218" s="141"/>
      <c r="L218" s="141">
        <f>+'KY_Res by Plant Acct-P29 (Fin)'!L218+'KY_Res by Plant Acct-P29 (PA)'!L217</f>
        <v>0</v>
      </c>
      <c r="M218" s="62"/>
      <c r="N218" s="62">
        <f>+'KY_Res by Plant Acct-P29 (Fin)'!N218+'KY_Res by Plant Acct-P29 (PA)'!N217</f>
        <v>0</v>
      </c>
      <c r="O218" s="62"/>
      <c r="P218" s="62">
        <f>+'KY_Res by Plant Acct-P29 (Fin)'!P218+'KY_Res by Plant Acct-P29 (PA)'!P217</f>
        <v>0</v>
      </c>
      <c r="Q218" s="62"/>
      <c r="R218" s="62">
        <f t="shared" si="20"/>
        <v>-12643695.309999991</v>
      </c>
      <c r="S218" s="66"/>
      <c r="T218" s="63"/>
      <c r="U218" s="63"/>
    </row>
    <row r="219" spans="1:21" s="60" customFormat="1" hidden="1" outlineLevel="1">
      <c r="A219" s="307" t="s">
        <v>1398</v>
      </c>
      <c r="B219" s="62">
        <f>+'KY_Res by Plant Acct-P29 (Fin)'!B219+'KY_Res by Plant Acct-P29 (PA)'!B218</f>
        <v>-5637.59</v>
      </c>
      <c r="C219" s="62"/>
      <c r="D219" s="62">
        <f>+'KY_Res by Plant Acct-P29 (Fin)'!D219+'KY_Res by Plant Acct-P29 (PA)'!D218</f>
        <v>-880.5</v>
      </c>
      <c r="E219" s="62"/>
      <c r="F219" s="141">
        <f>+'KY_Res by Plant Acct-P29 (Fin)'!F219+'KY_Res by Plant Acct-P29 (PA)'!F218</f>
        <v>0</v>
      </c>
      <c r="G219" s="141"/>
      <c r="H219" s="141">
        <f>+'KY_Res by Plant Acct-P29 (Fin)'!H219+'KY_Res by Plant Acct-P29 (PA)'!H218</f>
        <v>0</v>
      </c>
      <c r="I219" s="141"/>
      <c r="J219" s="141">
        <f>+'KY_Res by Plant Acct-P29 (Fin)'!J219+'KY_Res by Plant Acct-P29 (PA)'!J218</f>
        <v>0</v>
      </c>
      <c r="K219" s="141"/>
      <c r="L219" s="141">
        <f>+'KY_Res by Plant Acct-P29 (Fin)'!L219+'KY_Res by Plant Acct-P29 (PA)'!L218</f>
        <v>0</v>
      </c>
      <c r="M219" s="62"/>
      <c r="N219" s="62">
        <f>+'KY_Res by Plant Acct-P29 (Fin)'!N219+'KY_Res by Plant Acct-P29 (PA)'!N218</f>
        <v>0</v>
      </c>
      <c r="O219" s="62"/>
      <c r="P219" s="62">
        <f>+'KY_Res by Plant Acct-P29 (Fin)'!P219+'KY_Res by Plant Acct-P29 (PA)'!P218</f>
        <v>0</v>
      </c>
      <c r="Q219" s="62"/>
      <c r="R219" s="62">
        <f t="shared" si="20"/>
        <v>-6518.09</v>
      </c>
      <c r="S219" s="66"/>
      <c r="T219" s="63"/>
      <c r="U219" s="63"/>
    </row>
    <row r="220" spans="1:21" s="60" customFormat="1" hidden="1" outlineLevel="1">
      <c r="A220" s="60" t="s">
        <v>355</v>
      </c>
      <c r="B220" s="62">
        <f>+'KY_Res by Plant Acct-P29 (Fin)'!B220+'KY_Res by Plant Acct-P29 (PA)'!B219</f>
        <v>-46879.97000000003</v>
      </c>
      <c r="C220" s="62"/>
      <c r="D220" s="62">
        <f>+'KY_Res by Plant Acct-P29 (Fin)'!D220+'KY_Res by Plant Acct-P29 (PA)'!D219</f>
        <v>-4447.32</v>
      </c>
      <c r="E220" s="62"/>
      <c r="F220" s="141">
        <f>+'KY_Res by Plant Acct-P29 (Fin)'!F220+'KY_Res by Plant Acct-P29 (PA)'!F219</f>
        <v>0</v>
      </c>
      <c r="G220" s="141"/>
      <c r="H220" s="141">
        <f>+'KY_Res by Plant Acct-P29 (Fin)'!H220+'KY_Res by Plant Acct-P29 (PA)'!H219</f>
        <v>0</v>
      </c>
      <c r="I220" s="141"/>
      <c r="J220" s="141">
        <f>+'KY_Res by Plant Acct-P29 (Fin)'!J220+'KY_Res by Plant Acct-P29 (PA)'!J219</f>
        <v>0</v>
      </c>
      <c r="K220" s="141"/>
      <c r="L220" s="141">
        <f>+'KY_Res by Plant Acct-P29 (Fin)'!L220+'KY_Res by Plant Acct-P29 (PA)'!L219</f>
        <v>0</v>
      </c>
      <c r="M220" s="62"/>
      <c r="N220" s="62">
        <f>+'KY_Res by Plant Acct-P29 (Fin)'!N220+'KY_Res by Plant Acct-P29 (PA)'!N219</f>
        <v>0</v>
      </c>
      <c r="O220" s="62"/>
      <c r="P220" s="62">
        <f>+'KY_Res by Plant Acct-P29 (Fin)'!P220+'KY_Res by Plant Acct-P29 (PA)'!P219</f>
        <v>0</v>
      </c>
      <c r="Q220" s="62"/>
      <c r="R220" s="62">
        <f t="shared" si="20"/>
        <v>-51327.29000000003</v>
      </c>
      <c r="S220" s="66"/>
      <c r="T220" s="63"/>
      <c r="U220" s="63"/>
    </row>
    <row r="221" spans="1:21" s="60" customFormat="1" hidden="1" outlineLevel="1">
      <c r="A221" s="60" t="s">
        <v>356</v>
      </c>
      <c r="B221" s="62">
        <f>+'KY_Res by Plant Acct-P29 (Fin)'!B221+'KY_Res by Plant Acct-P29 (PA)'!B220</f>
        <v>-153812.11999999988</v>
      </c>
      <c r="C221" s="62"/>
      <c r="D221" s="62">
        <f>+'KY_Res by Plant Acct-P29 (Fin)'!D221+'KY_Res by Plant Acct-P29 (PA)'!D220</f>
        <v>-23201.22</v>
      </c>
      <c r="E221" s="62"/>
      <c r="F221" s="141">
        <f>+'KY_Res by Plant Acct-P29 (Fin)'!F221+'KY_Res by Plant Acct-P29 (PA)'!F220</f>
        <v>0</v>
      </c>
      <c r="G221" s="141"/>
      <c r="H221" s="141">
        <f>+'KY_Res by Plant Acct-P29 (Fin)'!H221+'KY_Res by Plant Acct-P29 (PA)'!H220</f>
        <v>0</v>
      </c>
      <c r="I221" s="141"/>
      <c r="J221" s="141">
        <f>+'KY_Res by Plant Acct-P29 (Fin)'!J221+'KY_Res by Plant Acct-P29 (PA)'!J220</f>
        <v>0</v>
      </c>
      <c r="K221" s="141"/>
      <c r="L221" s="141">
        <f>+'KY_Res by Plant Acct-P29 (Fin)'!L221+'KY_Res by Plant Acct-P29 (PA)'!L220</f>
        <v>0</v>
      </c>
      <c r="M221" s="62"/>
      <c r="N221" s="62">
        <f>+'KY_Res by Plant Acct-P29 (Fin)'!N221+'KY_Res by Plant Acct-P29 (PA)'!N220</f>
        <v>0</v>
      </c>
      <c r="O221" s="62"/>
      <c r="P221" s="62">
        <f>+'KY_Res by Plant Acct-P29 (Fin)'!P221+'KY_Res by Plant Acct-P29 (PA)'!P220</f>
        <v>0</v>
      </c>
      <c r="Q221" s="62"/>
      <c r="R221" s="62">
        <f t="shared" si="20"/>
        <v>-177013.33999999988</v>
      </c>
      <c r="S221" s="66"/>
      <c r="T221" s="63"/>
      <c r="U221" s="63"/>
    </row>
    <row r="222" spans="1:21" s="60" customFormat="1" hidden="1" outlineLevel="1">
      <c r="A222" s="60" t="s">
        <v>357</v>
      </c>
      <c r="B222" s="62">
        <f>+'KY_Res by Plant Acct-P29 (Fin)'!B222+'KY_Res by Plant Acct-P29 (PA)'!B221</f>
        <v>-4662717.8600000031</v>
      </c>
      <c r="C222" s="62"/>
      <c r="D222" s="62">
        <f>+'KY_Res by Plant Acct-P29 (Fin)'!D222+'KY_Res by Plant Acct-P29 (PA)'!D221</f>
        <v>-490156.82999999996</v>
      </c>
      <c r="E222" s="62"/>
      <c r="F222" s="141">
        <f>+'KY_Res by Plant Acct-P29 (Fin)'!F222+'KY_Res by Plant Acct-P29 (PA)'!F221</f>
        <v>0</v>
      </c>
      <c r="G222" s="141"/>
      <c r="H222" s="141">
        <f>+'KY_Res by Plant Acct-P29 (Fin)'!H222+'KY_Res by Plant Acct-P29 (PA)'!H221</f>
        <v>0</v>
      </c>
      <c r="I222" s="141"/>
      <c r="J222" s="141">
        <f>+'KY_Res by Plant Acct-P29 (Fin)'!J222+'KY_Res by Plant Acct-P29 (PA)'!J221</f>
        <v>0</v>
      </c>
      <c r="K222" s="141"/>
      <c r="L222" s="141">
        <f>+'KY_Res by Plant Acct-P29 (Fin)'!L222+'KY_Res by Plant Acct-P29 (PA)'!L221</f>
        <v>0</v>
      </c>
      <c r="M222" s="62"/>
      <c r="N222" s="62">
        <f>+'KY_Res by Plant Acct-P29 (Fin)'!N222+'KY_Res by Plant Acct-P29 (PA)'!N221</f>
        <v>0</v>
      </c>
      <c r="O222" s="62"/>
      <c r="P222" s="62">
        <f>+'KY_Res by Plant Acct-P29 (Fin)'!P222+'KY_Res by Plant Acct-P29 (PA)'!P221</f>
        <v>0</v>
      </c>
      <c r="Q222" s="62"/>
      <c r="R222" s="62">
        <f t="shared" si="20"/>
        <v>-5152874.6900000032</v>
      </c>
      <c r="S222" s="66"/>
      <c r="T222" s="63"/>
      <c r="U222" s="63"/>
    </row>
    <row r="223" spans="1:21" s="60" customFormat="1" hidden="1" outlineLevel="1">
      <c r="A223" s="60" t="s">
        <v>358</v>
      </c>
      <c r="B223" s="62">
        <f>+'KY_Res by Plant Acct-P29 (Fin)'!B223+'KY_Res by Plant Acct-P29 (PA)'!B222</f>
        <v>-3889663.4099999964</v>
      </c>
      <c r="C223" s="62"/>
      <c r="D223" s="62">
        <f>+'KY_Res by Plant Acct-P29 (Fin)'!D223+'KY_Res by Plant Acct-P29 (PA)'!D222</f>
        <v>-382203.44999999995</v>
      </c>
      <c r="E223" s="62"/>
      <c r="F223" s="141">
        <f>+'KY_Res by Plant Acct-P29 (Fin)'!F223+'KY_Res by Plant Acct-P29 (PA)'!F222</f>
        <v>0</v>
      </c>
      <c r="G223" s="141"/>
      <c r="H223" s="141">
        <f>+'KY_Res by Plant Acct-P29 (Fin)'!H223+'KY_Res by Plant Acct-P29 (PA)'!H222</f>
        <v>0</v>
      </c>
      <c r="I223" s="141"/>
      <c r="J223" s="141">
        <f>+'KY_Res by Plant Acct-P29 (Fin)'!J223+'KY_Res by Plant Acct-P29 (PA)'!J222</f>
        <v>0</v>
      </c>
      <c r="K223" s="141"/>
      <c r="L223" s="141">
        <f>+'KY_Res by Plant Acct-P29 (Fin)'!L223+'KY_Res by Plant Acct-P29 (PA)'!L222</f>
        <v>0</v>
      </c>
      <c r="M223" s="62"/>
      <c r="N223" s="62">
        <f>+'KY_Res by Plant Acct-P29 (Fin)'!N223+'KY_Res by Plant Acct-P29 (PA)'!N222</f>
        <v>0</v>
      </c>
      <c r="O223" s="62"/>
      <c r="P223" s="62">
        <f>+'KY_Res by Plant Acct-P29 (Fin)'!P223+'KY_Res by Plant Acct-P29 (PA)'!P222</f>
        <v>0</v>
      </c>
      <c r="Q223" s="62"/>
      <c r="R223" s="62">
        <f t="shared" si="20"/>
        <v>-4271866.8599999966</v>
      </c>
      <c r="S223" s="66"/>
      <c r="T223" s="63"/>
      <c r="U223" s="63"/>
    </row>
    <row r="224" spans="1:21" s="60" customFormat="1" hidden="1" outlineLevel="1">
      <c r="A224" s="60" t="s">
        <v>359</v>
      </c>
      <c r="B224" s="62">
        <f>+'KY_Res by Plant Acct-P29 (Fin)'!B224+'KY_Res by Plant Acct-P29 (PA)'!B223</f>
        <v>-4952611.2699999996</v>
      </c>
      <c r="C224" s="62"/>
      <c r="D224" s="62">
        <f>+'KY_Res by Plant Acct-P29 (Fin)'!D224+'KY_Res by Plant Acct-P29 (PA)'!D223</f>
        <v>-608845.89</v>
      </c>
      <c r="E224" s="62"/>
      <c r="F224" s="141">
        <f>+'KY_Res by Plant Acct-P29 (Fin)'!F224+'KY_Res by Plant Acct-P29 (PA)'!F223</f>
        <v>0</v>
      </c>
      <c r="G224" s="141"/>
      <c r="H224" s="141">
        <f>+'KY_Res by Plant Acct-P29 (Fin)'!H224+'KY_Res by Plant Acct-P29 (PA)'!H223</f>
        <v>0</v>
      </c>
      <c r="I224" s="141"/>
      <c r="J224" s="141">
        <f>+'KY_Res by Plant Acct-P29 (Fin)'!J224+'KY_Res by Plant Acct-P29 (PA)'!J223</f>
        <v>0</v>
      </c>
      <c r="K224" s="141"/>
      <c r="L224" s="141">
        <f>+'KY_Res by Plant Acct-P29 (Fin)'!L224+'KY_Res by Plant Acct-P29 (PA)'!L223</f>
        <v>0</v>
      </c>
      <c r="M224" s="62"/>
      <c r="N224" s="62">
        <f>+'KY_Res by Plant Acct-P29 (Fin)'!N224+'KY_Res by Plant Acct-P29 (PA)'!N223</f>
        <v>0</v>
      </c>
      <c r="O224" s="62"/>
      <c r="P224" s="62">
        <f>+'KY_Res by Plant Acct-P29 (Fin)'!P224+'KY_Res by Plant Acct-P29 (PA)'!P223</f>
        <v>0</v>
      </c>
      <c r="Q224" s="62"/>
      <c r="R224" s="62">
        <f t="shared" si="20"/>
        <v>-5561457.1599999992</v>
      </c>
      <c r="S224" s="66"/>
      <c r="T224" s="63"/>
      <c r="U224" s="63"/>
    </row>
    <row r="225" spans="1:21" s="60" customFormat="1" hidden="1" outlineLevel="1">
      <c r="A225" s="60" t="s">
        <v>948</v>
      </c>
      <c r="B225" s="62">
        <f>+'KY_Res by Plant Acct-P29 (Fin)'!B225+'KY_Res by Plant Acct-P29 (PA)'!B224</f>
        <v>0.12000000000000455</v>
      </c>
      <c r="C225" s="62"/>
      <c r="D225" s="62">
        <f>+'KY_Res by Plant Acct-P29 (Fin)'!D225+'KY_Res by Plant Acct-P29 (PA)'!D224</f>
        <v>0</v>
      </c>
      <c r="E225" s="62"/>
      <c r="F225" s="141">
        <f>+'KY_Res by Plant Acct-P29 (Fin)'!F225+'KY_Res by Plant Acct-P29 (PA)'!F224</f>
        <v>0</v>
      </c>
      <c r="G225" s="141"/>
      <c r="H225" s="141">
        <f>+'KY_Res by Plant Acct-P29 (Fin)'!H225+'KY_Res by Plant Acct-P29 (PA)'!H224</f>
        <v>9.89</v>
      </c>
      <c r="I225" s="141"/>
      <c r="J225" s="141">
        <f>+'KY_Res by Plant Acct-P29 (Fin)'!J225+'KY_Res by Plant Acct-P29 (PA)'!J224</f>
        <v>0</v>
      </c>
      <c r="K225" s="141"/>
      <c r="L225" s="141">
        <f>+'KY_Res by Plant Acct-P29 (Fin)'!L225+'KY_Res by Plant Acct-P29 (PA)'!L224</f>
        <v>0</v>
      </c>
      <c r="M225" s="62"/>
      <c r="N225" s="62">
        <f>+'KY_Res by Plant Acct-P29 (Fin)'!N225+'KY_Res by Plant Acct-P29 (PA)'!N224</f>
        <v>0</v>
      </c>
      <c r="O225" s="62"/>
      <c r="P225" s="62">
        <f>+'KY_Res by Plant Acct-P29 (Fin)'!P225+'KY_Res by Plant Acct-P29 (PA)'!P224</f>
        <v>0</v>
      </c>
      <c r="Q225" s="62"/>
      <c r="R225" s="62">
        <f>SUM(B225:P225)</f>
        <v>10.010000000000005</v>
      </c>
      <c r="S225" s="66"/>
      <c r="T225" s="63"/>
      <c r="U225" s="63"/>
    </row>
    <row r="226" spans="1:21" s="60" customFormat="1" hidden="1" outlineLevel="1">
      <c r="A226" s="60" t="s">
        <v>1419</v>
      </c>
      <c r="B226" s="62">
        <f>+'KY_Res by Plant Acct-P29 (Fin)'!B226+'KY_Res by Plant Acct-P29 (PA)'!B225</f>
        <v>-19731.169999999955</v>
      </c>
      <c r="C226" s="62"/>
      <c r="D226" s="62">
        <f>+'KY_Res by Plant Acct-P29 (Fin)'!D226+'KY_Res by Plant Acct-P29 (PA)'!D225</f>
        <v>-5794.85</v>
      </c>
      <c r="E226" s="62"/>
      <c r="F226" s="141">
        <f>+'KY_Res by Plant Acct-P29 (Fin)'!F226+'KY_Res by Plant Acct-P29 (PA)'!F225</f>
        <v>0</v>
      </c>
      <c r="G226" s="141"/>
      <c r="H226" s="141">
        <f>+'KY_Res by Plant Acct-P29 (Fin)'!H226+'KY_Res by Plant Acct-P29 (PA)'!H225</f>
        <v>0</v>
      </c>
      <c r="I226" s="141"/>
      <c r="J226" s="141">
        <f>+'KY_Res by Plant Acct-P29 (Fin)'!J226+'KY_Res by Plant Acct-P29 (PA)'!J225</f>
        <v>0</v>
      </c>
      <c r="K226" s="141"/>
      <c r="L226" s="141">
        <f>+'KY_Res by Plant Acct-P29 (Fin)'!L226+'KY_Res by Plant Acct-P29 (PA)'!L225</f>
        <v>0</v>
      </c>
      <c r="M226" s="62"/>
      <c r="N226" s="62">
        <f>+'KY_Res by Plant Acct-P29 (Fin)'!N226+'KY_Res by Plant Acct-P29 (PA)'!N225</f>
        <v>0</v>
      </c>
      <c r="O226" s="62"/>
      <c r="P226" s="62">
        <f>+'KY_Res by Plant Acct-P29 (Fin)'!P226+'KY_Res by Plant Acct-P29 (PA)'!P225</f>
        <v>0</v>
      </c>
      <c r="Q226" s="62"/>
      <c r="R226" s="62">
        <f t="shared" ref="R226:R234" si="21">SUM(B226:P226)</f>
        <v>-25526.019999999953</v>
      </c>
      <c r="S226" s="66"/>
      <c r="T226" s="63"/>
      <c r="U226" s="63"/>
    </row>
    <row r="227" spans="1:21" s="60" customFormat="1" hidden="1" outlineLevel="1">
      <c r="A227" s="60" t="s">
        <v>1420</v>
      </c>
      <c r="B227" s="62">
        <f>+'KY_Res by Plant Acct-P29 (Fin)'!B227+'KY_Res by Plant Acct-P29 (PA)'!B226</f>
        <v>-555654.61</v>
      </c>
      <c r="C227" s="62"/>
      <c r="D227" s="62">
        <f>+'KY_Res by Plant Acct-P29 (Fin)'!D227+'KY_Res by Plant Acct-P29 (PA)'!D226</f>
        <v>-147487.89000000001</v>
      </c>
      <c r="E227" s="62"/>
      <c r="F227" s="141">
        <f>+'KY_Res by Plant Acct-P29 (Fin)'!F227+'KY_Res by Plant Acct-P29 (PA)'!F226</f>
        <v>0</v>
      </c>
      <c r="G227" s="141"/>
      <c r="H227" s="141">
        <f>+'KY_Res by Plant Acct-P29 (Fin)'!H227+'KY_Res by Plant Acct-P29 (PA)'!H226</f>
        <v>0</v>
      </c>
      <c r="I227" s="141"/>
      <c r="J227" s="141">
        <f>+'KY_Res by Plant Acct-P29 (Fin)'!J227+'KY_Res by Plant Acct-P29 (PA)'!J226</f>
        <v>0</v>
      </c>
      <c r="K227" s="141"/>
      <c r="L227" s="141">
        <f>+'KY_Res by Plant Acct-P29 (Fin)'!L227+'KY_Res by Plant Acct-P29 (PA)'!L226</f>
        <v>0</v>
      </c>
      <c r="M227" s="62"/>
      <c r="N227" s="62">
        <f>+'KY_Res by Plant Acct-P29 (Fin)'!N227+'KY_Res by Plant Acct-P29 (PA)'!N226</f>
        <v>0</v>
      </c>
      <c r="O227" s="62"/>
      <c r="P227" s="62">
        <f>+'KY_Res by Plant Acct-P29 (Fin)'!P227+'KY_Res by Plant Acct-P29 (PA)'!P226</f>
        <v>0</v>
      </c>
      <c r="Q227" s="62"/>
      <c r="R227" s="62">
        <f t="shared" si="21"/>
        <v>-703142.5</v>
      </c>
      <c r="S227" s="66"/>
      <c r="T227" s="63"/>
      <c r="U227" s="63"/>
    </row>
    <row r="228" spans="1:21" s="60" customFormat="1" hidden="1" outlineLevel="1">
      <c r="A228" s="60" t="s">
        <v>1421</v>
      </c>
      <c r="B228" s="62">
        <f>+'KY_Res by Plant Acct-P29 (Fin)'!B228+'KY_Res by Plant Acct-P29 (PA)'!B227</f>
        <v>-7427551.9799999967</v>
      </c>
      <c r="C228" s="62"/>
      <c r="D228" s="62">
        <f>+'KY_Res by Plant Acct-P29 (Fin)'!D228+'KY_Res by Plant Acct-P29 (PA)'!D227</f>
        <v>-1937200.83</v>
      </c>
      <c r="E228" s="62"/>
      <c r="F228" s="141">
        <f>+'KY_Res by Plant Acct-P29 (Fin)'!F228+'KY_Res by Plant Acct-P29 (PA)'!F227</f>
        <v>-64795.099999999948</v>
      </c>
      <c r="G228" s="141"/>
      <c r="H228" s="141">
        <f>+'KY_Res by Plant Acct-P29 (Fin)'!H228+'KY_Res by Plant Acct-P29 (PA)'!H227</f>
        <v>-9.89</v>
      </c>
      <c r="I228" s="141"/>
      <c r="J228" s="141">
        <f>+'KY_Res by Plant Acct-P29 (Fin)'!J228+'KY_Res by Plant Acct-P29 (PA)'!J227</f>
        <v>0</v>
      </c>
      <c r="K228" s="141"/>
      <c r="L228" s="141">
        <f>+'KY_Res by Plant Acct-P29 (Fin)'!L228+'KY_Res by Plant Acct-P29 (PA)'!L227</f>
        <v>267523.87</v>
      </c>
      <c r="M228" s="62"/>
      <c r="N228" s="62">
        <f>+'KY_Res by Plant Acct-P29 (Fin)'!N228+'KY_Res by Plant Acct-P29 (PA)'!N227</f>
        <v>-37769.599999999999</v>
      </c>
      <c r="O228" s="62"/>
      <c r="P228" s="62">
        <f>+'KY_Res by Plant Acct-P29 (Fin)'!P228+'KY_Res by Plant Acct-P29 (PA)'!P227</f>
        <v>0</v>
      </c>
      <c r="Q228" s="62"/>
      <c r="R228" s="62">
        <f t="shared" si="21"/>
        <v>-9199803.5299999975</v>
      </c>
      <c r="S228" s="66"/>
      <c r="T228" s="63"/>
      <c r="U228" s="63"/>
    </row>
    <row r="229" spans="1:21" s="60" customFormat="1" hidden="1" outlineLevel="1">
      <c r="A229" s="60" t="s">
        <v>1422</v>
      </c>
      <c r="B229" s="62">
        <f>+'KY_Res by Plant Acct-P29 (Fin)'!B229+'KY_Res by Plant Acct-P29 (PA)'!B228</f>
        <v>-104130.66</v>
      </c>
      <c r="C229" s="62"/>
      <c r="D229" s="62">
        <f>+'KY_Res by Plant Acct-P29 (Fin)'!D229+'KY_Res by Plant Acct-P29 (PA)'!D228</f>
        <v>-28637.370000000003</v>
      </c>
      <c r="E229" s="62"/>
      <c r="F229" s="141">
        <f>+'KY_Res by Plant Acct-P29 (Fin)'!F229+'KY_Res by Plant Acct-P29 (PA)'!F228</f>
        <v>0</v>
      </c>
      <c r="G229" s="141"/>
      <c r="H229" s="141">
        <f>+'KY_Res by Plant Acct-P29 (Fin)'!H229+'KY_Res by Plant Acct-P29 (PA)'!H228</f>
        <v>0</v>
      </c>
      <c r="I229" s="141"/>
      <c r="J229" s="141">
        <f>+'KY_Res by Plant Acct-P29 (Fin)'!J229+'KY_Res by Plant Acct-P29 (PA)'!J228</f>
        <v>0</v>
      </c>
      <c r="K229" s="141"/>
      <c r="L229" s="141">
        <f>+'KY_Res by Plant Acct-P29 (Fin)'!L229+'KY_Res by Plant Acct-P29 (PA)'!L228</f>
        <v>0</v>
      </c>
      <c r="M229" s="62"/>
      <c r="N229" s="62">
        <f>+'KY_Res by Plant Acct-P29 (Fin)'!N229+'KY_Res by Plant Acct-P29 (PA)'!N228</f>
        <v>0</v>
      </c>
      <c r="O229" s="62"/>
      <c r="P229" s="62">
        <f>+'KY_Res by Plant Acct-P29 (Fin)'!P229+'KY_Res by Plant Acct-P29 (PA)'!P228</f>
        <v>0</v>
      </c>
      <c r="Q229" s="62"/>
      <c r="R229" s="62">
        <f t="shared" si="21"/>
        <v>-132768.03</v>
      </c>
      <c r="S229" s="66"/>
      <c r="T229" s="63"/>
      <c r="U229" s="63"/>
    </row>
    <row r="230" spans="1:21" s="60" customFormat="1" hidden="1" outlineLevel="1">
      <c r="A230" s="60" t="s">
        <v>1423</v>
      </c>
      <c r="B230" s="62">
        <f>+'KY_Res by Plant Acct-P29 (Fin)'!B230+'KY_Res by Plant Acct-P29 (PA)'!B229</f>
        <v>-3688777.18</v>
      </c>
      <c r="C230" s="62"/>
      <c r="D230" s="62">
        <f>+'KY_Res by Plant Acct-P29 (Fin)'!D230+'KY_Res by Plant Acct-P29 (PA)'!D229</f>
        <v>-966332.15</v>
      </c>
      <c r="E230" s="62"/>
      <c r="F230" s="141">
        <f>+'KY_Res by Plant Acct-P29 (Fin)'!F230+'KY_Res by Plant Acct-P29 (PA)'!F229</f>
        <v>0</v>
      </c>
      <c r="G230" s="141"/>
      <c r="H230" s="141">
        <f>+'KY_Res by Plant Acct-P29 (Fin)'!H230+'KY_Res by Plant Acct-P29 (PA)'!H229</f>
        <v>0</v>
      </c>
      <c r="I230" s="141"/>
      <c r="J230" s="141">
        <f>+'KY_Res by Plant Acct-P29 (Fin)'!J230+'KY_Res by Plant Acct-P29 (PA)'!J229</f>
        <v>0</v>
      </c>
      <c r="K230" s="141"/>
      <c r="L230" s="141">
        <f>+'KY_Res by Plant Acct-P29 (Fin)'!L230+'KY_Res by Plant Acct-P29 (PA)'!L229</f>
        <v>0</v>
      </c>
      <c r="M230" s="62"/>
      <c r="N230" s="62">
        <f>+'KY_Res by Plant Acct-P29 (Fin)'!N230+'KY_Res by Plant Acct-P29 (PA)'!N229</f>
        <v>0</v>
      </c>
      <c r="O230" s="62"/>
      <c r="P230" s="62">
        <f>+'KY_Res by Plant Acct-P29 (Fin)'!P230+'KY_Res by Plant Acct-P29 (PA)'!P229</f>
        <v>0</v>
      </c>
      <c r="Q230" s="62"/>
      <c r="R230" s="62">
        <f t="shared" si="21"/>
        <v>-4655109.33</v>
      </c>
      <c r="S230" s="66"/>
      <c r="T230" s="63"/>
      <c r="U230" s="63"/>
    </row>
    <row r="231" spans="1:21" s="60" customFormat="1" hidden="1" outlineLevel="1">
      <c r="A231" s="60" t="s">
        <v>1424</v>
      </c>
      <c r="B231" s="62">
        <f>+'KY_Res by Plant Acct-P29 (Fin)'!B231+'KY_Res by Plant Acct-P29 (PA)'!B230</f>
        <v>-1151837.24</v>
      </c>
      <c r="C231" s="62"/>
      <c r="D231" s="62">
        <f>+'KY_Res by Plant Acct-P29 (Fin)'!D231+'KY_Res by Plant Acct-P29 (PA)'!D230</f>
        <v>-302830.97000000003</v>
      </c>
      <c r="E231" s="62"/>
      <c r="F231" s="141">
        <f>+'KY_Res by Plant Acct-P29 (Fin)'!F231+'KY_Res by Plant Acct-P29 (PA)'!F230</f>
        <v>0</v>
      </c>
      <c r="G231" s="141"/>
      <c r="H231" s="141">
        <f>+'KY_Res by Plant Acct-P29 (Fin)'!H231+'KY_Res by Plant Acct-P29 (PA)'!H230</f>
        <v>0</v>
      </c>
      <c r="I231" s="141"/>
      <c r="J231" s="141">
        <f>+'KY_Res by Plant Acct-P29 (Fin)'!J231+'KY_Res by Plant Acct-P29 (PA)'!J230</f>
        <v>0</v>
      </c>
      <c r="K231" s="141"/>
      <c r="L231" s="141">
        <f>+'KY_Res by Plant Acct-P29 (Fin)'!L231+'KY_Res by Plant Acct-P29 (PA)'!L230</f>
        <v>0</v>
      </c>
      <c r="M231" s="62"/>
      <c r="N231" s="62">
        <f>+'KY_Res by Plant Acct-P29 (Fin)'!N231+'KY_Res by Plant Acct-P29 (PA)'!N230</f>
        <v>0</v>
      </c>
      <c r="O231" s="62"/>
      <c r="P231" s="62">
        <f>+'KY_Res by Plant Acct-P29 (Fin)'!P231+'KY_Res by Plant Acct-P29 (PA)'!P230</f>
        <v>0</v>
      </c>
      <c r="Q231" s="62"/>
      <c r="R231" s="62">
        <f t="shared" si="21"/>
        <v>-1454668.21</v>
      </c>
      <c r="S231" s="66"/>
      <c r="T231" s="63"/>
      <c r="U231" s="63"/>
    </row>
    <row r="232" spans="1:21" s="60" customFormat="1" hidden="1" outlineLevel="1">
      <c r="A232" s="332" t="s">
        <v>1453</v>
      </c>
      <c r="B232" s="62">
        <f>+'KY_Res by Plant Acct-P29 (Fin)'!B232+'KY_Res by Plant Acct-P29 (PA)'!B231</f>
        <v>-5470.92</v>
      </c>
      <c r="C232" s="62"/>
      <c r="D232" s="62">
        <f>+'KY_Res by Plant Acct-P29 (Fin)'!D232+'KY_Res by Plant Acct-P29 (PA)'!D231</f>
        <v>-32825.49</v>
      </c>
      <c r="E232" s="62"/>
      <c r="F232" s="141">
        <f>+'KY_Res by Plant Acct-P29 (Fin)'!F232+'KY_Res by Plant Acct-P29 (PA)'!F231</f>
        <v>0</v>
      </c>
      <c r="G232" s="141"/>
      <c r="H232" s="141">
        <f>+'KY_Res by Plant Acct-P29 (Fin)'!H232+'KY_Res by Plant Acct-P29 (PA)'!H231</f>
        <v>0</v>
      </c>
      <c r="I232" s="141"/>
      <c r="J232" s="141">
        <f>+'KY_Res by Plant Acct-P29 (Fin)'!J232+'KY_Res by Plant Acct-P29 (PA)'!J231</f>
        <v>0</v>
      </c>
      <c r="K232" s="141"/>
      <c r="L232" s="141">
        <f>+'KY_Res by Plant Acct-P29 (Fin)'!L232+'KY_Res by Plant Acct-P29 (PA)'!L231</f>
        <v>0</v>
      </c>
      <c r="M232" s="62"/>
      <c r="N232" s="62">
        <f>+'KY_Res by Plant Acct-P29 (Fin)'!N232+'KY_Res by Plant Acct-P29 (PA)'!N231</f>
        <v>0</v>
      </c>
      <c r="O232" s="62"/>
      <c r="P232" s="62">
        <f>+'KY_Res by Plant Acct-P29 (Fin)'!P232+'KY_Res by Plant Acct-P29 (PA)'!P231</f>
        <v>0</v>
      </c>
      <c r="Q232" s="62"/>
      <c r="R232" s="62">
        <f t="shared" si="21"/>
        <v>-38296.409999999996</v>
      </c>
      <c r="S232" s="66"/>
      <c r="T232" s="63"/>
      <c r="U232" s="63"/>
    </row>
    <row r="233" spans="1:21" s="60" customFormat="1" hidden="1" outlineLevel="1">
      <c r="A233" s="307" t="s">
        <v>1399</v>
      </c>
      <c r="B233" s="62">
        <f>+'KY_Res by Plant Acct-P29 (Fin)'!B233+'KY_Res by Plant Acct-P29 (PA)'!B232</f>
        <v>-4135011.4499999806</v>
      </c>
      <c r="C233" s="62"/>
      <c r="D233" s="62">
        <f>+'KY_Res by Plant Acct-P29 (Fin)'!D233+'KY_Res by Plant Acct-P29 (PA)'!D232</f>
        <v>-501569.19000000006</v>
      </c>
      <c r="E233" s="62"/>
      <c r="F233" s="141">
        <f>+'KY_Res by Plant Acct-P29 (Fin)'!F233+'KY_Res by Plant Acct-P29 (PA)'!F232</f>
        <v>0</v>
      </c>
      <c r="G233" s="141"/>
      <c r="H233" s="141">
        <f>+'KY_Res by Plant Acct-P29 (Fin)'!H233+'KY_Res by Plant Acct-P29 (PA)'!H232</f>
        <v>0</v>
      </c>
      <c r="I233" s="141"/>
      <c r="J233" s="141">
        <f>+'KY_Res by Plant Acct-P29 (Fin)'!J233+'KY_Res by Plant Acct-P29 (PA)'!J232</f>
        <v>0</v>
      </c>
      <c r="K233" s="141"/>
      <c r="L233" s="141">
        <f>+'KY_Res by Plant Acct-P29 (Fin)'!L233+'KY_Res by Plant Acct-P29 (PA)'!L232</f>
        <v>0</v>
      </c>
      <c r="M233" s="62"/>
      <c r="N233" s="62">
        <f>+'KY_Res by Plant Acct-P29 (Fin)'!N233+'KY_Res by Plant Acct-P29 (PA)'!N232</f>
        <v>0</v>
      </c>
      <c r="O233" s="62"/>
      <c r="P233" s="62">
        <f>+'KY_Res by Plant Acct-P29 (Fin)'!P233+'KY_Res by Plant Acct-P29 (PA)'!P232</f>
        <v>0</v>
      </c>
      <c r="Q233" s="62"/>
      <c r="R233" s="62">
        <f t="shared" si="21"/>
        <v>-4636580.639999981</v>
      </c>
      <c r="S233" s="66"/>
      <c r="T233" s="63"/>
      <c r="U233" s="63"/>
    </row>
    <row r="234" spans="1:21" s="60" customFormat="1" hidden="1" outlineLevel="1">
      <c r="A234" s="307" t="s">
        <v>1400</v>
      </c>
      <c r="B234" s="62">
        <f>+'KY_Res by Plant Acct-P29 (Fin)'!B234+'KY_Res by Plant Acct-P29 (PA)'!B233</f>
        <v>-382731.89000000013</v>
      </c>
      <c r="C234" s="62"/>
      <c r="D234" s="62">
        <f>+'KY_Res by Plant Acct-P29 (Fin)'!D234+'KY_Res by Plant Acct-P29 (PA)'!D233</f>
        <v>-74311.17</v>
      </c>
      <c r="E234" s="62"/>
      <c r="F234" s="141">
        <f>+'KY_Res by Plant Acct-P29 (Fin)'!F234+'KY_Res by Plant Acct-P29 (PA)'!F233</f>
        <v>0</v>
      </c>
      <c r="G234" s="141"/>
      <c r="H234" s="141">
        <f>+'KY_Res by Plant Acct-P29 (Fin)'!H234+'KY_Res by Plant Acct-P29 (PA)'!H233</f>
        <v>0</v>
      </c>
      <c r="I234" s="141"/>
      <c r="J234" s="141">
        <f>+'KY_Res by Plant Acct-P29 (Fin)'!J234+'KY_Res by Plant Acct-P29 (PA)'!J233</f>
        <v>0</v>
      </c>
      <c r="K234" s="141"/>
      <c r="L234" s="141">
        <f>+'KY_Res by Plant Acct-P29 (Fin)'!L234+'KY_Res by Plant Acct-P29 (PA)'!L233</f>
        <v>0</v>
      </c>
      <c r="M234" s="62"/>
      <c r="N234" s="62">
        <f>+'KY_Res by Plant Acct-P29 (Fin)'!N234+'KY_Res by Plant Acct-P29 (PA)'!N233</f>
        <v>0</v>
      </c>
      <c r="O234" s="62"/>
      <c r="P234" s="62">
        <f>+'KY_Res by Plant Acct-P29 (Fin)'!P234+'KY_Res by Plant Acct-P29 (PA)'!P233</f>
        <v>0</v>
      </c>
      <c r="Q234" s="62"/>
      <c r="R234" s="62">
        <f t="shared" si="21"/>
        <v>-457043.06000000011</v>
      </c>
      <c r="S234" s="66"/>
      <c r="T234" s="63"/>
      <c r="U234" s="63"/>
    </row>
    <row r="235" spans="1:21" s="10" customFormat="1" collapsed="1">
      <c r="A235" s="10" t="s">
        <v>801</v>
      </c>
      <c r="B235" s="65">
        <f>+'KY_Res by Plant Acct-P29 (Fin)'!B235+'KY_Res by Plant Acct-P29 (PA)'!B234</f>
        <v>-96818107.46999979</v>
      </c>
      <c r="C235" s="65"/>
      <c r="D235" s="65">
        <f>+'KY_Res by Plant Acct-P29 (Fin)'!D235+'KY_Res by Plant Acct-P29 (PA)'!D234</f>
        <v>-14245612.970000003</v>
      </c>
      <c r="E235" s="65"/>
      <c r="F235" s="142">
        <f>+'KY_Res by Plant Acct-P29 (Fin)'!F235+'KY_Res by Plant Acct-P29 (PA)'!F234</f>
        <v>1058503.49</v>
      </c>
      <c r="G235" s="142"/>
      <c r="H235" s="142">
        <f>+'KY_Res by Plant Acct-P29 (Fin)'!H235+'KY_Res by Plant Acct-P29 (PA)'!H234</f>
        <v>0</v>
      </c>
      <c r="I235" s="142"/>
      <c r="J235" s="142">
        <f>+'KY_Res by Plant Acct-P29 (Fin)'!J235+'KY_Res by Plant Acct-P29 (PA)'!J234</f>
        <v>0</v>
      </c>
      <c r="K235" s="142"/>
      <c r="L235" s="142">
        <f>+'KY_Res by Plant Acct-P29 (Fin)'!L235+'KY_Res by Plant Acct-P29 (PA)'!L234</f>
        <v>484461.29000000004</v>
      </c>
      <c r="M235" s="65"/>
      <c r="N235" s="65">
        <f>+'KY_Res by Plant Acct-P29 (Fin)'!N235+'KY_Res by Plant Acct-P29 (PA)'!N234</f>
        <v>-114351.16</v>
      </c>
      <c r="O235" s="65"/>
      <c r="P235" s="65">
        <f>+'KY_Res by Plant Acct-P29 (Fin)'!P235+'KY_Res by Plant Acct-P29 (PA)'!P234</f>
        <v>0</v>
      </c>
      <c r="Q235" s="65"/>
      <c r="R235" s="65">
        <f>SUM(R193:R234)</f>
        <v>-109635106.81999996</v>
      </c>
      <c r="S235" s="27"/>
      <c r="T235" s="24"/>
      <c r="U235" s="24"/>
    </row>
    <row r="236" spans="1:21" s="60" customFormat="1" hidden="1" outlineLevel="1">
      <c r="A236" s="60" t="s">
        <v>352</v>
      </c>
      <c r="B236" s="62">
        <f>+'KY_Res by Plant Acct-P29 (Fin)'!B236+'KY_Res by Plant Acct-P29 (PA)'!B235</f>
        <v>-10203.200000000012</v>
      </c>
      <c r="C236" s="62"/>
      <c r="D236" s="62">
        <f>+'KY_Res by Plant Acct-P29 (Fin)'!D236+'KY_Res by Plant Acct-P29 (PA)'!D235</f>
        <v>-2186.4</v>
      </c>
      <c r="E236" s="62"/>
      <c r="F236" s="141">
        <f>+'KY_Res by Plant Acct-P29 (Fin)'!F236+'KY_Res by Plant Acct-P29 (PA)'!F235</f>
        <v>0</v>
      </c>
      <c r="G236" s="141"/>
      <c r="H236" s="141">
        <f>+'KY_Res by Plant Acct-P29 (Fin)'!H236+'KY_Res by Plant Acct-P29 (PA)'!H235</f>
        <v>0</v>
      </c>
      <c r="I236" s="141"/>
      <c r="J236" s="141">
        <f>+'KY_Res by Plant Acct-P29 (Fin)'!J236+'KY_Res by Plant Acct-P29 (PA)'!J235</f>
        <v>0</v>
      </c>
      <c r="K236" s="141"/>
      <c r="L236" s="141">
        <f>+'KY_Res by Plant Acct-P29 (Fin)'!L236+'KY_Res by Plant Acct-P29 (PA)'!L235</f>
        <v>0</v>
      </c>
      <c r="M236" s="62"/>
      <c r="N236" s="62">
        <f>+'KY_Res by Plant Acct-P29 (Fin)'!N236+'KY_Res by Plant Acct-P29 (PA)'!N235</f>
        <v>0</v>
      </c>
      <c r="O236" s="62"/>
      <c r="P236" s="62">
        <f>+'KY_Res by Plant Acct-P29 (Fin)'!P236+'KY_Res by Plant Acct-P29 (PA)'!P235</f>
        <v>0</v>
      </c>
      <c r="Q236" s="62"/>
      <c r="R236" s="62">
        <f t="shared" si="17"/>
        <v>-12389.600000000011</v>
      </c>
      <c r="S236" s="66"/>
      <c r="T236" s="63"/>
      <c r="U236" s="63"/>
    </row>
    <row r="237" spans="1:21" s="60" customFormat="1" hidden="1" outlineLevel="1">
      <c r="A237" s="60" t="s">
        <v>360</v>
      </c>
      <c r="B237" s="62">
        <f>+'KY_Res by Plant Acct-P29 (Fin)'!B237+'KY_Res by Plant Acct-P29 (PA)'!B236</f>
        <v>-11484.059999999998</v>
      </c>
      <c r="C237" s="62"/>
      <c r="D237" s="62">
        <f>+'KY_Res by Plant Acct-P29 (Fin)'!D237+'KY_Res by Plant Acct-P29 (PA)'!D236</f>
        <v>-2460.87</v>
      </c>
      <c r="E237" s="62"/>
      <c r="F237" s="141">
        <f>+'KY_Res by Plant Acct-P29 (Fin)'!F237+'KY_Res by Plant Acct-P29 (PA)'!F236</f>
        <v>0</v>
      </c>
      <c r="G237" s="141"/>
      <c r="H237" s="141">
        <f>+'KY_Res by Plant Acct-P29 (Fin)'!H237+'KY_Res by Plant Acct-P29 (PA)'!H236</f>
        <v>0</v>
      </c>
      <c r="I237" s="141"/>
      <c r="J237" s="141">
        <f>+'KY_Res by Plant Acct-P29 (Fin)'!J237+'KY_Res by Plant Acct-P29 (PA)'!J236</f>
        <v>0</v>
      </c>
      <c r="K237" s="141"/>
      <c r="L237" s="141">
        <f>+'KY_Res by Plant Acct-P29 (Fin)'!L237+'KY_Res by Plant Acct-P29 (PA)'!L236</f>
        <v>0</v>
      </c>
      <c r="M237" s="62"/>
      <c r="N237" s="62">
        <f>+'KY_Res by Plant Acct-P29 (Fin)'!N237+'KY_Res by Plant Acct-P29 (PA)'!N236</f>
        <v>0</v>
      </c>
      <c r="O237" s="62"/>
      <c r="P237" s="62">
        <f>+'KY_Res by Plant Acct-P29 (Fin)'!P237+'KY_Res by Plant Acct-P29 (PA)'!P236</f>
        <v>0</v>
      </c>
      <c r="Q237" s="62"/>
      <c r="R237" s="62">
        <f t="shared" si="17"/>
        <v>-13944.929999999997</v>
      </c>
      <c r="S237" s="66"/>
      <c r="T237" s="63"/>
      <c r="U237" s="63"/>
    </row>
    <row r="238" spans="1:21" s="10" customFormat="1" collapsed="1">
      <c r="A238" s="10" t="s">
        <v>802</v>
      </c>
      <c r="B238" s="65">
        <f>+'KY_Res by Plant Acct-P29 (Fin)'!B238+'KY_Res by Plant Acct-P29 (PA)'!B237</f>
        <v>-21687.260000000009</v>
      </c>
      <c r="C238" s="65"/>
      <c r="D238" s="65">
        <f>+'KY_Res by Plant Acct-P29 (Fin)'!D238+'KY_Res by Plant Acct-P29 (PA)'!D237</f>
        <v>-4647.2700000000004</v>
      </c>
      <c r="E238" s="65"/>
      <c r="F238" s="142">
        <f>+'KY_Res by Plant Acct-P29 (Fin)'!F238+'KY_Res by Plant Acct-P29 (PA)'!F237</f>
        <v>0</v>
      </c>
      <c r="G238" s="142"/>
      <c r="H238" s="142">
        <f>+'KY_Res by Plant Acct-P29 (Fin)'!H238+'KY_Res by Plant Acct-P29 (PA)'!H237</f>
        <v>0</v>
      </c>
      <c r="I238" s="142"/>
      <c r="J238" s="142">
        <f>+'KY_Res by Plant Acct-P29 (Fin)'!J238+'KY_Res by Plant Acct-P29 (PA)'!J237</f>
        <v>0</v>
      </c>
      <c r="K238" s="142"/>
      <c r="L238" s="142">
        <f>+'KY_Res by Plant Acct-P29 (Fin)'!L238+'KY_Res by Plant Acct-P29 (PA)'!L237</f>
        <v>0</v>
      </c>
      <c r="M238" s="65"/>
      <c r="N238" s="65">
        <f>+'KY_Res by Plant Acct-P29 (Fin)'!N238+'KY_Res by Plant Acct-P29 (PA)'!N237</f>
        <v>0</v>
      </c>
      <c r="O238" s="65"/>
      <c r="P238" s="65">
        <f>+'KY_Res by Plant Acct-P29 (Fin)'!P238+'KY_Res by Plant Acct-P29 (PA)'!P237</f>
        <v>0</v>
      </c>
      <c r="Q238" s="65"/>
      <c r="R238" s="65">
        <f>SUM(R236:R237)</f>
        <v>-26334.530000000006</v>
      </c>
      <c r="S238" s="27"/>
      <c r="T238" s="24"/>
      <c r="U238" s="24"/>
    </row>
    <row r="239" spans="1:21" s="60" customFormat="1" hidden="1" outlineLevel="1">
      <c r="A239" s="60" t="s">
        <v>361</v>
      </c>
      <c r="B239" s="62">
        <f>+'KY_Res by Plant Acct-P29 (Fin)'!B239+'KY_Res by Plant Acct-P29 (PA)'!B238</f>
        <v>-33546.499999999985</v>
      </c>
      <c r="C239" s="62"/>
      <c r="D239" s="62">
        <f>+'KY_Res by Plant Acct-P29 (Fin)'!D239+'KY_Res by Plant Acct-P29 (PA)'!D238</f>
        <v>0</v>
      </c>
      <c r="E239" s="62"/>
      <c r="F239" s="141">
        <f>+'KY_Res by Plant Acct-P29 (Fin)'!F239+'KY_Res by Plant Acct-P29 (PA)'!F238</f>
        <v>0</v>
      </c>
      <c r="G239" s="141"/>
      <c r="H239" s="141">
        <f>+'KY_Res by Plant Acct-P29 (Fin)'!H239+'KY_Res by Plant Acct-P29 (PA)'!H238</f>
        <v>0</v>
      </c>
      <c r="I239" s="141"/>
      <c r="J239" s="141">
        <f>+'KY_Res by Plant Acct-P29 (Fin)'!J239+'KY_Res by Plant Acct-P29 (PA)'!J238</f>
        <v>0</v>
      </c>
      <c r="K239" s="141"/>
      <c r="L239" s="141">
        <f>+'KY_Res by Plant Acct-P29 (Fin)'!L239+'KY_Res by Plant Acct-P29 (PA)'!L238</f>
        <v>0</v>
      </c>
      <c r="M239" s="62"/>
      <c r="N239" s="62">
        <f>+'KY_Res by Plant Acct-P29 (Fin)'!N239+'KY_Res by Plant Acct-P29 (PA)'!N238</f>
        <v>0</v>
      </c>
      <c r="O239" s="62"/>
      <c r="P239" s="62">
        <f>+'KY_Res by Plant Acct-P29 (Fin)'!P239+'KY_Res by Plant Acct-P29 (PA)'!P238</f>
        <v>0</v>
      </c>
      <c r="Q239" s="62"/>
      <c r="R239" s="62">
        <f t="shared" si="17"/>
        <v>-33546.499999999985</v>
      </c>
      <c r="S239" s="66"/>
      <c r="T239" s="63"/>
      <c r="U239" s="63"/>
    </row>
    <row r="240" spans="1:21" s="60" customFormat="1" hidden="1" outlineLevel="1">
      <c r="A240" s="60" t="s">
        <v>363</v>
      </c>
      <c r="B240" s="62">
        <f>+'KY_Res by Plant Acct-P29 (Fin)'!B240+'KY_Res by Plant Acct-P29 (PA)'!B239</f>
        <v>-1493</v>
      </c>
      <c r="C240" s="62"/>
      <c r="D240" s="62">
        <f>+'KY_Res by Plant Acct-P29 (Fin)'!D240+'KY_Res by Plant Acct-P29 (PA)'!D239</f>
        <v>0</v>
      </c>
      <c r="E240" s="62"/>
      <c r="F240" s="62">
        <f>+'KY_Res by Plant Acct-P29 (Fin)'!F240+'KY_Res by Plant Acct-P29 (PA)'!F239</f>
        <v>0</v>
      </c>
      <c r="G240" s="62"/>
      <c r="H240" s="62">
        <f>+'KY_Res by Plant Acct-P29 (Fin)'!H240+'KY_Res by Plant Acct-P29 (PA)'!H239</f>
        <v>0</v>
      </c>
      <c r="I240" s="62"/>
      <c r="J240" s="62">
        <f>+'KY_Res by Plant Acct-P29 (Fin)'!J240+'KY_Res by Plant Acct-P29 (PA)'!J239</f>
        <v>0</v>
      </c>
      <c r="K240" s="62"/>
      <c r="L240" s="62">
        <f>+'KY_Res by Plant Acct-P29 (Fin)'!L240+'KY_Res by Plant Acct-P29 (PA)'!L239</f>
        <v>0</v>
      </c>
      <c r="M240" s="62"/>
      <c r="N240" s="62">
        <f>+'KY_Res by Plant Acct-P29 (Fin)'!N240+'KY_Res by Plant Acct-P29 (PA)'!N239</f>
        <v>0</v>
      </c>
      <c r="O240" s="62"/>
      <c r="P240" s="62">
        <f>+'KY_Res by Plant Acct-P29 (Fin)'!P240+'KY_Res by Plant Acct-P29 (PA)'!P239</f>
        <v>0</v>
      </c>
      <c r="Q240" s="62"/>
      <c r="R240" s="62">
        <f t="shared" si="17"/>
        <v>-1493</v>
      </c>
      <c r="S240" s="66"/>
      <c r="T240" s="63"/>
      <c r="U240" s="63"/>
    </row>
    <row r="241" spans="1:21" s="60" customFormat="1" hidden="1" outlineLevel="1">
      <c r="A241" s="60" t="s">
        <v>1058</v>
      </c>
      <c r="B241" s="62">
        <f>+'KY_Res by Plant Acct-P29 (Fin)'!B241+'KY_Res by Plant Acct-P29 (PA)'!B240</f>
        <v>-42526</v>
      </c>
      <c r="C241" s="62"/>
      <c r="D241" s="62">
        <f>+'KY_Res by Plant Acct-P29 (Fin)'!D241+'KY_Res by Plant Acct-P29 (PA)'!D240</f>
        <v>0</v>
      </c>
      <c r="E241" s="62"/>
      <c r="F241" s="62">
        <f>+'KY_Res by Plant Acct-P29 (Fin)'!F241+'KY_Res by Plant Acct-P29 (PA)'!F240</f>
        <v>0</v>
      </c>
      <c r="G241" s="62"/>
      <c r="H241" s="62">
        <f>+'KY_Res by Plant Acct-P29 (Fin)'!H241+'KY_Res by Plant Acct-P29 (PA)'!H240</f>
        <v>0</v>
      </c>
      <c r="I241" s="62"/>
      <c r="J241" s="62">
        <f>+'KY_Res by Plant Acct-P29 (Fin)'!J241+'KY_Res by Plant Acct-P29 (PA)'!J240</f>
        <v>0</v>
      </c>
      <c r="K241" s="62"/>
      <c r="L241" s="62">
        <f>+'KY_Res by Plant Acct-P29 (Fin)'!L241+'KY_Res by Plant Acct-P29 (PA)'!L240</f>
        <v>0</v>
      </c>
      <c r="M241" s="62"/>
      <c r="N241" s="62">
        <f>+'KY_Res by Plant Acct-P29 (Fin)'!N241+'KY_Res by Plant Acct-P29 (PA)'!N240</f>
        <v>0</v>
      </c>
      <c r="O241" s="62"/>
      <c r="P241" s="62">
        <f>+'KY_Res by Plant Acct-P29 (Fin)'!P241+'KY_Res by Plant Acct-P29 (PA)'!P240</f>
        <v>0</v>
      </c>
      <c r="Q241" s="62"/>
      <c r="R241" s="62">
        <f t="shared" si="17"/>
        <v>-42526</v>
      </c>
      <c r="S241" s="66"/>
      <c r="T241" s="63"/>
      <c r="U241" s="63"/>
    </row>
    <row r="242" spans="1:21" s="60" customFormat="1" hidden="1" outlineLevel="1">
      <c r="A242" s="60" t="s">
        <v>364</v>
      </c>
      <c r="B242" s="62">
        <f>+'KY_Res by Plant Acct-P29 (Fin)'!B242+'KY_Res by Plant Acct-P29 (PA)'!B241</f>
        <v>-912595.49000000022</v>
      </c>
      <c r="C242" s="62"/>
      <c r="D242" s="62">
        <f>+'KY_Res by Plant Acct-P29 (Fin)'!D242+'KY_Res by Plant Acct-P29 (PA)'!D241</f>
        <v>-72096.039999999994</v>
      </c>
      <c r="E242" s="62"/>
      <c r="F242" s="62">
        <f>+'KY_Res by Plant Acct-P29 (Fin)'!F242+'KY_Res by Plant Acct-P29 (PA)'!F241</f>
        <v>0</v>
      </c>
      <c r="G242" s="62"/>
      <c r="H242" s="62">
        <f>+'KY_Res by Plant Acct-P29 (Fin)'!H242+'KY_Res by Plant Acct-P29 (PA)'!H241</f>
        <v>0</v>
      </c>
      <c r="I242" s="62"/>
      <c r="J242" s="62">
        <f>+'KY_Res by Plant Acct-P29 (Fin)'!J242+'KY_Res by Plant Acct-P29 (PA)'!J241</f>
        <v>0</v>
      </c>
      <c r="K242" s="62"/>
      <c r="L242" s="62">
        <f>+'KY_Res by Plant Acct-P29 (Fin)'!L242+'KY_Res by Plant Acct-P29 (PA)'!L241</f>
        <v>0</v>
      </c>
      <c r="M242" s="62"/>
      <c r="N242" s="62">
        <f>+'KY_Res by Plant Acct-P29 (Fin)'!N242+'KY_Res by Plant Acct-P29 (PA)'!N241</f>
        <v>0</v>
      </c>
      <c r="O242" s="62"/>
      <c r="P242" s="62">
        <f>+'KY_Res by Plant Acct-P29 (Fin)'!P242+'KY_Res by Plant Acct-P29 (PA)'!P241</f>
        <v>0</v>
      </c>
      <c r="Q242" s="62"/>
      <c r="R242" s="62">
        <f t="shared" si="17"/>
        <v>-984691.53000000026</v>
      </c>
      <c r="S242" s="66"/>
      <c r="T242" s="63"/>
      <c r="U242" s="63"/>
    </row>
    <row r="243" spans="1:21" s="60" customFormat="1" hidden="1" outlineLevel="1">
      <c r="A243" s="60" t="s">
        <v>365</v>
      </c>
      <c r="B243" s="62">
        <f>+'KY_Res by Plant Acct-P29 (Fin)'!B243+'KY_Res by Plant Acct-P29 (PA)'!B242</f>
        <v>-739503.87999999896</v>
      </c>
      <c r="C243" s="62"/>
      <c r="D243" s="62">
        <f>+'KY_Res by Plant Acct-P29 (Fin)'!D243+'KY_Res by Plant Acct-P29 (PA)'!D242</f>
        <v>-44021.31</v>
      </c>
      <c r="E243" s="62"/>
      <c r="F243" s="62">
        <f>+'KY_Res by Plant Acct-P29 (Fin)'!F243+'KY_Res by Plant Acct-P29 (PA)'!F242</f>
        <v>0</v>
      </c>
      <c r="G243" s="62"/>
      <c r="H243" s="62">
        <f>+'KY_Res by Plant Acct-P29 (Fin)'!H243+'KY_Res by Plant Acct-P29 (PA)'!H242</f>
        <v>0</v>
      </c>
      <c r="I243" s="62"/>
      <c r="J243" s="62">
        <f>+'KY_Res by Plant Acct-P29 (Fin)'!J243+'KY_Res by Plant Acct-P29 (PA)'!J242</f>
        <v>0</v>
      </c>
      <c r="K243" s="62"/>
      <c r="L243" s="62">
        <f>+'KY_Res by Plant Acct-P29 (Fin)'!L243+'KY_Res by Plant Acct-P29 (PA)'!L242</f>
        <v>0</v>
      </c>
      <c r="M243" s="62"/>
      <c r="N243" s="62">
        <f>+'KY_Res by Plant Acct-P29 (Fin)'!N243+'KY_Res by Plant Acct-P29 (PA)'!N242</f>
        <v>0</v>
      </c>
      <c r="O243" s="62"/>
      <c r="P243" s="62">
        <f>+'KY_Res by Plant Acct-P29 (Fin)'!P243+'KY_Res by Plant Acct-P29 (PA)'!P242</f>
        <v>0</v>
      </c>
      <c r="Q243" s="62"/>
      <c r="R243" s="62">
        <f t="shared" si="17"/>
        <v>-783525.18999999901</v>
      </c>
      <c r="S243" s="66"/>
      <c r="T243" s="63"/>
      <c r="U243" s="63"/>
    </row>
    <row r="244" spans="1:21" s="60" customFormat="1" hidden="1" outlineLevel="1">
      <c r="A244" s="60" t="s">
        <v>367</v>
      </c>
      <c r="B244" s="62">
        <f>+'KY_Res by Plant Acct-P29 (Fin)'!B244+'KY_Res by Plant Acct-P29 (PA)'!B243</f>
        <v>-1332261.5199999996</v>
      </c>
      <c r="C244" s="62"/>
      <c r="D244" s="62">
        <f>+'KY_Res by Plant Acct-P29 (Fin)'!D244+'KY_Res by Plant Acct-P29 (PA)'!D243</f>
        <v>-137590.07999999999</v>
      </c>
      <c r="E244" s="62"/>
      <c r="F244" s="62">
        <f>+'KY_Res by Plant Acct-P29 (Fin)'!F244+'KY_Res by Plant Acct-P29 (PA)'!F243</f>
        <v>0</v>
      </c>
      <c r="G244" s="62"/>
      <c r="H244" s="62">
        <f>+'KY_Res by Plant Acct-P29 (Fin)'!H244+'KY_Res by Plant Acct-P29 (PA)'!H243</f>
        <v>0</v>
      </c>
      <c r="I244" s="62"/>
      <c r="J244" s="62">
        <f>+'KY_Res by Plant Acct-P29 (Fin)'!J244+'KY_Res by Plant Acct-P29 (PA)'!J243</f>
        <v>0</v>
      </c>
      <c r="K244" s="62"/>
      <c r="L244" s="62">
        <f>+'KY_Res by Plant Acct-P29 (Fin)'!L244+'KY_Res by Plant Acct-P29 (PA)'!L243</f>
        <v>0</v>
      </c>
      <c r="M244" s="62"/>
      <c r="N244" s="62">
        <f>+'KY_Res by Plant Acct-P29 (Fin)'!N244+'KY_Res by Plant Acct-P29 (PA)'!N243</f>
        <v>0</v>
      </c>
      <c r="O244" s="62"/>
      <c r="P244" s="62">
        <f>+'KY_Res by Plant Acct-P29 (Fin)'!P244+'KY_Res by Plant Acct-P29 (PA)'!P243</f>
        <v>0</v>
      </c>
      <c r="Q244" s="62"/>
      <c r="R244" s="62">
        <f t="shared" si="17"/>
        <v>-1469851.5999999996</v>
      </c>
      <c r="S244" s="66"/>
      <c r="T244" s="63"/>
      <c r="U244" s="63"/>
    </row>
    <row r="245" spans="1:21" s="60" customFormat="1" hidden="1" outlineLevel="1">
      <c r="A245" s="60" t="s">
        <v>1055</v>
      </c>
      <c r="B245" s="62">
        <f>+'KY_Res by Plant Acct-P29 (Fin)'!B245+'KY_Res by Plant Acct-P29 (PA)'!B244</f>
        <v>-1355387.6499999985</v>
      </c>
      <c r="C245" s="62"/>
      <c r="D245" s="62">
        <f>+'KY_Res by Plant Acct-P29 (Fin)'!D245+'KY_Res by Plant Acct-P29 (PA)'!D244</f>
        <v>-78939.78</v>
      </c>
      <c r="E245" s="62"/>
      <c r="F245" s="62">
        <f>+'KY_Res by Plant Acct-P29 (Fin)'!F245+'KY_Res by Plant Acct-P29 (PA)'!F244</f>
        <v>0</v>
      </c>
      <c r="G245" s="62"/>
      <c r="H245" s="62">
        <f>+'KY_Res by Plant Acct-P29 (Fin)'!H245+'KY_Res by Plant Acct-P29 (PA)'!H244</f>
        <v>0</v>
      </c>
      <c r="I245" s="62"/>
      <c r="J245" s="62">
        <f>+'KY_Res by Plant Acct-P29 (Fin)'!J245+'KY_Res by Plant Acct-P29 (PA)'!J244</f>
        <v>0</v>
      </c>
      <c r="K245" s="62"/>
      <c r="L245" s="62">
        <f>+'KY_Res by Plant Acct-P29 (Fin)'!L245+'KY_Res by Plant Acct-P29 (PA)'!L244</f>
        <v>0</v>
      </c>
      <c r="M245" s="62"/>
      <c r="N245" s="62">
        <f>+'KY_Res by Plant Acct-P29 (Fin)'!N245+'KY_Res by Plant Acct-P29 (PA)'!N244</f>
        <v>0</v>
      </c>
      <c r="O245" s="62"/>
      <c r="P245" s="62">
        <f>+'KY_Res by Plant Acct-P29 (Fin)'!P245+'KY_Res by Plant Acct-P29 (PA)'!P244</f>
        <v>0</v>
      </c>
      <c r="Q245" s="62"/>
      <c r="R245" s="62">
        <f t="shared" si="17"/>
        <v>-1434327.4299999985</v>
      </c>
      <c r="S245" s="66"/>
      <c r="T245" s="63"/>
      <c r="U245" s="63"/>
    </row>
    <row r="246" spans="1:21" s="60" customFormat="1" hidden="1" outlineLevel="1">
      <c r="A246" s="60" t="s">
        <v>368</v>
      </c>
      <c r="B246" s="62">
        <f>+'KY_Res by Plant Acct-P29 (Fin)'!B246+'KY_Res by Plant Acct-P29 (PA)'!B245</f>
        <v>-1219467.9499999993</v>
      </c>
      <c r="C246" s="62"/>
      <c r="D246" s="62">
        <f>+'KY_Res by Plant Acct-P29 (Fin)'!D246+'KY_Res by Plant Acct-P29 (PA)'!D245</f>
        <v>-105129.70999999999</v>
      </c>
      <c r="E246" s="62"/>
      <c r="F246" s="62">
        <f>+'KY_Res by Plant Acct-P29 (Fin)'!F246+'KY_Res by Plant Acct-P29 (PA)'!F245</f>
        <v>0</v>
      </c>
      <c r="G246" s="62"/>
      <c r="H246" s="62">
        <f>+'KY_Res by Plant Acct-P29 (Fin)'!H246+'KY_Res by Plant Acct-P29 (PA)'!H245</f>
        <v>0</v>
      </c>
      <c r="I246" s="62"/>
      <c r="J246" s="62">
        <f>+'KY_Res by Plant Acct-P29 (Fin)'!J246+'KY_Res by Plant Acct-P29 (PA)'!J245</f>
        <v>0</v>
      </c>
      <c r="K246" s="62"/>
      <c r="L246" s="62">
        <f>+'KY_Res by Plant Acct-P29 (Fin)'!L246+'KY_Res by Plant Acct-P29 (PA)'!L245</f>
        <v>0</v>
      </c>
      <c r="M246" s="62"/>
      <c r="N246" s="62">
        <f>+'KY_Res by Plant Acct-P29 (Fin)'!N246+'KY_Res by Plant Acct-P29 (PA)'!N245</f>
        <v>0</v>
      </c>
      <c r="O246" s="62"/>
      <c r="P246" s="62">
        <f>+'KY_Res by Plant Acct-P29 (Fin)'!P246+'KY_Res by Plant Acct-P29 (PA)'!P245</f>
        <v>0</v>
      </c>
      <c r="Q246" s="62"/>
      <c r="R246" s="62">
        <f t="shared" si="17"/>
        <v>-1324597.6599999992</v>
      </c>
      <c r="S246" s="66"/>
      <c r="T246" s="63"/>
      <c r="U246" s="63"/>
    </row>
    <row r="247" spans="1:21" s="60" customFormat="1" hidden="1" outlineLevel="1">
      <c r="A247" s="60" t="s">
        <v>369</v>
      </c>
      <c r="B247" s="62">
        <f>+'KY_Res by Plant Acct-P29 (Fin)'!B247+'KY_Res by Plant Acct-P29 (PA)'!B246</f>
        <v>-1481846.9700000063</v>
      </c>
      <c r="C247" s="62"/>
      <c r="D247" s="62">
        <f>+'KY_Res by Plant Acct-P29 (Fin)'!D247+'KY_Res by Plant Acct-P29 (PA)'!D246</f>
        <v>-170081.43</v>
      </c>
      <c r="E247" s="62"/>
      <c r="F247" s="62">
        <f>+'KY_Res by Plant Acct-P29 (Fin)'!F247+'KY_Res by Plant Acct-P29 (PA)'!F246</f>
        <v>56344.619999999937</v>
      </c>
      <c r="G247" s="62"/>
      <c r="H247" s="62">
        <f>+'KY_Res by Plant Acct-P29 (Fin)'!H247+'KY_Res by Plant Acct-P29 (PA)'!H246</f>
        <v>0</v>
      </c>
      <c r="I247" s="62"/>
      <c r="J247" s="62">
        <f>+'KY_Res by Plant Acct-P29 (Fin)'!J247+'KY_Res by Plant Acct-P29 (PA)'!J246</f>
        <v>0</v>
      </c>
      <c r="K247" s="62"/>
      <c r="L247" s="62">
        <f>+'KY_Res by Plant Acct-P29 (Fin)'!L247+'KY_Res by Plant Acct-P29 (PA)'!L246</f>
        <v>507174.24</v>
      </c>
      <c r="M247" s="62"/>
      <c r="N247" s="62">
        <f>+'KY_Res by Plant Acct-P29 (Fin)'!N247+'KY_Res by Plant Acct-P29 (PA)'!N246</f>
        <v>0</v>
      </c>
      <c r="O247" s="62"/>
      <c r="P247" s="62">
        <f>+'KY_Res by Plant Acct-P29 (Fin)'!P247+'KY_Res by Plant Acct-P29 (PA)'!P246</f>
        <v>0</v>
      </c>
      <c r="Q247" s="62"/>
      <c r="R247" s="62">
        <f>SUM(B247:P247)</f>
        <v>-1088409.5400000063</v>
      </c>
      <c r="S247" s="66"/>
      <c r="T247" s="63"/>
      <c r="U247" s="63"/>
    </row>
    <row r="248" spans="1:21" s="60" customFormat="1" hidden="1" outlineLevel="1">
      <c r="A248" s="60" t="s">
        <v>55</v>
      </c>
      <c r="B248" s="62">
        <f>+'KY_Res by Plant Acct-P29 (Fin)'!B248+'KY_Res by Plant Acct-P29 (PA)'!B247</f>
        <v>-2805420.5999999978</v>
      </c>
      <c r="C248" s="62"/>
      <c r="D248" s="62">
        <f>+'KY_Res by Plant Acct-P29 (Fin)'!D248+'KY_Res by Plant Acct-P29 (PA)'!D247</f>
        <v>-243728.74</v>
      </c>
      <c r="E248" s="62"/>
      <c r="F248" s="62">
        <f>+'KY_Res by Plant Acct-P29 (Fin)'!F248+'KY_Res by Plant Acct-P29 (PA)'!F247</f>
        <v>0</v>
      </c>
      <c r="G248" s="62"/>
      <c r="H248" s="62">
        <f>+'KY_Res by Plant Acct-P29 (Fin)'!H248+'KY_Res by Plant Acct-P29 (PA)'!H247</f>
        <v>0</v>
      </c>
      <c r="I248" s="62"/>
      <c r="J248" s="62">
        <f>+'KY_Res by Plant Acct-P29 (Fin)'!J248+'KY_Res by Plant Acct-P29 (PA)'!J247</f>
        <v>0</v>
      </c>
      <c r="K248" s="62"/>
      <c r="L248" s="62">
        <f>+'KY_Res by Plant Acct-P29 (Fin)'!L248+'KY_Res by Plant Acct-P29 (PA)'!L247</f>
        <v>0</v>
      </c>
      <c r="M248" s="62"/>
      <c r="N248" s="62">
        <f>+'KY_Res by Plant Acct-P29 (Fin)'!N248+'KY_Res by Plant Acct-P29 (PA)'!N247</f>
        <v>0</v>
      </c>
      <c r="O248" s="62"/>
      <c r="P248" s="62">
        <f>+'KY_Res by Plant Acct-P29 (Fin)'!P248+'KY_Res by Plant Acct-P29 (PA)'!P247</f>
        <v>0</v>
      </c>
      <c r="Q248" s="62"/>
      <c r="R248" s="62">
        <f>SUM(B248:P248)</f>
        <v>-3049149.339999998</v>
      </c>
      <c r="S248" s="66"/>
      <c r="T248" s="63"/>
      <c r="U248" s="63"/>
    </row>
    <row r="249" spans="1:21" s="60" customFormat="1" hidden="1" outlineLevel="1">
      <c r="A249" s="60" t="s">
        <v>675</v>
      </c>
      <c r="B249" s="62">
        <f>+'KY_Res by Plant Acct-P29 (Fin)'!B249+'KY_Res by Plant Acct-P29 (PA)'!B248</f>
        <v>293.62000000011176</v>
      </c>
      <c r="C249" s="62"/>
      <c r="D249" s="62">
        <f>+'KY_Res by Plant Acct-P29 (Fin)'!D249+'KY_Res by Plant Acct-P29 (PA)'!D248</f>
        <v>0</v>
      </c>
      <c r="E249" s="62"/>
      <c r="F249" s="62">
        <f>+'KY_Res by Plant Acct-P29 (Fin)'!F249+'KY_Res by Plant Acct-P29 (PA)'!F248</f>
        <v>0</v>
      </c>
      <c r="G249" s="141"/>
      <c r="H249" s="62">
        <f>+'KY_Res by Plant Acct-P29 (Fin)'!H249+'KY_Res by Plant Acct-P29 (PA)'!H248</f>
        <v>15682.75</v>
      </c>
      <c r="I249" s="141"/>
      <c r="J249" s="62">
        <f>+'KY_Res by Plant Acct-P29 (Fin)'!J249+'KY_Res by Plant Acct-P29 (PA)'!J248</f>
        <v>0</v>
      </c>
      <c r="K249" s="141"/>
      <c r="L249" s="62">
        <f>+'KY_Res by Plant Acct-P29 (Fin)'!L249+'KY_Res by Plant Acct-P29 (PA)'!L248</f>
        <v>0</v>
      </c>
      <c r="M249" s="62"/>
      <c r="N249" s="62">
        <f>+'KY_Res by Plant Acct-P29 (Fin)'!N249+'KY_Res by Plant Acct-P29 (PA)'!N248</f>
        <v>0</v>
      </c>
      <c r="O249" s="62"/>
      <c r="P249" s="62">
        <f>+'KY_Res by Plant Acct-P29 (Fin)'!P249+'KY_Res by Plant Acct-P29 (PA)'!P248</f>
        <v>0</v>
      </c>
      <c r="Q249" s="62"/>
      <c r="R249" s="62">
        <f>SUM(B249:P249)</f>
        <v>15976.370000000112</v>
      </c>
      <c r="S249" s="66"/>
      <c r="T249" s="63"/>
      <c r="U249" s="63"/>
    </row>
    <row r="250" spans="1:21" s="60" customFormat="1" hidden="1" outlineLevel="1">
      <c r="A250" s="60" t="s">
        <v>297</v>
      </c>
      <c r="B250" s="62">
        <f>+'KY_Res by Plant Acct-P29 (Fin)'!B250+'KY_Res by Plant Acct-P29 (PA)'!B249</f>
        <v>-1427942.5600000024</v>
      </c>
      <c r="C250" s="62"/>
      <c r="D250" s="62">
        <f>+'KY_Res by Plant Acct-P29 (Fin)'!D250+'KY_Res by Plant Acct-P29 (PA)'!D249</f>
        <v>-353403.94999999995</v>
      </c>
      <c r="E250" s="62"/>
      <c r="F250" s="62">
        <f>+'KY_Res by Plant Acct-P29 (Fin)'!F250+'KY_Res by Plant Acct-P29 (PA)'!F249</f>
        <v>0</v>
      </c>
      <c r="G250" s="141"/>
      <c r="H250" s="62">
        <f>+'KY_Res by Plant Acct-P29 (Fin)'!H250+'KY_Res by Plant Acct-P29 (PA)'!H249</f>
        <v>-15682.75</v>
      </c>
      <c r="I250" s="141"/>
      <c r="J250" s="62">
        <f>+'KY_Res by Plant Acct-P29 (Fin)'!J250+'KY_Res by Plant Acct-P29 (PA)'!J249</f>
        <v>0</v>
      </c>
      <c r="K250" s="141"/>
      <c r="L250" s="62">
        <f>+'KY_Res by Plant Acct-P29 (Fin)'!L250+'KY_Res by Plant Acct-P29 (PA)'!L249</f>
        <v>0</v>
      </c>
      <c r="M250" s="62"/>
      <c r="N250" s="62">
        <f>+'KY_Res by Plant Acct-P29 (Fin)'!N250+'KY_Res by Plant Acct-P29 (PA)'!N249</f>
        <v>0</v>
      </c>
      <c r="O250" s="62"/>
      <c r="P250" s="62">
        <f>+'KY_Res by Plant Acct-P29 (Fin)'!P250+'KY_Res by Plant Acct-P29 (PA)'!P249</f>
        <v>0</v>
      </c>
      <c r="Q250" s="62"/>
      <c r="R250" s="62">
        <f>SUM(B250:P250)</f>
        <v>-1797029.2600000023</v>
      </c>
      <c r="S250" s="66"/>
      <c r="T250" s="63"/>
      <c r="U250" s="63"/>
    </row>
    <row r="251" spans="1:21" s="60" customFormat="1" hidden="1" outlineLevel="1">
      <c r="A251" s="60" t="s">
        <v>1265</v>
      </c>
      <c r="B251" s="62">
        <f>+'KY_Res by Plant Acct-P29 (Fin)'!B251+'KY_Res by Plant Acct-P29 (PA)'!B250</f>
        <v>-795672.47</v>
      </c>
      <c r="C251" s="62"/>
      <c r="D251" s="62">
        <f>+'KY_Res by Plant Acct-P29 (Fin)'!D251+'KY_Res by Plant Acct-P29 (PA)'!D250</f>
        <v>-142410.01</v>
      </c>
      <c r="E251" s="62"/>
      <c r="F251" s="62">
        <f>+'KY_Res by Plant Acct-P29 (Fin)'!F251+'KY_Res by Plant Acct-P29 (PA)'!F250</f>
        <v>0</v>
      </c>
      <c r="G251" s="62"/>
      <c r="H251" s="62">
        <f>+'KY_Res by Plant Acct-P29 (Fin)'!H251+'KY_Res by Plant Acct-P29 (PA)'!H250</f>
        <v>0</v>
      </c>
      <c r="I251" s="62"/>
      <c r="J251" s="62">
        <f>+'KY_Res by Plant Acct-P29 (Fin)'!J251+'KY_Res by Plant Acct-P29 (PA)'!J250</f>
        <v>0</v>
      </c>
      <c r="K251" s="62"/>
      <c r="L251" s="62">
        <f>+'KY_Res by Plant Acct-P29 (Fin)'!L251+'KY_Res by Plant Acct-P29 (PA)'!L250</f>
        <v>0</v>
      </c>
      <c r="M251" s="62"/>
      <c r="N251" s="62">
        <f>+'KY_Res by Plant Acct-P29 (Fin)'!N251+'KY_Res by Plant Acct-P29 (PA)'!N250</f>
        <v>0</v>
      </c>
      <c r="O251" s="62"/>
      <c r="P251" s="62">
        <f>+'KY_Res by Plant Acct-P29 (Fin)'!P251+'KY_Res by Plant Acct-P29 (PA)'!P250</f>
        <v>0</v>
      </c>
      <c r="Q251" s="62"/>
      <c r="R251" s="62">
        <f>SUM(B251:P251)</f>
        <v>-938082.48</v>
      </c>
      <c r="S251" s="66"/>
      <c r="T251" s="63"/>
      <c r="U251" s="63"/>
    </row>
    <row r="252" spans="1:21" s="10" customFormat="1" collapsed="1">
      <c r="A252" s="10" t="s">
        <v>803</v>
      </c>
      <c r="B252" s="65">
        <f>+'KY_Res by Plant Acct-P29 (Fin)'!B252+'KY_Res by Plant Acct-P29 (PA)'!B251</f>
        <v>-12147370.969999984</v>
      </c>
      <c r="C252" s="65"/>
      <c r="D252" s="65">
        <f>+'KY_Res by Plant Acct-P29 (Fin)'!D252+'KY_Res by Plant Acct-P29 (PA)'!D251</f>
        <v>-1347401.0499999998</v>
      </c>
      <c r="E252" s="65"/>
      <c r="F252" s="142">
        <f>+'KY_Res by Plant Acct-P29 (Fin)'!F252+'KY_Res by Plant Acct-P29 (PA)'!F251</f>
        <v>56344.619999999937</v>
      </c>
      <c r="G252" s="142"/>
      <c r="H252" s="142">
        <f>+'KY_Res by Plant Acct-P29 (Fin)'!H252+'KY_Res by Plant Acct-P29 (PA)'!H251</f>
        <v>0</v>
      </c>
      <c r="I252" s="142"/>
      <c r="J252" s="142">
        <f>+'KY_Res by Plant Acct-P29 (Fin)'!J252+'KY_Res by Plant Acct-P29 (PA)'!J251</f>
        <v>0</v>
      </c>
      <c r="K252" s="142"/>
      <c r="L252" s="142">
        <f>+'KY_Res by Plant Acct-P29 (Fin)'!L252+'KY_Res by Plant Acct-P29 (PA)'!L251</f>
        <v>507174.24</v>
      </c>
      <c r="M252" s="142"/>
      <c r="N252" s="65">
        <f>+'KY_Res by Plant Acct-P29 (Fin)'!N252+'KY_Res by Plant Acct-P29 (PA)'!N251</f>
        <v>0</v>
      </c>
      <c r="O252" s="65"/>
      <c r="P252" s="65">
        <f>+'KY_Res by Plant Acct-P29 (Fin)'!P252+'KY_Res by Plant Acct-P29 (PA)'!P251</f>
        <v>0</v>
      </c>
      <c r="Q252" s="65"/>
      <c r="R252" s="65">
        <f>SUM(R239:R251)</f>
        <v>-12931253.160000004</v>
      </c>
      <c r="S252" s="27"/>
      <c r="T252" s="24"/>
      <c r="U252" s="24"/>
    </row>
    <row r="253" spans="1:21" s="60" customFormat="1" ht="12" hidden="1" customHeight="1" outlineLevel="1">
      <c r="A253" s="60" t="s">
        <v>298</v>
      </c>
      <c r="B253" s="62">
        <f>+'KY_Res by Plant Acct-P29 (Fin)'!B253+'KY_Res by Plant Acct-P29 (PA)'!B252</f>
        <v>-124782.31999999983</v>
      </c>
      <c r="C253" s="62"/>
      <c r="D253" s="62">
        <f>+'KY_Res by Plant Acct-P29 (Fin)'!D253+'KY_Res by Plant Acct-P29 (PA)'!D252</f>
        <v>0</v>
      </c>
      <c r="E253" s="62"/>
      <c r="F253" s="141">
        <f>+'KY_Res by Plant Acct-P29 (Fin)'!F253+'KY_Res by Plant Acct-P29 (PA)'!F252</f>
        <v>0</v>
      </c>
      <c r="G253" s="141"/>
      <c r="H253" s="141">
        <f>+'KY_Res by Plant Acct-P29 (Fin)'!H253+'KY_Res by Plant Acct-P29 (PA)'!H252</f>
        <v>0</v>
      </c>
      <c r="I253" s="141"/>
      <c r="J253" s="141">
        <f>+'KY_Res by Plant Acct-P29 (Fin)'!J253+'KY_Res by Plant Acct-P29 (PA)'!J252</f>
        <v>0</v>
      </c>
      <c r="K253" s="141"/>
      <c r="L253" s="141">
        <f>+'KY_Res by Plant Acct-P29 (Fin)'!L253+'KY_Res by Plant Acct-P29 (PA)'!L252</f>
        <v>0</v>
      </c>
      <c r="M253" s="141"/>
      <c r="N253" s="62">
        <f>+'KY_Res by Plant Acct-P29 (Fin)'!N253+'KY_Res by Plant Acct-P29 (PA)'!N252</f>
        <v>0</v>
      </c>
      <c r="O253" s="62"/>
      <c r="P253" s="62">
        <f>+'KY_Res by Plant Acct-P29 (Fin)'!P253+'KY_Res by Plant Acct-P29 (PA)'!P252</f>
        <v>0</v>
      </c>
      <c r="Q253" s="62"/>
      <c r="R253" s="62">
        <f t="shared" ref="R253:R299" si="22">SUM(B253:P253)</f>
        <v>-124782.31999999983</v>
      </c>
      <c r="S253" s="66"/>
      <c r="T253" s="63"/>
      <c r="U253" s="63"/>
    </row>
    <row r="254" spans="1:21" s="60" customFormat="1" ht="12" hidden="1" customHeight="1" outlineLevel="1">
      <c r="A254" s="60" t="s">
        <v>299</v>
      </c>
      <c r="B254" s="62">
        <f>+'KY_Res by Plant Acct-P29 (Fin)'!B254+'KY_Res by Plant Acct-P29 (PA)'!B253</f>
        <v>-423526.76</v>
      </c>
      <c r="C254" s="62"/>
      <c r="D254" s="62">
        <f>+'KY_Res by Plant Acct-P29 (Fin)'!D254+'KY_Res by Plant Acct-P29 (PA)'!D253</f>
        <v>0</v>
      </c>
      <c r="E254" s="62"/>
      <c r="F254" s="141">
        <f>+'KY_Res by Plant Acct-P29 (Fin)'!F254+'KY_Res by Plant Acct-P29 (PA)'!F253</f>
        <v>0</v>
      </c>
      <c r="G254" s="141"/>
      <c r="H254" s="141">
        <f>+'KY_Res by Plant Acct-P29 (Fin)'!H254+'KY_Res by Plant Acct-P29 (PA)'!H253</f>
        <v>0</v>
      </c>
      <c r="I254" s="141"/>
      <c r="J254" s="141">
        <f>+'KY_Res by Plant Acct-P29 (Fin)'!J254+'KY_Res by Plant Acct-P29 (PA)'!J253</f>
        <v>0</v>
      </c>
      <c r="K254" s="141"/>
      <c r="L254" s="141">
        <f>+'KY_Res by Plant Acct-P29 (Fin)'!L254+'KY_Res by Plant Acct-P29 (PA)'!L253</f>
        <v>0</v>
      </c>
      <c r="M254" s="141"/>
      <c r="N254" s="62">
        <f>+'KY_Res by Plant Acct-P29 (Fin)'!N254+'KY_Res by Plant Acct-P29 (PA)'!N253</f>
        <v>0</v>
      </c>
      <c r="O254" s="62"/>
      <c r="P254" s="62">
        <f>+'KY_Res by Plant Acct-P29 (Fin)'!P254+'KY_Res by Plant Acct-P29 (PA)'!P253</f>
        <v>0</v>
      </c>
      <c r="Q254" s="62"/>
      <c r="R254" s="62">
        <f t="shared" si="22"/>
        <v>-423526.76</v>
      </c>
      <c r="S254" s="66"/>
      <c r="T254" s="63"/>
      <c r="U254" s="63"/>
    </row>
    <row r="255" spans="1:21" s="60" customFormat="1" ht="12" hidden="1" customHeight="1" outlineLevel="1">
      <c r="A255" s="60" t="s">
        <v>301</v>
      </c>
      <c r="B255" s="62">
        <f>+'KY_Res by Plant Acct-P29 (Fin)'!B255+'KY_Res by Plant Acct-P29 (PA)'!B254</f>
        <v>-56033</v>
      </c>
      <c r="C255" s="62"/>
      <c r="D255" s="62">
        <f>+'KY_Res by Plant Acct-P29 (Fin)'!D255+'KY_Res by Plant Acct-P29 (PA)'!D254</f>
        <v>0</v>
      </c>
      <c r="E255" s="62"/>
      <c r="F255" s="141">
        <f>+'KY_Res by Plant Acct-P29 (Fin)'!F255+'KY_Res by Plant Acct-P29 (PA)'!F254</f>
        <v>0</v>
      </c>
      <c r="G255" s="141"/>
      <c r="H255" s="141">
        <f>+'KY_Res by Plant Acct-P29 (Fin)'!H255+'KY_Res by Plant Acct-P29 (PA)'!H254</f>
        <v>0</v>
      </c>
      <c r="I255" s="141"/>
      <c r="J255" s="141">
        <f>+'KY_Res by Plant Acct-P29 (Fin)'!J255+'KY_Res by Plant Acct-P29 (PA)'!J254</f>
        <v>0</v>
      </c>
      <c r="K255" s="141"/>
      <c r="L255" s="141">
        <f>+'KY_Res by Plant Acct-P29 (Fin)'!L255+'KY_Res by Plant Acct-P29 (PA)'!L254</f>
        <v>0</v>
      </c>
      <c r="M255" s="141"/>
      <c r="N255" s="62">
        <f>+'KY_Res by Plant Acct-P29 (Fin)'!N255+'KY_Res by Plant Acct-P29 (PA)'!N254</f>
        <v>0</v>
      </c>
      <c r="O255" s="62"/>
      <c r="P255" s="62">
        <f>+'KY_Res by Plant Acct-P29 (Fin)'!P255+'KY_Res by Plant Acct-P29 (PA)'!P254</f>
        <v>0</v>
      </c>
      <c r="Q255" s="62"/>
      <c r="R255" s="62">
        <f t="shared" si="22"/>
        <v>-56033</v>
      </c>
      <c r="S255" s="66"/>
      <c r="T255" s="63"/>
      <c r="U255" s="63"/>
    </row>
    <row r="256" spans="1:21" s="60" customFormat="1" ht="12" hidden="1" customHeight="1" outlineLevel="1">
      <c r="A256" s="60" t="s">
        <v>724</v>
      </c>
      <c r="B256" s="62">
        <f>+'KY_Res by Plant Acct-P29 (Fin)'!B256+'KY_Res by Plant Acct-P29 (PA)'!B255</f>
        <v>-599872.29</v>
      </c>
      <c r="C256" s="62"/>
      <c r="D256" s="62">
        <f>+'KY_Res by Plant Acct-P29 (Fin)'!D256+'KY_Res by Plant Acct-P29 (PA)'!D255</f>
        <v>-47071.26</v>
      </c>
      <c r="E256" s="62"/>
      <c r="F256" s="141">
        <f>+'KY_Res by Plant Acct-P29 (Fin)'!F256+'KY_Res by Plant Acct-P29 (PA)'!F255</f>
        <v>0</v>
      </c>
      <c r="G256" s="141"/>
      <c r="H256" s="141">
        <f>+'KY_Res by Plant Acct-P29 (Fin)'!H256+'KY_Res by Plant Acct-P29 (PA)'!H255</f>
        <v>0</v>
      </c>
      <c r="I256" s="141"/>
      <c r="J256" s="141">
        <f>+'KY_Res by Plant Acct-P29 (Fin)'!J256+'KY_Res by Plant Acct-P29 (PA)'!J255</f>
        <v>0</v>
      </c>
      <c r="K256" s="141"/>
      <c r="L256" s="141">
        <f>+'KY_Res by Plant Acct-P29 (Fin)'!L256+'KY_Res by Plant Acct-P29 (PA)'!L255</f>
        <v>0</v>
      </c>
      <c r="M256" s="141"/>
      <c r="N256" s="62">
        <f>+'KY_Res by Plant Acct-P29 (Fin)'!N256+'KY_Res by Plant Acct-P29 (PA)'!N255</f>
        <v>0</v>
      </c>
      <c r="O256" s="62"/>
      <c r="P256" s="62">
        <f>+'KY_Res by Plant Acct-P29 (Fin)'!P256+'KY_Res by Plant Acct-P29 (PA)'!P255</f>
        <v>0</v>
      </c>
      <c r="Q256" s="62"/>
      <c r="R256" s="62">
        <f t="shared" si="22"/>
        <v>-646943.55000000005</v>
      </c>
      <c r="S256" s="66"/>
      <c r="T256" s="63"/>
      <c r="U256" s="63"/>
    </row>
    <row r="257" spans="1:22" s="60" customFormat="1" ht="12" hidden="1" customHeight="1" outlineLevel="1">
      <c r="A257" s="60" t="s">
        <v>302</v>
      </c>
      <c r="B257" s="62">
        <f>+'KY_Res by Plant Acct-P29 (Fin)'!B257+'KY_Res by Plant Acct-P29 (PA)'!B256</f>
        <v>-73296.050000000279</v>
      </c>
      <c r="C257" s="62"/>
      <c r="D257" s="62">
        <f>+'KY_Res by Plant Acct-P29 (Fin)'!D257+'KY_Res by Plant Acct-P29 (PA)'!D256</f>
        <v>-2025.3000000000002</v>
      </c>
      <c r="E257" s="62"/>
      <c r="F257" s="141">
        <f>+'KY_Res by Plant Acct-P29 (Fin)'!F257+'KY_Res by Plant Acct-P29 (PA)'!F256</f>
        <v>0</v>
      </c>
      <c r="G257" s="141"/>
      <c r="H257" s="141">
        <f>+'KY_Res by Plant Acct-P29 (Fin)'!H257+'KY_Res by Plant Acct-P29 (PA)'!H256</f>
        <v>0</v>
      </c>
      <c r="I257" s="141"/>
      <c r="J257" s="141">
        <f>+'KY_Res by Plant Acct-P29 (Fin)'!J257+'KY_Res by Plant Acct-P29 (PA)'!J256</f>
        <v>0</v>
      </c>
      <c r="K257" s="141"/>
      <c r="L257" s="141">
        <f>+'KY_Res by Plant Acct-P29 (Fin)'!L257+'KY_Res by Plant Acct-P29 (PA)'!L256</f>
        <v>0</v>
      </c>
      <c r="M257" s="141"/>
      <c r="N257" s="62">
        <f>+'KY_Res by Plant Acct-P29 (Fin)'!N257+'KY_Res by Plant Acct-P29 (PA)'!N256</f>
        <v>0</v>
      </c>
      <c r="O257" s="62"/>
      <c r="P257" s="62">
        <f>+'KY_Res by Plant Acct-P29 (Fin)'!P257+'KY_Res by Plant Acct-P29 (PA)'!P256</f>
        <v>0</v>
      </c>
      <c r="Q257" s="62"/>
      <c r="R257" s="62">
        <f t="shared" si="22"/>
        <v>-75321.350000000282</v>
      </c>
      <c r="S257" s="66"/>
      <c r="T257" s="63"/>
      <c r="U257" s="63"/>
    </row>
    <row r="258" spans="1:22" s="60" customFormat="1" ht="12" hidden="1" customHeight="1" outlineLevel="1">
      <c r="A258" s="60" t="s">
        <v>303</v>
      </c>
      <c r="B258" s="62">
        <f>+'KY_Res by Plant Acct-P29 (Fin)'!B258+'KY_Res by Plant Acct-P29 (PA)'!B257</f>
        <v>-611417.72000000114</v>
      </c>
      <c r="C258" s="62"/>
      <c r="D258" s="62">
        <f>+'KY_Res by Plant Acct-P29 (Fin)'!D258+'KY_Res by Plant Acct-P29 (PA)'!D257</f>
        <v>-70053.569999999992</v>
      </c>
      <c r="E258" s="62"/>
      <c r="F258" s="141">
        <f>+'KY_Res by Plant Acct-P29 (Fin)'!F258+'KY_Res by Plant Acct-P29 (PA)'!F257</f>
        <v>0</v>
      </c>
      <c r="G258" s="141"/>
      <c r="H258" s="141">
        <f>+'KY_Res by Plant Acct-P29 (Fin)'!H258+'KY_Res by Plant Acct-P29 (PA)'!H257</f>
        <v>0</v>
      </c>
      <c r="I258" s="141"/>
      <c r="J258" s="141">
        <f>+'KY_Res by Plant Acct-P29 (Fin)'!J258+'KY_Res by Plant Acct-P29 (PA)'!J257</f>
        <v>0</v>
      </c>
      <c r="K258" s="141"/>
      <c r="L258" s="141">
        <f>+'KY_Res by Plant Acct-P29 (Fin)'!L258+'KY_Res by Plant Acct-P29 (PA)'!L257</f>
        <v>206000</v>
      </c>
      <c r="M258" s="141"/>
      <c r="N258" s="62">
        <f>+'KY_Res by Plant Acct-P29 (Fin)'!N258+'KY_Res by Plant Acct-P29 (PA)'!N257</f>
        <v>-11875</v>
      </c>
      <c r="O258" s="62"/>
      <c r="P258" s="62">
        <f>+'KY_Res by Plant Acct-P29 (Fin)'!P258+'KY_Res by Plant Acct-P29 (PA)'!P257</f>
        <v>0</v>
      </c>
      <c r="Q258" s="62"/>
      <c r="R258" s="62">
        <f t="shared" si="22"/>
        <v>-487346.29000000108</v>
      </c>
      <c r="S258" s="66"/>
      <c r="T258" s="63"/>
      <c r="U258" s="63"/>
    </row>
    <row r="259" spans="1:22" s="60" customFormat="1" ht="12" hidden="1" customHeight="1" outlineLevel="1">
      <c r="A259" s="60" t="s">
        <v>304</v>
      </c>
      <c r="B259" s="62">
        <f>+'KY_Res by Plant Acct-P29 (Fin)'!B259+'KY_Res by Plant Acct-P29 (PA)'!B258</f>
        <v>-255479.4299999997</v>
      </c>
      <c r="C259" s="62"/>
      <c r="D259" s="62">
        <f>+'KY_Res by Plant Acct-P29 (Fin)'!D259+'KY_Res by Plant Acct-P29 (PA)'!D258</f>
        <v>-8256.4500000000007</v>
      </c>
      <c r="E259" s="62"/>
      <c r="F259" s="141">
        <f>+'KY_Res by Plant Acct-P29 (Fin)'!F259+'KY_Res by Plant Acct-P29 (PA)'!F258</f>
        <v>0</v>
      </c>
      <c r="G259" s="141"/>
      <c r="H259" s="141">
        <f>+'KY_Res by Plant Acct-P29 (Fin)'!H259+'KY_Res by Plant Acct-P29 (PA)'!H258</f>
        <v>0</v>
      </c>
      <c r="I259" s="141"/>
      <c r="J259" s="141">
        <f>+'KY_Res by Plant Acct-P29 (Fin)'!J259+'KY_Res by Plant Acct-P29 (PA)'!J258</f>
        <v>0</v>
      </c>
      <c r="K259" s="141"/>
      <c r="L259" s="141">
        <f>+'KY_Res by Plant Acct-P29 (Fin)'!L259+'KY_Res by Plant Acct-P29 (PA)'!L258</f>
        <v>0</v>
      </c>
      <c r="M259" s="141"/>
      <c r="N259" s="62">
        <f>+'KY_Res by Plant Acct-P29 (Fin)'!N259+'KY_Res by Plant Acct-P29 (PA)'!N258</f>
        <v>0</v>
      </c>
      <c r="O259" s="62"/>
      <c r="P259" s="62">
        <f>+'KY_Res by Plant Acct-P29 (Fin)'!P259+'KY_Res by Plant Acct-P29 (PA)'!P258</f>
        <v>0</v>
      </c>
      <c r="Q259" s="62"/>
      <c r="R259" s="62">
        <f t="shared" si="22"/>
        <v>-263735.87999999971</v>
      </c>
      <c r="S259" s="66"/>
      <c r="T259" s="63"/>
      <c r="U259" s="63"/>
    </row>
    <row r="260" spans="1:22" s="60" customFormat="1" ht="12" hidden="1" customHeight="1" outlineLevel="1">
      <c r="A260" s="60" t="s">
        <v>722</v>
      </c>
      <c r="B260" s="62">
        <f>+'KY_Res by Plant Acct-P29 (Fin)'!B260+'KY_Res by Plant Acct-P29 (PA)'!B259</f>
        <v>-908828.46999999974</v>
      </c>
      <c r="C260" s="62"/>
      <c r="D260" s="62">
        <f>+'KY_Res by Plant Acct-P29 (Fin)'!D260+'KY_Res by Plant Acct-P29 (PA)'!D259</f>
        <v>-88262.099999999991</v>
      </c>
      <c r="E260" s="62"/>
      <c r="F260" s="141">
        <f>+'KY_Res by Plant Acct-P29 (Fin)'!F260+'KY_Res by Plant Acct-P29 (PA)'!F259</f>
        <v>1728.0900000000038</v>
      </c>
      <c r="G260" s="141"/>
      <c r="H260" s="141">
        <f>+'KY_Res by Plant Acct-P29 (Fin)'!H260+'KY_Res by Plant Acct-P29 (PA)'!H259</f>
        <v>-0.01</v>
      </c>
      <c r="I260" s="141"/>
      <c r="J260" s="141">
        <f>+'KY_Res by Plant Acct-P29 (Fin)'!J260+'KY_Res by Plant Acct-P29 (PA)'!J259</f>
        <v>0</v>
      </c>
      <c r="K260" s="141"/>
      <c r="L260" s="141">
        <f>+'KY_Res by Plant Acct-P29 (Fin)'!L260+'KY_Res by Plant Acct-P29 (PA)'!L259</f>
        <v>40585.07</v>
      </c>
      <c r="M260" s="141"/>
      <c r="N260" s="62">
        <f>+'KY_Res by Plant Acct-P29 (Fin)'!N260+'KY_Res by Plant Acct-P29 (PA)'!N259</f>
        <v>0</v>
      </c>
      <c r="O260" s="62"/>
      <c r="P260" s="62">
        <f>+'KY_Res by Plant Acct-P29 (Fin)'!P260+'KY_Res by Plant Acct-P29 (PA)'!P259</f>
        <v>0</v>
      </c>
      <c r="Q260" s="62"/>
      <c r="R260" s="62">
        <f t="shared" si="22"/>
        <v>-954777.41999999981</v>
      </c>
      <c r="S260" s="66"/>
      <c r="T260" s="63"/>
      <c r="U260" s="63"/>
    </row>
    <row r="261" spans="1:22" s="60" customFormat="1" ht="12" hidden="1" customHeight="1" outlineLevel="1">
      <c r="A261" s="60" t="s">
        <v>305</v>
      </c>
      <c r="B261" s="62">
        <f>+'KY_Res by Plant Acct-P29 (Fin)'!B261+'KY_Res by Plant Acct-P29 (PA)'!B260</f>
        <v>-247726.67000000039</v>
      </c>
      <c r="C261" s="62"/>
      <c r="D261" s="62">
        <f>+'KY_Res by Plant Acct-P29 (Fin)'!D261+'KY_Res by Plant Acct-P29 (PA)'!D260</f>
        <v>-7919.67</v>
      </c>
      <c r="E261" s="62"/>
      <c r="F261" s="141">
        <f>+'KY_Res by Plant Acct-P29 (Fin)'!F261+'KY_Res by Plant Acct-P29 (PA)'!F260</f>
        <v>0</v>
      </c>
      <c r="G261" s="141"/>
      <c r="H261" s="141">
        <f>+'KY_Res by Plant Acct-P29 (Fin)'!H261+'KY_Res by Plant Acct-P29 (PA)'!H260</f>
        <v>0</v>
      </c>
      <c r="I261" s="141"/>
      <c r="J261" s="141">
        <f>+'KY_Res by Plant Acct-P29 (Fin)'!J261+'KY_Res by Plant Acct-P29 (PA)'!J260</f>
        <v>0</v>
      </c>
      <c r="K261" s="141"/>
      <c r="L261" s="141">
        <f>+'KY_Res by Plant Acct-P29 (Fin)'!L261+'KY_Res by Plant Acct-P29 (PA)'!L260</f>
        <v>0</v>
      </c>
      <c r="M261" s="141"/>
      <c r="N261" s="62">
        <f>+'KY_Res by Plant Acct-P29 (Fin)'!N261+'KY_Res by Plant Acct-P29 (PA)'!N260</f>
        <v>0</v>
      </c>
      <c r="O261" s="62"/>
      <c r="P261" s="62">
        <f>+'KY_Res by Plant Acct-P29 (Fin)'!P261+'KY_Res by Plant Acct-P29 (PA)'!P260</f>
        <v>0</v>
      </c>
      <c r="Q261" s="62"/>
      <c r="R261" s="62">
        <f t="shared" si="22"/>
        <v>-255646.3400000004</v>
      </c>
      <c r="S261" s="66"/>
      <c r="T261" s="63"/>
      <c r="U261" s="63"/>
    </row>
    <row r="262" spans="1:22" s="60" customFormat="1" ht="12" hidden="1" customHeight="1" outlineLevel="1">
      <c r="A262" s="60" t="s">
        <v>306</v>
      </c>
      <c r="B262" s="62">
        <f>+'KY_Res by Plant Acct-P29 (Fin)'!B262+'KY_Res by Plant Acct-P29 (PA)'!B261</f>
        <v>-1242801.0500000017</v>
      </c>
      <c r="C262" s="62"/>
      <c r="D262" s="62">
        <f>+'KY_Res by Plant Acct-P29 (Fin)'!D262+'KY_Res by Plant Acct-P29 (PA)'!D261</f>
        <v>-107838.97</v>
      </c>
      <c r="E262" s="62"/>
      <c r="F262" s="141">
        <f>+'KY_Res by Plant Acct-P29 (Fin)'!F262+'KY_Res by Plant Acct-P29 (PA)'!F261</f>
        <v>0</v>
      </c>
      <c r="G262" s="141"/>
      <c r="H262" s="141">
        <f>+'KY_Res by Plant Acct-P29 (Fin)'!H262+'KY_Res by Plant Acct-P29 (PA)'!H261</f>
        <v>0</v>
      </c>
      <c r="I262" s="141"/>
      <c r="J262" s="141">
        <f>+'KY_Res by Plant Acct-P29 (Fin)'!J262+'KY_Res by Plant Acct-P29 (PA)'!J261</f>
        <v>0</v>
      </c>
      <c r="K262" s="141"/>
      <c r="L262" s="141">
        <f>+'KY_Res by Plant Acct-P29 (Fin)'!L262+'KY_Res by Plant Acct-P29 (PA)'!L261</f>
        <v>0</v>
      </c>
      <c r="M262" s="141"/>
      <c r="N262" s="62">
        <f>+'KY_Res by Plant Acct-P29 (Fin)'!N262+'KY_Res by Plant Acct-P29 (PA)'!N261</f>
        <v>0</v>
      </c>
      <c r="O262" s="62"/>
      <c r="P262" s="62">
        <f>+'KY_Res by Plant Acct-P29 (Fin)'!P262+'KY_Res by Plant Acct-P29 (PA)'!P261</f>
        <v>0</v>
      </c>
      <c r="Q262" s="62"/>
      <c r="R262" s="62">
        <f t="shared" si="22"/>
        <v>-1350640.0200000016</v>
      </c>
      <c r="S262" s="66"/>
      <c r="T262" s="63"/>
      <c r="U262" s="63"/>
      <c r="V262" s="63"/>
    </row>
    <row r="263" spans="1:22" s="60" customFormat="1" ht="12" hidden="1" customHeight="1" outlineLevel="1">
      <c r="A263" s="60" t="s">
        <v>854</v>
      </c>
      <c r="B263" s="62">
        <f>+'KY_Res by Plant Acct-P29 (Fin)'!B263+'KY_Res by Plant Acct-P29 (PA)'!B262</f>
        <v>-520548.71999999974</v>
      </c>
      <c r="C263" s="62"/>
      <c r="D263" s="62">
        <f>+'KY_Res by Plant Acct-P29 (Fin)'!D263+'KY_Res by Plant Acct-P29 (PA)'!D262</f>
        <v>-23136.57</v>
      </c>
      <c r="E263" s="62"/>
      <c r="F263" s="141">
        <f>+'KY_Res by Plant Acct-P29 (Fin)'!F263+'KY_Res by Plant Acct-P29 (PA)'!F262</f>
        <v>0</v>
      </c>
      <c r="G263" s="141"/>
      <c r="H263" s="141">
        <f>+'KY_Res by Plant Acct-P29 (Fin)'!H263+'KY_Res by Plant Acct-P29 (PA)'!H262</f>
        <v>0</v>
      </c>
      <c r="I263" s="141"/>
      <c r="J263" s="141">
        <f>+'KY_Res by Plant Acct-P29 (Fin)'!J263+'KY_Res by Plant Acct-P29 (PA)'!J262</f>
        <v>0</v>
      </c>
      <c r="K263" s="141"/>
      <c r="L263" s="141">
        <f>+'KY_Res by Plant Acct-P29 (Fin)'!L263+'KY_Res by Plant Acct-P29 (PA)'!L262</f>
        <v>0</v>
      </c>
      <c r="M263" s="141"/>
      <c r="N263" s="62">
        <f>+'KY_Res by Plant Acct-P29 (Fin)'!N263+'KY_Res by Plant Acct-P29 (PA)'!N262</f>
        <v>0</v>
      </c>
      <c r="O263" s="62"/>
      <c r="P263" s="62">
        <f>+'KY_Res by Plant Acct-P29 (Fin)'!P263+'KY_Res by Plant Acct-P29 (PA)'!P262</f>
        <v>0</v>
      </c>
      <c r="Q263" s="62"/>
      <c r="R263" s="62">
        <f t="shared" si="22"/>
        <v>-543685.28999999969</v>
      </c>
      <c r="S263" s="66"/>
      <c r="T263" s="63"/>
      <c r="U263" s="63"/>
    </row>
    <row r="264" spans="1:22" s="60" customFormat="1" ht="12" hidden="1" customHeight="1" outlineLevel="1">
      <c r="A264" s="60" t="s">
        <v>719</v>
      </c>
      <c r="B264" s="62">
        <f>+'KY_Res by Plant Acct-P29 (Fin)'!B264+'KY_Res by Plant Acct-P29 (PA)'!B263</f>
        <v>-564610.46999999881</v>
      </c>
      <c r="C264" s="62"/>
      <c r="D264" s="62">
        <f>+'KY_Res by Plant Acct-P29 (Fin)'!D264+'KY_Res by Plant Acct-P29 (PA)'!D263</f>
        <v>-37632.479999999996</v>
      </c>
      <c r="E264" s="62"/>
      <c r="F264" s="141">
        <f>+'KY_Res by Plant Acct-P29 (Fin)'!F264+'KY_Res by Plant Acct-P29 (PA)'!F263</f>
        <v>0</v>
      </c>
      <c r="G264" s="141"/>
      <c r="H264" s="141">
        <f>+'KY_Res by Plant Acct-P29 (Fin)'!H264+'KY_Res by Plant Acct-P29 (PA)'!H263</f>
        <v>0</v>
      </c>
      <c r="I264" s="141"/>
      <c r="J264" s="141">
        <f>+'KY_Res by Plant Acct-P29 (Fin)'!J264+'KY_Res by Plant Acct-P29 (PA)'!J263</f>
        <v>0</v>
      </c>
      <c r="K264" s="141"/>
      <c r="L264" s="141">
        <f>+'KY_Res by Plant Acct-P29 (Fin)'!L264+'KY_Res by Plant Acct-P29 (PA)'!L263</f>
        <v>0</v>
      </c>
      <c r="M264" s="141"/>
      <c r="N264" s="62">
        <f>+'KY_Res by Plant Acct-P29 (Fin)'!N264+'KY_Res by Plant Acct-P29 (PA)'!N263</f>
        <v>0</v>
      </c>
      <c r="O264" s="62"/>
      <c r="P264" s="62">
        <f>+'KY_Res by Plant Acct-P29 (Fin)'!P264+'KY_Res by Plant Acct-P29 (PA)'!P263</f>
        <v>0</v>
      </c>
      <c r="Q264" s="62"/>
      <c r="R264" s="62">
        <f t="shared" si="22"/>
        <v>-602242.94999999879</v>
      </c>
      <c r="S264" s="66"/>
      <c r="T264" s="63"/>
      <c r="U264" s="63"/>
    </row>
    <row r="265" spans="1:22" s="60" customFormat="1" ht="12" hidden="1" customHeight="1" outlineLevel="1">
      <c r="A265" s="60" t="s">
        <v>855</v>
      </c>
      <c r="B265" s="62">
        <f>+'KY_Res by Plant Acct-P29 (Fin)'!B265+'KY_Res by Plant Acct-P29 (PA)'!B264</f>
        <v>-419788.75000000093</v>
      </c>
      <c r="C265" s="62"/>
      <c r="D265" s="62">
        <f>+'KY_Res by Plant Acct-P29 (Fin)'!D265+'KY_Res by Plant Acct-P29 (PA)'!D264</f>
        <v>-19033.86</v>
      </c>
      <c r="E265" s="62"/>
      <c r="F265" s="141">
        <f>+'KY_Res by Plant Acct-P29 (Fin)'!F265+'KY_Res by Plant Acct-P29 (PA)'!F264</f>
        <v>0</v>
      </c>
      <c r="G265" s="141"/>
      <c r="H265" s="141">
        <f>+'KY_Res by Plant Acct-P29 (Fin)'!H265+'KY_Res by Plant Acct-P29 (PA)'!H264</f>
        <v>0</v>
      </c>
      <c r="I265" s="141"/>
      <c r="J265" s="141">
        <f>+'KY_Res by Plant Acct-P29 (Fin)'!J265+'KY_Res by Plant Acct-P29 (PA)'!J264</f>
        <v>0</v>
      </c>
      <c r="K265" s="141"/>
      <c r="L265" s="141">
        <f>+'KY_Res by Plant Acct-P29 (Fin)'!L265+'KY_Res by Plant Acct-P29 (PA)'!L264</f>
        <v>0</v>
      </c>
      <c r="M265" s="141"/>
      <c r="N265" s="62">
        <f>+'KY_Res by Plant Acct-P29 (Fin)'!N265+'KY_Res by Plant Acct-P29 (PA)'!N264</f>
        <v>0</v>
      </c>
      <c r="O265" s="62"/>
      <c r="P265" s="62">
        <f>+'KY_Res by Plant Acct-P29 (Fin)'!P265+'KY_Res by Plant Acct-P29 (PA)'!P264</f>
        <v>0</v>
      </c>
      <c r="Q265" s="62"/>
      <c r="R265" s="62">
        <f t="shared" si="22"/>
        <v>-438822.61000000092</v>
      </c>
      <c r="S265" s="66"/>
      <c r="T265" s="63"/>
      <c r="U265" s="63"/>
    </row>
    <row r="266" spans="1:22" s="60" customFormat="1" ht="12" hidden="1" customHeight="1" outlineLevel="1">
      <c r="A266" s="60" t="s">
        <v>856</v>
      </c>
      <c r="B266" s="62">
        <f>+'KY_Res by Plant Acct-P29 (Fin)'!B266+'KY_Res by Plant Acct-P29 (PA)'!B265</f>
        <v>-1055728.8400000017</v>
      </c>
      <c r="C266" s="62"/>
      <c r="D266" s="62">
        <f>+'KY_Res by Plant Acct-P29 (Fin)'!D266+'KY_Res by Plant Acct-P29 (PA)'!D265</f>
        <v>-59447.040000000001</v>
      </c>
      <c r="E266" s="62"/>
      <c r="F266" s="141">
        <f>+'KY_Res by Plant Acct-P29 (Fin)'!F266+'KY_Res by Plant Acct-P29 (PA)'!F265</f>
        <v>0</v>
      </c>
      <c r="G266" s="141"/>
      <c r="H266" s="141">
        <f>+'KY_Res by Plant Acct-P29 (Fin)'!H266+'KY_Res by Plant Acct-P29 (PA)'!H265</f>
        <v>0</v>
      </c>
      <c r="I266" s="141"/>
      <c r="J266" s="141">
        <f>+'KY_Res by Plant Acct-P29 (Fin)'!J266+'KY_Res by Plant Acct-P29 (PA)'!J265</f>
        <v>0</v>
      </c>
      <c r="K266" s="141"/>
      <c r="L266" s="141">
        <f>+'KY_Res by Plant Acct-P29 (Fin)'!L266+'KY_Res by Plant Acct-P29 (PA)'!L265</f>
        <v>0</v>
      </c>
      <c r="M266" s="141"/>
      <c r="N266" s="62">
        <f>+'KY_Res by Plant Acct-P29 (Fin)'!N266+'KY_Res by Plant Acct-P29 (PA)'!N265</f>
        <v>0</v>
      </c>
      <c r="O266" s="62"/>
      <c r="P266" s="62">
        <f>+'KY_Res by Plant Acct-P29 (Fin)'!P266+'KY_Res by Plant Acct-P29 (PA)'!P265</f>
        <v>0</v>
      </c>
      <c r="Q266" s="62"/>
      <c r="R266" s="62">
        <f t="shared" si="22"/>
        <v>-1115175.8800000018</v>
      </c>
      <c r="S266" s="66"/>
      <c r="T266" s="63"/>
      <c r="U266" s="63"/>
    </row>
    <row r="267" spans="1:22" s="60" customFormat="1" ht="12" hidden="1" customHeight="1" outlineLevel="1">
      <c r="A267" s="60" t="s">
        <v>857</v>
      </c>
      <c r="B267" s="62">
        <f>+'KY_Res by Plant Acct-P29 (Fin)'!B267+'KY_Res by Plant Acct-P29 (PA)'!B266</f>
        <v>-227434.99000000022</v>
      </c>
      <c r="C267" s="62"/>
      <c r="D267" s="62">
        <f>+'KY_Res by Plant Acct-P29 (Fin)'!D267+'KY_Res by Plant Acct-P29 (PA)'!D266</f>
        <v>-9873.9000000000015</v>
      </c>
      <c r="E267" s="62"/>
      <c r="F267" s="141">
        <f>+'KY_Res by Plant Acct-P29 (Fin)'!F267+'KY_Res by Plant Acct-P29 (PA)'!F266</f>
        <v>0</v>
      </c>
      <c r="G267" s="141"/>
      <c r="H267" s="141">
        <f>+'KY_Res by Plant Acct-P29 (Fin)'!H267+'KY_Res by Plant Acct-P29 (PA)'!H266</f>
        <v>0</v>
      </c>
      <c r="I267" s="141"/>
      <c r="J267" s="141">
        <f>+'KY_Res by Plant Acct-P29 (Fin)'!J267+'KY_Res by Plant Acct-P29 (PA)'!J266</f>
        <v>0</v>
      </c>
      <c r="K267" s="141"/>
      <c r="L267" s="141">
        <f>+'KY_Res by Plant Acct-P29 (Fin)'!L267+'KY_Res by Plant Acct-P29 (PA)'!L266</f>
        <v>0</v>
      </c>
      <c r="M267" s="141"/>
      <c r="N267" s="62">
        <f>+'KY_Res by Plant Acct-P29 (Fin)'!N267+'KY_Res by Plant Acct-P29 (PA)'!N266</f>
        <v>0</v>
      </c>
      <c r="O267" s="62"/>
      <c r="P267" s="62">
        <f>+'KY_Res by Plant Acct-P29 (Fin)'!P267+'KY_Res by Plant Acct-P29 (PA)'!P266</f>
        <v>0</v>
      </c>
      <c r="Q267" s="62"/>
      <c r="R267" s="62">
        <f t="shared" si="22"/>
        <v>-237308.89000000022</v>
      </c>
      <c r="S267" s="66"/>
      <c r="T267" s="63"/>
      <c r="U267" s="63"/>
    </row>
    <row r="268" spans="1:22" s="60" customFormat="1" ht="12" hidden="1" customHeight="1" outlineLevel="1">
      <c r="A268" s="60" t="s">
        <v>858</v>
      </c>
      <c r="B268" s="62">
        <f>+'KY_Res by Plant Acct-P29 (Fin)'!B268+'KY_Res by Plant Acct-P29 (PA)'!B267</f>
        <v>-1529939.0099999942</v>
      </c>
      <c r="C268" s="62"/>
      <c r="D268" s="62">
        <f>+'KY_Res by Plant Acct-P29 (Fin)'!D268+'KY_Res by Plant Acct-P29 (PA)'!D267</f>
        <v>-105142.38</v>
      </c>
      <c r="E268" s="62"/>
      <c r="F268" s="141">
        <f>+'KY_Res by Plant Acct-P29 (Fin)'!F268+'KY_Res by Plant Acct-P29 (PA)'!F267</f>
        <v>0</v>
      </c>
      <c r="G268" s="141"/>
      <c r="H268" s="141">
        <f>+'KY_Res by Plant Acct-P29 (Fin)'!H268+'KY_Res by Plant Acct-P29 (PA)'!H267</f>
        <v>-0.01</v>
      </c>
      <c r="I268" s="141"/>
      <c r="J268" s="141">
        <f>+'KY_Res by Plant Acct-P29 (Fin)'!J268+'KY_Res by Plant Acct-P29 (PA)'!J267</f>
        <v>0</v>
      </c>
      <c r="K268" s="141"/>
      <c r="L268" s="141">
        <f>+'KY_Res by Plant Acct-P29 (Fin)'!L268+'KY_Res by Plant Acct-P29 (PA)'!L267</f>
        <v>0</v>
      </c>
      <c r="M268" s="141"/>
      <c r="N268" s="62">
        <f>+'KY_Res by Plant Acct-P29 (Fin)'!N268+'KY_Res by Plant Acct-P29 (PA)'!N267</f>
        <v>0</v>
      </c>
      <c r="O268" s="62"/>
      <c r="P268" s="62">
        <f>+'KY_Res by Plant Acct-P29 (Fin)'!P268+'KY_Res by Plant Acct-P29 (PA)'!P267</f>
        <v>0</v>
      </c>
      <c r="Q268" s="62"/>
      <c r="R268" s="62">
        <f t="shared" si="22"/>
        <v>-1635081.3999999941</v>
      </c>
      <c r="S268" s="66"/>
      <c r="T268" s="63"/>
      <c r="U268" s="63"/>
    </row>
    <row r="269" spans="1:22" s="60" customFormat="1" ht="12" hidden="1" customHeight="1" outlineLevel="1">
      <c r="A269" s="60" t="s">
        <v>859</v>
      </c>
      <c r="B269" s="62">
        <f>+'KY_Res by Plant Acct-P29 (Fin)'!B269+'KY_Res by Plant Acct-P29 (PA)'!B268</f>
        <v>-495375.91999999993</v>
      </c>
      <c r="C269" s="62"/>
      <c r="D269" s="62">
        <f>+'KY_Res by Plant Acct-P29 (Fin)'!D269+'KY_Res by Plant Acct-P29 (PA)'!D268</f>
        <v>-25072.77</v>
      </c>
      <c r="E269" s="62"/>
      <c r="F269" s="141">
        <f>+'KY_Res by Plant Acct-P29 (Fin)'!F269+'KY_Res by Plant Acct-P29 (PA)'!F268</f>
        <v>0</v>
      </c>
      <c r="G269" s="141"/>
      <c r="H269" s="141">
        <f>+'KY_Res by Plant Acct-P29 (Fin)'!H269+'KY_Res by Plant Acct-P29 (PA)'!H268</f>
        <v>0</v>
      </c>
      <c r="I269" s="141"/>
      <c r="J269" s="141">
        <f>+'KY_Res by Plant Acct-P29 (Fin)'!J269+'KY_Res by Plant Acct-P29 (PA)'!J268</f>
        <v>0</v>
      </c>
      <c r="K269" s="141"/>
      <c r="L269" s="141">
        <f>+'KY_Res by Plant Acct-P29 (Fin)'!L269+'KY_Res by Plant Acct-P29 (PA)'!L268</f>
        <v>0</v>
      </c>
      <c r="M269" s="141"/>
      <c r="N269" s="62">
        <f>+'KY_Res by Plant Acct-P29 (Fin)'!N269+'KY_Res by Plant Acct-P29 (PA)'!N268</f>
        <v>0</v>
      </c>
      <c r="O269" s="62"/>
      <c r="P269" s="62">
        <f>+'KY_Res by Plant Acct-P29 (Fin)'!P269+'KY_Res by Plant Acct-P29 (PA)'!P268</f>
        <v>0</v>
      </c>
      <c r="Q269" s="62"/>
      <c r="R269" s="62">
        <f t="shared" si="22"/>
        <v>-520448.68999999994</v>
      </c>
      <c r="S269" s="66"/>
      <c r="T269" s="63"/>
      <c r="U269" s="63"/>
    </row>
    <row r="270" spans="1:22" s="60" customFormat="1" hidden="1" outlineLevel="1">
      <c r="A270" s="60" t="s">
        <v>676</v>
      </c>
      <c r="B270" s="62">
        <f>+'KY_Res by Plant Acct-P29 (Fin)'!B270+'KY_Res by Plant Acct-P29 (PA)'!B269</f>
        <v>-9.0949470177292824E-13</v>
      </c>
      <c r="C270" s="62"/>
      <c r="D270" s="62">
        <f>+'KY_Res by Plant Acct-P29 (Fin)'!D270+'KY_Res by Plant Acct-P29 (PA)'!D269</f>
        <v>0</v>
      </c>
      <c r="E270" s="62"/>
      <c r="F270" s="141">
        <f>+'KY_Res by Plant Acct-P29 (Fin)'!F270+'KY_Res by Plant Acct-P29 (PA)'!F269</f>
        <v>0</v>
      </c>
      <c r="G270" s="141"/>
      <c r="H270" s="141">
        <f>+'KY_Res by Plant Acct-P29 (Fin)'!H270+'KY_Res by Plant Acct-P29 (PA)'!H269</f>
        <v>0</v>
      </c>
      <c r="I270" s="141"/>
      <c r="J270" s="141">
        <f>+'KY_Res by Plant Acct-P29 (Fin)'!J270+'KY_Res by Plant Acct-P29 (PA)'!J269</f>
        <v>0</v>
      </c>
      <c r="K270" s="141"/>
      <c r="L270" s="141">
        <f>+'KY_Res by Plant Acct-P29 (Fin)'!L270+'KY_Res by Plant Acct-P29 (PA)'!L269</f>
        <v>0</v>
      </c>
      <c r="M270" s="141"/>
      <c r="N270" s="62">
        <f>+'KY_Res by Plant Acct-P29 (Fin)'!N270+'KY_Res by Plant Acct-P29 (PA)'!N269</f>
        <v>0</v>
      </c>
      <c r="O270" s="62"/>
      <c r="P270" s="62">
        <f>+'KY_Res by Plant Acct-P29 (Fin)'!P270+'KY_Res by Plant Acct-P29 (PA)'!P269</f>
        <v>0</v>
      </c>
      <c r="Q270" s="62"/>
      <c r="R270" s="62">
        <f t="shared" ref="R270:R274" si="23">SUM(B270:P270)</f>
        <v>-9.0949470177292824E-13</v>
      </c>
      <c r="S270" s="66"/>
      <c r="T270" s="63"/>
      <c r="U270" s="63"/>
    </row>
    <row r="271" spans="1:22" s="60" customFormat="1" ht="12" hidden="1" customHeight="1" outlineLevel="1">
      <c r="A271" s="60" t="s">
        <v>1425</v>
      </c>
      <c r="B271" s="62">
        <f>+'KY_Res by Plant Acct-P29 (Fin)'!B271+'KY_Res by Plant Acct-P29 (PA)'!B270</f>
        <v>-162691.32</v>
      </c>
      <c r="C271" s="62"/>
      <c r="D271" s="62">
        <f>+'KY_Res by Plant Acct-P29 (Fin)'!D271+'KY_Res by Plant Acct-P29 (PA)'!D270</f>
        <v>-42658.87</v>
      </c>
      <c r="E271" s="62"/>
      <c r="F271" s="141">
        <f>+'KY_Res by Plant Acct-P29 (Fin)'!F271+'KY_Res by Plant Acct-P29 (PA)'!F270</f>
        <v>0</v>
      </c>
      <c r="G271" s="141"/>
      <c r="H271" s="141">
        <f>+'KY_Res by Plant Acct-P29 (Fin)'!H271+'KY_Res by Plant Acct-P29 (PA)'!H270</f>
        <v>0</v>
      </c>
      <c r="I271" s="141"/>
      <c r="J271" s="141">
        <f>+'KY_Res by Plant Acct-P29 (Fin)'!J271+'KY_Res by Plant Acct-P29 (PA)'!J270</f>
        <v>0</v>
      </c>
      <c r="K271" s="141"/>
      <c r="L271" s="141">
        <f>+'KY_Res by Plant Acct-P29 (Fin)'!L271+'KY_Res by Plant Acct-P29 (PA)'!L270</f>
        <v>0</v>
      </c>
      <c r="M271" s="141"/>
      <c r="N271" s="62">
        <f>+'KY_Res by Plant Acct-P29 (Fin)'!N271+'KY_Res by Plant Acct-P29 (PA)'!N270</f>
        <v>0</v>
      </c>
      <c r="O271" s="62"/>
      <c r="P271" s="62">
        <f>+'KY_Res by Plant Acct-P29 (Fin)'!P271+'KY_Res by Plant Acct-P29 (PA)'!P270</f>
        <v>0</v>
      </c>
      <c r="Q271" s="62"/>
      <c r="R271" s="62">
        <f t="shared" si="23"/>
        <v>-205350.19</v>
      </c>
      <c r="S271" s="66"/>
      <c r="T271" s="63"/>
      <c r="U271" s="63"/>
    </row>
    <row r="272" spans="1:22" s="60" customFormat="1" ht="12" hidden="1" customHeight="1" outlineLevel="1">
      <c r="A272" s="60" t="s">
        <v>1426</v>
      </c>
      <c r="B272" s="62">
        <f>+'KY_Res by Plant Acct-P29 (Fin)'!B272+'KY_Res by Plant Acct-P29 (PA)'!B271</f>
        <v>-29225.72</v>
      </c>
      <c r="C272" s="62"/>
      <c r="D272" s="62">
        <f>+'KY_Res by Plant Acct-P29 (Fin)'!D272+'KY_Res by Plant Acct-P29 (PA)'!D271</f>
        <v>-9429.869999999999</v>
      </c>
      <c r="E272" s="62"/>
      <c r="F272" s="141">
        <f>+'KY_Res by Plant Acct-P29 (Fin)'!F272+'KY_Res by Plant Acct-P29 (PA)'!F271</f>
        <v>0</v>
      </c>
      <c r="G272" s="141"/>
      <c r="H272" s="141">
        <f>+'KY_Res by Plant Acct-P29 (Fin)'!H272+'KY_Res by Plant Acct-P29 (PA)'!H271</f>
        <v>0</v>
      </c>
      <c r="I272" s="141"/>
      <c r="J272" s="141">
        <f>+'KY_Res by Plant Acct-P29 (Fin)'!J272+'KY_Res by Plant Acct-P29 (PA)'!J271</f>
        <v>0</v>
      </c>
      <c r="K272" s="141"/>
      <c r="L272" s="141">
        <f>+'KY_Res by Plant Acct-P29 (Fin)'!L272+'KY_Res by Plant Acct-P29 (PA)'!L271</f>
        <v>0</v>
      </c>
      <c r="M272" s="141"/>
      <c r="N272" s="62">
        <f>+'KY_Res by Plant Acct-P29 (Fin)'!N272+'KY_Res by Plant Acct-P29 (PA)'!N271</f>
        <v>0</v>
      </c>
      <c r="O272" s="62"/>
      <c r="P272" s="62">
        <f>+'KY_Res by Plant Acct-P29 (Fin)'!P272+'KY_Res by Plant Acct-P29 (PA)'!P271</f>
        <v>0</v>
      </c>
      <c r="Q272" s="62"/>
      <c r="R272" s="62">
        <f t="shared" si="23"/>
        <v>-38655.589999999997</v>
      </c>
      <c r="S272" s="66"/>
      <c r="T272" s="63"/>
      <c r="U272" s="63"/>
    </row>
    <row r="273" spans="1:21" s="60" customFormat="1" ht="12" hidden="1" customHeight="1" outlineLevel="1">
      <c r="A273" s="60" t="s">
        <v>860</v>
      </c>
      <c r="B273" s="62">
        <f>+'KY_Res by Plant Acct-P29 (Fin)'!B273+'KY_Res by Plant Acct-P29 (PA)'!B272</f>
        <v>-1992597.4299999997</v>
      </c>
      <c r="C273" s="62"/>
      <c r="D273" s="62">
        <f>+'KY_Res by Plant Acct-P29 (Fin)'!D273+'KY_Res by Plant Acct-P29 (PA)'!D272</f>
        <v>-261769.09000000003</v>
      </c>
      <c r="E273" s="62"/>
      <c r="F273" s="141">
        <f>+'KY_Res by Plant Acct-P29 (Fin)'!F273+'KY_Res by Plant Acct-P29 (PA)'!F272</f>
        <v>0</v>
      </c>
      <c r="G273" s="141"/>
      <c r="H273" s="141">
        <f>+'KY_Res by Plant Acct-P29 (Fin)'!H273+'KY_Res by Plant Acct-P29 (PA)'!H272</f>
        <v>0.01</v>
      </c>
      <c r="I273" s="141"/>
      <c r="J273" s="141">
        <f>+'KY_Res by Plant Acct-P29 (Fin)'!J273+'KY_Res by Plant Acct-P29 (PA)'!J272</f>
        <v>0</v>
      </c>
      <c r="K273" s="141"/>
      <c r="L273" s="141">
        <f>+'KY_Res by Plant Acct-P29 (Fin)'!L273+'KY_Res by Plant Acct-P29 (PA)'!L272</f>
        <v>0</v>
      </c>
      <c r="M273" s="141"/>
      <c r="N273" s="62">
        <f>+'KY_Res by Plant Acct-P29 (Fin)'!N273+'KY_Res by Plant Acct-P29 (PA)'!N272</f>
        <v>0</v>
      </c>
      <c r="O273" s="62"/>
      <c r="P273" s="62">
        <f>+'KY_Res by Plant Acct-P29 (Fin)'!P273+'KY_Res by Plant Acct-P29 (PA)'!P272</f>
        <v>0</v>
      </c>
      <c r="Q273" s="62"/>
      <c r="R273" s="62">
        <f t="shared" si="23"/>
        <v>-2254366.5099999998</v>
      </c>
      <c r="S273" s="66"/>
      <c r="T273" s="63"/>
      <c r="U273" s="63"/>
    </row>
    <row r="274" spans="1:21" s="60" customFormat="1" ht="12" hidden="1" customHeight="1" outlineLevel="1">
      <c r="A274" s="60" t="s">
        <v>862</v>
      </c>
      <c r="B274" s="62">
        <f>+'KY_Res by Plant Acct-P29 (Fin)'!B274+'KY_Res by Plant Acct-P29 (PA)'!B273</f>
        <v>-141213.05000000028</v>
      </c>
      <c r="C274" s="62"/>
      <c r="D274" s="62">
        <f>+'KY_Res by Plant Acct-P29 (Fin)'!D274+'KY_Res by Plant Acct-P29 (PA)'!D273</f>
        <v>-14505.66</v>
      </c>
      <c r="E274" s="62"/>
      <c r="F274" s="141">
        <f>+'KY_Res by Plant Acct-P29 (Fin)'!F274+'KY_Res by Plant Acct-P29 (PA)'!F273</f>
        <v>0</v>
      </c>
      <c r="G274" s="141"/>
      <c r="H274" s="141">
        <f>+'KY_Res by Plant Acct-P29 (Fin)'!H274+'KY_Res by Plant Acct-P29 (PA)'!H273</f>
        <v>0</v>
      </c>
      <c r="I274" s="141"/>
      <c r="J274" s="141">
        <f>+'KY_Res by Plant Acct-P29 (Fin)'!J274+'KY_Res by Plant Acct-P29 (PA)'!J273</f>
        <v>0</v>
      </c>
      <c r="K274" s="141"/>
      <c r="L274" s="141">
        <f>+'KY_Res by Plant Acct-P29 (Fin)'!L274+'KY_Res by Plant Acct-P29 (PA)'!L273</f>
        <v>0</v>
      </c>
      <c r="M274" s="141"/>
      <c r="N274" s="62">
        <f>+'KY_Res by Plant Acct-P29 (Fin)'!N274+'KY_Res by Plant Acct-P29 (PA)'!N273</f>
        <v>0</v>
      </c>
      <c r="O274" s="62"/>
      <c r="P274" s="62">
        <f>+'KY_Res by Plant Acct-P29 (Fin)'!P274+'KY_Res by Plant Acct-P29 (PA)'!P273</f>
        <v>0</v>
      </c>
      <c r="Q274" s="62"/>
      <c r="R274" s="62">
        <f t="shared" si="23"/>
        <v>-155718.71000000028</v>
      </c>
      <c r="S274" s="66"/>
      <c r="T274" s="63"/>
      <c r="U274" s="63"/>
    </row>
    <row r="275" spans="1:21" s="10" customFormat="1" ht="12" customHeight="1" collapsed="1">
      <c r="A275" s="10" t="s">
        <v>804</v>
      </c>
      <c r="B275" s="65">
        <f>+'KY_Res by Plant Acct-P29 (Fin)'!B275+'KY_Res by Plant Acct-P29 (PA)'!B274</f>
        <v>-11682917.979999989</v>
      </c>
      <c r="C275" s="65"/>
      <c r="D275" s="65">
        <f>+'KY_Res by Plant Acct-P29 (Fin)'!D275+'KY_Res by Plant Acct-P29 (PA)'!D274</f>
        <v>-939129.81000000017</v>
      </c>
      <c r="E275" s="65"/>
      <c r="F275" s="142">
        <f>+'KY_Res by Plant Acct-P29 (Fin)'!F275+'KY_Res by Plant Acct-P29 (PA)'!F274</f>
        <v>1728.0900000000038</v>
      </c>
      <c r="G275" s="142"/>
      <c r="H275" s="142">
        <f>+'KY_Res by Plant Acct-P29 (Fin)'!H275+'KY_Res by Plant Acct-P29 (PA)'!H274</f>
        <v>-0.01</v>
      </c>
      <c r="I275" s="142"/>
      <c r="J275" s="142">
        <f>+'KY_Res by Plant Acct-P29 (Fin)'!J275+'KY_Res by Plant Acct-P29 (PA)'!J274</f>
        <v>0</v>
      </c>
      <c r="K275" s="142"/>
      <c r="L275" s="142">
        <f>+'KY_Res by Plant Acct-P29 (Fin)'!L275+'KY_Res by Plant Acct-P29 (PA)'!L274</f>
        <v>246585.07</v>
      </c>
      <c r="M275" s="142"/>
      <c r="N275" s="65">
        <f>+'KY_Res by Plant Acct-P29 (Fin)'!N275+'KY_Res by Plant Acct-P29 (PA)'!N274</f>
        <v>-11875</v>
      </c>
      <c r="O275" s="65"/>
      <c r="P275" s="65">
        <f>+'KY_Res by Plant Acct-P29 (Fin)'!P275+'KY_Res by Plant Acct-P29 (PA)'!P274</f>
        <v>0</v>
      </c>
      <c r="Q275" s="65"/>
      <c r="R275" s="65">
        <f>SUM(R253:R274)</f>
        <v>-12385609.639999999</v>
      </c>
      <c r="S275" s="27"/>
      <c r="T275" s="24"/>
      <c r="U275" s="24"/>
    </row>
    <row r="276" spans="1:21" s="60" customFormat="1" ht="12" hidden="1" customHeight="1" outlineLevel="1">
      <c r="A276" s="60" t="s">
        <v>1026</v>
      </c>
      <c r="B276" s="62">
        <f>+'KY_Res by Plant Acct-P29 (Fin)'!B276+'KY_Res by Plant Acct-P29 (PA)'!B275</f>
        <v>0</v>
      </c>
      <c r="C276" s="62"/>
      <c r="D276" s="62">
        <f>+'KY_Res by Plant Acct-P29 (Fin)'!D276+'KY_Res by Plant Acct-P29 (PA)'!D275</f>
        <v>0</v>
      </c>
      <c r="E276" s="62"/>
      <c r="F276" s="141">
        <f>+'KY_Res by Plant Acct-P29 (Fin)'!F276+'KY_Res by Plant Acct-P29 (PA)'!F275</f>
        <v>0</v>
      </c>
      <c r="G276" s="141"/>
      <c r="H276" s="141">
        <f>+'KY_Res by Plant Acct-P29 (Fin)'!H276+'KY_Res by Plant Acct-P29 (PA)'!H275</f>
        <v>0</v>
      </c>
      <c r="I276" s="141"/>
      <c r="J276" s="141">
        <f>+'KY_Res by Plant Acct-P29 (Fin)'!J276+'KY_Res by Plant Acct-P29 (PA)'!J275</f>
        <v>0</v>
      </c>
      <c r="K276" s="141"/>
      <c r="L276" s="141">
        <f>+'KY_Res by Plant Acct-P29 (Fin)'!L276+'KY_Res by Plant Acct-P29 (PA)'!L275</f>
        <v>0</v>
      </c>
      <c r="M276" s="141"/>
      <c r="N276" s="62">
        <f>+'KY_Res by Plant Acct-P29 (Fin)'!N276+'KY_Res by Plant Acct-P29 (PA)'!N275</f>
        <v>0</v>
      </c>
      <c r="O276" s="62"/>
      <c r="P276" s="62">
        <f>+'KY_Res by Plant Acct-P29 (Fin)'!P276+'KY_Res by Plant Acct-P29 (PA)'!P275</f>
        <v>0</v>
      </c>
      <c r="Q276" s="62"/>
      <c r="R276" s="62">
        <f t="shared" si="22"/>
        <v>0</v>
      </c>
      <c r="S276" s="66"/>
      <c r="T276" s="63"/>
      <c r="U276" s="63"/>
    </row>
    <row r="277" spans="1:21" s="60" customFormat="1" ht="12" hidden="1" customHeight="1" outlineLevel="1">
      <c r="A277" s="60" t="s">
        <v>1027</v>
      </c>
      <c r="B277" s="62">
        <f>+'KY_Res by Plant Acct-P29 (Fin)'!B277+'KY_Res by Plant Acct-P29 (PA)'!B276</f>
        <v>0</v>
      </c>
      <c r="C277" s="62"/>
      <c r="D277" s="62">
        <f>+'KY_Res by Plant Acct-P29 (Fin)'!D277+'KY_Res by Plant Acct-P29 (PA)'!D276</f>
        <v>0</v>
      </c>
      <c r="E277" s="62"/>
      <c r="F277" s="62">
        <f>+'KY_Res by Plant Acct-P29 (Fin)'!F277+'KY_Res by Plant Acct-P29 (PA)'!F276</f>
        <v>0</v>
      </c>
      <c r="G277" s="62"/>
      <c r="H277" s="62">
        <f>+'KY_Res by Plant Acct-P29 (Fin)'!H277+'KY_Res by Plant Acct-P29 (PA)'!H276</f>
        <v>0</v>
      </c>
      <c r="I277" s="62"/>
      <c r="J277" s="62">
        <f>+'KY_Res by Plant Acct-P29 (Fin)'!J277+'KY_Res by Plant Acct-P29 (PA)'!J276</f>
        <v>0</v>
      </c>
      <c r="K277" s="62"/>
      <c r="L277" s="62">
        <f>+'KY_Res by Plant Acct-P29 (Fin)'!L277+'KY_Res by Plant Acct-P29 (PA)'!L276</f>
        <v>0</v>
      </c>
      <c r="M277" s="62"/>
      <c r="N277" s="62">
        <f>+'KY_Res by Plant Acct-P29 (Fin)'!N277+'KY_Res by Plant Acct-P29 (PA)'!N276</f>
        <v>0</v>
      </c>
      <c r="O277" s="62"/>
      <c r="P277" s="62">
        <f>+'KY_Res by Plant Acct-P29 (Fin)'!P277+'KY_Res by Plant Acct-P29 (PA)'!P276</f>
        <v>0</v>
      </c>
      <c r="Q277" s="62"/>
      <c r="R277" s="62">
        <f t="shared" ref="R277:R283" si="24">SUM(B277:P277)</f>
        <v>0</v>
      </c>
      <c r="S277" s="66"/>
      <c r="T277" s="63"/>
      <c r="U277" s="63"/>
    </row>
    <row r="278" spans="1:21" s="60" customFormat="1" ht="12" hidden="1" customHeight="1" outlineLevel="1">
      <c r="A278" s="60" t="s">
        <v>1028</v>
      </c>
      <c r="B278" s="62">
        <f>+'KY_Res by Plant Acct-P29 (Fin)'!B278+'KY_Res by Plant Acct-P29 (PA)'!B277</f>
        <v>-1.0000000009313226E-2</v>
      </c>
      <c r="C278" s="62"/>
      <c r="D278" s="62">
        <f>+'KY_Res by Plant Acct-P29 (Fin)'!D278+'KY_Res by Plant Acct-P29 (PA)'!D277</f>
        <v>0</v>
      </c>
      <c r="E278" s="62"/>
      <c r="F278" s="62">
        <f>+'KY_Res by Plant Acct-P29 (Fin)'!F278+'KY_Res by Plant Acct-P29 (PA)'!F277</f>
        <v>0</v>
      </c>
      <c r="G278" s="62"/>
      <c r="H278" s="62">
        <f>+'KY_Res by Plant Acct-P29 (Fin)'!H278+'KY_Res by Plant Acct-P29 (PA)'!H277</f>
        <v>0.01</v>
      </c>
      <c r="I278" s="62"/>
      <c r="J278" s="62">
        <f>+'KY_Res by Plant Acct-P29 (Fin)'!J278+'KY_Res by Plant Acct-P29 (PA)'!J277</f>
        <v>0</v>
      </c>
      <c r="K278" s="62"/>
      <c r="L278" s="62">
        <f>+'KY_Res by Plant Acct-P29 (Fin)'!L278+'KY_Res by Plant Acct-P29 (PA)'!L277</f>
        <v>0</v>
      </c>
      <c r="M278" s="62"/>
      <c r="N278" s="62">
        <f>+'KY_Res by Plant Acct-P29 (Fin)'!N278+'KY_Res by Plant Acct-P29 (PA)'!N277</f>
        <v>0</v>
      </c>
      <c r="O278" s="62"/>
      <c r="P278" s="62">
        <f>+'KY_Res by Plant Acct-P29 (Fin)'!P278+'KY_Res by Plant Acct-P29 (PA)'!P277</f>
        <v>0</v>
      </c>
      <c r="Q278" s="62"/>
      <c r="R278" s="62">
        <f t="shared" si="24"/>
        <v>-9.313225537987968E-12</v>
      </c>
      <c r="S278" s="66"/>
      <c r="T278" s="63"/>
      <c r="U278" s="63"/>
    </row>
    <row r="279" spans="1:21" s="60" customFormat="1" ht="12" hidden="1" customHeight="1" outlineLevel="1">
      <c r="A279" s="60" t="s">
        <v>1029</v>
      </c>
      <c r="B279" s="62">
        <f>+'KY_Res by Plant Acct-P29 (Fin)'!B279+'KY_Res by Plant Acct-P29 (PA)'!B278</f>
        <v>1.1641532182693481E-10</v>
      </c>
      <c r="C279" s="62"/>
      <c r="D279" s="62">
        <f>+'KY_Res by Plant Acct-P29 (Fin)'!D279+'KY_Res by Plant Acct-P29 (PA)'!D278</f>
        <v>0</v>
      </c>
      <c r="E279" s="62"/>
      <c r="F279" s="62">
        <f>+'KY_Res by Plant Acct-P29 (Fin)'!F279+'KY_Res by Plant Acct-P29 (PA)'!F278</f>
        <v>0</v>
      </c>
      <c r="G279" s="62"/>
      <c r="H279" s="62">
        <f>+'KY_Res by Plant Acct-P29 (Fin)'!H279+'KY_Res by Plant Acct-P29 (PA)'!H278</f>
        <v>0</v>
      </c>
      <c r="I279" s="62"/>
      <c r="J279" s="62">
        <f>+'KY_Res by Plant Acct-P29 (Fin)'!J279+'KY_Res by Plant Acct-P29 (PA)'!J278</f>
        <v>0</v>
      </c>
      <c r="K279" s="62"/>
      <c r="L279" s="62">
        <f>+'KY_Res by Plant Acct-P29 (Fin)'!L279+'KY_Res by Plant Acct-P29 (PA)'!L278</f>
        <v>0</v>
      </c>
      <c r="M279" s="62"/>
      <c r="N279" s="62">
        <f>+'KY_Res by Plant Acct-P29 (Fin)'!N279+'KY_Res by Plant Acct-P29 (PA)'!N278</f>
        <v>0</v>
      </c>
      <c r="O279" s="62"/>
      <c r="P279" s="62">
        <f>+'KY_Res by Plant Acct-P29 (Fin)'!P279+'KY_Res by Plant Acct-P29 (PA)'!P278</f>
        <v>0</v>
      </c>
      <c r="Q279" s="62"/>
      <c r="R279" s="62">
        <f t="shared" si="24"/>
        <v>1.1641532182693481E-10</v>
      </c>
      <c r="S279" s="66"/>
      <c r="T279" s="63"/>
      <c r="U279" s="63"/>
    </row>
    <row r="280" spans="1:21" s="60" customFormat="1" ht="12" hidden="1" customHeight="1" outlineLevel="1">
      <c r="A280" s="60" t="s">
        <v>1030</v>
      </c>
      <c r="B280" s="62">
        <f>+'KY_Res by Plant Acct-P29 (Fin)'!B280+'KY_Res by Plant Acct-P29 (PA)'!B279</f>
        <v>1.1641532182693481E-10</v>
      </c>
      <c r="C280" s="62"/>
      <c r="D280" s="62">
        <f>+'KY_Res by Plant Acct-P29 (Fin)'!D280+'KY_Res by Plant Acct-P29 (PA)'!D279</f>
        <v>0</v>
      </c>
      <c r="E280" s="62"/>
      <c r="F280" s="62">
        <f>+'KY_Res by Plant Acct-P29 (Fin)'!F280+'KY_Res by Plant Acct-P29 (PA)'!F279</f>
        <v>0</v>
      </c>
      <c r="G280" s="62"/>
      <c r="H280" s="62">
        <f>+'KY_Res by Plant Acct-P29 (Fin)'!H280+'KY_Res by Plant Acct-P29 (PA)'!H279</f>
        <v>0</v>
      </c>
      <c r="I280" s="62"/>
      <c r="J280" s="62">
        <f>+'KY_Res by Plant Acct-P29 (Fin)'!J280+'KY_Res by Plant Acct-P29 (PA)'!J279</f>
        <v>0</v>
      </c>
      <c r="K280" s="62"/>
      <c r="L280" s="62">
        <f>+'KY_Res by Plant Acct-P29 (Fin)'!L280+'KY_Res by Plant Acct-P29 (PA)'!L279</f>
        <v>0</v>
      </c>
      <c r="M280" s="62"/>
      <c r="N280" s="62">
        <f>+'KY_Res by Plant Acct-P29 (Fin)'!N280+'KY_Res by Plant Acct-P29 (PA)'!N279</f>
        <v>0</v>
      </c>
      <c r="O280" s="62"/>
      <c r="P280" s="62">
        <f>+'KY_Res by Plant Acct-P29 (Fin)'!P280+'KY_Res by Plant Acct-P29 (PA)'!P279</f>
        <v>0</v>
      </c>
      <c r="Q280" s="62"/>
      <c r="R280" s="62">
        <f t="shared" si="24"/>
        <v>1.1641532182693481E-10</v>
      </c>
      <c r="S280" s="66"/>
      <c r="T280" s="63"/>
      <c r="U280" s="63"/>
    </row>
    <row r="281" spans="1:21" s="60" customFormat="1" ht="12" hidden="1" customHeight="1" outlineLevel="1">
      <c r="A281" s="60" t="s">
        <v>1031</v>
      </c>
      <c r="B281" s="62">
        <f>+'KY_Res by Plant Acct-P29 (Fin)'!B281+'KY_Res by Plant Acct-P29 (PA)'!B280</f>
        <v>2.3283064365386963E-10</v>
      </c>
      <c r="C281" s="62"/>
      <c r="D281" s="62">
        <f>+'KY_Res by Plant Acct-P29 (Fin)'!D281+'KY_Res by Plant Acct-P29 (PA)'!D280</f>
        <v>0</v>
      </c>
      <c r="E281" s="62"/>
      <c r="F281" s="62">
        <f>+'KY_Res by Plant Acct-P29 (Fin)'!F281+'KY_Res by Plant Acct-P29 (PA)'!F280</f>
        <v>0</v>
      </c>
      <c r="G281" s="62"/>
      <c r="H281" s="62">
        <f>+'KY_Res by Plant Acct-P29 (Fin)'!H281+'KY_Res by Plant Acct-P29 (PA)'!H280</f>
        <v>0</v>
      </c>
      <c r="I281" s="62"/>
      <c r="J281" s="62">
        <f>+'KY_Res by Plant Acct-P29 (Fin)'!J281+'KY_Res by Plant Acct-P29 (PA)'!J280</f>
        <v>0</v>
      </c>
      <c r="K281" s="62"/>
      <c r="L281" s="62">
        <f>+'KY_Res by Plant Acct-P29 (Fin)'!L281+'KY_Res by Plant Acct-P29 (PA)'!L280</f>
        <v>0</v>
      </c>
      <c r="M281" s="62"/>
      <c r="N281" s="62">
        <f>+'KY_Res by Plant Acct-P29 (Fin)'!N281+'KY_Res by Plant Acct-P29 (PA)'!N280</f>
        <v>0</v>
      </c>
      <c r="O281" s="62"/>
      <c r="P281" s="62">
        <f>+'KY_Res by Plant Acct-P29 (Fin)'!P281+'KY_Res by Plant Acct-P29 (PA)'!P280</f>
        <v>0</v>
      </c>
      <c r="Q281" s="62"/>
      <c r="R281" s="62">
        <f t="shared" si="24"/>
        <v>2.3283064365386963E-10</v>
      </c>
      <c r="S281" s="66"/>
      <c r="T281" s="63"/>
      <c r="U281" s="63"/>
    </row>
    <row r="282" spans="1:21" s="60" customFormat="1" ht="12" hidden="1" customHeight="1" outlineLevel="1">
      <c r="A282" s="60" t="s">
        <v>143</v>
      </c>
      <c r="B282" s="62">
        <f>+'KY_Res by Plant Acct-P29 (Fin)'!B282+'KY_Res by Plant Acct-P29 (PA)'!B281</f>
        <v>-1.0000000242143869E-2</v>
      </c>
      <c r="C282" s="62"/>
      <c r="D282" s="62">
        <f>+'KY_Res by Plant Acct-P29 (Fin)'!D282+'KY_Res by Plant Acct-P29 (PA)'!D281</f>
        <v>0</v>
      </c>
      <c r="E282" s="62"/>
      <c r="F282" s="62">
        <f>+'KY_Res by Plant Acct-P29 (Fin)'!F282+'KY_Res by Plant Acct-P29 (PA)'!F281</f>
        <v>0</v>
      </c>
      <c r="G282" s="62"/>
      <c r="H282" s="62">
        <f>+'KY_Res by Plant Acct-P29 (Fin)'!H282+'KY_Res by Plant Acct-P29 (PA)'!H281</f>
        <v>0.01</v>
      </c>
      <c r="I282" s="62"/>
      <c r="J282" s="62">
        <f>+'KY_Res by Plant Acct-P29 (Fin)'!J282+'KY_Res by Plant Acct-P29 (PA)'!J281</f>
        <v>0</v>
      </c>
      <c r="K282" s="62"/>
      <c r="L282" s="62">
        <f>+'KY_Res by Plant Acct-P29 (Fin)'!L282+'KY_Res by Plant Acct-P29 (PA)'!L281</f>
        <v>0</v>
      </c>
      <c r="M282" s="62"/>
      <c r="N282" s="62">
        <f>+'KY_Res by Plant Acct-P29 (Fin)'!N282+'KY_Res by Plant Acct-P29 (PA)'!N281</f>
        <v>0</v>
      </c>
      <c r="O282" s="62"/>
      <c r="P282" s="62">
        <f>+'KY_Res by Plant Acct-P29 (Fin)'!P282+'KY_Res by Plant Acct-P29 (PA)'!P281</f>
        <v>0</v>
      </c>
      <c r="Q282" s="62"/>
      <c r="R282" s="62">
        <f t="shared" si="24"/>
        <v>-2.421438691918576E-10</v>
      </c>
      <c r="S282" s="66"/>
      <c r="T282" s="63"/>
      <c r="U282" s="63"/>
    </row>
    <row r="283" spans="1:21" s="60" customFormat="1" ht="12" hidden="1" customHeight="1" outlineLevel="1">
      <c r="A283" s="60" t="s">
        <v>144</v>
      </c>
      <c r="B283" s="62">
        <f>+'KY_Res by Plant Acct-P29 (Fin)'!B283+'KY_Res by Plant Acct-P29 (PA)'!B282</f>
        <v>1.0000000009313226E-2</v>
      </c>
      <c r="C283" s="62"/>
      <c r="D283" s="62">
        <f>+'KY_Res by Plant Acct-P29 (Fin)'!D283+'KY_Res by Plant Acct-P29 (PA)'!D282</f>
        <v>0</v>
      </c>
      <c r="E283" s="62"/>
      <c r="F283" s="62">
        <f>+'KY_Res by Plant Acct-P29 (Fin)'!F283+'KY_Res by Plant Acct-P29 (PA)'!F282</f>
        <v>0</v>
      </c>
      <c r="G283" s="62"/>
      <c r="H283" s="62">
        <f>+'KY_Res by Plant Acct-P29 (Fin)'!H283+'KY_Res by Plant Acct-P29 (PA)'!H282</f>
        <v>-0.01</v>
      </c>
      <c r="I283" s="62"/>
      <c r="J283" s="62">
        <f>+'KY_Res by Plant Acct-P29 (Fin)'!J283+'KY_Res by Plant Acct-P29 (PA)'!J282</f>
        <v>0</v>
      </c>
      <c r="K283" s="62"/>
      <c r="L283" s="62">
        <f>+'KY_Res by Plant Acct-P29 (Fin)'!L283+'KY_Res by Plant Acct-P29 (PA)'!L282</f>
        <v>0</v>
      </c>
      <c r="M283" s="62"/>
      <c r="N283" s="62">
        <f>+'KY_Res by Plant Acct-P29 (Fin)'!N283+'KY_Res by Plant Acct-P29 (PA)'!N282</f>
        <v>0</v>
      </c>
      <c r="O283" s="62"/>
      <c r="P283" s="62">
        <f>+'KY_Res by Plant Acct-P29 (Fin)'!P283+'KY_Res by Plant Acct-P29 (PA)'!P282</f>
        <v>0</v>
      </c>
      <c r="Q283" s="62"/>
      <c r="R283" s="62">
        <f t="shared" si="24"/>
        <v>9.313225537987968E-12</v>
      </c>
      <c r="S283" s="66"/>
      <c r="T283" s="63"/>
      <c r="U283" s="63"/>
    </row>
    <row r="284" spans="1:21" s="10" customFormat="1" ht="12" customHeight="1" collapsed="1">
      <c r="A284" s="10" t="s">
        <v>145</v>
      </c>
      <c r="B284" s="65">
        <f>+'KY_Res by Plant Acct-P29 (Fin)'!B284+'KY_Res by Plant Acct-P29 (PA)'!B283</f>
        <v>-9.9999997764825821E-3</v>
      </c>
      <c r="C284" s="65"/>
      <c r="D284" s="65">
        <f>+'KY_Res by Plant Acct-P29 (Fin)'!D284+'KY_Res by Plant Acct-P29 (PA)'!D283</f>
        <v>0</v>
      </c>
      <c r="E284" s="65"/>
      <c r="F284" s="65">
        <f>+'KY_Res by Plant Acct-P29 (Fin)'!F284+'KY_Res by Plant Acct-P29 (PA)'!F283</f>
        <v>0</v>
      </c>
      <c r="G284" s="65"/>
      <c r="H284" s="65">
        <f>+'KY_Res by Plant Acct-P29 (Fin)'!H284+'KY_Res by Plant Acct-P29 (PA)'!H283</f>
        <v>0.01</v>
      </c>
      <c r="I284" s="65"/>
      <c r="J284" s="65">
        <f>+'KY_Res by Plant Acct-P29 (Fin)'!J284+'KY_Res by Plant Acct-P29 (PA)'!J283</f>
        <v>0</v>
      </c>
      <c r="K284" s="65"/>
      <c r="L284" s="65">
        <f>+'KY_Res by Plant Acct-P29 (Fin)'!L284+'KY_Res by Plant Acct-P29 (PA)'!L283</f>
        <v>0</v>
      </c>
      <c r="M284" s="65"/>
      <c r="N284" s="65">
        <f>+'KY_Res by Plant Acct-P29 (Fin)'!N284+'KY_Res by Plant Acct-P29 (PA)'!N283</f>
        <v>0</v>
      </c>
      <c r="O284" s="65"/>
      <c r="P284" s="65">
        <f>+'KY_Res by Plant Acct-P29 (Fin)'!P284+'KY_Res by Plant Acct-P29 (PA)'!P283</f>
        <v>0</v>
      </c>
      <c r="Q284" s="65"/>
      <c r="R284" s="65">
        <f>SUM(R276:R283)</f>
        <v>2.2351741811588166E-10</v>
      </c>
      <c r="S284" s="27"/>
      <c r="T284" s="24"/>
      <c r="U284" s="24"/>
    </row>
    <row r="285" spans="1:21" s="60" customFormat="1" hidden="1" outlineLevel="1">
      <c r="A285" s="60" t="s">
        <v>713</v>
      </c>
      <c r="B285" s="62">
        <f>+'KY_Res by Plant Acct-P29 (Fin)'!B285+'KY_Res by Plant Acct-P29 (PA)'!B284</f>
        <v>-4017.91</v>
      </c>
      <c r="C285" s="62"/>
      <c r="D285" s="62">
        <f>+'KY_Res by Plant Acct-P29 (Fin)'!D285+'KY_Res by Plant Acct-P29 (PA)'!D284</f>
        <v>0</v>
      </c>
      <c r="E285" s="62"/>
      <c r="F285" s="62">
        <f>+'KY_Res by Plant Acct-P29 (Fin)'!F285+'KY_Res by Plant Acct-P29 (PA)'!F284</f>
        <v>0</v>
      </c>
      <c r="G285" s="62"/>
      <c r="H285" s="62">
        <f>+'KY_Res by Plant Acct-P29 (Fin)'!H285+'KY_Res by Plant Acct-P29 (PA)'!H284</f>
        <v>0</v>
      </c>
      <c r="I285" s="62"/>
      <c r="J285" s="62">
        <f>+'KY_Res by Plant Acct-P29 (Fin)'!J285+'KY_Res by Plant Acct-P29 (PA)'!J284</f>
        <v>0</v>
      </c>
      <c r="K285" s="62"/>
      <c r="L285" s="62">
        <f>+'KY_Res by Plant Acct-P29 (Fin)'!L285+'KY_Res by Plant Acct-P29 (PA)'!L284</f>
        <v>0</v>
      </c>
      <c r="M285" s="62"/>
      <c r="N285" s="62">
        <f>+'KY_Res by Plant Acct-P29 (Fin)'!N285+'KY_Res by Plant Acct-P29 (PA)'!N284</f>
        <v>0</v>
      </c>
      <c r="O285" s="62"/>
      <c r="P285" s="62">
        <f>+'KY_Res by Plant Acct-P29 (Fin)'!P285+'KY_Res by Plant Acct-P29 (PA)'!P284</f>
        <v>0</v>
      </c>
      <c r="Q285" s="62"/>
      <c r="R285" s="62">
        <f t="shared" si="22"/>
        <v>-4017.91</v>
      </c>
      <c r="S285" s="66"/>
      <c r="T285" s="63"/>
      <c r="U285" s="63"/>
    </row>
    <row r="286" spans="1:21" s="60" customFormat="1" hidden="1" outlineLevel="1">
      <c r="A286" s="60" t="s">
        <v>863</v>
      </c>
      <c r="B286" s="62">
        <f>+'KY_Res by Plant Acct-P29 (Fin)'!B286+'KY_Res by Plant Acct-P29 (PA)'!B285</f>
        <v>-738</v>
      </c>
      <c r="C286" s="62"/>
      <c r="D286" s="62">
        <f>+'KY_Res by Plant Acct-P29 (Fin)'!D286+'KY_Res by Plant Acct-P29 (PA)'!D285</f>
        <v>0</v>
      </c>
      <c r="E286" s="62"/>
      <c r="F286" s="62">
        <f>+'KY_Res by Plant Acct-P29 (Fin)'!F286+'KY_Res by Plant Acct-P29 (PA)'!F285</f>
        <v>0</v>
      </c>
      <c r="G286" s="62"/>
      <c r="H286" s="62">
        <f>+'KY_Res by Plant Acct-P29 (Fin)'!H286+'KY_Res by Plant Acct-P29 (PA)'!H285</f>
        <v>0</v>
      </c>
      <c r="I286" s="62"/>
      <c r="J286" s="62">
        <f>+'KY_Res by Plant Acct-P29 (Fin)'!J286+'KY_Res by Plant Acct-P29 (PA)'!J285</f>
        <v>0</v>
      </c>
      <c r="K286" s="62"/>
      <c r="L286" s="62">
        <f>+'KY_Res by Plant Acct-P29 (Fin)'!L286+'KY_Res by Plant Acct-P29 (PA)'!L285</f>
        <v>0</v>
      </c>
      <c r="M286" s="62"/>
      <c r="N286" s="62">
        <f>+'KY_Res by Plant Acct-P29 (Fin)'!N286+'KY_Res by Plant Acct-P29 (PA)'!N285</f>
        <v>0</v>
      </c>
      <c r="O286" s="62"/>
      <c r="P286" s="62">
        <f>+'KY_Res by Plant Acct-P29 (Fin)'!P286+'KY_Res by Plant Acct-P29 (PA)'!P285</f>
        <v>0</v>
      </c>
      <c r="Q286" s="62"/>
      <c r="R286" s="62">
        <f t="shared" si="22"/>
        <v>-738</v>
      </c>
      <c r="S286" s="66"/>
      <c r="T286" s="63"/>
      <c r="U286" s="63"/>
    </row>
    <row r="287" spans="1:21" s="60" customFormat="1" hidden="1" outlineLevel="1">
      <c r="A287" s="60" t="s">
        <v>864</v>
      </c>
      <c r="B287" s="62">
        <f>+'KY_Res by Plant Acct-P29 (Fin)'!B287+'KY_Res by Plant Acct-P29 (PA)'!B286</f>
        <v>-10394.550000000005</v>
      </c>
      <c r="C287" s="62"/>
      <c r="D287" s="62">
        <f>+'KY_Res by Plant Acct-P29 (Fin)'!D287+'KY_Res by Plant Acct-P29 (PA)'!D286</f>
        <v>-1374.18</v>
      </c>
      <c r="E287" s="62"/>
      <c r="F287" s="62">
        <f>+'KY_Res by Plant Acct-P29 (Fin)'!F287+'KY_Res by Plant Acct-P29 (PA)'!F286</f>
        <v>0</v>
      </c>
      <c r="G287" s="62"/>
      <c r="H287" s="62">
        <f>+'KY_Res by Plant Acct-P29 (Fin)'!H287+'KY_Res by Plant Acct-P29 (PA)'!H286</f>
        <v>0</v>
      </c>
      <c r="I287" s="62"/>
      <c r="J287" s="62">
        <f>+'KY_Res by Plant Acct-P29 (Fin)'!J287+'KY_Res by Plant Acct-P29 (PA)'!J286</f>
        <v>0</v>
      </c>
      <c r="K287" s="62"/>
      <c r="L287" s="62">
        <f>+'KY_Res by Plant Acct-P29 (Fin)'!L287+'KY_Res by Plant Acct-P29 (PA)'!L286</f>
        <v>0</v>
      </c>
      <c r="M287" s="62"/>
      <c r="N287" s="62">
        <f>+'KY_Res by Plant Acct-P29 (Fin)'!N287+'KY_Res by Plant Acct-P29 (PA)'!N286</f>
        <v>0</v>
      </c>
      <c r="O287" s="62"/>
      <c r="P287" s="62">
        <f>+'KY_Res by Plant Acct-P29 (Fin)'!P287+'KY_Res by Plant Acct-P29 (PA)'!P286</f>
        <v>0</v>
      </c>
      <c r="Q287" s="62"/>
      <c r="R287" s="62">
        <f t="shared" si="22"/>
        <v>-11768.730000000005</v>
      </c>
      <c r="S287" s="66"/>
      <c r="T287" s="63"/>
      <c r="U287" s="63"/>
    </row>
    <row r="288" spans="1:21" s="60" customFormat="1" hidden="1" outlineLevel="1">
      <c r="A288" s="60" t="s">
        <v>866</v>
      </c>
      <c r="B288" s="62">
        <f>+'KY_Res by Plant Acct-P29 (Fin)'!B288+'KY_Res by Plant Acct-P29 (PA)'!B287</f>
        <v>-651.92000000000007</v>
      </c>
      <c r="C288" s="62"/>
      <c r="D288" s="62">
        <f>+'KY_Res by Plant Acct-P29 (Fin)'!D288+'KY_Res by Plant Acct-P29 (PA)'!D287</f>
        <v>-45.75</v>
      </c>
      <c r="E288" s="62"/>
      <c r="F288" s="62">
        <f>+'KY_Res by Plant Acct-P29 (Fin)'!F288+'KY_Res by Plant Acct-P29 (PA)'!F287</f>
        <v>0</v>
      </c>
      <c r="G288" s="62"/>
      <c r="H288" s="62">
        <f>+'KY_Res by Plant Acct-P29 (Fin)'!H288+'KY_Res by Plant Acct-P29 (PA)'!H287</f>
        <v>0</v>
      </c>
      <c r="I288" s="62"/>
      <c r="J288" s="62">
        <f>+'KY_Res by Plant Acct-P29 (Fin)'!J288+'KY_Res by Plant Acct-P29 (PA)'!J287</f>
        <v>0</v>
      </c>
      <c r="K288" s="62"/>
      <c r="L288" s="62">
        <f>+'KY_Res by Plant Acct-P29 (Fin)'!L288+'KY_Res by Plant Acct-P29 (PA)'!L287</f>
        <v>0</v>
      </c>
      <c r="M288" s="62"/>
      <c r="N288" s="62">
        <f>+'KY_Res by Plant Acct-P29 (Fin)'!N288+'KY_Res by Plant Acct-P29 (PA)'!N287</f>
        <v>0</v>
      </c>
      <c r="O288" s="62"/>
      <c r="P288" s="62">
        <f>+'KY_Res by Plant Acct-P29 (Fin)'!P288+'KY_Res by Plant Acct-P29 (PA)'!P287</f>
        <v>0</v>
      </c>
      <c r="Q288" s="62"/>
      <c r="R288" s="62">
        <f t="shared" si="22"/>
        <v>-697.67000000000007</v>
      </c>
      <c r="S288" s="66"/>
      <c r="T288" s="63"/>
      <c r="U288" s="63"/>
    </row>
    <row r="289" spans="1:21" s="60" customFormat="1" hidden="1" outlineLevel="1">
      <c r="A289" s="60" t="s">
        <v>710</v>
      </c>
      <c r="B289" s="62">
        <f>+'KY_Res by Plant Acct-P29 (Fin)'!B289+'KY_Res by Plant Acct-P29 (PA)'!B288</f>
        <v>-9468.14</v>
      </c>
      <c r="C289" s="62"/>
      <c r="D289" s="62">
        <f>+'KY_Res by Plant Acct-P29 (Fin)'!D289+'KY_Res by Plant Acct-P29 (PA)'!D288</f>
        <v>-1309.1399999999999</v>
      </c>
      <c r="E289" s="62"/>
      <c r="F289" s="62">
        <f>+'KY_Res by Plant Acct-P29 (Fin)'!F289+'KY_Res by Plant Acct-P29 (PA)'!F288</f>
        <v>0</v>
      </c>
      <c r="G289" s="62"/>
      <c r="H289" s="62">
        <f>+'KY_Res by Plant Acct-P29 (Fin)'!H289+'KY_Res by Plant Acct-P29 (PA)'!H288</f>
        <v>0</v>
      </c>
      <c r="I289" s="62"/>
      <c r="J289" s="62">
        <f>+'KY_Res by Plant Acct-P29 (Fin)'!J289+'KY_Res by Plant Acct-P29 (PA)'!J288</f>
        <v>0</v>
      </c>
      <c r="K289" s="62"/>
      <c r="L289" s="62">
        <f>+'KY_Res by Plant Acct-P29 (Fin)'!L289+'KY_Res by Plant Acct-P29 (PA)'!L288</f>
        <v>0</v>
      </c>
      <c r="M289" s="62"/>
      <c r="N289" s="62">
        <f>+'KY_Res by Plant Acct-P29 (Fin)'!N289+'KY_Res by Plant Acct-P29 (PA)'!N288</f>
        <v>0</v>
      </c>
      <c r="O289" s="62"/>
      <c r="P289" s="62">
        <f>+'KY_Res by Plant Acct-P29 (Fin)'!P289+'KY_Res by Plant Acct-P29 (PA)'!P288</f>
        <v>0</v>
      </c>
      <c r="Q289" s="62"/>
      <c r="R289" s="62">
        <f t="shared" si="22"/>
        <v>-10777.279999999999</v>
      </c>
      <c r="S289" s="66"/>
      <c r="T289" s="63"/>
      <c r="U289" s="63"/>
    </row>
    <row r="290" spans="1:21" s="60" customFormat="1" hidden="1" outlineLevel="1">
      <c r="A290" s="60" t="s">
        <v>867</v>
      </c>
      <c r="B290" s="62">
        <f>+'KY_Res by Plant Acct-P29 (Fin)'!B290+'KY_Res by Plant Acct-P29 (PA)'!B289</f>
        <v>-6350.0900000000111</v>
      </c>
      <c r="C290" s="62"/>
      <c r="D290" s="62">
        <f>+'KY_Res by Plant Acct-P29 (Fin)'!D290+'KY_Res by Plant Acct-P29 (PA)'!D289</f>
        <v>-337.02</v>
      </c>
      <c r="E290" s="62"/>
      <c r="F290" s="62">
        <f>+'KY_Res by Plant Acct-P29 (Fin)'!F290+'KY_Res by Plant Acct-P29 (PA)'!F289</f>
        <v>0</v>
      </c>
      <c r="G290" s="62"/>
      <c r="H290" s="62">
        <f>+'KY_Res by Plant Acct-P29 (Fin)'!H290+'KY_Res by Plant Acct-P29 (PA)'!H289</f>
        <v>0</v>
      </c>
      <c r="I290" s="62"/>
      <c r="J290" s="62">
        <f>+'KY_Res by Plant Acct-P29 (Fin)'!J290+'KY_Res by Plant Acct-P29 (PA)'!J289</f>
        <v>0</v>
      </c>
      <c r="K290" s="62"/>
      <c r="L290" s="62">
        <f>+'KY_Res by Plant Acct-P29 (Fin)'!L290+'KY_Res by Plant Acct-P29 (PA)'!L289</f>
        <v>0</v>
      </c>
      <c r="M290" s="62"/>
      <c r="N290" s="62">
        <f>+'KY_Res by Plant Acct-P29 (Fin)'!N290+'KY_Res by Plant Acct-P29 (PA)'!N289</f>
        <v>0</v>
      </c>
      <c r="O290" s="62"/>
      <c r="P290" s="62">
        <f>+'KY_Res by Plant Acct-P29 (Fin)'!P290+'KY_Res by Plant Acct-P29 (PA)'!P289</f>
        <v>0</v>
      </c>
      <c r="Q290" s="62"/>
      <c r="R290" s="62">
        <f t="shared" si="22"/>
        <v>-6687.1100000000115</v>
      </c>
      <c r="S290" s="66"/>
      <c r="T290" s="63"/>
      <c r="U290" s="63"/>
    </row>
    <row r="291" spans="1:21" s="60" customFormat="1" hidden="1" outlineLevel="1">
      <c r="A291" s="60" t="s">
        <v>868</v>
      </c>
      <c r="B291" s="62">
        <f>+'KY_Res by Plant Acct-P29 (Fin)'!B291+'KY_Res by Plant Acct-P29 (PA)'!B290</f>
        <v>-276463.84000000008</v>
      </c>
      <c r="C291" s="62"/>
      <c r="D291" s="62">
        <f>+'KY_Res by Plant Acct-P29 (Fin)'!D291+'KY_Res by Plant Acct-P29 (PA)'!D290</f>
        <v>-31754.720000000001</v>
      </c>
      <c r="E291" s="62"/>
      <c r="F291" s="62">
        <f>+'KY_Res by Plant Acct-P29 (Fin)'!F291+'KY_Res by Plant Acct-P29 (PA)'!F290</f>
        <v>0</v>
      </c>
      <c r="G291" s="62"/>
      <c r="H291" s="62">
        <f>+'KY_Res by Plant Acct-P29 (Fin)'!H291+'KY_Res by Plant Acct-P29 (PA)'!H290</f>
        <v>0</v>
      </c>
      <c r="I291" s="62"/>
      <c r="J291" s="62">
        <f>+'KY_Res by Plant Acct-P29 (Fin)'!J291+'KY_Res by Plant Acct-P29 (PA)'!J290</f>
        <v>0</v>
      </c>
      <c r="K291" s="62"/>
      <c r="L291" s="62">
        <f>+'KY_Res by Plant Acct-P29 (Fin)'!L291+'KY_Res by Plant Acct-P29 (PA)'!L290</f>
        <v>0</v>
      </c>
      <c r="M291" s="62"/>
      <c r="N291" s="62">
        <f>+'KY_Res by Plant Acct-P29 (Fin)'!N291+'KY_Res by Plant Acct-P29 (PA)'!N290</f>
        <v>0</v>
      </c>
      <c r="O291" s="62"/>
      <c r="P291" s="62">
        <f>+'KY_Res by Plant Acct-P29 (Fin)'!P291+'KY_Res by Plant Acct-P29 (PA)'!P290</f>
        <v>0</v>
      </c>
      <c r="Q291" s="62"/>
      <c r="R291" s="62">
        <f t="shared" si="22"/>
        <v>-308218.56000000006</v>
      </c>
      <c r="S291" s="66"/>
      <c r="T291" s="63"/>
      <c r="U291" s="63"/>
    </row>
    <row r="292" spans="1:21" s="60" customFormat="1" hidden="1" outlineLevel="1">
      <c r="A292" s="60" t="s">
        <v>870</v>
      </c>
      <c r="B292" s="62">
        <f>+'KY_Res by Plant Acct-P29 (Fin)'!B292+'KY_Res by Plant Acct-P29 (PA)'!B291</f>
        <v>-4271.9999999999927</v>
      </c>
      <c r="C292" s="62"/>
      <c r="D292" s="62">
        <f>+'KY_Res by Plant Acct-P29 (Fin)'!D292+'KY_Res by Plant Acct-P29 (PA)'!D291</f>
        <v>-217.04999999999998</v>
      </c>
      <c r="E292" s="62"/>
      <c r="F292" s="62">
        <f>+'KY_Res by Plant Acct-P29 (Fin)'!F292+'KY_Res by Plant Acct-P29 (PA)'!F291</f>
        <v>0</v>
      </c>
      <c r="G292" s="62"/>
      <c r="H292" s="62">
        <f>+'KY_Res by Plant Acct-P29 (Fin)'!H292+'KY_Res by Plant Acct-P29 (PA)'!H291</f>
        <v>0</v>
      </c>
      <c r="I292" s="62"/>
      <c r="J292" s="62">
        <f>+'KY_Res by Plant Acct-P29 (Fin)'!J292+'KY_Res by Plant Acct-P29 (PA)'!J291</f>
        <v>0</v>
      </c>
      <c r="K292" s="62"/>
      <c r="L292" s="62">
        <f>+'KY_Res by Plant Acct-P29 (Fin)'!L292+'KY_Res by Plant Acct-P29 (PA)'!L291</f>
        <v>0</v>
      </c>
      <c r="M292" s="62"/>
      <c r="N292" s="62">
        <f>+'KY_Res by Plant Acct-P29 (Fin)'!N292+'KY_Res by Plant Acct-P29 (PA)'!N291</f>
        <v>0</v>
      </c>
      <c r="O292" s="62"/>
      <c r="P292" s="62">
        <f>+'KY_Res by Plant Acct-P29 (Fin)'!P292+'KY_Res by Plant Acct-P29 (PA)'!P291</f>
        <v>0</v>
      </c>
      <c r="Q292" s="62"/>
      <c r="R292" s="62">
        <f t="shared" si="22"/>
        <v>-4489.0499999999929</v>
      </c>
      <c r="S292" s="66"/>
      <c r="T292" s="63"/>
      <c r="U292" s="63"/>
    </row>
    <row r="293" spans="1:21" s="60" customFormat="1" hidden="1" outlineLevel="1">
      <c r="A293" s="60" t="s">
        <v>1052</v>
      </c>
      <c r="B293" s="62">
        <f>+'KY_Res by Plant Acct-P29 (Fin)'!B293+'KY_Res by Plant Acct-P29 (PA)'!B292</f>
        <v>-71002.640000000014</v>
      </c>
      <c r="C293" s="62"/>
      <c r="D293" s="62">
        <f>+'KY_Res by Plant Acct-P29 (Fin)'!D293+'KY_Res by Plant Acct-P29 (PA)'!D292</f>
        <v>-5985.0300000000007</v>
      </c>
      <c r="E293" s="62"/>
      <c r="F293" s="62">
        <f>+'KY_Res by Plant Acct-P29 (Fin)'!F293+'KY_Res by Plant Acct-P29 (PA)'!F292</f>
        <v>0</v>
      </c>
      <c r="G293" s="62"/>
      <c r="H293" s="62">
        <f>+'KY_Res by Plant Acct-P29 (Fin)'!H293+'KY_Res by Plant Acct-P29 (PA)'!H292</f>
        <v>0</v>
      </c>
      <c r="I293" s="62"/>
      <c r="J293" s="62">
        <f>+'KY_Res by Plant Acct-P29 (Fin)'!J293+'KY_Res by Plant Acct-P29 (PA)'!J292</f>
        <v>0</v>
      </c>
      <c r="K293" s="62"/>
      <c r="L293" s="62">
        <f>+'KY_Res by Plant Acct-P29 (Fin)'!L293+'KY_Res by Plant Acct-P29 (PA)'!L292</f>
        <v>0</v>
      </c>
      <c r="M293" s="62"/>
      <c r="N293" s="62">
        <f>+'KY_Res by Plant Acct-P29 (Fin)'!N293+'KY_Res by Plant Acct-P29 (PA)'!N292</f>
        <v>0</v>
      </c>
      <c r="O293" s="62"/>
      <c r="P293" s="62">
        <f>+'KY_Res by Plant Acct-P29 (Fin)'!P293+'KY_Res by Plant Acct-P29 (PA)'!P292</f>
        <v>0</v>
      </c>
      <c r="Q293" s="62"/>
      <c r="R293" s="62">
        <f t="shared" si="22"/>
        <v>-76987.670000000013</v>
      </c>
      <c r="S293" s="66"/>
      <c r="T293" s="63"/>
      <c r="U293" s="63"/>
    </row>
    <row r="294" spans="1:21" s="60" customFormat="1" hidden="1" outlineLevel="1">
      <c r="A294" s="60" t="s">
        <v>871</v>
      </c>
      <c r="B294" s="62">
        <f>+'KY_Res by Plant Acct-P29 (Fin)'!B294+'KY_Res by Plant Acct-P29 (PA)'!B293</f>
        <v>-11488.600000000006</v>
      </c>
      <c r="C294" s="62"/>
      <c r="D294" s="62">
        <f>+'KY_Res by Plant Acct-P29 (Fin)'!D294+'KY_Res by Plant Acct-P29 (PA)'!D293</f>
        <v>-912.21</v>
      </c>
      <c r="E294" s="62"/>
      <c r="F294" s="62">
        <f>+'KY_Res by Plant Acct-P29 (Fin)'!F294+'KY_Res by Plant Acct-P29 (PA)'!F293</f>
        <v>0</v>
      </c>
      <c r="G294" s="62"/>
      <c r="H294" s="62">
        <f>+'KY_Res by Plant Acct-P29 (Fin)'!H294+'KY_Res by Plant Acct-P29 (PA)'!H293</f>
        <v>0</v>
      </c>
      <c r="I294" s="62"/>
      <c r="J294" s="62">
        <f>+'KY_Res by Plant Acct-P29 (Fin)'!J294+'KY_Res by Plant Acct-P29 (PA)'!J293</f>
        <v>0</v>
      </c>
      <c r="K294" s="62"/>
      <c r="L294" s="62">
        <f>+'KY_Res by Plant Acct-P29 (Fin)'!L294+'KY_Res by Plant Acct-P29 (PA)'!L293</f>
        <v>0</v>
      </c>
      <c r="M294" s="62"/>
      <c r="N294" s="62">
        <f>+'KY_Res by Plant Acct-P29 (Fin)'!N294+'KY_Res by Plant Acct-P29 (PA)'!N293</f>
        <v>0</v>
      </c>
      <c r="O294" s="62"/>
      <c r="P294" s="62">
        <f>+'KY_Res by Plant Acct-P29 (Fin)'!P294+'KY_Res by Plant Acct-P29 (PA)'!P293</f>
        <v>0</v>
      </c>
      <c r="Q294" s="62"/>
      <c r="R294" s="62">
        <f t="shared" si="22"/>
        <v>-12400.810000000005</v>
      </c>
      <c r="S294" s="66"/>
      <c r="T294" s="63"/>
      <c r="U294" s="63"/>
    </row>
    <row r="295" spans="1:21" s="60" customFormat="1" hidden="1" outlineLevel="1">
      <c r="A295" s="60" t="s">
        <v>872</v>
      </c>
      <c r="B295" s="62">
        <f>+'KY_Res by Plant Acct-P29 (Fin)'!B295+'KY_Res by Plant Acct-P29 (PA)'!B294</f>
        <v>-30297.890000000014</v>
      </c>
      <c r="C295" s="62"/>
      <c r="D295" s="62">
        <f>+'KY_Res by Plant Acct-P29 (Fin)'!D295+'KY_Res by Plant Acct-P29 (PA)'!D294</f>
        <v>-2567.21</v>
      </c>
      <c r="E295" s="62"/>
      <c r="F295" s="62">
        <f>+'KY_Res by Plant Acct-P29 (Fin)'!F295+'KY_Res by Plant Acct-P29 (PA)'!F294</f>
        <v>0</v>
      </c>
      <c r="G295" s="62"/>
      <c r="H295" s="62">
        <f>+'KY_Res by Plant Acct-P29 (Fin)'!H295+'KY_Res by Plant Acct-P29 (PA)'!H294</f>
        <v>0</v>
      </c>
      <c r="I295" s="62"/>
      <c r="J295" s="62">
        <f>+'KY_Res by Plant Acct-P29 (Fin)'!J295+'KY_Res by Plant Acct-P29 (PA)'!J294</f>
        <v>0</v>
      </c>
      <c r="K295" s="62"/>
      <c r="L295" s="62">
        <f>+'KY_Res by Plant Acct-P29 (Fin)'!L295+'KY_Res by Plant Acct-P29 (PA)'!L294</f>
        <v>0</v>
      </c>
      <c r="M295" s="62"/>
      <c r="N295" s="62">
        <f>+'KY_Res by Plant Acct-P29 (Fin)'!N295+'KY_Res by Plant Acct-P29 (PA)'!N294</f>
        <v>0</v>
      </c>
      <c r="O295" s="62"/>
      <c r="P295" s="62">
        <f>+'KY_Res by Plant Acct-P29 (Fin)'!P295+'KY_Res by Plant Acct-P29 (PA)'!P294</f>
        <v>0</v>
      </c>
      <c r="Q295" s="62"/>
      <c r="R295" s="62">
        <f t="shared" si="22"/>
        <v>-32865.100000000013</v>
      </c>
      <c r="S295" s="66"/>
      <c r="T295" s="63"/>
      <c r="U295" s="63"/>
    </row>
    <row r="296" spans="1:21" s="60" customFormat="1" hidden="1" outlineLevel="1">
      <c r="A296" s="60" t="s">
        <v>873</v>
      </c>
      <c r="B296" s="62">
        <f>+'KY_Res by Plant Acct-P29 (Fin)'!B296+'KY_Res by Plant Acct-P29 (PA)'!B295</f>
        <v>-503389.48</v>
      </c>
      <c r="C296" s="62"/>
      <c r="D296" s="62">
        <f>+'KY_Res by Plant Acct-P29 (Fin)'!D296+'KY_Res by Plant Acct-P29 (PA)'!D295</f>
        <v>-55544.72</v>
      </c>
      <c r="E296" s="62"/>
      <c r="F296" s="62">
        <f>+'KY_Res by Plant Acct-P29 (Fin)'!F296+'KY_Res by Plant Acct-P29 (PA)'!F295</f>
        <v>0</v>
      </c>
      <c r="G296" s="62"/>
      <c r="H296" s="62">
        <f>+'KY_Res by Plant Acct-P29 (Fin)'!H296+'KY_Res by Plant Acct-P29 (PA)'!H295</f>
        <v>0</v>
      </c>
      <c r="I296" s="62"/>
      <c r="J296" s="62">
        <f>+'KY_Res by Plant Acct-P29 (Fin)'!J296+'KY_Res by Plant Acct-P29 (PA)'!J295</f>
        <v>0</v>
      </c>
      <c r="K296" s="62"/>
      <c r="L296" s="62">
        <f>+'KY_Res by Plant Acct-P29 (Fin)'!L296+'KY_Res by Plant Acct-P29 (PA)'!L295</f>
        <v>0</v>
      </c>
      <c r="M296" s="62"/>
      <c r="N296" s="62">
        <f>+'KY_Res by Plant Acct-P29 (Fin)'!N296+'KY_Res by Plant Acct-P29 (PA)'!N295</f>
        <v>0</v>
      </c>
      <c r="O296" s="62"/>
      <c r="P296" s="62">
        <f>+'KY_Res by Plant Acct-P29 (Fin)'!P296+'KY_Res by Plant Acct-P29 (PA)'!P295</f>
        <v>0</v>
      </c>
      <c r="Q296" s="62"/>
      <c r="R296" s="62">
        <f t="shared" si="22"/>
        <v>-558934.19999999995</v>
      </c>
      <c r="S296" s="66"/>
      <c r="T296" s="63"/>
      <c r="U296" s="63"/>
    </row>
    <row r="297" spans="1:21" s="60" customFormat="1" hidden="1" outlineLevel="1">
      <c r="A297" s="60" t="s">
        <v>874</v>
      </c>
      <c r="B297" s="62">
        <f>+'KY_Res by Plant Acct-P29 (Fin)'!B297+'KY_Res by Plant Acct-P29 (PA)'!B296</f>
        <v>-5507.1099999999969</v>
      </c>
      <c r="C297" s="62"/>
      <c r="D297" s="62">
        <f>+'KY_Res by Plant Acct-P29 (Fin)'!D297+'KY_Res by Plant Acct-P29 (PA)'!D296</f>
        <v>-529.56000000000006</v>
      </c>
      <c r="E297" s="62"/>
      <c r="F297" s="62">
        <f>+'KY_Res by Plant Acct-P29 (Fin)'!F297+'KY_Res by Plant Acct-P29 (PA)'!F296</f>
        <v>0</v>
      </c>
      <c r="G297" s="62"/>
      <c r="H297" s="62">
        <f>+'KY_Res by Plant Acct-P29 (Fin)'!H297+'KY_Res by Plant Acct-P29 (PA)'!H296</f>
        <v>0</v>
      </c>
      <c r="I297" s="62"/>
      <c r="J297" s="62">
        <f>+'KY_Res by Plant Acct-P29 (Fin)'!J297+'KY_Res by Plant Acct-P29 (PA)'!J296</f>
        <v>0</v>
      </c>
      <c r="K297" s="62"/>
      <c r="L297" s="62">
        <f>+'KY_Res by Plant Acct-P29 (Fin)'!L297+'KY_Res by Plant Acct-P29 (PA)'!L296</f>
        <v>0</v>
      </c>
      <c r="M297" s="62"/>
      <c r="N297" s="62">
        <f>+'KY_Res by Plant Acct-P29 (Fin)'!N297+'KY_Res by Plant Acct-P29 (PA)'!N296</f>
        <v>0</v>
      </c>
      <c r="O297" s="62"/>
      <c r="P297" s="62">
        <f>+'KY_Res by Plant Acct-P29 (Fin)'!P297+'KY_Res by Plant Acct-P29 (PA)'!P296</f>
        <v>0</v>
      </c>
      <c r="Q297" s="62"/>
      <c r="R297" s="62">
        <f t="shared" si="22"/>
        <v>-6036.6699999999973</v>
      </c>
      <c r="S297" s="66"/>
      <c r="T297" s="63"/>
      <c r="U297" s="63"/>
    </row>
    <row r="298" spans="1:21" s="60" customFormat="1" hidden="1" outlineLevel="1">
      <c r="A298" s="60" t="s">
        <v>875</v>
      </c>
      <c r="B298" s="62">
        <f>+'KY_Res by Plant Acct-P29 (Fin)'!B298+'KY_Res by Plant Acct-P29 (PA)'!B297</f>
        <v>-148333.85000000009</v>
      </c>
      <c r="C298" s="62"/>
      <c r="D298" s="62">
        <f>+'KY_Res by Plant Acct-P29 (Fin)'!D298+'KY_Res by Plant Acct-P29 (PA)'!D297</f>
        <v>-21079.38</v>
      </c>
      <c r="E298" s="62"/>
      <c r="F298" s="62">
        <f>+'KY_Res by Plant Acct-P29 (Fin)'!F298+'KY_Res by Plant Acct-P29 (PA)'!F297</f>
        <v>0</v>
      </c>
      <c r="G298" s="62"/>
      <c r="H298" s="62">
        <f>+'KY_Res by Plant Acct-P29 (Fin)'!H298+'KY_Res by Plant Acct-P29 (PA)'!H297</f>
        <v>0</v>
      </c>
      <c r="I298" s="62"/>
      <c r="J298" s="62">
        <f>+'KY_Res by Plant Acct-P29 (Fin)'!J298+'KY_Res by Plant Acct-P29 (PA)'!J297</f>
        <v>0</v>
      </c>
      <c r="K298" s="62"/>
      <c r="L298" s="62">
        <f>+'KY_Res by Plant Acct-P29 (Fin)'!L298+'KY_Res by Plant Acct-P29 (PA)'!L297</f>
        <v>0</v>
      </c>
      <c r="M298" s="62"/>
      <c r="N298" s="62">
        <f>+'KY_Res by Plant Acct-P29 (Fin)'!N298+'KY_Res by Plant Acct-P29 (PA)'!N297</f>
        <v>0</v>
      </c>
      <c r="O298" s="62"/>
      <c r="P298" s="62">
        <f>+'KY_Res by Plant Acct-P29 (Fin)'!P298+'KY_Res by Plant Acct-P29 (PA)'!P297</f>
        <v>0</v>
      </c>
      <c r="Q298" s="62"/>
      <c r="R298" s="62">
        <f t="shared" si="22"/>
        <v>-169413.2300000001</v>
      </c>
      <c r="S298" s="66"/>
      <c r="T298" s="63"/>
      <c r="U298" s="63"/>
    </row>
    <row r="299" spans="1:21" s="60" customFormat="1" hidden="1" outlineLevel="1">
      <c r="A299" s="60" t="s">
        <v>1266</v>
      </c>
      <c r="B299" s="62">
        <f>+'KY_Res by Plant Acct-P29 (Fin)'!B299</f>
        <v>-42234.049999999996</v>
      </c>
      <c r="C299" s="62"/>
      <c r="D299" s="62">
        <f>+'KY_Res by Plant Acct-P29 (Fin)'!D299</f>
        <v>-11876.27</v>
      </c>
      <c r="E299" s="62"/>
      <c r="F299" s="62">
        <f>+'KY_Res by Plant Acct-P29 (Fin)'!F299</f>
        <v>0</v>
      </c>
      <c r="G299" s="62"/>
      <c r="H299" s="62">
        <f>+'KY_Res by Plant Acct-P29 (Fin)'!H299</f>
        <v>0</v>
      </c>
      <c r="I299" s="62"/>
      <c r="J299" s="62">
        <f>+'KY_Res by Plant Acct-P29 (Fin)'!J299</f>
        <v>0</v>
      </c>
      <c r="K299" s="62"/>
      <c r="L299" s="62">
        <f>+'KY_Res by Plant Acct-P29 (Fin)'!L299</f>
        <v>0</v>
      </c>
      <c r="M299" s="62"/>
      <c r="N299" s="62">
        <f>+'KY_Res by Plant Acct-P29 (Fin)'!N299</f>
        <v>0</v>
      </c>
      <c r="O299" s="62"/>
      <c r="P299" s="62">
        <f>+'KY_Res by Plant Acct-P29 (Fin)'!P299</f>
        <v>0</v>
      </c>
      <c r="Q299" s="62"/>
      <c r="R299" s="62">
        <f t="shared" si="22"/>
        <v>-54110.319999999992</v>
      </c>
      <c r="S299" s="66"/>
      <c r="T299" s="63"/>
      <c r="U299" s="63"/>
    </row>
    <row r="300" spans="1:21" s="10" customFormat="1" collapsed="1">
      <c r="A300" s="10" t="s">
        <v>805</v>
      </c>
      <c r="B300" s="65">
        <f>+'KY_Res by Plant Acct-P29 (Fin)'!B300+'KY_Res by Plant Acct-P29 (PA)'!B298</f>
        <v>-1124610.0699999994</v>
      </c>
      <c r="C300" s="65"/>
      <c r="D300" s="65">
        <f>+'KY_Res by Plant Acct-P29 (Fin)'!D300+'KY_Res by Plant Acct-P29 (PA)'!D298</f>
        <v>-133532.24</v>
      </c>
      <c r="E300" s="65"/>
      <c r="F300" s="65">
        <f>+'KY_Res by Plant Acct-P29 (Fin)'!F300+'KY_Res by Plant Acct-P29 (PA)'!F298</f>
        <v>0</v>
      </c>
      <c r="G300" s="65"/>
      <c r="H300" s="65">
        <f>+'KY_Res by Plant Acct-P29 (Fin)'!H300+'KY_Res by Plant Acct-P29 (PA)'!H298</f>
        <v>0</v>
      </c>
      <c r="I300" s="65"/>
      <c r="J300" s="65">
        <f>+'KY_Res by Plant Acct-P29 (Fin)'!J300+'KY_Res by Plant Acct-P29 (PA)'!J298</f>
        <v>0</v>
      </c>
      <c r="K300" s="65"/>
      <c r="L300" s="65">
        <f>+'KY_Res by Plant Acct-P29 (Fin)'!L300+'KY_Res by Plant Acct-P29 (PA)'!L298</f>
        <v>0</v>
      </c>
      <c r="M300" s="65"/>
      <c r="N300" s="65">
        <f>+'KY_Res by Plant Acct-P29 (Fin)'!N300+'KY_Res by Plant Acct-P29 (PA)'!N298</f>
        <v>0</v>
      </c>
      <c r="O300" s="65"/>
      <c r="P300" s="65">
        <f>+'KY_Res by Plant Acct-P29 (Fin)'!P300+'KY_Res by Plant Acct-P29 (PA)'!P298</f>
        <v>0</v>
      </c>
      <c r="Q300" s="65"/>
      <c r="R300" s="65">
        <f>SUM(R285:R299)</f>
        <v>-1258142.3100000003</v>
      </c>
      <c r="S300" s="27"/>
      <c r="T300" s="24"/>
      <c r="U300" s="24"/>
    </row>
    <row r="301" spans="1:21">
      <c r="A301" t="s">
        <v>583</v>
      </c>
      <c r="B301" s="48">
        <f>+'KY_Res by Plant Acct-P29 (Fin)'!B301+'KY_Res by Plant Acct-P29 (PA)'!B299</f>
        <v>-1402047.9199999997</v>
      </c>
      <c r="C301" s="52"/>
      <c r="D301" s="48">
        <f>+'KY_Res by Plant Acct-P29 (Fin)'!D301+'KY_Res by Plant Acct-P29 (PA)'!D299</f>
        <v>-448236.04999999993</v>
      </c>
      <c r="E301" s="52"/>
      <c r="F301" s="48">
        <f>+'KY_Res by Plant Acct-P29 (Fin)'!F301+'KY_Res by Plant Acct-P29 (PA)'!F299</f>
        <v>0</v>
      </c>
      <c r="G301" s="52"/>
      <c r="H301" s="48">
        <f>+'KY_Res by Plant Acct-P29 (Fin)'!H301+'KY_Res by Plant Acct-P29 (PA)'!H299</f>
        <v>0</v>
      </c>
      <c r="I301" s="52"/>
      <c r="J301" s="48">
        <f>+'KY_Res by Plant Acct-P29 (Fin)'!J301+'KY_Res by Plant Acct-P29 (PA)'!J299</f>
        <v>0</v>
      </c>
      <c r="K301" s="52"/>
      <c r="L301" s="48">
        <f>+'KY_Res by Plant Acct-P29 (Fin)'!L301+'KY_Res by Plant Acct-P29 (PA)'!L299</f>
        <v>0</v>
      </c>
      <c r="M301" s="52"/>
      <c r="N301" s="48">
        <f>+'KY_Res by Plant Acct-P29 (Fin)'!N301+'KY_Res by Plant Acct-P29 (PA)'!N299</f>
        <v>0</v>
      </c>
      <c r="O301" s="52"/>
      <c r="P301" s="48">
        <f>+'KY_Res by Plant Acct-P29 (Fin)'!P301+'KY_Res by Plant Acct-P29 (PA)'!P299</f>
        <v>0</v>
      </c>
      <c r="Q301" s="52"/>
      <c r="R301" s="48">
        <f>SUM(B301:P301)</f>
        <v>-1850283.9699999997</v>
      </c>
      <c r="S301" s="37"/>
      <c r="T301" s="33"/>
      <c r="U301" s="33"/>
    </row>
    <row r="302" spans="1:21">
      <c r="B302" s="52">
        <f>B301+B300+B275+B252+B238+B235+B189+B181+B154+B284+B192</f>
        <v>-137930238.51999974</v>
      </c>
      <c r="C302" s="52"/>
      <c r="D302" s="52">
        <f>D301+D300+D275+D252+D238+D235+D189+D181+D154+D284+D192</f>
        <v>-18599973.760000002</v>
      </c>
      <c r="E302" s="52"/>
      <c r="F302" s="139">
        <f>F301+F300+F275+F252+F238+F235+F189+F181+F154+F284+F192</f>
        <v>1121933.49</v>
      </c>
      <c r="G302" s="52"/>
      <c r="H302" s="52">
        <f>H301+H300+H275+H252+H238+H235+H189+H181+H154+H284+H192</f>
        <v>-6.0026650317013264E-11</v>
      </c>
      <c r="I302" s="52"/>
      <c r="J302" s="52">
        <f>J301+J300+J275+J252+J238+J235+J189+J181+J154+J284+J192</f>
        <v>0</v>
      </c>
      <c r="K302" s="52"/>
      <c r="L302" s="139">
        <f>L301+L300+L275+L252+L238+L235+L189+L181+L154+L284+L192</f>
        <v>1387859.4600000002</v>
      </c>
      <c r="M302" s="52"/>
      <c r="N302" s="52">
        <f>N301+N300+N275+N252+N238+N235+N189+N181+N154+N284+N192</f>
        <v>-126226.16</v>
      </c>
      <c r="O302" s="52"/>
      <c r="P302" s="52">
        <f>P301+P300+P275+P252+P238+P235+P189+P181+P154+P284+P192</f>
        <v>0</v>
      </c>
      <c r="Q302" s="52"/>
      <c r="R302" s="52">
        <f>R301+R300+R275+R252+R238+R235+R189+R181+R154+R284+R192</f>
        <v>-154146645.48999998</v>
      </c>
      <c r="S302" s="37"/>
      <c r="T302" s="33"/>
      <c r="U302" s="33"/>
    </row>
    <row r="303" spans="1:21">
      <c r="B303" s="52"/>
      <c r="C303" s="52"/>
      <c r="D303" s="52"/>
      <c r="E303" s="52"/>
      <c r="F303" s="52"/>
      <c r="G303" s="52"/>
      <c r="H303" s="52"/>
      <c r="I303" s="52"/>
      <c r="J303" s="52"/>
      <c r="K303" s="52"/>
      <c r="L303" s="52"/>
      <c r="M303" s="52"/>
      <c r="N303" s="52"/>
      <c r="O303" s="52"/>
      <c r="P303" s="52"/>
      <c r="Q303" s="52"/>
      <c r="R303" s="52"/>
      <c r="S303" s="37"/>
      <c r="T303" s="33"/>
      <c r="U303" s="33"/>
    </row>
    <row r="304" spans="1:21">
      <c r="A304" s="3" t="s">
        <v>119</v>
      </c>
      <c r="B304" s="182"/>
      <c r="C304" s="52"/>
      <c r="D304" s="182"/>
      <c r="E304" s="52"/>
      <c r="F304" s="182"/>
      <c r="G304" s="52"/>
      <c r="H304" s="182"/>
      <c r="I304" s="52"/>
      <c r="J304" s="182"/>
      <c r="K304" s="52"/>
      <c r="L304" s="182"/>
      <c r="M304" s="52"/>
      <c r="N304" s="182"/>
      <c r="O304" s="52"/>
      <c r="P304" s="182"/>
      <c r="Q304" s="52"/>
      <c r="R304" s="182"/>
      <c r="S304" s="33"/>
      <c r="T304" s="33"/>
      <c r="U304" s="33"/>
    </row>
    <row r="305" spans="1:21">
      <c r="A305" t="s">
        <v>821</v>
      </c>
      <c r="B305" s="182">
        <f>+'KY_Res by Plant Acct-P29 (Fin)'!B305+'KY_Res by Plant Acct-P29 (PA)'!B303</f>
        <v>-334599.34000000032</v>
      </c>
      <c r="C305" s="52"/>
      <c r="D305" s="182">
        <f>+'KY_Res by Plant Acct-P29 (Fin)'!D305+'KY_Res by Plant Acct-P29 (PA)'!D303</f>
        <v>-71716.34</v>
      </c>
      <c r="E305" s="52"/>
      <c r="F305" s="182">
        <f>+'KY_Res by Plant Acct-P29 (Fin)'!F305+'KY_Res by Plant Acct-P29 (PA)'!F303</f>
        <v>0</v>
      </c>
      <c r="G305" s="52"/>
      <c r="H305" s="182">
        <f>+'KY_Res by Plant Acct-P29 (Fin)'!H305+'KY_Res by Plant Acct-P29 (PA)'!H303</f>
        <v>0</v>
      </c>
      <c r="I305" s="52"/>
      <c r="J305" s="182">
        <f>+'KY_Res by Plant Acct-P29 (Fin)'!J305+'KY_Res by Plant Acct-P29 (PA)'!J303</f>
        <v>0</v>
      </c>
      <c r="K305" s="52"/>
      <c r="L305" s="182">
        <f>+'KY_Res by Plant Acct-P29 (Fin)'!L305+'KY_Res by Plant Acct-P29 (PA)'!L303</f>
        <v>0</v>
      </c>
      <c r="M305" s="52"/>
      <c r="N305" s="182">
        <f>+'KY_Res by Plant Acct-P29 (Fin)'!N305+'KY_Res by Plant Acct-P29 (PA)'!N303</f>
        <v>0</v>
      </c>
      <c r="O305" s="52"/>
      <c r="P305" s="182">
        <f>+'KY_Res by Plant Acct-P29 (Fin)'!P305+'KY_Res by Plant Acct-P29 (PA)'!P303</f>
        <v>0</v>
      </c>
      <c r="Q305" s="52"/>
      <c r="R305" s="52">
        <f>SUM(B305:P305)</f>
        <v>-406315.68000000028</v>
      </c>
      <c r="S305" s="33"/>
      <c r="T305" s="33"/>
      <c r="U305" s="33"/>
    </row>
    <row r="306" spans="1:21">
      <c r="A306" t="s">
        <v>584</v>
      </c>
      <c r="B306" s="182">
        <f>+'KY_Res by Plant Acct-P29 (Fin)'!B306+'KY_Res by Plant Acct-P29 (PA)'!B304</f>
        <v>0</v>
      </c>
      <c r="C306" s="52"/>
      <c r="D306" s="182">
        <f>+'KY_Res by Plant Acct-P29 (Fin)'!D306+'KY_Res by Plant Acct-P29 (PA)'!D304</f>
        <v>0</v>
      </c>
      <c r="E306" s="52"/>
      <c r="F306" s="182">
        <f>+'KY_Res by Plant Acct-P29 (Fin)'!F306+'KY_Res by Plant Acct-P29 (PA)'!F304</f>
        <v>0</v>
      </c>
      <c r="G306" s="52"/>
      <c r="H306" s="64">
        <f>+'KY_Res by Plant Acct-P29 (Fin)'!H306+'KY_Res by Plant Acct-P29 (PA)'!H304</f>
        <v>0</v>
      </c>
      <c r="I306" s="52"/>
      <c r="J306" s="182">
        <f>+'KY_Res by Plant Acct-P29 (Fin)'!J306+'KY_Res by Plant Acct-P29 (PA)'!J304</f>
        <v>0</v>
      </c>
      <c r="K306" s="52"/>
      <c r="L306" s="182">
        <f>+'KY_Res by Plant Acct-P29 (Fin)'!L306+'KY_Res by Plant Acct-P29 (PA)'!L304</f>
        <v>0</v>
      </c>
      <c r="M306" s="52"/>
      <c r="N306" s="182">
        <f>+'KY_Res by Plant Acct-P29 (Fin)'!N306+'KY_Res by Plant Acct-P29 (PA)'!N304</f>
        <v>0</v>
      </c>
      <c r="O306" s="52"/>
      <c r="P306" s="182">
        <f>+'KY_Res by Plant Acct-P29 (Fin)'!P306+'KY_Res by Plant Acct-P29 (PA)'!P304</f>
        <v>0</v>
      </c>
      <c r="Q306" s="52"/>
      <c r="R306" s="52">
        <f t="shared" ref="R306:R321" si="25">SUM(B306:P306)</f>
        <v>0</v>
      </c>
      <c r="S306" s="33"/>
      <c r="T306" s="33"/>
      <c r="U306" s="33"/>
    </row>
    <row r="307" spans="1:21">
      <c r="A307" t="s">
        <v>823</v>
      </c>
      <c r="B307" s="182">
        <f>+'KY_Res by Plant Acct-P29 (Fin)'!B307+'KY_Res by Plant Acct-P29 (PA)'!B305</f>
        <v>-226881.38</v>
      </c>
      <c r="C307" s="52"/>
      <c r="D307" s="182">
        <f>+'KY_Res by Plant Acct-P29 (Fin)'!D307+'KY_Res by Plant Acct-P29 (PA)'!D305</f>
        <v>-17265.940000000002</v>
      </c>
      <c r="E307" s="52"/>
      <c r="F307" s="182">
        <f>+'KY_Res by Plant Acct-P29 (Fin)'!F307+'KY_Res by Plant Acct-P29 (PA)'!F305</f>
        <v>0</v>
      </c>
      <c r="G307" s="52"/>
      <c r="H307" s="182">
        <f>+'KY_Res by Plant Acct-P29 (Fin)'!H307+'KY_Res by Plant Acct-P29 (PA)'!H305</f>
        <v>0</v>
      </c>
      <c r="I307" s="52"/>
      <c r="J307" s="182">
        <f>+'KY_Res by Plant Acct-P29 (Fin)'!J307+'KY_Res by Plant Acct-P29 (PA)'!J305</f>
        <v>0</v>
      </c>
      <c r="K307" s="52"/>
      <c r="L307" s="182">
        <f>+'KY_Res by Plant Acct-P29 (Fin)'!L307+'KY_Res by Plant Acct-P29 (PA)'!L305</f>
        <v>0</v>
      </c>
      <c r="M307" s="52"/>
      <c r="N307" s="182">
        <f>+'KY_Res by Plant Acct-P29 (Fin)'!N307+'KY_Res by Plant Acct-P29 (PA)'!N305</f>
        <v>0</v>
      </c>
      <c r="O307" s="52"/>
      <c r="P307" s="182">
        <f>+'KY_Res by Plant Acct-P29 (Fin)'!P307+'KY_Res by Plant Acct-P29 (PA)'!P305</f>
        <v>0</v>
      </c>
      <c r="Q307" s="52"/>
      <c r="R307" s="52">
        <f t="shared" si="25"/>
        <v>-244147.32</v>
      </c>
      <c r="S307" s="33"/>
      <c r="T307" s="33"/>
      <c r="U307" s="33"/>
    </row>
    <row r="308" spans="1:21">
      <c r="A308" t="s">
        <v>585</v>
      </c>
      <c r="B308" s="182">
        <f>+'KY_Res by Plant Acct-P29 (Fin)'!B308+'KY_Res by Plant Acct-P29 (PA)'!B306</f>
        <v>-4227.7700000000041</v>
      </c>
      <c r="C308" s="52"/>
      <c r="D308" s="182">
        <f>+'KY_Res by Plant Acct-P29 (Fin)'!D308+'KY_Res by Plant Acct-P29 (PA)'!D306</f>
        <v>-652.14</v>
      </c>
      <c r="E308" s="52"/>
      <c r="F308" s="182">
        <f>+'KY_Res by Plant Acct-P29 (Fin)'!F308+'KY_Res by Plant Acct-P29 (PA)'!F306</f>
        <v>0</v>
      </c>
      <c r="G308" s="52"/>
      <c r="H308" s="182">
        <f>+'KY_Res by Plant Acct-P29 (Fin)'!H308+'KY_Res by Plant Acct-P29 (PA)'!H306</f>
        <v>-54.97</v>
      </c>
      <c r="I308" s="52"/>
      <c r="J308" s="182">
        <f>+'KY_Res by Plant Acct-P29 (Fin)'!J308+'KY_Res by Plant Acct-P29 (PA)'!J306</f>
        <v>0</v>
      </c>
      <c r="K308" s="52"/>
      <c r="L308" s="182">
        <f>+'KY_Res by Plant Acct-P29 (Fin)'!L308+'KY_Res by Plant Acct-P29 (PA)'!L306</f>
        <v>0</v>
      </c>
      <c r="M308" s="52"/>
      <c r="N308" s="182">
        <f>+'KY_Res by Plant Acct-P29 (Fin)'!N308+'KY_Res by Plant Acct-P29 (PA)'!N306</f>
        <v>0</v>
      </c>
      <c r="O308" s="52"/>
      <c r="P308" s="182">
        <f>+'KY_Res by Plant Acct-P29 (Fin)'!P308+'KY_Res by Plant Acct-P29 (PA)'!P306</f>
        <v>0</v>
      </c>
      <c r="Q308" s="52"/>
      <c r="R308" s="52">
        <f t="shared" si="25"/>
        <v>-4934.8800000000047</v>
      </c>
      <c r="S308" s="33"/>
      <c r="T308" s="33"/>
      <c r="U308" s="33"/>
    </row>
    <row r="309" spans="1:21">
      <c r="A309" t="s">
        <v>877</v>
      </c>
      <c r="B309" s="182">
        <f>+'KY_Res by Plant Acct-P29 (Fin)'!B309+'KY_Res by Plant Acct-P29 (PA)'!B307</f>
        <v>-54.969999999999345</v>
      </c>
      <c r="C309" s="52"/>
      <c r="D309" s="182">
        <f>+'KY_Res by Plant Acct-P29 (Fin)'!D309+'KY_Res by Plant Acct-P29 (PA)'!D307</f>
        <v>0</v>
      </c>
      <c r="E309" s="52"/>
      <c r="F309" s="182">
        <f>+'KY_Res by Plant Acct-P29 (Fin)'!F309+'KY_Res by Plant Acct-P29 (PA)'!F307</f>
        <v>0</v>
      </c>
      <c r="G309" s="52"/>
      <c r="H309" s="182">
        <f>+'KY_Res by Plant Acct-P29 (Fin)'!H309+'KY_Res by Plant Acct-P29 (PA)'!H307</f>
        <v>54.97</v>
      </c>
      <c r="I309" s="52"/>
      <c r="J309" s="182">
        <f>+'KY_Res by Plant Acct-P29 (Fin)'!J309+'KY_Res by Plant Acct-P29 (PA)'!J307</f>
        <v>0</v>
      </c>
      <c r="K309" s="52"/>
      <c r="L309" s="182">
        <f>+'KY_Res by Plant Acct-P29 (Fin)'!L309+'KY_Res by Plant Acct-P29 (PA)'!L307</f>
        <v>0</v>
      </c>
      <c r="M309" s="52"/>
      <c r="N309" s="182">
        <f>+'KY_Res by Plant Acct-P29 (Fin)'!N309+'KY_Res by Plant Acct-P29 (PA)'!N307</f>
        <v>0</v>
      </c>
      <c r="O309" s="52"/>
      <c r="P309" s="182">
        <f>+'KY_Res by Plant Acct-P29 (Fin)'!P309+'KY_Res by Plant Acct-P29 (PA)'!P307</f>
        <v>0</v>
      </c>
      <c r="Q309" s="52"/>
      <c r="R309" s="52">
        <f>SUM(B309:P309)</f>
        <v>6.5369931689929217E-13</v>
      </c>
      <c r="S309" s="33"/>
      <c r="T309" s="33"/>
      <c r="U309" s="33"/>
    </row>
    <row r="310" spans="1:21">
      <c r="A310" t="s">
        <v>208</v>
      </c>
      <c r="B310" s="182">
        <f>+'KY_Res by Plant Acct-P29 (Fin)'!B310+'KY_Res by Plant Acct-P29 (PA)'!B308</f>
        <v>-133358.77999999374</v>
      </c>
      <c r="C310" s="52"/>
      <c r="D310" s="182">
        <f>+'KY_Res by Plant Acct-P29 (Fin)'!D310+'KY_Res by Plant Acct-P29 (PA)'!D308</f>
        <v>-385018.73000000004</v>
      </c>
      <c r="E310" s="52"/>
      <c r="F310" s="138">
        <f>+'KY_Res by Plant Acct-P29 (Fin)'!F310+'KY_Res by Plant Acct-P29 (PA)'!F308</f>
        <v>282409.46999999997</v>
      </c>
      <c r="G310" s="139"/>
      <c r="H310" s="138">
        <f>+'KY_Res by Plant Acct-P29 (Fin)'!H310+'KY_Res by Plant Acct-P29 (PA)'!H308</f>
        <v>0</v>
      </c>
      <c r="I310" s="139"/>
      <c r="J310" s="138">
        <f>+'KY_Res by Plant Acct-P29 (Fin)'!J310+'KY_Res by Plant Acct-P29 (PA)'!J308</f>
        <v>0</v>
      </c>
      <c r="K310" s="139"/>
      <c r="L310" s="138">
        <f>+'KY_Res by Plant Acct-P29 (Fin)'!L310+'KY_Res by Plant Acct-P29 (PA)'!L308</f>
        <v>179922.59999999998</v>
      </c>
      <c r="M310" s="139"/>
      <c r="N310" s="182">
        <f>+'KY_Res by Plant Acct-P29 (Fin)'!N310+'KY_Res by Plant Acct-P29 (PA)'!N308</f>
        <v>-157494.04999999999</v>
      </c>
      <c r="O310" s="52"/>
      <c r="P310" s="182">
        <f>+'KY_Res by Plant Acct-P29 (Fin)'!P310+'KY_Res by Plant Acct-P29 (PA)'!P308</f>
        <v>0</v>
      </c>
      <c r="Q310" s="52"/>
      <c r="R310" s="52">
        <f t="shared" si="25"/>
        <v>-213539.48999999382</v>
      </c>
      <c r="S310" s="33"/>
      <c r="T310" s="33"/>
      <c r="U310" s="33"/>
    </row>
    <row r="311" spans="1:21">
      <c r="A311" t="s">
        <v>586</v>
      </c>
      <c r="B311" s="182">
        <f>+'KY_Res by Plant Acct-P29 (Fin)'!B311+'KY_Res by Plant Acct-P29 (PA)'!B309</f>
        <v>5369.5199999998886</v>
      </c>
      <c r="C311" s="52"/>
      <c r="D311" s="182">
        <f>+'KY_Res by Plant Acct-P29 (Fin)'!D311+'KY_Res by Plant Acct-P29 (PA)'!D309</f>
        <v>-167.43</v>
      </c>
      <c r="E311" s="52"/>
      <c r="F311" s="138">
        <f>+'KY_Res by Plant Acct-P29 (Fin)'!F311+'KY_Res by Plant Acct-P29 (PA)'!F309</f>
        <v>0</v>
      </c>
      <c r="G311" s="139"/>
      <c r="H311" s="138">
        <f>+'KY_Res by Plant Acct-P29 (Fin)'!H311+'KY_Res by Plant Acct-P29 (PA)'!H309</f>
        <v>-8404.51</v>
      </c>
      <c r="I311" s="139"/>
      <c r="J311" s="138">
        <f>+'KY_Res by Plant Acct-P29 (Fin)'!J311+'KY_Res by Plant Acct-P29 (PA)'!J309</f>
        <v>0</v>
      </c>
      <c r="K311" s="139"/>
      <c r="L311" s="138">
        <f>+'KY_Res by Plant Acct-P29 (Fin)'!L311+'KY_Res by Plant Acct-P29 (PA)'!L309</f>
        <v>0</v>
      </c>
      <c r="M311" s="139"/>
      <c r="N311" s="182">
        <f>+'KY_Res by Plant Acct-P29 (Fin)'!N311+'KY_Res by Plant Acct-P29 (PA)'!N309</f>
        <v>0</v>
      </c>
      <c r="O311" s="52"/>
      <c r="P311" s="182">
        <f>+'KY_Res by Plant Acct-P29 (Fin)'!P311+'KY_Res by Plant Acct-P29 (PA)'!P309</f>
        <v>0</v>
      </c>
      <c r="Q311" s="52"/>
      <c r="R311" s="52">
        <f t="shared" si="25"/>
        <v>-3202.4200000001119</v>
      </c>
      <c r="S311" s="33"/>
      <c r="T311" s="33"/>
      <c r="U311" s="33"/>
    </row>
    <row r="312" spans="1:21">
      <c r="A312" t="s">
        <v>587</v>
      </c>
      <c r="B312" s="182">
        <f>+'KY_Res by Plant Acct-P29 (Fin)'!B312+'KY_Res by Plant Acct-P29 (PA)'!B310</f>
        <v>457.99000000007447</v>
      </c>
      <c r="C312" s="52"/>
      <c r="D312" s="182">
        <f>+'KY_Res by Plant Acct-P29 (Fin)'!D312+'KY_Res by Plant Acct-P29 (PA)'!D310</f>
        <v>0</v>
      </c>
      <c r="E312" s="52"/>
      <c r="F312" s="138">
        <f>+'KY_Res by Plant Acct-P29 (Fin)'!F312+'KY_Res by Plant Acct-P29 (PA)'!F310</f>
        <v>0</v>
      </c>
      <c r="G312" s="139"/>
      <c r="H312" s="138">
        <f>+'KY_Res by Plant Acct-P29 (Fin)'!H312+'KY_Res by Plant Acct-P29 (PA)'!H310</f>
        <v>1088.77</v>
      </c>
      <c r="I312" s="139"/>
      <c r="J312" s="138">
        <f>+'KY_Res by Plant Acct-P29 (Fin)'!J312+'KY_Res by Plant Acct-P29 (PA)'!J310</f>
        <v>0</v>
      </c>
      <c r="K312" s="139"/>
      <c r="L312" s="138">
        <f>+'KY_Res by Plant Acct-P29 (Fin)'!L312+'KY_Res by Plant Acct-P29 (PA)'!L310</f>
        <v>0</v>
      </c>
      <c r="M312" s="139"/>
      <c r="N312" s="182">
        <f>+'KY_Res by Plant Acct-P29 (Fin)'!N312+'KY_Res by Plant Acct-P29 (PA)'!N310</f>
        <v>0</v>
      </c>
      <c r="O312" s="52"/>
      <c r="P312" s="182">
        <f>+'KY_Res by Plant Acct-P29 (Fin)'!P312+'KY_Res by Plant Acct-P29 (PA)'!P310</f>
        <v>0</v>
      </c>
      <c r="Q312" s="52"/>
      <c r="R312" s="52">
        <f t="shared" si="25"/>
        <v>1546.7600000000743</v>
      </c>
      <c r="S312" s="33"/>
      <c r="T312" s="33"/>
      <c r="U312" s="33"/>
    </row>
    <row r="313" spans="1:21">
      <c r="A313" t="s">
        <v>588</v>
      </c>
      <c r="B313" s="182">
        <f>+'KY_Res by Plant Acct-P29 (Fin)'!B313+'KY_Res by Plant Acct-P29 (PA)'!B311</f>
        <v>-236.98000000026059</v>
      </c>
      <c r="C313" s="52"/>
      <c r="D313" s="182">
        <f>+'KY_Res by Plant Acct-P29 (Fin)'!D313+'KY_Res by Plant Acct-P29 (PA)'!D311</f>
        <v>0</v>
      </c>
      <c r="E313" s="52"/>
      <c r="F313" s="138">
        <f>+'KY_Res by Plant Acct-P29 (Fin)'!F313+'KY_Res by Plant Acct-P29 (PA)'!F311</f>
        <v>0</v>
      </c>
      <c r="G313" s="139"/>
      <c r="H313" s="138">
        <f>+'KY_Res by Plant Acct-P29 (Fin)'!H313+'KY_Res by Plant Acct-P29 (PA)'!H311</f>
        <v>5530.1</v>
      </c>
      <c r="I313" s="139"/>
      <c r="J313" s="138">
        <f>+'KY_Res by Plant Acct-P29 (Fin)'!J313+'KY_Res by Plant Acct-P29 (PA)'!J311</f>
        <v>0</v>
      </c>
      <c r="K313" s="139"/>
      <c r="L313" s="138">
        <f>+'KY_Res by Plant Acct-P29 (Fin)'!L313+'KY_Res by Plant Acct-P29 (PA)'!L311</f>
        <v>0</v>
      </c>
      <c r="M313" s="139"/>
      <c r="N313" s="182">
        <f>+'KY_Res by Plant Acct-P29 (Fin)'!N313+'KY_Res by Plant Acct-P29 (PA)'!N311</f>
        <v>0</v>
      </c>
      <c r="O313" s="52"/>
      <c r="P313" s="182">
        <f>+'KY_Res by Plant Acct-P29 (Fin)'!P313+'KY_Res by Plant Acct-P29 (PA)'!P311</f>
        <v>0</v>
      </c>
      <c r="Q313" s="52"/>
      <c r="R313" s="52">
        <f t="shared" si="25"/>
        <v>5293.1199999997398</v>
      </c>
      <c r="S313" s="33"/>
      <c r="T313" s="33"/>
      <c r="U313" s="33"/>
    </row>
    <row r="314" spans="1:21">
      <c r="A314" t="s">
        <v>589</v>
      </c>
      <c r="B314" s="182">
        <f>+'KY_Res by Plant Acct-P29 (Fin)'!B314+'KY_Res by Plant Acct-P29 (PA)'!B312</f>
        <v>-13846.520000000097</v>
      </c>
      <c r="C314" s="52"/>
      <c r="D314" s="182">
        <f>+'KY_Res by Plant Acct-P29 (Fin)'!D314+'KY_Res by Plant Acct-P29 (PA)'!D312</f>
        <v>0</v>
      </c>
      <c r="E314" s="52"/>
      <c r="F314" s="138">
        <f>+'KY_Res by Plant Acct-P29 (Fin)'!F314+'KY_Res by Plant Acct-P29 (PA)'!F312</f>
        <v>0</v>
      </c>
      <c r="G314" s="139"/>
      <c r="H314" s="138">
        <f>+'KY_Res by Plant Acct-P29 (Fin)'!H314+'KY_Res by Plant Acct-P29 (PA)'!H312</f>
        <v>1785.64</v>
      </c>
      <c r="I314" s="139"/>
      <c r="J314" s="138">
        <f>+'KY_Res by Plant Acct-P29 (Fin)'!J314+'KY_Res by Plant Acct-P29 (PA)'!J312</f>
        <v>0</v>
      </c>
      <c r="K314" s="139"/>
      <c r="L314" s="138">
        <f>+'KY_Res by Plant Acct-P29 (Fin)'!L314+'KY_Res by Plant Acct-P29 (PA)'!L312</f>
        <v>0</v>
      </c>
      <c r="M314" s="139"/>
      <c r="N314" s="182">
        <f>+'KY_Res by Plant Acct-P29 (Fin)'!N314+'KY_Res by Plant Acct-P29 (PA)'!N312</f>
        <v>0</v>
      </c>
      <c r="O314" s="52"/>
      <c r="P314" s="182">
        <f>+'KY_Res by Plant Acct-P29 (Fin)'!P314+'KY_Res by Plant Acct-P29 (PA)'!P312</f>
        <v>0</v>
      </c>
      <c r="Q314" s="52"/>
      <c r="R314" s="52">
        <f t="shared" si="25"/>
        <v>-12060.880000000097</v>
      </c>
      <c r="S314" s="33"/>
      <c r="T314" s="33"/>
      <c r="U314" s="33"/>
    </row>
    <row r="315" spans="1:21">
      <c r="A315" t="s">
        <v>210</v>
      </c>
      <c r="B315" s="182">
        <f>+'KY_Res by Plant Acct-P29 (Fin)'!B315+'KY_Res by Plant Acct-P29 (PA)'!B313</f>
        <v>-6443522.4000000022</v>
      </c>
      <c r="C315" s="52"/>
      <c r="D315" s="182">
        <f>+'KY_Res by Plant Acct-P29 (Fin)'!D315+'KY_Res by Plant Acct-P29 (PA)'!D313</f>
        <v>-126578.94</v>
      </c>
      <c r="E315" s="52"/>
      <c r="F315" s="138">
        <f>+'KY_Res by Plant Acct-P29 (Fin)'!F315+'KY_Res by Plant Acct-P29 (PA)'!F313</f>
        <v>46984.17</v>
      </c>
      <c r="G315" s="139"/>
      <c r="H315" s="138">
        <f>+'KY_Res by Plant Acct-P29 (Fin)'!H315+'KY_Res by Plant Acct-P29 (PA)'!H313</f>
        <v>0</v>
      </c>
      <c r="I315" s="139"/>
      <c r="J315" s="138">
        <f>+'KY_Res by Plant Acct-P29 (Fin)'!J315+'KY_Res by Plant Acct-P29 (PA)'!J313</f>
        <v>0</v>
      </c>
      <c r="K315" s="139"/>
      <c r="L315" s="138">
        <f>+'KY_Res by Plant Acct-P29 (Fin)'!L315+'KY_Res by Plant Acct-P29 (PA)'!L313</f>
        <v>14919.24</v>
      </c>
      <c r="M315" s="139"/>
      <c r="N315" s="182">
        <f>+'KY_Res by Plant Acct-P29 (Fin)'!N315+'KY_Res by Plant Acct-P29 (PA)'!N313</f>
        <v>-85385.25</v>
      </c>
      <c r="O315" s="52"/>
      <c r="P315" s="182">
        <f>+'KY_Res by Plant Acct-P29 (Fin)'!P315+'KY_Res by Plant Acct-P29 (PA)'!P313</f>
        <v>0</v>
      </c>
      <c r="Q315" s="52"/>
      <c r="R315" s="52">
        <f t="shared" si="25"/>
        <v>-6593583.1800000025</v>
      </c>
      <c r="S315" s="33"/>
      <c r="T315" s="33"/>
      <c r="U315" s="33"/>
    </row>
    <row r="316" spans="1:21">
      <c r="A316" t="s">
        <v>616</v>
      </c>
      <c r="B316" s="182">
        <f>+'KY_Res by Plant Acct-P29 (Fin)'!B316+'KY_Res by Plant Acct-P29 (PA)'!B314</f>
        <v>-4797594.5100000035</v>
      </c>
      <c r="C316" s="52"/>
      <c r="D316" s="182">
        <f>+'KY_Res by Plant Acct-P29 (Fin)'!D316+'KY_Res by Plant Acct-P29 (PA)'!D314</f>
        <v>-379571.17</v>
      </c>
      <c r="E316" s="52"/>
      <c r="F316" s="138">
        <f>+'KY_Res by Plant Acct-P29 (Fin)'!F316+'KY_Res by Plant Acct-P29 (PA)'!F314</f>
        <v>34999.94</v>
      </c>
      <c r="G316" s="139"/>
      <c r="H316" s="138">
        <f>+'KY_Res by Plant Acct-P29 (Fin)'!H316+'KY_Res by Plant Acct-P29 (PA)'!H314</f>
        <v>0</v>
      </c>
      <c r="I316" s="139"/>
      <c r="J316" s="138">
        <f>+'KY_Res by Plant Acct-P29 (Fin)'!J316+'KY_Res by Plant Acct-P29 (PA)'!J314</f>
        <v>0</v>
      </c>
      <c r="K316" s="139"/>
      <c r="L316" s="138">
        <f>+'KY_Res by Plant Acct-P29 (Fin)'!L316+'KY_Res by Plant Acct-P29 (PA)'!L314</f>
        <v>96342.92</v>
      </c>
      <c r="M316" s="139"/>
      <c r="N316" s="182">
        <f>+'KY_Res by Plant Acct-P29 (Fin)'!N316+'KY_Res by Plant Acct-P29 (PA)'!N314</f>
        <v>0</v>
      </c>
      <c r="O316" s="52"/>
      <c r="P316" s="182">
        <f>+'KY_Res by Plant Acct-P29 (Fin)'!P316+'KY_Res by Plant Acct-P29 (PA)'!P314</f>
        <v>0</v>
      </c>
      <c r="Q316" s="52"/>
      <c r="R316" s="52">
        <f t="shared" si="25"/>
        <v>-5045822.8200000031</v>
      </c>
      <c r="S316" s="33"/>
      <c r="T316" s="33"/>
      <c r="U316" s="33"/>
    </row>
    <row r="317" spans="1:21">
      <c r="A317" t="s">
        <v>618</v>
      </c>
      <c r="B317" s="182">
        <f>+'KY_Res by Plant Acct-P29 (Fin)'!B317+'KY_Res by Plant Acct-P29 (PA)'!B315</f>
        <v>-7725197.6299999952</v>
      </c>
      <c r="C317" s="52"/>
      <c r="D317" s="182">
        <f>+'KY_Res by Plant Acct-P29 (Fin)'!D317+'KY_Res by Plant Acct-P29 (PA)'!D315</f>
        <v>-276957.68</v>
      </c>
      <c r="E317" s="52"/>
      <c r="F317" s="138">
        <f>+'KY_Res by Plant Acct-P29 (Fin)'!F317+'KY_Res by Plant Acct-P29 (PA)'!F315</f>
        <v>13658.170000000006</v>
      </c>
      <c r="G317" s="139"/>
      <c r="H317" s="138">
        <f>+'KY_Res by Plant Acct-P29 (Fin)'!H317+'KY_Res by Plant Acct-P29 (PA)'!H315</f>
        <v>0</v>
      </c>
      <c r="I317" s="139"/>
      <c r="J317" s="138">
        <f>+'KY_Res by Plant Acct-P29 (Fin)'!J317+'KY_Res by Plant Acct-P29 (PA)'!J315</f>
        <v>0</v>
      </c>
      <c r="K317" s="139"/>
      <c r="L317" s="138">
        <f>+'KY_Res by Plant Acct-P29 (Fin)'!L317+'KY_Res by Plant Acct-P29 (PA)'!L315</f>
        <v>94351.569999999992</v>
      </c>
      <c r="M317" s="139"/>
      <c r="N317" s="182">
        <f>+'KY_Res by Plant Acct-P29 (Fin)'!N317+'KY_Res by Plant Acct-P29 (PA)'!N315</f>
        <v>-9874.73</v>
      </c>
      <c r="O317" s="52"/>
      <c r="P317" s="182">
        <f>+'KY_Res by Plant Acct-P29 (Fin)'!P317+'KY_Res by Plant Acct-P29 (PA)'!P315</f>
        <v>0</v>
      </c>
      <c r="Q317" s="52"/>
      <c r="R317" s="52">
        <f t="shared" si="25"/>
        <v>-7904020.2999999952</v>
      </c>
      <c r="S317" s="33"/>
      <c r="T317" s="33"/>
      <c r="U317" s="33"/>
    </row>
    <row r="318" spans="1:21">
      <c r="A318" t="s">
        <v>590</v>
      </c>
      <c r="B318" s="182">
        <f>+'KY_Res by Plant Acct-P29 (Fin)'!B318+'KY_Res by Plant Acct-P29 (PA)'!B316</f>
        <v>-51895.680000000051</v>
      </c>
      <c r="C318" s="52"/>
      <c r="D318" s="182">
        <f>+'KY_Res by Plant Acct-P29 (Fin)'!D318+'KY_Res by Plant Acct-P29 (PA)'!D316</f>
        <v>-10905.11</v>
      </c>
      <c r="E318" s="52"/>
      <c r="F318" s="138">
        <f>+'KY_Res by Plant Acct-P29 (Fin)'!F318+'KY_Res by Plant Acct-P29 (PA)'!F316</f>
        <v>28654.369999999995</v>
      </c>
      <c r="G318" s="139"/>
      <c r="H318" s="138">
        <f>+'KY_Res by Plant Acct-P29 (Fin)'!H318+'KY_Res by Plant Acct-P29 (PA)'!H316</f>
        <v>0</v>
      </c>
      <c r="I318" s="139"/>
      <c r="J318" s="138">
        <f>+'KY_Res by Plant Acct-P29 (Fin)'!J318+'KY_Res by Plant Acct-P29 (PA)'!J316</f>
        <v>0</v>
      </c>
      <c r="K318" s="139"/>
      <c r="L318" s="138">
        <f>+'KY_Res by Plant Acct-P29 (Fin)'!L318+'KY_Res by Plant Acct-P29 (PA)'!L316</f>
        <v>8445.3799999999992</v>
      </c>
      <c r="M318" s="139"/>
      <c r="N318" s="182">
        <f>+'KY_Res by Plant Acct-P29 (Fin)'!N318+'KY_Res by Plant Acct-P29 (PA)'!N316</f>
        <v>-48334.29</v>
      </c>
      <c r="O318" s="52"/>
      <c r="P318" s="182">
        <f>+'KY_Res by Plant Acct-P29 (Fin)'!P318+'KY_Res by Plant Acct-P29 (PA)'!P316</f>
        <v>0</v>
      </c>
      <c r="Q318" s="52"/>
      <c r="R318" s="52">
        <f t="shared" si="25"/>
        <v>-74035.33000000006</v>
      </c>
      <c r="S318" s="33"/>
      <c r="T318" s="33"/>
      <c r="U318" s="33"/>
    </row>
    <row r="319" spans="1:21">
      <c r="A319" t="s">
        <v>591</v>
      </c>
      <c r="B319" s="182">
        <f>+'KY_Res by Plant Acct-P29 (Fin)'!B319+'KY_Res by Plant Acct-P29 (PA)'!B317</f>
        <v>-213077.10999999964</v>
      </c>
      <c r="C319" s="52"/>
      <c r="D319" s="182">
        <f>+'KY_Res by Plant Acct-P29 (Fin)'!D319+'KY_Res by Plant Acct-P29 (PA)'!D317</f>
        <v>-59560.83</v>
      </c>
      <c r="E319" s="52"/>
      <c r="F319" s="138">
        <f>+'KY_Res by Plant Acct-P29 (Fin)'!F319+'KY_Res by Plant Acct-P29 (PA)'!F317</f>
        <v>50012.210000000021</v>
      </c>
      <c r="G319" s="139"/>
      <c r="H319" s="138">
        <f>+'KY_Res by Plant Acct-P29 (Fin)'!H319+'KY_Res by Plant Acct-P29 (PA)'!H317</f>
        <v>0</v>
      </c>
      <c r="I319" s="139"/>
      <c r="J319" s="138">
        <f>+'KY_Res by Plant Acct-P29 (Fin)'!J319+'KY_Res by Plant Acct-P29 (PA)'!J317</f>
        <v>0</v>
      </c>
      <c r="K319" s="139"/>
      <c r="L319" s="138">
        <f>+'KY_Res by Plant Acct-P29 (Fin)'!L319+'KY_Res by Plant Acct-P29 (PA)'!L317</f>
        <v>10183.08</v>
      </c>
      <c r="M319" s="139"/>
      <c r="N319" s="182">
        <f>+'KY_Res by Plant Acct-P29 (Fin)'!N319+'KY_Res by Plant Acct-P29 (PA)'!N317</f>
        <v>-56018.12</v>
      </c>
      <c r="O319" s="52"/>
      <c r="P319" s="182">
        <f>+'KY_Res by Plant Acct-P29 (Fin)'!P319+'KY_Res by Plant Acct-P29 (PA)'!P317</f>
        <v>0</v>
      </c>
      <c r="Q319" s="52"/>
      <c r="R319" s="52">
        <f t="shared" si="25"/>
        <v>-268460.76999999967</v>
      </c>
      <c r="S319" s="33"/>
      <c r="T319" s="33"/>
      <c r="U319" s="33"/>
    </row>
    <row r="320" spans="1:21">
      <c r="A320" t="s">
        <v>592</v>
      </c>
      <c r="B320" s="182">
        <f>+'KY_Res by Plant Acct-P29 (Fin)'!B320+'KY_Res by Plant Acct-P29 (PA)'!B318</f>
        <v>-240.2399999999997</v>
      </c>
      <c r="C320" s="52"/>
      <c r="D320" s="182">
        <f>+'KY_Res by Plant Acct-P29 (Fin)'!D320+'KY_Res by Plant Acct-P29 (PA)'!D318</f>
        <v>-49.71</v>
      </c>
      <c r="E320" s="52"/>
      <c r="F320" s="138">
        <f>+'KY_Res by Plant Acct-P29 (Fin)'!F320+'KY_Res by Plant Acct-P29 (PA)'!F318</f>
        <v>0</v>
      </c>
      <c r="G320" s="139"/>
      <c r="H320" s="138">
        <f>+'KY_Res by Plant Acct-P29 (Fin)'!H320+'KY_Res by Plant Acct-P29 (PA)'!H318</f>
        <v>0</v>
      </c>
      <c r="I320" s="139"/>
      <c r="J320" s="138">
        <f>+'KY_Res by Plant Acct-P29 (Fin)'!J320+'KY_Res by Plant Acct-P29 (PA)'!J318</f>
        <v>0</v>
      </c>
      <c r="K320" s="139"/>
      <c r="L320" s="138">
        <f>+'KY_Res by Plant Acct-P29 (Fin)'!L320+'KY_Res by Plant Acct-P29 (PA)'!L318</f>
        <v>0</v>
      </c>
      <c r="M320" s="139"/>
      <c r="N320" s="182">
        <f>+'KY_Res by Plant Acct-P29 (Fin)'!N320+'KY_Res by Plant Acct-P29 (PA)'!N318</f>
        <v>0</v>
      </c>
      <c r="O320" s="52"/>
      <c r="P320" s="182">
        <f>+'KY_Res by Plant Acct-P29 (Fin)'!P320+'KY_Res by Plant Acct-P29 (PA)'!P318</f>
        <v>0</v>
      </c>
      <c r="Q320" s="52"/>
      <c r="R320" s="52">
        <f t="shared" si="25"/>
        <v>-289.9499999999997</v>
      </c>
      <c r="S320" s="33"/>
      <c r="T320" s="33"/>
      <c r="U320" s="33"/>
    </row>
    <row r="321" spans="1:21">
      <c r="A321" t="s">
        <v>593</v>
      </c>
      <c r="B321" s="48">
        <f>+'KY_Res by Plant Acct-P29 (Fin)'!B321+'KY_Res by Plant Acct-P29 (PA)'!B319</f>
        <v>-663.04</v>
      </c>
      <c r="C321" s="52"/>
      <c r="D321" s="48">
        <f>+'KY_Res by Plant Acct-P29 (Fin)'!D321+'KY_Res by Plant Acct-P29 (PA)'!D319</f>
        <v>-1989.12</v>
      </c>
      <c r="E321" s="52"/>
      <c r="F321" s="143">
        <f>+'KY_Res by Plant Acct-P29 (Fin)'!F321+'KY_Res by Plant Acct-P29 (PA)'!F319</f>
        <v>0</v>
      </c>
      <c r="G321" s="139"/>
      <c r="H321" s="143">
        <f>+'KY_Res by Plant Acct-P29 (Fin)'!H321+'KY_Res by Plant Acct-P29 (PA)'!H319</f>
        <v>0</v>
      </c>
      <c r="I321" s="139"/>
      <c r="J321" s="143">
        <f>+'KY_Res by Plant Acct-P29 (Fin)'!J321+'KY_Res by Plant Acct-P29 (PA)'!J319</f>
        <v>0</v>
      </c>
      <c r="K321" s="139"/>
      <c r="L321" s="143">
        <f>+'KY_Res by Plant Acct-P29 (Fin)'!L321+'KY_Res by Plant Acct-P29 (PA)'!L319</f>
        <v>0</v>
      </c>
      <c r="M321" s="139"/>
      <c r="N321" s="48">
        <f>+'KY_Res by Plant Acct-P29 (Fin)'!N321+'KY_Res by Plant Acct-P29 (PA)'!N319</f>
        <v>0</v>
      </c>
      <c r="O321" s="52"/>
      <c r="P321" s="48">
        <f>+'KY_Res by Plant Acct-P29 (Fin)'!P321+'KY_Res by Plant Acct-P29 (PA)'!P319</f>
        <v>0</v>
      </c>
      <c r="Q321" s="52"/>
      <c r="R321" s="48">
        <f t="shared" si="25"/>
        <v>-2652.16</v>
      </c>
      <c r="S321" s="37"/>
      <c r="T321" s="33"/>
      <c r="U321" s="33"/>
    </row>
    <row r="322" spans="1:21">
      <c r="B322" s="52">
        <f>SUM(B305:B321)</f>
        <v>-19939568.839999992</v>
      </c>
      <c r="C322" s="52"/>
      <c r="D322" s="52">
        <f>SUM(D305:D321)</f>
        <v>-1330433.1400000001</v>
      </c>
      <c r="E322" s="52"/>
      <c r="F322" s="139">
        <f>SUM(F305:F321)</f>
        <v>456718.32999999996</v>
      </c>
      <c r="G322" s="139"/>
      <c r="H322" s="139">
        <f>SUM(H305:H321)</f>
        <v>6.8212102632969618E-13</v>
      </c>
      <c r="I322" s="139"/>
      <c r="J322" s="139">
        <f>SUM(J305:J321)</f>
        <v>0</v>
      </c>
      <c r="K322" s="139"/>
      <c r="L322" s="139">
        <f>SUM(L305:L321)</f>
        <v>404164.79</v>
      </c>
      <c r="M322" s="139"/>
      <c r="N322" s="52">
        <f>SUM(N305:N321)</f>
        <v>-357106.44</v>
      </c>
      <c r="O322" s="52"/>
      <c r="P322" s="52">
        <f>SUM(P305:P321)</f>
        <v>0</v>
      </c>
      <c r="Q322" s="52"/>
      <c r="R322" s="52">
        <f>SUM(R305:R321)</f>
        <v>-20766225.299999993</v>
      </c>
      <c r="S322" s="37"/>
      <c r="T322" s="33"/>
      <c r="U322" s="33"/>
    </row>
    <row r="323" spans="1:21">
      <c r="B323" s="52"/>
      <c r="C323" s="52"/>
      <c r="D323" s="52"/>
      <c r="E323" s="52"/>
      <c r="F323" s="139"/>
      <c r="G323" s="139"/>
      <c r="H323" s="139"/>
      <c r="I323" s="139"/>
      <c r="J323" s="139"/>
      <c r="K323" s="139"/>
      <c r="L323" s="139"/>
      <c r="M323" s="139"/>
      <c r="N323" s="52"/>
      <c r="O323" s="52"/>
      <c r="P323" s="52"/>
      <c r="Q323" s="52"/>
      <c r="R323" s="52"/>
      <c r="S323" s="37"/>
      <c r="T323" s="33"/>
      <c r="U323" s="33"/>
    </row>
    <row r="324" spans="1:21">
      <c r="B324" s="182"/>
      <c r="C324" s="52"/>
      <c r="D324" s="182"/>
      <c r="E324" s="52"/>
      <c r="F324" s="138"/>
      <c r="G324" s="139"/>
      <c r="H324" s="138"/>
      <c r="I324" s="139"/>
      <c r="J324" s="138"/>
      <c r="K324" s="139"/>
      <c r="L324" s="138"/>
      <c r="M324" s="139"/>
      <c r="N324" s="182"/>
      <c r="O324" s="52"/>
      <c r="P324" s="182"/>
      <c r="Q324" s="52"/>
      <c r="R324" s="182"/>
      <c r="S324" s="33"/>
      <c r="T324" s="33"/>
      <c r="U324" s="33"/>
    </row>
    <row r="325" spans="1:21" ht="13.5" thickBot="1">
      <c r="A325" s="3" t="s">
        <v>42</v>
      </c>
      <c r="B325" s="46">
        <f>B322+B302+B149+B52+B37+B28</f>
        <v>-315603665.68999976</v>
      </c>
      <c r="C325" s="52"/>
      <c r="D325" s="46">
        <f>D322+D302+D149+D52+D37+D28</f>
        <v>-28391653.140000001</v>
      </c>
      <c r="E325" s="52"/>
      <c r="F325" s="144">
        <f>F322+F302+F149+F52+F37+F28</f>
        <v>3273037.5599999996</v>
      </c>
      <c r="G325" s="139"/>
      <c r="H325" s="144">
        <f>H322+H302+H149+H52+H37+H28</f>
        <v>-223.56000000005935</v>
      </c>
      <c r="I325" s="139"/>
      <c r="J325" s="144">
        <f>J322+J302+J149+J52+J37+J28</f>
        <v>0</v>
      </c>
      <c r="K325" s="139"/>
      <c r="L325" s="144">
        <f>L322+L302+L149+L52+L37+L28</f>
        <v>4577782.8</v>
      </c>
      <c r="M325" s="139"/>
      <c r="N325" s="144">
        <f>N322+N302+N149+N52+N37+N28</f>
        <v>-538299.82999999996</v>
      </c>
      <c r="O325" s="52"/>
      <c r="P325" s="46">
        <f>P322+P302+P149+P52+P37+P28</f>
        <v>0</v>
      </c>
      <c r="Q325" s="52"/>
      <c r="R325" s="46">
        <f>R322+R302+R149+R52+R37+R28</f>
        <v>-336683021.86000001</v>
      </c>
      <c r="S325" s="33"/>
      <c r="T325" s="33"/>
      <c r="U325" s="33"/>
    </row>
    <row r="326" spans="1:21" ht="13.5" thickTop="1">
      <c r="B326" s="4"/>
      <c r="C326" s="55"/>
      <c r="D326" s="4"/>
      <c r="E326" s="55"/>
      <c r="F326" s="145"/>
      <c r="G326" s="146"/>
      <c r="H326" s="145"/>
      <c r="I326" s="146"/>
      <c r="J326" s="145"/>
      <c r="K326" s="146"/>
      <c r="L326" s="145"/>
      <c r="M326" s="146"/>
      <c r="N326" s="4"/>
      <c r="O326" s="55"/>
      <c r="P326" s="4"/>
      <c r="Q326" s="55"/>
      <c r="R326" s="4"/>
    </row>
    <row r="328" spans="1:21">
      <c r="A328" s="3" t="s">
        <v>116</v>
      </c>
      <c r="B328" s="52"/>
      <c r="C328" s="52"/>
      <c r="D328" s="52"/>
      <c r="E328" s="52"/>
      <c r="F328" s="52"/>
      <c r="G328" s="52"/>
      <c r="H328" s="52"/>
      <c r="I328" s="52"/>
      <c r="J328" s="52"/>
      <c r="K328" s="52"/>
      <c r="L328" s="52"/>
      <c r="M328" s="52"/>
      <c r="N328" s="52"/>
      <c r="O328" s="52"/>
      <c r="P328" s="52"/>
      <c r="Q328" s="52"/>
      <c r="R328" s="52"/>
      <c r="S328" s="37"/>
      <c r="T328" s="33"/>
      <c r="U328" s="33"/>
    </row>
    <row r="329" spans="1:21">
      <c r="A329" t="s">
        <v>1014</v>
      </c>
      <c r="B329" s="52">
        <f>+'KY_Res by Plant Acct-P29 (Fin)'!B329+'KY_Res by Plant Acct-P29 (PA)'!B327</f>
        <v>0</v>
      </c>
      <c r="C329" s="52"/>
      <c r="D329" s="52">
        <f>+'KY_Res by Plant Acct-P29 (Fin)'!D329+'KY_Res by Plant Acct-P29 (PA)'!D327</f>
        <v>0</v>
      </c>
      <c r="E329" s="52"/>
      <c r="F329" s="52">
        <f>+'KY_Res by Plant Acct-P29 (Fin)'!F329+'KY_Res by Plant Acct-P29 (PA)'!F327</f>
        <v>0</v>
      </c>
      <c r="G329" s="52"/>
      <c r="H329" s="52">
        <f>+'KY_Res by Plant Acct-P29 (Fin)'!H329+'KY_Res by Plant Acct-P29 (PA)'!H327</f>
        <v>0</v>
      </c>
      <c r="I329" s="52"/>
      <c r="J329" s="52">
        <f>+'KY_Res by Plant Acct-P29 (Fin)'!J329+'KY_Res by Plant Acct-P29 (PA)'!J327</f>
        <v>0</v>
      </c>
      <c r="K329" s="52"/>
      <c r="L329" s="52">
        <f>+'KY_Res by Plant Acct-P29 (Fin)'!L329+'KY_Res by Plant Acct-P29 (PA)'!L327</f>
        <v>0</v>
      </c>
      <c r="M329" s="52"/>
      <c r="N329" s="52">
        <f>+'KY_Res by Plant Acct-P29 (Fin)'!N329+'KY_Res by Plant Acct-P29 (PA)'!N327</f>
        <v>0</v>
      </c>
      <c r="O329" s="52"/>
      <c r="P329" s="52">
        <f>+'KY_Res by Plant Acct-P29 (Fin)'!P329+'KY_Res by Plant Acct-P29 (PA)'!P327</f>
        <v>0</v>
      </c>
      <c r="Q329" s="52"/>
      <c r="R329" s="52">
        <v>0</v>
      </c>
      <c r="S329" s="37"/>
      <c r="T329" s="33"/>
      <c r="U329" s="33"/>
    </row>
    <row r="330" spans="1:21">
      <c r="A330" t="s">
        <v>1015</v>
      </c>
      <c r="B330" s="48">
        <f>+'KY_Res by Plant Acct-P29 (Fin)'!B330+'KY_Res by Plant Acct-P29 (PA)'!B328</f>
        <v>0</v>
      </c>
      <c r="C330" s="52"/>
      <c r="D330" s="48">
        <f>+'KY_Res by Plant Acct-P29 (Fin)'!D330+'KY_Res by Plant Acct-P29 (PA)'!D328</f>
        <v>0</v>
      </c>
      <c r="E330" s="52"/>
      <c r="F330" s="48">
        <f>+'KY_Res by Plant Acct-P29 (Fin)'!F330+'KY_Res by Plant Acct-P29 (PA)'!F328</f>
        <v>0</v>
      </c>
      <c r="G330" s="52"/>
      <c r="H330" s="48">
        <f>+'KY_Res by Plant Acct-P29 (Fin)'!H330+'KY_Res by Plant Acct-P29 (PA)'!H328</f>
        <v>0</v>
      </c>
      <c r="I330" s="52"/>
      <c r="J330" s="48">
        <f>+'KY_Res by Plant Acct-P29 (Fin)'!J330+'KY_Res by Plant Acct-P29 (PA)'!J328</f>
        <v>0</v>
      </c>
      <c r="K330" s="52"/>
      <c r="L330" s="48">
        <f>+'KY_Res by Plant Acct-P29 (Fin)'!L330+'KY_Res by Plant Acct-P29 (PA)'!L328</f>
        <v>0</v>
      </c>
      <c r="M330" s="52"/>
      <c r="N330" s="48">
        <f>+'KY_Res by Plant Acct-P29 (Fin)'!N330+'KY_Res by Plant Acct-P29 (PA)'!N328</f>
        <v>0</v>
      </c>
      <c r="O330" s="52"/>
      <c r="P330" s="48">
        <f>+'KY_Res by Plant Acct-P29 (Fin)'!P330+'KY_Res by Plant Acct-P29 (PA)'!P328</f>
        <v>0</v>
      </c>
      <c r="Q330" s="52"/>
      <c r="R330" s="48">
        <f>SUM(B330:P330)</f>
        <v>0</v>
      </c>
      <c r="S330" s="37"/>
      <c r="T330" s="33"/>
      <c r="U330" s="33"/>
    </row>
    <row r="331" spans="1:21">
      <c r="B331" s="52">
        <f>SUM(B329:B330)</f>
        <v>0</v>
      </c>
      <c r="C331" s="52"/>
      <c r="D331" s="52">
        <f t="shared" ref="D331:R331" si="26">SUM(D329:D330)</f>
        <v>0</v>
      </c>
      <c r="E331" s="52"/>
      <c r="F331" s="52">
        <f t="shared" si="26"/>
        <v>0</v>
      </c>
      <c r="G331" s="52"/>
      <c r="H331" s="52">
        <f t="shared" si="26"/>
        <v>0</v>
      </c>
      <c r="I331" s="52"/>
      <c r="J331" s="52">
        <f t="shared" si="26"/>
        <v>0</v>
      </c>
      <c r="K331" s="52"/>
      <c r="L331" s="52">
        <f t="shared" si="26"/>
        <v>0</v>
      </c>
      <c r="M331" s="52"/>
      <c r="N331" s="52">
        <f t="shared" si="26"/>
        <v>0</v>
      </c>
      <c r="O331" s="52"/>
      <c r="P331" s="52">
        <f t="shared" si="26"/>
        <v>0</v>
      </c>
      <c r="Q331" s="52"/>
      <c r="R331" s="52">
        <f t="shared" si="26"/>
        <v>0</v>
      </c>
      <c r="S331" s="37"/>
      <c r="T331" s="33"/>
      <c r="U331" s="33"/>
    </row>
    <row r="333" spans="1:21" ht="13.5" thickBot="1">
      <c r="A333" s="3" t="s">
        <v>43</v>
      </c>
      <c r="B333" s="46">
        <f>B331</f>
        <v>0</v>
      </c>
      <c r="C333" s="52"/>
      <c r="D333" s="46">
        <f>D331</f>
        <v>0</v>
      </c>
      <c r="E333" s="52"/>
      <c r="F333" s="46">
        <f>F331</f>
        <v>0</v>
      </c>
      <c r="G333" s="52"/>
      <c r="H333" s="46">
        <f>H331</f>
        <v>0</v>
      </c>
      <c r="I333" s="52"/>
      <c r="J333" s="46">
        <f>J331</f>
        <v>0</v>
      </c>
      <c r="K333" s="52"/>
      <c r="L333" s="46">
        <f>L331</f>
        <v>0</v>
      </c>
      <c r="M333" s="52"/>
      <c r="N333" s="46">
        <f>N331</f>
        <v>0</v>
      </c>
      <c r="O333" s="52"/>
      <c r="P333" s="46">
        <f>P331</f>
        <v>0</v>
      </c>
      <c r="Q333" s="52"/>
      <c r="R333" s="46">
        <f>R331</f>
        <v>0</v>
      </c>
      <c r="S333" s="33"/>
      <c r="T333" s="33"/>
      <c r="U333" s="33"/>
    </row>
    <row r="334" spans="1:21" ht="13.5" thickTop="1"/>
    <row r="338" spans="1:21">
      <c r="A338" s="3" t="s">
        <v>121</v>
      </c>
      <c r="B338" s="4"/>
      <c r="C338" s="55"/>
      <c r="D338" s="4"/>
      <c r="E338" s="55"/>
      <c r="F338" s="4"/>
      <c r="G338" s="55"/>
      <c r="H338" s="4"/>
      <c r="I338" s="55"/>
      <c r="J338" s="4"/>
      <c r="K338" s="55"/>
      <c r="L338" s="4"/>
      <c r="M338" s="55"/>
      <c r="N338" s="4"/>
      <c r="O338" s="55"/>
      <c r="P338" s="4"/>
      <c r="Q338" s="55"/>
      <c r="R338" s="4"/>
    </row>
    <row r="339" spans="1:21">
      <c r="A339" t="s">
        <v>594</v>
      </c>
      <c r="B339" s="182">
        <f>+'KY_Res by Plant Acct-P29 (Fin)'!B339+'KY_Res by Plant Acct-P29 (PA)'!B337</f>
        <v>0</v>
      </c>
      <c r="C339" s="52"/>
      <c r="D339" s="182">
        <f>+'KY_Res by Plant Acct-P29 (Fin)'!D339+'KY_Res by Plant Acct-P29 (PA)'!D337</f>
        <v>0</v>
      </c>
      <c r="E339" s="52"/>
      <c r="F339" s="182">
        <f>+'KY_Res by Plant Acct-P29 (Fin)'!F339+'KY_Res by Plant Acct-P29 (PA)'!F337</f>
        <v>0</v>
      </c>
      <c r="G339" s="52"/>
      <c r="H339" s="182">
        <f>+'KY_Res by Plant Acct-P29 (Fin)'!H339+'KY_Res by Plant Acct-P29 (PA)'!H337</f>
        <v>0</v>
      </c>
      <c r="I339" s="52"/>
      <c r="J339" s="182">
        <f>+'KY_Res by Plant Acct-P29 (Fin)'!J339+'KY_Res by Plant Acct-P29 (PA)'!J337</f>
        <v>0</v>
      </c>
      <c r="K339" s="52"/>
      <c r="L339" s="182">
        <f>+'KY_Res by Plant Acct-P29 (Fin)'!L339+'KY_Res by Plant Acct-P29 (PA)'!L337</f>
        <v>0</v>
      </c>
      <c r="M339" s="52"/>
      <c r="N339" s="182">
        <f>+'KY_Res by Plant Acct-P29 (Fin)'!N339+'KY_Res by Plant Acct-P29 (PA)'!N337</f>
        <v>0</v>
      </c>
      <c r="O339" s="52"/>
      <c r="P339" s="182">
        <f>+'KY_Res by Plant Acct-P29 (Fin)'!P339+'KY_Res by Plant Acct-P29 (PA)'!P337</f>
        <v>0</v>
      </c>
      <c r="Q339" s="52"/>
      <c r="R339" s="182">
        <f t="shared" ref="R339:R352" si="27">SUM(B339:P339)</f>
        <v>0</v>
      </c>
    </row>
    <row r="340" spans="1:21">
      <c r="A340" t="s">
        <v>595</v>
      </c>
      <c r="B340" s="182">
        <f>+'KY_Res by Plant Acct-P29 (Fin)'!B340+'KY_Res by Plant Acct-P29 (PA)'!B338</f>
        <v>-34.580000000001746</v>
      </c>
      <c r="C340" s="52"/>
      <c r="D340" s="138">
        <f>+'KY_Res by Plant Acct-P29 (Fin)'!D340+'KY_Res by Plant Acct-P29 (PA)'!D338</f>
        <v>-7.41</v>
      </c>
      <c r="E340" s="52"/>
      <c r="F340" s="182">
        <f>+'KY_Res by Plant Acct-P29 (Fin)'!F340+'KY_Res by Plant Acct-P29 (PA)'!F338</f>
        <v>0</v>
      </c>
      <c r="G340" s="52"/>
      <c r="H340" s="182">
        <f>+'KY_Res by Plant Acct-P29 (Fin)'!H340+'KY_Res by Plant Acct-P29 (PA)'!H338</f>
        <v>0</v>
      </c>
      <c r="I340" s="52"/>
      <c r="J340" s="182">
        <f>+'KY_Res by Plant Acct-P29 (Fin)'!J340+'KY_Res by Plant Acct-P29 (PA)'!J338</f>
        <v>0</v>
      </c>
      <c r="K340" s="52"/>
      <c r="L340" s="182">
        <f>+'KY_Res by Plant Acct-P29 (Fin)'!L340+'KY_Res by Plant Acct-P29 (PA)'!L338</f>
        <v>0</v>
      </c>
      <c r="M340" s="52"/>
      <c r="N340" s="182">
        <f>+'KY_Res by Plant Acct-P29 (Fin)'!N340+'KY_Res by Plant Acct-P29 (PA)'!N338</f>
        <v>0</v>
      </c>
      <c r="O340" s="52"/>
      <c r="P340" s="182">
        <f>+'KY_Res by Plant Acct-P29 (Fin)'!P340+'KY_Res by Plant Acct-P29 (PA)'!P338</f>
        <v>0</v>
      </c>
      <c r="Q340" s="52"/>
      <c r="R340" s="182">
        <f t="shared" si="27"/>
        <v>-41.990000000001743</v>
      </c>
    </row>
    <row r="341" spans="1:21">
      <c r="A341" t="s">
        <v>596</v>
      </c>
      <c r="B341" s="182">
        <f>+'KY_Res by Plant Acct-P29 (Fin)'!B341+'KY_Res by Plant Acct-P29 (PA)'!B339</f>
        <v>-22616.439999999988</v>
      </c>
      <c r="C341" s="52"/>
      <c r="D341" s="138">
        <f>+'KY_Res by Plant Acct-P29 (Fin)'!D341+'KY_Res by Plant Acct-P29 (PA)'!D339</f>
        <v>-975.08999999999992</v>
      </c>
      <c r="E341" s="52"/>
      <c r="F341" s="138">
        <f>+'KY_Res by Plant Acct-P29 (Fin)'!F341+'KY_Res by Plant Acct-P29 (PA)'!F339</f>
        <v>0</v>
      </c>
      <c r="G341" s="139"/>
      <c r="H341" s="138">
        <f>+'KY_Res by Plant Acct-P29 (Fin)'!H341+'KY_Res by Plant Acct-P29 (PA)'!H339</f>
        <v>0</v>
      </c>
      <c r="I341" s="139"/>
      <c r="J341" s="138">
        <f>+'KY_Res by Plant Acct-P29 (Fin)'!J341+'KY_Res by Plant Acct-P29 (PA)'!J339</f>
        <v>0</v>
      </c>
      <c r="K341" s="139"/>
      <c r="L341" s="138">
        <f>+'KY_Res by Plant Acct-P29 (Fin)'!L341+'KY_Res by Plant Acct-P29 (PA)'!L339</f>
        <v>0</v>
      </c>
      <c r="M341" s="139"/>
      <c r="N341" s="138">
        <f>+'KY_Res by Plant Acct-P29 (Fin)'!N341+'KY_Res by Plant Acct-P29 (PA)'!N339</f>
        <v>0</v>
      </c>
      <c r="O341" s="52"/>
      <c r="P341" s="182">
        <f>+'KY_Res by Plant Acct-P29 (Fin)'!P341+'KY_Res by Plant Acct-P29 (PA)'!P339</f>
        <v>0</v>
      </c>
      <c r="Q341" s="52"/>
      <c r="R341" s="182">
        <f t="shared" si="27"/>
        <v>-23591.529999999988</v>
      </c>
    </row>
    <row r="342" spans="1:21">
      <c r="A342" t="s">
        <v>597</v>
      </c>
      <c r="B342" s="182">
        <f>+'KY_Res by Plant Acct-P29 (Fin)'!B342+'KY_Res by Plant Acct-P29 (PA)'!B340</f>
        <v>-72307.830000000016</v>
      </c>
      <c r="C342" s="52"/>
      <c r="D342" s="138">
        <f>+'KY_Res by Plant Acct-P29 (Fin)'!D342+'KY_Res by Plant Acct-P29 (PA)'!D340</f>
        <v>-11115.869999999999</v>
      </c>
      <c r="E342" s="52"/>
      <c r="F342" s="138">
        <f>+'KY_Res by Plant Acct-P29 (Fin)'!F342+'KY_Res by Plant Acct-P29 (PA)'!F340</f>
        <v>0</v>
      </c>
      <c r="G342" s="139"/>
      <c r="H342" s="138">
        <f>+'KY_Res by Plant Acct-P29 (Fin)'!H342+'KY_Res by Plant Acct-P29 (PA)'!H340</f>
        <v>0</v>
      </c>
      <c r="I342" s="139"/>
      <c r="J342" s="138">
        <f>+'KY_Res by Plant Acct-P29 (Fin)'!J342+'KY_Res by Plant Acct-P29 (PA)'!J340</f>
        <v>0</v>
      </c>
      <c r="K342" s="139"/>
      <c r="L342" s="138">
        <f>+'KY_Res by Plant Acct-P29 (Fin)'!L342+'KY_Res by Plant Acct-P29 (PA)'!L340</f>
        <v>0</v>
      </c>
      <c r="M342" s="139"/>
      <c r="N342" s="138">
        <f>+'KY_Res by Plant Acct-P29 (Fin)'!N342+'KY_Res by Plant Acct-P29 (PA)'!N340</f>
        <v>0</v>
      </c>
      <c r="O342" s="52"/>
      <c r="P342" s="182">
        <f>+'KY_Res by Plant Acct-P29 (Fin)'!P342+'KY_Res by Plant Acct-P29 (PA)'!P340</f>
        <v>0</v>
      </c>
      <c r="Q342" s="52"/>
      <c r="R342" s="182">
        <f t="shared" si="27"/>
        <v>-83423.700000000012</v>
      </c>
    </row>
    <row r="343" spans="1:21">
      <c r="A343" t="s">
        <v>598</v>
      </c>
      <c r="B343" s="182">
        <f>+'KY_Res by Plant Acct-P29 (Fin)'!B343+'KY_Res by Plant Acct-P29 (PA)'!B341</f>
        <v>-21839980.599999994</v>
      </c>
      <c r="C343" s="52"/>
      <c r="D343" s="138">
        <f>+'KY_Res by Plant Acct-P29 (Fin)'!D343+'KY_Res by Plant Acct-P29 (PA)'!D341</f>
        <v>-1452452.3399999999</v>
      </c>
      <c r="E343" s="52"/>
      <c r="F343" s="138">
        <f>+'KY_Res by Plant Acct-P29 (Fin)'!F343+'KY_Res by Plant Acct-P29 (PA)'!F341</f>
        <v>5116.34</v>
      </c>
      <c r="G343" s="139"/>
      <c r="H343" s="138">
        <f>+'KY_Res by Plant Acct-P29 (Fin)'!H343+'KY_Res by Plant Acct-P29 (PA)'!H341</f>
        <v>1337.83</v>
      </c>
      <c r="I343" s="139"/>
      <c r="J343" s="138">
        <f>+'KY_Res by Plant Acct-P29 (Fin)'!J343+'KY_Res by Plant Acct-P29 (PA)'!J341</f>
        <v>0</v>
      </c>
      <c r="K343" s="139"/>
      <c r="L343" s="138">
        <f>+'KY_Res by Plant Acct-P29 (Fin)'!L343+'KY_Res by Plant Acct-P29 (PA)'!L341</f>
        <v>60363.729999999996</v>
      </c>
      <c r="M343" s="139"/>
      <c r="N343" s="138">
        <f>+'KY_Res by Plant Acct-P29 (Fin)'!N343+'KY_Res by Plant Acct-P29 (PA)'!N341</f>
        <v>0</v>
      </c>
      <c r="O343" s="52"/>
      <c r="P343" s="182">
        <f>+'KY_Res by Plant Acct-P29 (Fin)'!P343+'KY_Res by Plant Acct-P29 (PA)'!P341</f>
        <v>0</v>
      </c>
      <c r="Q343" s="52"/>
      <c r="R343" s="182">
        <f t="shared" si="27"/>
        <v>-23225615.039999995</v>
      </c>
    </row>
    <row r="344" spans="1:21">
      <c r="A344" t="s">
        <v>599</v>
      </c>
      <c r="B344" s="182">
        <f>+'KY_Res by Plant Acct-P29 (Fin)'!B344+'KY_Res by Plant Acct-P29 (PA)'!B342</f>
        <v>-456097.14999999991</v>
      </c>
      <c r="C344" s="52"/>
      <c r="D344" s="138">
        <f>+'KY_Res by Plant Acct-P29 (Fin)'!D344+'KY_Res by Plant Acct-P29 (PA)'!D342</f>
        <v>-78716.11</v>
      </c>
      <c r="E344" s="52"/>
      <c r="F344" s="138">
        <f>+'KY_Res by Plant Acct-P29 (Fin)'!F344+'KY_Res by Plant Acct-P29 (PA)'!F342</f>
        <v>3295.07</v>
      </c>
      <c r="G344" s="139"/>
      <c r="H344" s="138">
        <f>+'KY_Res by Plant Acct-P29 (Fin)'!H344+'KY_Res by Plant Acct-P29 (PA)'!H342</f>
        <v>0</v>
      </c>
      <c r="I344" s="139"/>
      <c r="J344" s="138">
        <f>+'KY_Res by Plant Acct-P29 (Fin)'!J344+'KY_Res by Plant Acct-P29 (PA)'!J342</f>
        <v>0</v>
      </c>
      <c r="K344" s="139"/>
      <c r="L344" s="138">
        <f>+'KY_Res by Plant Acct-P29 (Fin)'!L344+'KY_Res by Plant Acct-P29 (PA)'!L342</f>
        <v>0</v>
      </c>
      <c r="M344" s="139"/>
      <c r="N344" s="138">
        <f>+'KY_Res by Plant Acct-P29 (Fin)'!N344+'KY_Res by Plant Acct-P29 (PA)'!N342</f>
        <v>0</v>
      </c>
      <c r="O344" s="52"/>
      <c r="P344" s="182">
        <f>+'KY_Res by Plant Acct-P29 (Fin)'!P344+'KY_Res by Plant Acct-P29 (PA)'!P342</f>
        <v>0</v>
      </c>
      <c r="Q344" s="52"/>
      <c r="R344" s="182">
        <f t="shared" si="27"/>
        <v>-531518.18999999994</v>
      </c>
    </row>
    <row r="345" spans="1:21">
      <c r="A345" t="s">
        <v>600</v>
      </c>
      <c r="B345" s="182">
        <f>+'KY_Res by Plant Acct-P29 (Fin)'!B345+'KY_Res by Plant Acct-P29 (PA)'!B343</f>
        <v>-26389.319999999832</v>
      </c>
      <c r="C345" s="52"/>
      <c r="D345" s="138">
        <f>+'KY_Res by Plant Acct-P29 (Fin)'!D345+'KY_Res by Plant Acct-P29 (PA)'!D343</f>
        <v>-25610.75</v>
      </c>
      <c r="E345" s="52"/>
      <c r="F345" s="138">
        <f>+'KY_Res by Plant Acct-P29 (Fin)'!F345+'KY_Res by Plant Acct-P29 (PA)'!F343</f>
        <v>0</v>
      </c>
      <c r="G345" s="139"/>
      <c r="H345" s="138">
        <f>+'KY_Res by Plant Acct-P29 (Fin)'!H345+'KY_Res by Plant Acct-P29 (PA)'!H343</f>
        <v>0</v>
      </c>
      <c r="I345" s="139"/>
      <c r="J345" s="138">
        <f>+'KY_Res by Plant Acct-P29 (Fin)'!J345+'KY_Res by Plant Acct-P29 (PA)'!J343</f>
        <v>0</v>
      </c>
      <c r="K345" s="139"/>
      <c r="L345" s="138">
        <f>+'KY_Res by Plant Acct-P29 (Fin)'!L345+'KY_Res by Plant Acct-P29 (PA)'!L343</f>
        <v>0</v>
      </c>
      <c r="M345" s="139"/>
      <c r="N345" s="138">
        <f>+'KY_Res by Plant Acct-P29 (Fin)'!N345+'KY_Res by Plant Acct-P29 (PA)'!N343</f>
        <v>0</v>
      </c>
      <c r="O345" s="52"/>
      <c r="P345" s="182">
        <f>+'KY_Res by Plant Acct-P29 (Fin)'!P345+'KY_Res by Plant Acct-P29 (PA)'!P343</f>
        <v>0</v>
      </c>
      <c r="Q345" s="52"/>
      <c r="R345" s="182">
        <f t="shared" si="27"/>
        <v>-52000.069999999832</v>
      </c>
    </row>
    <row r="346" spans="1:21">
      <c r="A346" t="s">
        <v>623</v>
      </c>
      <c r="B346" s="182">
        <f>+'KY_Res by Plant Acct-P29 (Fin)'!B346+'KY_Res by Plant Acct-P29 (PA)'!B344</f>
        <v>-41825294.25</v>
      </c>
      <c r="C346" s="52"/>
      <c r="D346" s="138">
        <f>+'KY_Res by Plant Acct-P29 (Fin)'!D346+'KY_Res by Plant Acct-P29 (PA)'!D344</f>
        <v>-1751793.79</v>
      </c>
      <c r="E346" s="52"/>
      <c r="F346" s="138">
        <f>+'KY_Res by Plant Acct-P29 (Fin)'!F346+'KY_Res by Plant Acct-P29 (PA)'!F344</f>
        <v>720.31</v>
      </c>
      <c r="G346" s="139"/>
      <c r="H346" s="138">
        <f>+'KY_Res by Plant Acct-P29 (Fin)'!H346+'KY_Res by Plant Acct-P29 (PA)'!H344</f>
        <v>0</v>
      </c>
      <c r="I346" s="139"/>
      <c r="J346" s="138">
        <f>+'KY_Res by Plant Acct-P29 (Fin)'!J346+'KY_Res by Plant Acct-P29 (PA)'!J344</f>
        <v>0</v>
      </c>
      <c r="K346" s="139"/>
      <c r="L346" s="138">
        <f>+'KY_Res by Plant Acct-P29 (Fin)'!L346+'KY_Res by Plant Acct-P29 (PA)'!L344</f>
        <v>0</v>
      </c>
      <c r="M346" s="139"/>
      <c r="N346" s="138">
        <f>+'KY_Res by Plant Acct-P29 (Fin)'!N346+'KY_Res by Plant Acct-P29 (PA)'!N344</f>
        <v>0</v>
      </c>
      <c r="O346" s="52"/>
      <c r="P346" s="182">
        <f>+'KY_Res by Plant Acct-P29 (Fin)'!P346+'KY_Res by Plant Acct-P29 (PA)'!P344</f>
        <v>0</v>
      </c>
      <c r="Q346" s="52"/>
      <c r="R346" s="182">
        <f t="shared" si="27"/>
        <v>-43576367.729999997</v>
      </c>
    </row>
    <row r="347" spans="1:21">
      <c r="A347" t="s">
        <v>624</v>
      </c>
      <c r="B347" s="182">
        <f>+'KY_Res by Plant Acct-P29 (Fin)'!B347+'KY_Res by Plant Acct-P29 (PA)'!B345</f>
        <v>-2671568.7300000004</v>
      </c>
      <c r="C347" s="52"/>
      <c r="D347" s="138">
        <f>+'KY_Res by Plant Acct-P29 (Fin)'!D347+'KY_Res by Plant Acct-P29 (PA)'!D345</f>
        <v>-397602.3</v>
      </c>
      <c r="E347" s="52"/>
      <c r="F347" s="138">
        <f>+'KY_Res by Plant Acct-P29 (Fin)'!F347+'KY_Res by Plant Acct-P29 (PA)'!F345</f>
        <v>0</v>
      </c>
      <c r="G347" s="139"/>
      <c r="H347" s="138">
        <f>+'KY_Res by Plant Acct-P29 (Fin)'!H347+'KY_Res by Plant Acct-P29 (PA)'!H345</f>
        <v>0</v>
      </c>
      <c r="I347" s="139"/>
      <c r="J347" s="138">
        <f>+'KY_Res by Plant Acct-P29 (Fin)'!J347+'KY_Res by Plant Acct-P29 (PA)'!J345</f>
        <v>0</v>
      </c>
      <c r="K347" s="139"/>
      <c r="L347" s="138">
        <f>+'KY_Res by Plant Acct-P29 (Fin)'!L347+'KY_Res by Plant Acct-P29 (PA)'!L345</f>
        <v>0</v>
      </c>
      <c r="M347" s="139"/>
      <c r="N347" s="138">
        <f>+'KY_Res by Plant Acct-P29 (Fin)'!N347+'KY_Res by Plant Acct-P29 (PA)'!N345</f>
        <v>0</v>
      </c>
      <c r="O347" s="52"/>
      <c r="P347" s="182">
        <f>+'KY_Res by Plant Acct-P29 (Fin)'!P347+'KY_Res by Plant Acct-P29 (PA)'!P345</f>
        <v>0</v>
      </c>
      <c r="Q347" s="52"/>
      <c r="R347" s="182">
        <f t="shared" si="27"/>
        <v>-3069171.0300000003</v>
      </c>
    </row>
    <row r="348" spans="1:21">
      <c r="A348" t="s">
        <v>625</v>
      </c>
      <c r="B348" s="182">
        <f>+'KY_Res by Plant Acct-P29 (Fin)'!B348+'KY_Res by Plant Acct-P29 (PA)'!B346</f>
        <v>59946.660000000149</v>
      </c>
      <c r="C348" s="52"/>
      <c r="D348" s="138">
        <f>+'KY_Res by Plant Acct-P29 (Fin)'!D348+'KY_Res by Plant Acct-P29 (PA)'!D346</f>
        <v>-132000.35</v>
      </c>
      <c r="E348" s="52"/>
      <c r="F348" s="138">
        <f>+'KY_Res by Plant Acct-P29 (Fin)'!F348+'KY_Res by Plant Acct-P29 (PA)'!F346</f>
        <v>0</v>
      </c>
      <c r="G348" s="139"/>
      <c r="H348" s="138">
        <f>+'KY_Res by Plant Acct-P29 (Fin)'!H348+'KY_Res by Plant Acct-P29 (PA)'!H346</f>
        <v>0</v>
      </c>
      <c r="I348" s="139"/>
      <c r="J348" s="138">
        <f>+'KY_Res by Plant Acct-P29 (Fin)'!J348+'KY_Res by Plant Acct-P29 (PA)'!J346</f>
        <v>0</v>
      </c>
      <c r="K348" s="139"/>
      <c r="L348" s="138">
        <f>+'KY_Res by Plant Acct-P29 (Fin)'!L348+'KY_Res by Plant Acct-P29 (PA)'!L346</f>
        <v>0</v>
      </c>
      <c r="M348" s="139"/>
      <c r="N348" s="138">
        <f>+'KY_Res by Plant Acct-P29 (Fin)'!N348+'KY_Res by Plant Acct-P29 (PA)'!N346</f>
        <v>0</v>
      </c>
      <c r="O348" s="52"/>
      <c r="P348" s="182">
        <f>+'KY_Res by Plant Acct-P29 (Fin)'!P348+'KY_Res by Plant Acct-P29 (PA)'!P346</f>
        <v>0</v>
      </c>
      <c r="Q348" s="52"/>
      <c r="R348" s="182">
        <f t="shared" si="27"/>
        <v>-72053.689999999857</v>
      </c>
    </row>
    <row r="349" spans="1:21">
      <c r="A349" t="s">
        <v>626</v>
      </c>
      <c r="B349" s="182">
        <f>+'KY_Res by Plant Acct-P29 (Fin)'!B349+'KY_Res by Plant Acct-P29 (PA)'!B347</f>
        <v>22689.880000000005</v>
      </c>
      <c r="C349" s="52"/>
      <c r="D349" s="138">
        <f>+'KY_Res by Plant Acct-P29 (Fin)'!D349+'KY_Res by Plant Acct-P29 (PA)'!D347</f>
        <v>-2219.25</v>
      </c>
      <c r="E349" s="52"/>
      <c r="F349" s="138">
        <f>+'KY_Res by Plant Acct-P29 (Fin)'!F349+'KY_Res by Plant Acct-P29 (PA)'!F347</f>
        <v>0</v>
      </c>
      <c r="G349" s="139"/>
      <c r="H349" s="138">
        <f>+'KY_Res by Plant Acct-P29 (Fin)'!H349+'KY_Res by Plant Acct-P29 (PA)'!H347</f>
        <v>0</v>
      </c>
      <c r="I349" s="139"/>
      <c r="J349" s="138">
        <f>+'KY_Res by Plant Acct-P29 (Fin)'!J349+'KY_Res by Plant Acct-P29 (PA)'!J347</f>
        <v>0</v>
      </c>
      <c r="K349" s="139"/>
      <c r="L349" s="138">
        <f>+'KY_Res by Plant Acct-P29 (Fin)'!L349+'KY_Res by Plant Acct-P29 (PA)'!L347</f>
        <v>0</v>
      </c>
      <c r="M349" s="139"/>
      <c r="N349" s="138">
        <f>+'KY_Res by Plant Acct-P29 (Fin)'!N349+'KY_Res by Plant Acct-P29 (PA)'!N347</f>
        <v>0</v>
      </c>
      <c r="O349" s="52"/>
      <c r="P349" s="182">
        <f>+'KY_Res by Plant Acct-P29 (Fin)'!P349+'KY_Res by Plant Acct-P29 (PA)'!P347</f>
        <v>0</v>
      </c>
      <c r="Q349" s="52"/>
      <c r="R349" s="182">
        <f t="shared" si="27"/>
        <v>20470.630000000005</v>
      </c>
    </row>
    <row r="350" spans="1:21">
      <c r="A350" t="s">
        <v>627</v>
      </c>
      <c r="B350" s="182">
        <f>+'KY_Res by Plant Acct-P29 (Fin)'!B350+'KY_Res by Plant Acct-P29 (PA)'!B348</f>
        <v>-18935.64</v>
      </c>
      <c r="C350" s="52"/>
      <c r="D350" s="138">
        <f>+'KY_Res by Plant Acct-P29 (Fin)'!D350+'KY_Res by Plant Acct-P29 (PA)'!D348</f>
        <v>-444.68999999999994</v>
      </c>
      <c r="E350" s="52"/>
      <c r="F350" s="138">
        <f>+'KY_Res by Plant Acct-P29 (Fin)'!F350+'KY_Res by Plant Acct-P29 (PA)'!F348</f>
        <v>0</v>
      </c>
      <c r="G350" s="139"/>
      <c r="H350" s="138">
        <f>+'KY_Res by Plant Acct-P29 (Fin)'!H350+'KY_Res by Plant Acct-P29 (PA)'!H348</f>
        <v>0</v>
      </c>
      <c r="I350" s="139"/>
      <c r="J350" s="138">
        <f>+'KY_Res by Plant Acct-P29 (Fin)'!J350+'KY_Res by Plant Acct-P29 (PA)'!J348</f>
        <v>0</v>
      </c>
      <c r="K350" s="139"/>
      <c r="L350" s="138">
        <f>+'KY_Res by Plant Acct-P29 (Fin)'!L350+'KY_Res by Plant Acct-P29 (PA)'!L348</f>
        <v>0</v>
      </c>
      <c r="M350" s="139"/>
      <c r="N350" s="138">
        <f>+'KY_Res by Plant Acct-P29 (Fin)'!N350+'KY_Res by Plant Acct-P29 (PA)'!N348</f>
        <v>0</v>
      </c>
      <c r="O350" s="52"/>
      <c r="P350" s="182">
        <f>+'KY_Res by Plant Acct-P29 (Fin)'!P350+'KY_Res by Plant Acct-P29 (PA)'!P348</f>
        <v>0</v>
      </c>
      <c r="Q350" s="52"/>
      <c r="R350" s="182">
        <f t="shared" si="27"/>
        <v>-19380.329999999998</v>
      </c>
    </row>
    <row r="351" spans="1:21">
      <c r="A351" t="s">
        <v>628</v>
      </c>
      <c r="B351" s="52">
        <f>+'KY_Res by Plant Acct-P29 (Fin)'!B351+'KY_Res by Plant Acct-P29 (PA)'!B349</f>
        <v>-90.17000000000003</v>
      </c>
      <c r="C351" s="52"/>
      <c r="D351" s="139">
        <f>+'KY_Res by Plant Acct-P29 (Fin)'!D351+'KY_Res by Plant Acct-P29 (PA)'!D349</f>
        <v>-18.419999999999998</v>
      </c>
      <c r="E351" s="52"/>
      <c r="F351" s="139">
        <f>+'KY_Res by Plant Acct-P29 (Fin)'!F351+'KY_Res by Plant Acct-P29 (PA)'!F349</f>
        <v>0</v>
      </c>
      <c r="G351" s="139"/>
      <c r="H351" s="139">
        <f>+'KY_Res by Plant Acct-P29 (Fin)'!H351+'KY_Res by Plant Acct-P29 (PA)'!H349</f>
        <v>0</v>
      </c>
      <c r="I351" s="139"/>
      <c r="J351" s="139">
        <f>+'KY_Res by Plant Acct-P29 (Fin)'!J351+'KY_Res by Plant Acct-P29 (PA)'!J349</f>
        <v>0</v>
      </c>
      <c r="K351" s="139"/>
      <c r="L351" s="139">
        <f>+'KY_Res by Plant Acct-P29 (Fin)'!L351+'KY_Res by Plant Acct-P29 (PA)'!L349</f>
        <v>0</v>
      </c>
      <c r="M351" s="139"/>
      <c r="N351" s="139">
        <f>+'KY_Res by Plant Acct-P29 (Fin)'!N351+'KY_Res by Plant Acct-P29 (PA)'!N349</f>
        <v>0</v>
      </c>
      <c r="O351" s="52"/>
      <c r="P351" s="52">
        <f>+'KY_Res by Plant Acct-P29 (Fin)'!P351+'KY_Res by Plant Acct-P29 (PA)'!P349</f>
        <v>0</v>
      </c>
      <c r="Q351" s="52"/>
      <c r="R351" s="182">
        <f t="shared" si="27"/>
        <v>-108.59000000000003</v>
      </c>
      <c r="S351" s="7"/>
      <c r="T351" s="7"/>
      <c r="U351" s="7"/>
    </row>
    <row r="352" spans="1:21">
      <c r="A352" t="s">
        <v>629</v>
      </c>
      <c r="B352" s="67">
        <f>+'KY_Res by Plant Acct-P29 (Fin)'!B352+'KY_Res by Plant Acct-P29 (PA)'!B350</f>
        <v>-346147.34000000154</v>
      </c>
      <c r="C352" s="68"/>
      <c r="D352" s="140">
        <f>+'KY_Res by Plant Acct-P29 (Fin)'!D352+'KY_Res by Plant Acct-P29 (PA)'!D350</f>
        <v>-74167.509999999995</v>
      </c>
      <c r="E352" s="68"/>
      <c r="F352" s="140">
        <f>+'KY_Res by Plant Acct-P29 (Fin)'!F352+'KY_Res by Plant Acct-P29 (PA)'!F350</f>
        <v>0</v>
      </c>
      <c r="G352" s="147"/>
      <c r="H352" s="140">
        <f>+'KY_Res by Plant Acct-P29 (Fin)'!H352+'KY_Res by Plant Acct-P29 (PA)'!H350</f>
        <v>0</v>
      </c>
      <c r="I352" s="147"/>
      <c r="J352" s="140">
        <f>+'KY_Res by Plant Acct-P29 (Fin)'!J352+'KY_Res by Plant Acct-P29 (PA)'!J350</f>
        <v>0</v>
      </c>
      <c r="K352" s="147"/>
      <c r="L352" s="140">
        <f>+'KY_Res by Plant Acct-P29 (Fin)'!L352+'KY_Res by Plant Acct-P29 (PA)'!L350</f>
        <v>0</v>
      </c>
      <c r="M352" s="147"/>
      <c r="N352" s="140">
        <f>+'KY_Res by Plant Acct-P29 (Fin)'!N352+'KY_Res by Plant Acct-P29 (PA)'!N350</f>
        <v>0</v>
      </c>
      <c r="O352" s="68"/>
      <c r="P352" s="67">
        <f>+'KY_Res by Plant Acct-P29 (Fin)'!P352+'KY_Res by Plant Acct-P29 (PA)'!P350</f>
        <v>0</v>
      </c>
      <c r="Q352" s="68"/>
      <c r="R352" s="67">
        <f t="shared" si="27"/>
        <v>-420314.85000000155</v>
      </c>
      <c r="S352" s="7"/>
      <c r="T352" s="7"/>
      <c r="U352" s="7"/>
    </row>
    <row r="353" spans="1:21">
      <c r="B353" s="52">
        <f>SUM(B339:B352)</f>
        <v>-67196825.50999999</v>
      </c>
      <c r="C353" s="52"/>
      <c r="D353" s="52">
        <f>SUM(D339:D352)</f>
        <v>-3927123.88</v>
      </c>
      <c r="E353" s="52"/>
      <c r="F353" s="139">
        <f>SUM(F339:F352)</f>
        <v>9131.7199999999993</v>
      </c>
      <c r="G353" s="139"/>
      <c r="H353" s="139">
        <f>SUM(H339:H352)</f>
        <v>1337.83</v>
      </c>
      <c r="I353" s="139"/>
      <c r="J353" s="139">
        <f>SUM(J339:J352)</f>
        <v>0</v>
      </c>
      <c r="K353" s="139"/>
      <c r="L353" s="139">
        <f>SUM(L339:L352)</f>
        <v>60363.729999999996</v>
      </c>
      <c r="M353" s="139"/>
      <c r="N353" s="139">
        <f>SUM(N339:N352)</f>
        <v>0</v>
      </c>
      <c r="O353" s="52"/>
      <c r="P353" s="52">
        <f>SUM(P339:P352)</f>
        <v>0</v>
      </c>
      <c r="Q353" s="52"/>
      <c r="R353" s="52">
        <f>SUM(R339:R352)</f>
        <v>-71053116.110000014</v>
      </c>
      <c r="S353" s="7"/>
      <c r="T353" s="7"/>
      <c r="U353" s="7"/>
    </row>
    <row r="354" spans="1:21">
      <c r="B354" s="52"/>
      <c r="C354" s="52"/>
      <c r="D354" s="52"/>
      <c r="E354" s="52"/>
      <c r="F354" s="139"/>
      <c r="G354" s="139"/>
      <c r="H354" s="139"/>
      <c r="I354" s="139"/>
      <c r="J354" s="139"/>
      <c r="K354" s="139"/>
      <c r="L354" s="139"/>
      <c r="M354" s="139"/>
      <c r="N354" s="139"/>
      <c r="O354" s="52"/>
      <c r="P354" s="52"/>
      <c r="Q354" s="52"/>
      <c r="R354" s="52"/>
      <c r="S354" s="7"/>
      <c r="T354" s="7"/>
      <c r="U354" s="7"/>
    </row>
    <row r="355" spans="1:21">
      <c r="A355" s="3" t="s">
        <v>122</v>
      </c>
      <c r="B355" s="52"/>
      <c r="C355" s="52"/>
      <c r="D355" s="52"/>
      <c r="E355" s="52"/>
      <c r="F355" s="52"/>
      <c r="G355" s="52"/>
      <c r="H355" s="52"/>
      <c r="I355" s="52"/>
      <c r="J355" s="52"/>
      <c r="K355" s="52"/>
      <c r="L355" s="52"/>
      <c r="M355" s="52"/>
      <c r="N355" s="52"/>
      <c r="O355" s="52"/>
      <c r="P355" s="52"/>
      <c r="Q355" s="52"/>
      <c r="R355" s="52"/>
      <c r="S355" s="7"/>
      <c r="T355" s="7"/>
      <c r="U355" s="7"/>
    </row>
    <row r="356" spans="1:21">
      <c r="A356" t="s">
        <v>630</v>
      </c>
      <c r="B356" s="52">
        <f>+'KY_Res by Plant Acct-P29 (Fin)'!B356+'KY_Res by Plant Acct-P29 (PA)'!B354</f>
        <v>-44499.79000000027</v>
      </c>
      <c r="C356" s="52"/>
      <c r="D356" s="52">
        <f>+'KY_Res by Plant Acct-P29 (Fin)'!D356+'KY_Res by Plant Acct-P29 (PA)'!D354</f>
        <v>-16235.75</v>
      </c>
      <c r="E356" s="52"/>
      <c r="F356" s="52">
        <f>+'KY_Res by Plant Acct-P29 (Fin)'!F356+'KY_Res by Plant Acct-P29 (PA)'!F354</f>
        <v>0</v>
      </c>
      <c r="G356" s="52"/>
      <c r="H356" s="52">
        <f>+'KY_Res by Plant Acct-P29 (Fin)'!H356+'KY_Res by Plant Acct-P29 (PA)'!H354</f>
        <v>0</v>
      </c>
      <c r="I356" s="52"/>
      <c r="J356" s="52">
        <f>+'KY_Res by Plant Acct-P29 (Fin)'!J356+'KY_Res by Plant Acct-P29 (PA)'!J354</f>
        <v>0</v>
      </c>
      <c r="K356" s="52"/>
      <c r="L356" s="52">
        <f>+'KY_Res by Plant Acct-P29 (Fin)'!L356+'KY_Res by Plant Acct-P29 (PA)'!L354</f>
        <v>0</v>
      </c>
      <c r="M356" s="52"/>
      <c r="N356" s="52">
        <f>+'KY_Res by Plant Acct-P29 (Fin)'!N356+'KY_Res by Plant Acct-P29 (PA)'!N354</f>
        <v>0</v>
      </c>
      <c r="O356" s="52"/>
      <c r="P356" s="52">
        <f>+'KY_Res by Plant Acct-P29 (Fin)'!P356+'KY_Res by Plant Acct-P29 (PA)'!P354</f>
        <v>0</v>
      </c>
      <c r="Q356" s="52"/>
      <c r="R356" s="182">
        <f t="shared" ref="R356:R361" si="28">SUM(B356:P356)</f>
        <v>-60735.54000000027</v>
      </c>
      <c r="S356" s="7"/>
      <c r="T356" s="83"/>
      <c r="U356" s="7"/>
    </row>
    <row r="357" spans="1:21">
      <c r="A357" t="s">
        <v>631</v>
      </c>
      <c r="B357" s="52">
        <f>+'KY_Res by Plant Acct-P29 (Fin)'!B357+'KY_Res by Plant Acct-P29 (PA)'!B355</f>
        <v>-8399.820000000007</v>
      </c>
      <c r="C357" s="52"/>
      <c r="D357" s="52">
        <f>+'KY_Res by Plant Acct-P29 (Fin)'!D357+'KY_Res by Plant Acct-P29 (PA)'!D355</f>
        <v>-7052.35</v>
      </c>
      <c r="E357" s="52"/>
      <c r="F357" s="52">
        <f>+'KY_Res by Plant Acct-P29 (Fin)'!F357+'KY_Res by Plant Acct-P29 (PA)'!F355</f>
        <v>0</v>
      </c>
      <c r="G357" s="52"/>
      <c r="H357" s="52">
        <f>+'KY_Res by Plant Acct-P29 (Fin)'!H357+'KY_Res by Plant Acct-P29 (PA)'!H355</f>
        <v>0</v>
      </c>
      <c r="I357" s="52"/>
      <c r="J357" s="52">
        <f>+'KY_Res by Plant Acct-P29 (Fin)'!J357+'KY_Res by Plant Acct-P29 (PA)'!J355</f>
        <v>0</v>
      </c>
      <c r="K357" s="52"/>
      <c r="L357" s="52">
        <f>+'KY_Res by Plant Acct-P29 (Fin)'!L357+'KY_Res by Plant Acct-P29 (PA)'!L355</f>
        <v>0</v>
      </c>
      <c r="M357" s="52"/>
      <c r="N357" s="52">
        <f>+'KY_Res by Plant Acct-P29 (Fin)'!N357+'KY_Res by Plant Acct-P29 (PA)'!N355</f>
        <v>0</v>
      </c>
      <c r="O357" s="52"/>
      <c r="P357" s="52">
        <f>+'KY_Res by Plant Acct-P29 (Fin)'!P357+'KY_Res by Plant Acct-P29 (PA)'!P355</f>
        <v>0</v>
      </c>
      <c r="Q357" s="52"/>
      <c r="R357" s="182">
        <f t="shared" si="28"/>
        <v>-15452.170000000007</v>
      </c>
      <c r="S357" s="7"/>
      <c r="T357" s="83"/>
      <c r="U357" s="7"/>
    </row>
    <row r="358" spans="1:21">
      <c r="A358" t="s">
        <v>632</v>
      </c>
      <c r="B358" s="52">
        <f>+'KY_Res by Plant Acct-P29 (Fin)'!B358+'KY_Res by Plant Acct-P29 (PA)'!B356</f>
        <v>8013.9500000004191</v>
      </c>
      <c r="C358" s="52"/>
      <c r="D358" s="52">
        <f>+'KY_Res by Plant Acct-P29 (Fin)'!D358+'KY_Res by Plant Acct-P29 (PA)'!D356</f>
        <v>-50565.279999999999</v>
      </c>
      <c r="E358" s="52"/>
      <c r="F358" s="52">
        <f>+'KY_Res by Plant Acct-P29 (Fin)'!F358+'KY_Res by Plant Acct-P29 (PA)'!F356</f>
        <v>0</v>
      </c>
      <c r="G358" s="52"/>
      <c r="H358" s="52">
        <f>+'KY_Res by Plant Acct-P29 (Fin)'!H358+'KY_Res by Plant Acct-P29 (PA)'!H356</f>
        <v>0</v>
      </c>
      <c r="I358" s="52"/>
      <c r="J358" s="52">
        <f>+'KY_Res by Plant Acct-P29 (Fin)'!J358+'KY_Res by Plant Acct-P29 (PA)'!J356</f>
        <v>0</v>
      </c>
      <c r="K358" s="52"/>
      <c r="L358" s="52">
        <f>+'KY_Res by Plant Acct-P29 (Fin)'!L358+'KY_Res by Plant Acct-P29 (PA)'!L356</f>
        <v>0</v>
      </c>
      <c r="M358" s="52"/>
      <c r="N358" s="52">
        <f>+'KY_Res by Plant Acct-P29 (Fin)'!N358+'KY_Res by Plant Acct-P29 (PA)'!N356</f>
        <v>0</v>
      </c>
      <c r="O358" s="52"/>
      <c r="P358" s="52">
        <f>+'KY_Res by Plant Acct-P29 (Fin)'!P358+'KY_Res by Plant Acct-P29 (PA)'!P356</f>
        <v>0</v>
      </c>
      <c r="Q358" s="52"/>
      <c r="R358" s="182">
        <f t="shared" si="28"/>
        <v>-42551.32999999958</v>
      </c>
      <c r="S358" s="7"/>
      <c r="T358" s="83"/>
      <c r="U358" s="7"/>
    </row>
    <row r="359" spans="1:21">
      <c r="A359" t="s">
        <v>633</v>
      </c>
      <c r="B359" s="52">
        <f>+'KY_Res by Plant Acct-P29 (Fin)'!B359+'KY_Res by Plant Acct-P29 (PA)'!B357</f>
        <v>6890.71</v>
      </c>
      <c r="C359" s="52"/>
      <c r="D359" s="52">
        <f>+'KY_Res by Plant Acct-P29 (Fin)'!D359+'KY_Res by Plant Acct-P29 (PA)'!D357</f>
        <v>0</v>
      </c>
      <c r="E359" s="52"/>
      <c r="F359" s="52">
        <f>+'KY_Res by Plant Acct-P29 (Fin)'!F359+'KY_Res by Plant Acct-P29 (PA)'!F357</f>
        <v>0</v>
      </c>
      <c r="G359" s="52"/>
      <c r="H359" s="52">
        <f>+'KY_Res by Plant Acct-P29 (Fin)'!H359+'KY_Res by Plant Acct-P29 (PA)'!H357</f>
        <v>0</v>
      </c>
      <c r="I359" s="52"/>
      <c r="J359" s="52">
        <f>+'KY_Res by Plant Acct-P29 (Fin)'!J359+'KY_Res by Plant Acct-P29 (PA)'!J357</f>
        <v>0</v>
      </c>
      <c r="K359" s="52"/>
      <c r="L359" s="52">
        <f>+'KY_Res by Plant Acct-P29 (Fin)'!L359+'KY_Res by Plant Acct-P29 (PA)'!L357</f>
        <v>0</v>
      </c>
      <c r="M359" s="52"/>
      <c r="N359" s="52">
        <f>+'KY_Res by Plant Acct-P29 (Fin)'!N359+'KY_Res by Plant Acct-P29 (PA)'!N357</f>
        <v>0</v>
      </c>
      <c r="O359" s="52"/>
      <c r="P359" s="52">
        <f>+'KY_Res by Plant Acct-P29 (Fin)'!P359+'KY_Res by Plant Acct-P29 (PA)'!P357</f>
        <v>0</v>
      </c>
      <c r="Q359" s="52"/>
      <c r="R359" s="182">
        <f t="shared" si="28"/>
        <v>6890.71</v>
      </c>
      <c r="S359" s="71"/>
      <c r="T359" s="83"/>
      <c r="U359" s="7"/>
    </row>
    <row r="360" spans="1:21">
      <c r="A360" t="s">
        <v>634</v>
      </c>
      <c r="B360" s="52">
        <f>+'KY_Res by Plant Acct-P29 (Fin)'!B360+'KY_Res by Plant Acct-P29 (PA)'!B358</f>
        <v>-62637.759999999544</v>
      </c>
      <c r="C360" s="52"/>
      <c r="D360" s="52">
        <f>+'KY_Res by Plant Acct-P29 (Fin)'!D360+'KY_Res by Plant Acct-P29 (PA)'!D358</f>
        <v>-17432.47</v>
      </c>
      <c r="E360" s="52"/>
      <c r="F360" s="52">
        <f>+'KY_Res by Plant Acct-P29 (Fin)'!F360+'KY_Res by Plant Acct-P29 (PA)'!F358</f>
        <v>0</v>
      </c>
      <c r="G360" s="52"/>
      <c r="H360" s="52">
        <f>+'KY_Res by Plant Acct-P29 (Fin)'!H360+'KY_Res by Plant Acct-P29 (PA)'!H358</f>
        <v>0</v>
      </c>
      <c r="I360" s="52"/>
      <c r="J360" s="52">
        <f>+'KY_Res by Plant Acct-P29 (Fin)'!J360+'KY_Res by Plant Acct-P29 (PA)'!J358</f>
        <v>0</v>
      </c>
      <c r="K360" s="52"/>
      <c r="L360" s="52">
        <f>+'KY_Res by Plant Acct-P29 (Fin)'!L360+'KY_Res by Plant Acct-P29 (PA)'!L358</f>
        <v>0</v>
      </c>
      <c r="M360" s="52"/>
      <c r="N360" s="52">
        <f>+'KY_Res by Plant Acct-P29 (Fin)'!N360+'KY_Res by Plant Acct-P29 (PA)'!N358</f>
        <v>0</v>
      </c>
      <c r="O360" s="52"/>
      <c r="P360" s="52">
        <f>+'KY_Res by Plant Acct-P29 (Fin)'!P360+'KY_Res by Plant Acct-P29 (PA)'!P358</f>
        <v>0</v>
      </c>
      <c r="Q360" s="52"/>
      <c r="R360" s="182">
        <f t="shared" si="28"/>
        <v>-80070.229999999545</v>
      </c>
      <c r="S360" s="71"/>
      <c r="T360" s="83"/>
      <c r="U360" s="7"/>
    </row>
    <row r="361" spans="1:21">
      <c r="A361" t="s">
        <v>635</v>
      </c>
      <c r="B361" s="67">
        <f>+'KY_Res by Plant Acct-P29 (Fin)'!B361+'KY_Res by Plant Acct-P29 (PA)'!B359</f>
        <v>-1093.3399999999965</v>
      </c>
      <c r="C361" s="68"/>
      <c r="D361" s="67">
        <f>+'KY_Res by Plant Acct-P29 (Fin)'!D361+'KY_Res by Plant Acct-P29 (PA)'!D359</f>
        <v>-1195.56</v>
      </c>
      <c r="E361" s="68"/>
      <c r="F361" s="67">
        <f>+'KY_Res by Plant Acct-P29 (Fin)'!F361+'KY_Res by Plant Acct-P29 (PA)'!F359</f>
        <v>0</v>
      </c>
      <c r="G361" s="68"/>
      <c r="H361" s="67">
        <f>+'KY_Res by Plant Acct-P29 (Fin)'!H361+'KY_Res by Plant Acct-P29 (PA)'!H359</f>
        <v>0</v>
      </c>
      <c r="I361" s="68"/>
      <c r="J361" s="67">
        <f>+'KY_Res by Plant Acct-P29 (Fin)'!J361+'KY_Res by Plant Acct-P29 (PA)'!J359</f>
        <v>0</v>
      </c>
      <c r="K361" s="68"/>
      <c r="L361" s="67">
        <f>+'KY_Res by Plant Acct-P29 (Fin)'!L361+'KY_Res by Plant Acct-P29 (PA)'!L359</f>
        <v>0</v>
      </c>
      <c r="M361" s="68"/>
      <c r="N361" s="67">
        <f>+'KY_Res by Plant Acct-P29 (Fin)'!N361+'KY_Res by Plant Acct-P29 (PA)'!N359</f>
        <v>0</v>
      </c>
      <c r="O361" s="68"/>
      <c r="P361" s="67">
        <f>+'KY_Res by Plant Acct-P29 (Fin)'!P361+'KY_Res by Plant Acct-P29 (PA)'!P359</f>
        <v>0</v>
      </c>
      <c r="Q361" s="68"/>
      <c r="R361" s="67">
        <f t="shared" si="28"/>
        <v>-2288.8999999999965</v>
      </c>
      <c r="S361" s="185"/>
      <c r="T361" s="83"/>
      <c r="U361" s="7"/>
    </row>
    <row r="362" spans="1:21">
      <c r="B362" s="52">
        <f>SUM(B356:B361)</f>
        <v>-101726.04999999941</v>
      </c>
      <c r="C362" s="52"/>
      <c r="D362" s="52">
        <f>SUM(D356:D361)</f>
        <v>-92481.41</v>
      </c>
      <c r="E362" s="52"/>
      <c r="F362" s="52">
        <f>SUM(F356:F361)</f>
        <v>0</v>
      </c>
      <c r="G362" s="52"/>
      <c r="H362" s="52">
        <f>SUM(H356:H361)</f>
        <v>0</v>
      </c>
      <c r="I362" s="52"/>
      <c r="J362" s="52">
        <f>SUM(J356:J361)</f>
        <v>0</v>
      </c>
      <c r="K362" s="52"/>
      <c r="L362" s="52">
        <f>SUM(L356:L361)</f>
        <v>0</v>
      </c>
      <c r="M362" s="52"/>
      <c r="N362" s="52">
        <f>SUM(N356:N361)</f>
        <v>0</v>
      </c>
      <c r="O362" s="52"/>
      <c r="P362" s="52">
        <f>SUM(P356:P361)</f>
        <v>0</v>
      </c>
      <c r="Q362" s="52"/>
      <c r="R362" s="52">
        <f>SUM(R356:R361)</f>
        <v>-194207.45999999941</v>
      </c>
      <c r="S362" s="7"/>
      <c r="T362" s="7"/>
      <c r="U362" s="7"/>
    </row>
    <row r="365" spans="1:21">
      <c r="A365" s="3" t="s">
        <v>124</v>
      </c>
      <c r="B365" s="52"/>
      <c r="C365" s="52"/>
      <c r="D365" s="52"/>
      <c r="E365" s="52"/>
      <c r="F365" s="52"/>
      <c r="G365" s="52"/>
      <c r="H365" s="52"/>
      <c r="I365" s="52"/>
      <c r="J365" s="52"/>
      <c r="K365" s="52"/>
      <c r="L365" s="52"/>
      <c r="M365" s="52"/>
      <c r="N365" s="52"/>
      <c r="O365" s="52"/>
      <c r="P365" s="52"/>
      <c r="Q365" s="52"/>
      <c r="R365" s="52"/>
      <c r="S365" s="7"/>
      <c r="T365" s="7"/>
      <c r="U365" s="7"/>
    </row>
    <row r="366" spans="1:21">
      <c r="A366" t="s">
        <v>637</v>
      </c>
      <c r="B366" s="52">
        <f>+'KY_Res by Plant Acct-P29 (Fin)'!B366+'KY_Res by Plant Acct-P29 (PA)'!B364</f>
        <v>0</v>
      </c>
      <c r="C366" s="52"/>
      <c r="D366" s="52">
        <f>+'KY_Res by Plant Acct-P29 (Fin)'!D366+'KY_Res by Plant Acct-P29 (PA)'!D364</f>
        <v>0</v>
      </c>
      <c r="E366" s="52"/>
      <c r="F366" s="52">
        <f>+'KY_Res by Plant Acct-P29 (Fin)'!F366+'KY_Res by Plant Acct-P29 (PA)'!F364</f>
        <v>0</v>
      </c>
      <c r="G366" s="52"/>
      <c r="H366" s="52">
        <f>+'KY_Res by Plant Acct-P29 (Fin)'!H366+'KY_Res by Plant Acct-P29 (PA)'!H364</f>
        <v>0</v>
      </c>
      <c r="I366" s="52"/>
      <c r="J366" s="52">
        <f>+'KY_Res by Plant Acct-P29 (Fin)'!J366+'KY_Res by Plant Acct-P29 (PA)'!J364</f>
        <v>0</v>
      </c>
      <c r="K366" s="52"/>
      <c r="L366" s="52">
        <f>+'KY_Res by Plant Acct-P29 (Fin)'!L366+'KY_Res by Plant Acct-P29 (PA)'!L364</f>
        <v>0</v>
      </c>
      <c r="M366" s="52"/>
      <c r="N366" s="52">
        <f>+'KY_Res by Plant Acct-P29 (Fin)'!N366+'KY_Res by Plant Acct-P29 (PA)'!N364</f>
        <v>0</v>
      </c>
      <c r="O366" s="52"/>
      <c r="P366" s="52">
        <f>+'KY_Res by Plant Acct-P29 (Fin)'!P366+'KY_Res by Plant Acct-P29 (PA)'!P364</f>
        <v>0</v>
      </c>
      <c r="Q366" s="52"/>
      <c r="R366" s="182">
        <f t="shared" ref="R366:R383" si="29">SUM(B366:P366)</f>
        <v>0</v>
      </c>
      <c r="S366" s="7"/>
      <c r="T366" s="7"/>
      <c r="U366" s="7"/>
    </row>
    <row r="367" spans="1:21">
      <c r="A367" t="s">
        <v>645</v>
      </c>
      <c r="B367" s="52">
        <f>+'KY_Res by Plant Acct-P29 (Fin)'!B367+'KY_Res by Plant Acct-P29 (PA)'!B365</f>
        <v>0</v>
      </c>
      <c r="C367" s="52"/>
      <c r="D367" s="52">
        <f>+'KY_Res by Plant Acct-P29 (Fin)'!D367+'KY_Res by Plant Acct-P29 (PA)'!D365</f>
        <v>0</v>
      </c>
      <c r="E367" s="52"/>
      <c r="F367" s="52">
        <f>+'KY_Res by Plant Acct-P29 (Fin)'!F367+'KY_Res by Plant Acct-P29 (PA)'!F365</f>
        <v>0</v>
      </c>
      <c r="G367" s="52"/>
      <c r="H367" s="52">
        <f>+'KY_Res by Plant Acct-P29 (Fin)'!H367+'KY_Res by Plant Acct-P29 (PA)'!H365</f>
        <v>0</v>
      </c>
      <c r="I367" s="52"/>
      <c r="J367" s="52">
        <f>+'KY_Res by Plant Acct-P29 (Fin)'!J367+'KY_Res by Plant Acct-P29 (PA)'!J365</f>
        <v>0</v>
      </c>
      <c r="K367" s="52"/>
      <c r="L367" s="52">
        <f>+'KY_Res by Plant Acct-P29 (Fin)'!L367+'KY_Res by Plant Acct-P29 (PA)'!L365</f>
        <v>0</v>
      </c>
      <c r="M367" s="52"/>
      <c r="N367" s="52">
        <f>+'KY_Res by Plant Acct-P29 (Fin)'!N367+'KY_Res by Plant Acct-P29 (PA)'!N365</f>
        <v>0</v>
      </c>
      <c r="O367" s="52"/>
      <c r="P367" s="52">
        <f>+'KY_Res by Plant Acct-P29 (Fin)'!P367+'KY_Res by Plant Acct-P29 (PA)'!P365</f>
        <v>0</v>
      </c>
      <c r="Q367" s="52"/>
      <c r="R367" s="182">
        <f t="shared" si="29"/>
        <v>0</v>
      </c>
      <c r="S367" s="7"/>
      <c r="T367" s="7"/>
      <c r="U367" s="7"/>
    </row>
    <row r="368" spans="1:21">
      <c r="A368" t="s">
        <v>638</v>
      </c>
      <c r="B368" s="52">
        <f>+'KY_Res by Plant Acct-P29 (Fin)'!B368+'KY_Res by Plant Acct-P29 (PA)'!B366</f>
        <v>-123367.50999999989</v>
      </c>
      <c r="C368" s="52"/>
      <c r="D368" s="52">
        <f>+'KY_Res by Plant Acct-P29 (Fin)'!D368+'KY_Res by Plant Acct-P29 (PA)'!D366</f>
        <v>-18481.059999999998</v>
      </c>
      <c r="E368" s="52"/>
      <c r="F368" s="139">
        <f>+'KY_Res by Plant Acct-P29 (Fin)'!F368+'KY_Res by Plant Acct-P29 (PA)'!F366</f>
        <v>0</v>
      </c>
      <c r="G368" s="139"/>
      <c r="H368" s="139">
        <f>+'KY_Res by Plant Acct-P29 (Fin)'!H368+'KY_Res by Plant Acct-P29 (PA)'!H366</f>
        <v>0</v>
      </c>
      <c r="I368" s="139"/>
      <c r="J368" s="139">
        <f>+'KY_Res by Plant Acct-P29 (Fin)'!J368+'KY_Res by Plant Acct-P29 (PA)'!J366</f>
        <v>0</v>
      </c>
      <c r="K368" s="139"/>
      <c r="L368" s="139">
        <f>+'KY_Res by Plant Acct-P29 (Fin)'!L368+'KY_Res by Plant Acct-P29 (PA)'!L366</f>
        <v>0</v>
      </c>
      <c r="M368" s="139"/>
      <c r="N368" s="139">
        <f>+'KY_Res by Plant Acct-P29 (Fin)'!N368+'KY_Res by Plant Acct-P29 (PA)'!N366</f>
        <v>0</v>
      </c>
      <c r="O368" s="52"/>
      <c r="P368" s="52">
        <f>+'KY_Res by Plant Acct-P29 (Fin)'!P368+'KY_Res by Plant Acct-P29 (PA)'!P366</f>
        <v>0</v>
      </c>
      <c r="Q368" s="52"/>
      <c r="R368" s="182">
        <f t="shared" si="29"/>
        <v>-141848.56999999989</v>
      </c>
      <c r="S368" s="7"/>
      <c r="T368" s="7"/>
      <c r="U368" s="7"/>
    </row>
    <row r="369" spans="1:21">
      <c r="A369" t="s">
        <v>639</v>
      </c>
      <c r="B369" s="52">
        <f>+'KY_Res by Plant Acct-P29 (Fin)'!B369+'KY_Res by Plant Acct-P29 (PA)'!B367</f>
        <v>-1618.92</v>
      </c>
      <c r="C369" s="52"/>
      <c r="D369" s="52">
        <f>+'KY_Res by Plant Acct-P29 (Fin)'!D369+'KY_Res by Plant Acct-P29 (PA)'!D367</f>
        <v>0</v>
      </c>
      <c r="E369" s="52"/>
      <c r="F369" s="139">
        <f>+'KY_Res by Plant Acct-P29 (Fin)'!F369+'KY_Res by Plant Acct-P29 (PA)'!F367</f>
        <v>0</v>
      </c>
      <c r="G369" s="139"/>
      <c r="H369" s="139">
        <f>+'KY_Res by Plant Acct-P29 (Fin)'!H369+'KY_Res by Plant Acct-P29 (PA)'!H367</f>
        <v>0</v>
      </c>
      <c r="I369" s="139"/>
      <c r="J369" s="139">
        <f>+'KY_Res by Plant Acct-P29 (Fin)'!J369+'KY_Res by Plant Acct-P29 (PA)'!J367</f>
        <v>0</v>
      </c>
      <c r="K369" s="139"/>
      <c r="L369" s="139">
        <f>+'KY_Res by Plant Acct-P29 (Fin)'!L369+'KY_Res by Plant Acct-P29 (PA)'!L367</f>
        <v>0</v>
      </c>
      <c r="M369" s="139"/>
      <c r="N369" s="139">
        <f>+'KY_Res by Plant Acct-P29 (Fin)'!N369+'KY_Res by Plant Acct-P29 (PA)'!N367</f>
        <v>0</v>
      </c>
      <c r="O369" s="52"/>
      <c r="P369" s="52">
        <f>+'KY_Res by Plant Acct-P29 (Fin)'!P369+'KY_Res by Plant Acct-P29 (PA)'!P367</f>
        <v>0</v>
      </c>
      <c r="Q369" s="52"/>
      <c r="R369" s="182">
        <f t="shared" si="29"/>
        <v>-1618.92</v>
      </c>
      <c r="S369" s="7"/>
      <c r="T369" s="7"/>
      <c r="U369" s="7"/>
    </row>
    <row r="370" spans="1:21">
      <c r="A370" t="s">
        <v>620</v>
      </c>
      <c r="B370" s="52">
        <f>+'KY_Res by Plant Acct-P29 (Fin)'!B370+'KY_Res by Plant Acct-P29 (PA)'!B368</f>
        <v>-34825.469999999972</v>
      </c>
      <c r="C370" s="52"/>
      <c r="D370" s="52">
        <f>+'KY_Res by Plant Acct-P29 (Fin)'!D370+'KY_Res by Plant Acct-P29 (PA)'!D368</f>
        <v>-4870.13</v>
      </c>
      <c r="E370" s="52"/>
      <c r="F370" s="139">
        <f>+'KY_Res by Plant Acct-P29 (Fin)'!F370+'KY_Res by Plant Acct-P29 (PA)'!F368</f>
        <v>0</v>
      </c>
      <c r="G370" s="139"/>
      <c r="H370" s="139">
        <f>+'KY_Res by Plant Acct-P29 (Fin)'!H370+'KY_Res by Plant Acct-P29 (PA)'!H368</f>
        <v>0</v>
      </c>
      <c r="I370" s="139"/>
      <c r="J370" s="139">
        <f>+'KY_Res by Plant Acct-P29 (Fin)'!J370+'KY_Res by Plant Acct-P29 (PA)'!J368</f>
        <v>0</v>
      </c>
      <c r="K370" s="139"/>
      <c r="L370" s="139">
        <f>+'KY_Res by Plant Acct-P29 (Fin)'!L370+'KY_Res by Plant Acct-P29 (PA)'!L368</f>
        <v>0</v>
      </c>
      <c r="M370" s="139"/>
      <c r="N370" s="139">
        <f>+'KY_Res by Plant Acct-P29 (Fin)'!N370+'KY_Res by Plant Acct-P29 (PA)'!N368</f>
        <v>0</v>
      </c>
      <c r="O370" s="52"/>
      <c r="P370" s="52">
        <f>+'KY_Res by Plant Acct-P29 (Fin)'!P370+'KY_Res by Plant Acct-P29 (PA)'!P368</f>
        <v>0</v>
      </c>
      <c r="Q370" s="52"/>
      <c r="R370" s="182">
        <f t="shared" si="29"/>
        <v>-39695.599999999969</v>
      </c>
      <c r="S370" s="7"/>
      <c r="T370" s="7"/>
      <c r="U370" s="7"/>
    </row>
    <row r="371" spans="1:21">
      <c r="A371" t="s">
        <v>640</v>
      </c>
      <c r="B371" s="52">
        <f>+'KY_Res by Plant Acct-P29 (Fin)'!B371+'KY_Res by Plant Acct-P29 (PA)'!B369</f>
        <v>0</v>
      </c>
      <c r="C371" s="52"/>
      <c r="D371" s="52">
        <f>+'KY_Res by Plant Acct-P29 (Fin)'!D371+'KY_Res by Plant Acct-P29 (PA)'!D369</f>
        <v>0</v>
      </c>
      <c r="E371" s="52"/>
      <c r="F371" s="139">
        <f>+'KY_Res by Plant Acct-P29 (Fin)'!F371+'KY_Res by Plant Acct-P29 (PA)'!F369</f>
        <v>0</v>
      </c>
      <c r="G371" s="139"/>
      <c r="H371" s="139">
        <f>+'KY_Res by Plant Acct-P29 (Fin)'!H371+'KY_Res by Plant Acct-P29 (PA)'!H369</f>
        <v>0</v>
      </c>
      <c r="I371" s="139"/>
      <c r="J371" s="139">
        <f>+'KY_Res by Plant Acct-P29 (Fin)'!J371+'KY_Res by Plant Acct-P29 (PA)'!J369</f>
        <v>0</v>
      </c>
      <c r="K371" s="139"/>
      <c r="L371" s="139">
        <f>+'KY_Res by Plant Acct-P29 (Fin)'!L371+'KY_Res by Plant Acct-P29 (PA)'!L369</f>
        <v>0</v>
      </c>
      <c r="M371" s="139"/>
      <c r="N371" s="139">
        <f>+'KY_Res by Plant Acct-P29 (Fin)'!N371+'KY_Res by Plant Acct-P29 (PA)'!N369</f>
        <v>0</v>
      </c>
      <c r="O371" s="52"/>
      <c r="P371" s="52">
        <f>+'KY_Res by Plant Acct-P29 (Fin)'!P371+'KY_Res by Plant Acct-P29 (PA)'!P369</f>
        <v>0</v>
      </c>
      <c r="Q371" s="52"/>
      <c r="R371" s="182">
        <f t="shared" si="29"/>
        <v>0</v>
      </c>
      <c r="S371" s="7"/>
      <c r="T371" s="7"/>
      <c r="U371" s="7"/>
    </row>
    <row r="372" spans="1:21">
      <c r="A372" t="s">
        <v>641</v>
      </c>
      <c r="B372" s="52">
        <f>+'KY_Res by Plant Acct-P29 (Fin)'!B372+'KY_Res by Plant Acct-P29 (PA)'!B370</f>
        <v>3.0000000027939677E-2</v>
      </c>
      <c r="C372" s="52"/>
      <c r="D372" s="52">
        <f>+'KY_Res by Plant Acct-P29 (Fin)'!D372+'KY_Res by Plant Acct-P29 (PA)'!D370</f>
        <v>0</v>
      </c>
      <c r="E372" s="52"/>
      <c r="F372" s="139">
        <f>+'KY_Res by Plant Acct-P29 (Fin)'!F372+'KY_Res by Plant Acct-P29 (PA)'!F370</f>
        <v>0</v>
      </c>
      <c r="G372" s="139"/>
      <c r="H372" s="139">
        <f>+'KY_Res by Plant Acct-P29 (Fin)'!H372+'KY_Res by Plant Acct-P29 (PA)'!H370</f>
        <v>0</v>
      </c>
      <c r="I372" s="139"/>
      <c r="J372" s="139">
        <f>+'KY_Res by Plant Acct-P29 (Fin)'!J372+'KY_Res by Plant Acct-P29 (PA)'!J370</f>
        <v>0</v>
      </c>
      <c r="K372" s="139"/>
      <c r="L372" s="139">
        <f>+'KY_Res by Plant Acct-P29 (Fin)'!L372+'KY_Res by Plant Acct-P29 (PA)'!L370</f>
        <v>0</v>
      </c>
      <c r="M372" s="139"/>
      <c r="N372" s="139">
        <f>+'KY_Res by Plant Acct-P29 (Fin)'!N372+'KY_Res by Plant Acct-P29 (PA)'!N370</f>
        <v>0</v>
      </c>
      <c r="O372" s="52"/>
      <c r="P372" s="52">
        <f>+'KY_Res by Plant Acct-P29 (Fin)'!P372+'KY_Res by Plant Acct-P29 (PA)'!P370</f>
        <v>0</v>
      </c>
      <c r="Q372" s="52"/>
      <c r="R372" s="182">
        <f t="shared" si="29"/>
        <v>3.0000000027939677E-2</v>
      </c>
      <c r="S372" s="7"/>
      <c r="T372" s="7"/>
      <c r="U372" s="7"/>
    </row>
    <row r="373" spans="1:21">
      <c r="A373" t="s">
        <v>642</v>
      </c>
      <c r="B373" s="52">
        <f>+'KY_Res by Plant Acct-P29 (Fin)'!B373+'KY_Res by Plant Acct-P29 (PA)'!B371</f>
        <v>-103564.58999999892</v>
      </c>
      <c r="C373" s="52"/>
      <c r="D373" s="52">
        <f>+'KY_Res by Plant Acct-P29 (Fin)'!D373+'KY_Res by Plant Acct-P29 (PA)'!D371</f>
        <v>-22192.38</v>
      </c>
      <c r="E373" s="52"/>
      <c r="F373" s="139">
        <f>+'KY_Res by Plant Acct-P29 (Fin)'!F373+'KY_Res by Plant Acct-P29 (PA)'!F371</f>
        <v>0</v>
      </c>
      <c r="G373" s="139"/>
      <c r="H373" s="139">
        <f>+'KY_Res by Plant Acct-P29 (Fin)'!H373+'KY_Res by Plant Acct-P29 (PA)'!H371</f>
        <v>0</v>
      </c>
      <c r="I373" s="139"/>
      <c r="J373" s="139">
        <f>+'KY_Res by Plant Acct-P29 (Fin)'!J373+'KY_Res by Plant Acct-P29 (PA)'!J371</f>
        <v>0</v>
      </c>
      <c r="K373" s="139"/>
      <c r="L373" s="139">
        <f>+'KY_Res by Plant Acct-P29 (Fin)'!L373+'KY_Res by Plant Acct-P29 (PA)'!L371</f>
        <v>0</v>
      </c>
      <c r="M373" s="139"/>
      <c r="N373" s="139">
        <f>+'KY_Res by Plant Acct-P29 (Fin)'!N373+'KY_Res by Plant Acct-P29 (PA)'!N371</f>
        <v>0</v>
      </c>
      <c r="O373" s="52"/>
      <c r="P373" s="52">
        <f>+'KY_Res by Plant Acct-P29 (Fin)'!P373+'KY_Res by Plant Acct-P29 (PA)'!P371</f>
        <v>0</v>
      </c>
      <c r="Q373" s="52"/>
      <c r="R373" s="182">
        <f t="shared" si="29"/>
        <v>-125756.96999999892</v>
      </c>
      <c r="S373" s="7"/>
      <c r="T373" s="7"/>
      <c r="U373" s="7"/>
    </row>
    <row r="374" spans="1:21">
      <c r="A374" t="s">
        <v>622</v>
      </c>
      <c r="B374" s="52">
        <f>+'KY_Res by Plant Acct-P29 (Fin)'!B374+'KY_Res by Plant Acct-P29 (PA)'!B372</f>
        <v>-55945.189999999944</v>
      </c>
      <c r="C374" s="52"/>
      <c r="D374" s="52">
        <f>+'KY_Res by Plant Acct-P29 (Fin)'!D374+'KY_Res by Plant Acct-P29 (PA)'!D372</f>
        <v>-1871.5500000000002</v>
      </c>
      <c r="E374" s="52"/>
      <c r="F374" s="139">
        <f>+'KY_Res by Plant Acct-P29 (Fin)'!F374+'KY_Res by Plant Acct-P29 (PA)'!F372</f>
        <v>0</v>
      </c>
      <c r="G374" s="139"/>
      <c r="H374" s="139">
        <f>+'KY_Res by Plant Acct-P29 (Fin)'!H374+'KY_Res by Plant Acct-P29 (PA)'!H372</f>
        <v>0</v>
      </c>
      <c r="I374" s="139"/>
      <c r="J374" s="139">
        <f>+'KY_Res by Plant Acct-P29 (Fin)'!J374+'KY_Res by Plant Acct-P29 (PA)'!J372</f>
        <v>0</v>
      </c>
      <c r="K374" s="139"/>
      <c r="L374" s="139">
        <f>+'KY_Res by Plant Acct-P29 (Fin)'!L374+'KY_Res by Plant Acct-P29 (PA)'!L372</f>
        <v>0</v>
      </c>
      <c r="M374" s="139"/>
      <c r="N374" s="139">
        <f>+'KY_Res by Plant Acct-P29 (Fin)'!N374+'KY_Res by Plant Acct-P29 (PA)'!N372</f>
        <v>0</v>
      </c>
      <c r="O374" s="52"/>
      <c r="P374" s="52">
        <f>+'KY_Res by Plant Acct-P29 (Fin)'!P374+'KY_Res by Plant Acct-P29 (PA)'!P372</f>
        <v>0</v>
      </c>
      <c r="Q374" s="52"/>
      <c r="R374" s="182">
        <f t="shared" si="29"/>
        <v>-57816.739999999947</v>
      </c>
      <c r="S374" s="7"/>
      <c r="T374" s="7"/>
      <c r="U374" s="7"/>
    </row>
    <row r="375" spans="1:21">
      <c r="A375" t="s">
        <v>1000</v>
      </c>
      <c r="B375" s="52">
        <f>+'KY_Res by Plant Acct-P29 (Fin)'!B375+'KY_Res by Plant Acct-P29 (PA)'!B373</f>
        <v>520673.84000000008</v>
      </c>
      <c r="C375" s="52"/>
      <c r="D375" s="52">
        <f>+'KY_Res by Plant Acct-P29 (Fin)'!D375+'KY_Res by Plant Acct-P29 (PA)'!D373</f>
        <v>-26619.199999999997</v>
      </c>
      <c r="E375" s="52"/>
      <c r="F375" s="139">
        <f>+'KY_Res by Plant Acct-P29 (Fin)'!F375+'KY_Res by Plant Acct-P29 (PA)'!F373</f>
        <v>0</v>
      </c>
      <c r="G375" s="139"/>
      <c r="H375" s="142">
        <f>+'KY_Res by Plant Acct-P29 (Fin)'!H375+'KY_Res by Plant Acct-P29 (PA)'!H373</f>
        <v>0</v>
      </c>
      <c r="I375" s="139"/>
      <c r="J375" s="139">
        <f>+'KY_Res by Plant Acct-P29 (Fin)'!J375+'KY_Res by Plant Acct-P29 (PA)'!J373</f>
        <v>0</v>
      </c>
      <c r="K375" s="139"/>
      <c r="L375" s="139">
        <f>+'KY_Res by Plant Acct-P29 (Fin)'!L375+'KY_Res by Plant Acct-P29 (PA)'!L373</f>
        <v>0</v>
      </c>
      <c r="M375" s="139"/>
      <c r="N375" s="139">
        <f>+'KY_Res by Plant Acct-P29 (Fin)'!N375+'KY_Res by Plant Acct-P29 (PA)'!N373</f>
        <v>0</v>
      </c>
      <c r="O375" s="52"/>
      <c r="P375" s="52">
        <f>+'KY_Res by Plant Acct-P29 (Fin)'!P375+'KY_Res by Plant Acct-P29 (PA)'!P373</f>
        <v>0</v>
      </c>
      <c r="Q375" s="52"/>
      <c r="R375" s="182">
        <f t="shared" si="29"/>
        <v>494054.64000000007</v>
      </c>
      <c r="S375" s="7"/>
      <c r="T375" s="7"/>
      <c r="U375" s="7"/>
    </row>
    <row r="376" spans="1:21">
      <c r="A376" t="s">
        <v>1090</v>
      </c>
      <c r="B376" s="52">
        <f>+'KY_Res by Plant Acct-P29 (Fin)'!B376+'KY_Res by Plant Acct-P29 (PA)'!B374</f>
        <v>1228808.94</v>
      </c>
      <c r="C376" s="52"/>
      <c r="D376" s="52">
        <f>+'KY_Res by Plant Acct-P29 (Fin)'!D376+'KY_Res by Plant Acct-P29 (PA)'!D374</f>
        <v>-46877.54</v>
      </c>
      <c r="E376" s="52"/>
      <c r="F376" s="139">
        <f>+'KY_Res by Plant Acct-P29 (Fin)'!F376+'KY_Res by Plant Acct-P29 (PA)'!F374</f>
        <v>0</v>
      </c>
      <c r="G376" s="139"/>
      <c r="H376" s="142">
        <f>+'KY_Res by Plant Acct-P29 (Fin)'!H376+'KY_Res by Plant Acct-P29 (PA)'!H374</f>
        <v>0</v>
      </c>
      <c r="I376" s="139"/>
      <c r="J376" s="139">
        <f>+'KY_Res by Plant Acct-P29 (Fin)'!J376+'KY_Res by Plant Acct-P29 (PA)'!J374</f>
        <v>0</v>
      </c>
      <c r="K376" s="139"/>
      <c r="L376" s="139">
        <f>+'KY_Res by Plant Acct-P29 (Fin)'!L376+'KY_Res by Plant Acct-P29 (PA)'!L374</f>
        <v>0</v>
      </c>
      <c r="M376" s="139"/>
      <c r="N376" s="139">
        <f>+'KY_Res by Plant Acct-P29 (Fin)'!N376+'KY_Res by Plant Acct-P29 (PA)'!N374</f>
        <v>0</v>
      </c>
      <c r="O376" s="52"/>
      <c r="P376" s="52">
        <f>+'KY_Res by Plant Acct-P29 (Fin)'!P376+'KY_Res by Plant Acct-P29 (PA)'!P374</f>
        <v>0</v>
      </c>
      <c r="Q376" s="52"/>
      <c r="R376" s="182">
        <f t="shared" si="29"/>
        <v>1181931.3999999999</v>
      </c>
      <c r="S376" s="7"/>
      <c r="T376" s="7"/>
      <c r="U376" s="7"/>
    </row>
    <row r="377" spans="1:21">
      <c r="A377" t="s">
        <v>1002</v>
      </c>
      <c r="B377" s="52">
        <f>+'KY_Res by Plant Acct-P29 (Fin)'!B377+'KY_Res by Plant Acct-P29 (PA)'!B375</f>
        <v>-644532.35999999847</v>
      </c>
      <c r="C377" s="52"/>
      <c r="D377" s="52">
        <f>+'KY_Res by Plant Acct-P29 (Fin)'!D377+'KY_Res by Plant Acct-P29 (PA)'!D375</f>
        <v>-56357.979999999996</v>
      </c>
      <c r="E377" s="52"/>
      <c r="F377" s="139">
        <f>+'KY_Res by Plant Acct-P29 (Fin)'!F377+'KY_Res by Plant Acct-P29 (PA)'!F375</f>
        <v>3971.8799999999992</v>
      </c>
      <c r="G377" s="139"/>
      <c r="H377" s="139">
        <f>+'KY_Res by Plant Acct-P29 (Fin)'!H377+'KY_Res by Plant Acct-P29 (PA)'!H375</f>
        <v>0</v>
      </c>
      <c r="I377" s="139"/>
      <c r="J377" s="139">
        <f>+'KY_Res by Plant Acct-P29 (Fin)'!J377+'KY_Res by Plant Acct-P29 (PA)'!J375</f>
        <v>0</v>
      </c>
      <c r="K377" s="139"/>
      <c r="L377" s="139">
        <f>+'KY_Res by Plant Acct-P29 (Fin)'!L377+'KY_Res by Plant Acct-P29 (PA)'!L375</f>
        <v>0</v>
      </c>
      <c r="M377" s="139"/>
      <c r="N377" s="139">
        <f>+'KY_Res by Plant Acct-P29 (Fin)'!N377+'KY_Res by Plant Acct-P29 (PA)'!N375</f>
        <v>0</v>
      </c>
      <c r="O377" s="52"/>
      <c r="P377" s="52">
        <f>+'KY_Res by Plant Acct-P29 (Fin)'!P377+'KY_Res by Plant Acct-P29 (PA)'!P375</f>
        <v>0</v>
      </c>
      <c r="Q377" s="52"/>
      <c r="R377" s="182">
        <f t="shared" si="29"/>
        <v>-696918.45999999845</v>
      </c>
      <c r="S377" s="7"/>
      <c r="T377" s="7"/>
      <c r="U377" s="7"/>
    </row>
    <row r="378" spans="1:21">
      <c r="A378" t="s">
        <v>643</v>
      </c>
      <c r="B378" s="52">
        <f>+'KY_Res by Plant Acct-P29 (Fin)'!B378+'KY_Res by Plant Acct-P29 (PA)'!B376</f>
        <v>869915.53999999911</v>
      </c>
      <c r="C378" s="52"/>
      <c r="D378" s="52">
        <f>+'KY_Res by Plant Acct-P29 (Fin)'!D378+'KY_Res by Plant Acct-P29 (PA)'!D376</f>
        <v>-53843.96</v>
      </c>
      <c r="E378" s="52"/>
      <c r="F378" s="139">
        <f>+'KY_Res by Plant Acct-P29 (Fin)'!F378+'KY_Res by Plant Acct-P29 (PA)'!F376</f>
        <v>12423.730000000001</v>
      </c>
      <c r="G378" s="139"/>
      <c r="H378" s="139">
        <f>+'KY_Res by Plant Acct-P29 (Fin)'!H378+'KY_Res by Plant Acct-P29 (PA)'!H376</f>
        <v>1163.9799999999998</v>
      </c>
      <c r="I378" s="139"/>
      <c r="J378" s="139">
        <f>+'KY_Res by Plant Acct-P29 (Fin)'!J378+'KY_Res by Plant Acct-P29 (PA)'!J376</f>
        <v>0</v>
      </c>
      <c r="K378" s="139"/>
      <c r="L378" s="139">
        <f>+'KY_Res by Plant Acct-P29 (Fin)'!L378+'KY_Res by Plant Acct-P29 (PA)'!L376</f>
        <v>0</v>
      </c>
      <c r="M378" s="139"/>
      <c r="N378" s="139">
        <f>+'KY_Res by Plant Acct-P29 (Fin)'!N378+'KY_Res by Plant Acct-P29 (PA)'!N376</f>
        <v>0</v>
      </c>
      <c r="O378" s="52"/>
      <c r="P378" s="52">
        <f>+'KY_Res by Plant Acct-P29 (Fin)'!P378+'KY_Res by Plant Acct-P29 (PA)'!P376</f>
        <v>0</v>
      </c>
      <c r="Q378" s="52"/>
      <c r="R378" s="182">
        <f t="shared" si="29"/>
        <v>829659.28999999911</v>
      </c>
      <c r="S378" s="7"/>
      <c r="T378" s="7"/>
      <c r="U378" s="7"/>
    </row>
    <row r="379" spans="1:21">
      <c r="A379" t="s">
        <v>644</v>
      </c>
      <c r="B379" s="52">
        <f>+'KY_Res by Plant Acct-P29 (Fin)'!B379+'KY_Res by Plant Acct-P29 (PA)'!B377</f>
        <v>-2786.7800000000279</v>
      </c>
      <c r="C379" s="52"/>
      <c r="D379" s="52">
        <f>+'KY_Res by Plant Acct-P29 (Fin)'!D379+'KY_Res by Plant Acct-P29 (PA)'!D377</f>
        <v>-1600.8000000000002</v>
      </c>
      <c r="E379" s="52"/>
      <c r="F379" s="139">
        <f>+'KY_Res by Plant Acct-P29 (Fin)'!F379+'KY_Res by Plant Acct-P29 (PA)'!F377</f>
        <v>0</v>
      </c>
      <c r="G379" s="139"/>
      <c r="H379" s="139">
        <f>+'KY_Res by Plant Acct-P29 (Fin)'!H379+'KY_Res by Plant Acct-P29 (PA)'!H377</f>
        <v>0</v>
      </c>
      <c r="I379" s="139"/>
      <c r="J379" s="139">
        <f>+'KY_Res by Plant Acct-P29 (Fin)'!J379+'KY_Res by Plant Acct-P29 (PA)'!J377</f>
        <v>0</v>
      </c>
      <c r="K379" s="139"/>
      <c r="L379" s="139">
        <f>+'KY_Res by Plant Acct-P29 (Fin)'!L379+'KY_Res by Plant Acct-P29 (PA)'!L377</f>
        <v>0</v>
      </c>
      <c r="M379" s="139"/>
      <c r="N379" s="139">
        <f>+'KY_Res by Plant Acct-P29 (Fin)'!N379+'KY_Res by Plant Acct-P29 (PA)'!N377</f>
        <v>0</v>
      </c>
      <c r="O379" s="52"/>
      <c r="P379" s="52">
        <f>+'KY_Res by Plant Acct-P29 (Fin)'!P379+'KY_Res by Plant Acct-P29 (PA)'!P377</f>
        <v>0</v>
      </c>
      <c r="Q379" s="52"/>
      <c r="R379" s="182">
        <f t="shared" si="29"/>
        <v>-4387.5800000000281</v>
      </c>
      <c r="S379" s="7"/>
      <c r="T379" s="7"/>
      <c r="U379" s="7"/>
    </row>
    <row r="380" spans="1:21">
      <c r="A380" t="s">
        <v>646</v>
      </c>
      <c r="B380" s="52">
        <f>+'KY_Res by Plant Acct-P29 (Fin)'!B380+'KY_Res by Plant Acct-P29 (PA)'!B378</f>
        <v>-1195581.6700000009</v>
      </c>
      <c r="C380" s="52"/>
      <c r="D380" s="52">
        <f>+'KY_Res by Plant Acct-P29 (Fin)'!D380+'KY_Res by Plant Acct-P29 (PA)'!D378</f>
        <v>-59848.73</v>
      </c>
      <c r="E380" s="52"/>
      <c r="F380" s="139">
        <f>+'KY_Res by Plant Acct-P29 (Fin)'!F380+'KY_Res by Plant Acct-P29 (PA)'!F378</f>
        <v>1719.7699999999995</v>
      </c>
      <c r="G380" s="139"/>
      <c r="H380" s="139">
        <f>+'KY_Res by Plant Acct-P29 (Fin)'!H380+'KY_Res by Plant Acct-P29 (PA)'!H378</f>
        <v>-1163.9799999999998</v>
      </c>
      <c r="I380" s="139"/>
      <c r="J380" s="139">
        <f>+'KY_Res by Plant Acct-P29 (Fin)'!J380+'KY_Res by Plant Acct-P29 (PA)'!J378</f>
        <v>0</v>
      </c>
      <c r="K380" s="139"/>
      <c r="L380" s="139">
        <f>+'KY_Res by Plant Acct-P29 (Fin)'!L380+'KY_Res by Plant Acct-P29 (PA)'!L378</f>
        <v>0</v>
      </c>
      <c r="M380" s="139"/>
      <c r="N380" s="139">
        <f>+'KY_Res by Plant Acct-P29 (Fin)'!N380+'KY_Res by Plant Acct-P29 (PA)'!N378</f>
        <v>0</v>
      </c>
      <c r="O380" s="52"/>
      <c r="P380" s="52">
        <f>+'KY_Res by Plant Acct-P29 (Fin)'!P380+'KY_Res by Plant Acct-P29 (PA)'!P378</f>
        <v>0</v>
      </c>
      <c r="Q380" s="52"/>
      <c r="R380" s="182">
        <f t="shared" si="29"/>
        <v>-1254874.6100000008</v>
      </c>
      <c r="S380" s="7"/>
      <c r="T380" s="7"/>
      <c r="U380" s="7"/>
    </row>
    <row r="381" spans="1:21">
      <c r="A381" t="s">
        <v>1004</v>
      </c>
      <c r="B381" s="52">
        <f>+'KY_Res by Plant Acct-P29 (Fin)'!B381+'KY_Res by Plant Acct-P29 (PA)'!B379</f>
        <v>50427.079999999958</v>
      </c>
      <c r="C381" s="52"/>
      <c r="D381" s="52">
        <f>+'KY_Res by Plant Acct-P29 (Fin)'!D381+'KY_Res by Plant Acct-P29 (PA)'!D379</f>
        <v>-6949.7400000000007</v>
      </c>
      <c r="E381" s="52"/>
      <c r="F381" s="139">
        <f>+'KY_Res by Plant Acct-P29 (Fin)'!F381+'KY_Res by Plant Acct-P29 (PA)'!F379</f>
        <v>0</v>
      </c>
      <c r="G381" s="139"/>
      <c r="H381" s="139">
        <f>+'KY_Res by Plant Acct-P29 (Fin)'!H381+'KY_Res by Plant Acct-P29 (PA)'!H379</f>
        <v>0</v>
      </c>
      <c r="I381" s="139"/>
      <c r="J381" s="139">
        <f>+'KY_Res by Plant Acct-P29 (Fin)'!J381+'KY_Res by Plant Acct-P29 (PA)'!J379</f>
        <v>0</v>
      </c>
      <c r="K381" s="139"/>
      <c r="L381" s="139">
        <f>+'KY_Res by Plant Acct-P29 (Fin)'!L381+'KY_Res by Plant Acct-P29 (PA)'!L379</f>
        <v>0</v>
      </c>
      <c r="M381" s="139"/>
      <c r="N381" s="139">
        <f>+'KY_Res by Plant Acct-P29 (Fin)'!N381+'KY_Res by Plant Acct-P29 (PA)'!N379</f>
        <v>0</v>
      </c>
      <c r="O381" s="52"/>
      <c r="P381" s="52">
        <f>+'KY_Res by Plant Acct-P29 (Fin)'!P381+'KY_Res by Plant Acct-P29 (PA)'!P379</f>
        <v>0</v>
      </c>
      <c r="Q381" s="52"/>
      <c r="R381" s="182">
        <f t="shared" si="29"/>
        <v>43477.33999999996</v>
      </c>
      <c r="S381" s="7"/>
      <c r="T381" s="7"/>
      <c r="U381" s="7"/>
    </row>
    <row r="382" spans="1:21">
      <c r="A382" t="s">
        <v>647</v>
      </c>
      <c r="B382" s="52">
        <f>+'KY_Res by Plant Acct-P29 (Fin)'!B382+'KY_Res by Plant Acct-P29 (PA)'!B380</f>
        <v>-623.67000000000257</v>
      </c>
      <c r="C382" s="52"/>
      <c r="D382" s="52">
        <f>+'KY_Res by Plant Acct-P29 (Fin)'!D382+'KY_Res by Plant Acct-P29 (PA)'!D380</f>
        <v>-118.36</v>
      </c>
      <c r="E382" s="52"/>
      <c r="F382" s="139">
        <f>+'KY_Res by Plant Acct-P29 (Fin)'!F382+'KY_Res by Plant Acct-P29 (PA)'!F380</f>
        <v>0</v>
      </c>
      <c r="G382" s="139"/>
      <c r="H382" s="139">
        <f>+'KY_Res by Plant Acct-P29 (Fin)'!H382+'KY_Res by Plant Acct-P29 (PA)'!H380</f>
        <v>0</v>
      </c>
      <c r="I382" s="139"/>
      <c r="J382" s="139">
        <f>+'KY_Res by Plant Acct-P29 (Fin)'!J382+'KY_Res by Plant Acct-P29 (PA)'!J380</f>
        <v>0</v>
      </c>
      <c r="K382" s="139"/>
      <c r="L382" s="139">
        <f>+'KY_Res by Plant Acct-P29 (Fin)'!L382+'KY_Res by Plant Acct-P29 (PA)'!L380</f>
        <v>0</v>
      </c>
      <c r="M382" s="139"/>
      <c r="N382" s="139">
        <f>+'KY_Res by Plant Acct-P29 (Fin)'!N382+'KY_Res by Plant Acct-P29 (PA)'!N380</f>
        <v>0</v>
      </c>
      <c r="O382" s="52"/>
      <c r="P382" s="52">
        <f>+'KY_Res by Plant Acct-P29 (Fin)'!P382+'KY_Res by Plant Acct-P29 (PA)'!P380</f>
        <v>0</v>
      </c>
      <c r="Q382" s="52"/>
      <c r="R382" s="182">
        <f t="shared" si="29"/>
        <v>-742.03000000000259</v>
      </c>
      <c r="S382" s="7"/>
      <c r="T382" s="7"/>
      <c r="U382" s="7"/>
    </row>
    <row r="383" spans="1:21">
      <c r="A383" t="s">
        <v>648</v>
      </c>
      <c r="B383" s="67">
        <f>+'KY_Res by Plant Acct-P29 (Fin)'!B383+'KY_Res by Plant Acct-P29 (PA)'!B381</f>
        <v>-256927.56999999995</v>
      </c>
      <c r="C383" s="68"/>
      <c r="D383" s="67">
        <f>+'KY_Res by Plant Acct-P29 (Fin)'!D383+'KY_Res by Plant Acct-P29 (PA)'!D381</f>
        <v>-54926.98</v>
      </c>
      <c r="E383" s="52"/>
      <c r="F383" s="140">
        <f>+'KY_Res by Plant Acct-P29 (Fin)'!F383+'KY_Res by Plant Acct-P29 (PA)'!F381</f>
        <v>0</v>
      </c>
      <c r="G383" s="139"/>
      <c r="H383" s="186">
        <f>+'KY_Res by Plant Acct-P29 (Fin)'!H383+'KY_Res by Plant Acct-P29 (PA)'!H381</f>
        <v>0</v>
      </c>
      <c r="I383" s="139"/>
      <c r="J383" s="148">
        <f>+'KY_Res by Plant Acct-P29 (Fin)'!J383+'KY_Res by Plant Acct-P29 (PA)'!J381</f>
        <v>0</v>
      </c>
      <c r="K383" s="139"/>
      <c r="L383" s="148">
        <f>+'KY_Res by Plant Acct-P29 (Fin)'!L383+'KY_Res by Plant Acct-P29 (PA)'!L381</f>
        <v>0</v>
      </c>
      <c r="M383" s="139"/>
      <c r="N383" s="148">
        <f>+'KY_Res by Plant Acct-P29 (Fin)'!N383+'KY_Res by Plant Acct-P29 (PA)'!N381</f>
        <v>0</v>
      </c>
      <c r="O383" s="52"/>
      <c r="P383" s="67">
        <f>+'KY_Res by Plant Acct-P29 (Fin)'!P383+'KY_Res by Plant Acct-P29 (PA)'!P381</f>
        <v>0</v>
      </c>
      <c r="Q383" s="52"/>
      <c r="R383" s="67">
        <f t="shared" si="29"/>
        <v>-311854.54999999993</v>
      </c>
      <c r="S383" s="7"/>
      <c r="T383" s="7"/>
      <c r="U383" s="7"/>
    </row>
    <row r="384" spans="1:21">
      <c r="B384" s="52">
        <f>SUM(B366:B383)</f>
        <v>250051.70000000106</v>
      </c>
      <c r="C384" s="52"/>
      <c r="D384" s="52">
        <f>SUM(D366:D383)</f>
        <v>-354558.41</v>
      </c>
      <c r="E384" s="52"/>
      <c r="F384" s="139">
        <f>SUM(F366:F383)</f>
        <v>18115.38</v>
      </c>
      <c r="G384" s="139"/>
      <c r="H384" s="139">
        <f>SUM(H366:H383)</f>
        <v>0</v>
      </c>
      <c r="I384" s="139"/>
      <c r="J384" s="139">
        <f>SUM(J366:J383)</f>
        <v>0</v>
      </c>
      <c r="K384" s="139"/>
      <c r="L384" s="139">
        <f>SUM(L366:L383)</f>
        <v>0</v>
      </c>
      <c r="M384" s="139"/>
      <c r="N384" s="139">
        <f>SUM(N366:N383)</f>
        <v>0</v>
      </c>
      <c r="O384" s="52"/>
      <c r="P384" s="52">
        <f>SUM(P366:P383)</f>
        <v>0</v>
      </c>
      <c r="Q384" s="52"/>
      <c r="R384" s="52">
        <f>SUM(R366:R383)</f>
        <v>-86391.329999998881</v>
      </c>
      <c r="S384" s="7"/>
      <c r="T384" s="7"/>
      <c r="U384" s="7"/>
    </row>
    <row r="385" spans="1:21">
      <c r="B385" s="52"/>
      <c r="C385" s="52"/>
      <c r="D385" s="52"/>
      <c r="E385" s="52"/>
      <c r="F385" s="139"/>
      <c r="G385" s="139"/>
      <c r="H385" s="139"/>
      <c r="I385" s="139"/>
      <c r="J385" s="139"/>
      <c r="K385" s="139"/>
      <c r="L385" s="139"/>
      <c r="M385" s="139"/>
      <c r="N385" s="139"/>
      <c r="O385" s="52"/>
      <c r="P385" s="52"/>
      <c r="Q385" s="52"/>
      <c r="R385" s="52"/>
      <c r="S385" s="7"/>
      <c r="T385" s="7"/>
      <c r="U385" s="7"/>
    </row>
    <row r="386" spans="1:21">
      <c r="A386" s="3" t="s">
        <v>125</v>
      </c>
      <c r="B386" s="52"/>
      <c r="C386" s="52"/>
      <c r="D386" s="52"/>
      <c r="E386" s="52"/>
      <c r="F386" s="139"/>
      <c r="G386" s="139"/>
      <c r="H386" s="139"/>
      <c r="I386" s="139"/>
      <c r="J386" s="139"/>
      <c r="K386" s="139"/>
      <c r="L386" s="139"/>
      <c r="M386" s="139"/>
      <c r="N386" s="139"/>
      <c r="O386" s="52"/>
      <c r="P386" s="52"/>
      <c r="Q386" s="52"/>
      <c r="R386" s="52"/>
      <c r="S386" s="7"/>
      <c r="T386" s="7"/>
      <c r="U386" s="7"/>
    </row>
    <row r="387" spans="1:21">
      <c r="A387" t="s">
        <v>649</v>
      </c>
      <c r="B387" s="52">
        <f>+'KY_Res by Plant Acct-P29 (Fin)'!B387+'KY_Res by Plant Acct-P29 (PA)'!B385</f>
        <v>-695.09999999997672</v>
      </c>
      <c r="C387" s="52"/>
      <c r="D387" s="52">
        <f>+'KY_Res by Plant Acct-P29 (Fin)'!D387+'KY_Res by Plant Acct-P29 (PA)'!D385</f>
        <v>-148.94999999999999</v>
      </c>
      <c r="E387" s="52"/>
      <c r="F387" s="139">
        <f>+'KY_Res by Plant Acct-P29 (Fin)'!F387+'KY_Res by Plant Acct-P29 (PA)'!F385</f>
        <v>0</v>
      </c>
      <c r="G387" s="139"/>
      <c r="H387" s="139">
        <f>+'KY_Res by Plant Acct-P29 (Fin)'!H387+'KY_Res by Plant Acct-P29 (PA)'!H385</f>
        <v>0</v>
      </c>
      <c r="I387" s="139"/>
      <c r="J387" s="139">
        <f>+'KY_Res by Plant Acct-P29 (Fin)'!J387+'KY_Res by Plant Acct-P29 (PA)'!J385</f>
        <v>0</v>
      </c>
      <c r="K387" s="139"/>
      <c r="L387" s="139">
        <f>+'KY_Res by Plant Acct-P29 (Fin)'!L387+'KY_Res by Plant Acct-P29 (PA)'!L385</f>
        <v>0</v>
      </c>
      <c r="M387" s="139"/>
      <c r="N387" s="139">
        <f>+'KY_Res by Plant Acct-P29 (Fin)'!N387+'KY_Res by Plant Acct-P29 (PA)'!N385</f>
        <v>0</v>
      </c>
      <c r="O387" s="52"/>
      <c r="P387" s="52">
        <f>+'KY_Res by Plant Acct-P29 (Fin)'!P387+'KY_Res by Plant Acct-P29 (PA)'!P385</f>
        <v>0</v>
      </c>
      <c r="Q387" s="52"/>
      <c r="R387" s="182">
        <f>SUM(B387:P387)</f>
        <v>-844.04999999997676</v>
      </c>
      <c r="S387" s="7"/>
      <c r="T387" s="7"/>
      <c r="U387" s="7"/>
    </row>
    <row r="388" spans="1:21">
      <c r="A388" t="s">
        <v>650</v>
      </c>
      <c r="B388" s="52">
        <f>+'KY_Res by Plant Acct-P29 (Fin)'!B388+'KY_Res by Plant Acct-P29 (PA)'!B386</f>
        <v>-2820595.3800000008</v>
      </c>
      <c r="C388" s="52"/>
      <c r="D388" s="52">
        <f>+'KY_Res by Plant Acct-P29 (Fin)'!D388+'KY_Res by Plant Acct-P29 (PA)'!D386</f>
        <v>-17430.849999999999</v>
      </c>
      <c r="E388" s="52"/>
      <c r="F388" s="139">
        <f>+'KY_Res by Plant Acct-P29 (Fin)'!F388+'KY_Res by Plant Acct-P29 (PA)'!F386</f>
        <v>691.69</v>
      </c>
      <c r="G388" s="139"/>
      <c r="H388" s="139">
        <f>+'KY_Res by Plant Acct-P29 (Fin)'!H388+'KY_Res by Plant Acct-P29 (PA)'!H386</f>
        <v>-1337.83</v>
      </c>
      <c r="I388" s="139"/>
      <c r="J388" s="139">
        <f>+'KY_Res by Plant Acct-P29 (Fin)'!J388+'KY_Res by Plant Acct-P29 (PA)'!J386</f>
        <v>0</v>
      </c>
      <c r="K388" s="139"/>
      <c r="L388" s="139">
        <f>+'KY_Res by Plant Acct-P29 (Fin)'!L388+'KY_Res by Plant Acct-P29 (PA)'!L386</f>
        <v>21090.05</v>
      </c>
      <c r="M388" s="139"/>
      <c r="N388" s="139">
        <f>+'KY_Res by Plant Acct-P29 (Fin)'!N388+'KY_Res by Plant Acct-P29 (PA)'!N386</f>
        <v>0</v>
      </c>
      <c r="O388" s="52"/>
      <c r="P388" s="52">
        <f>+'KY_Res by Plant Acct-P29 (Fin)'!P388+'KY_Res by Plant Acct-P29 (PA)'!P386</f>
        <v>0</v>
      </c>
      <c r="Q388" s="52"/>
      <c r="R388" s="182">
        <f>SUM(B388:P388)</f>
        <v>-2817582.3200000012</v>
      </c>
      <c r="S388" s="7"/>
      <c r="T388" s="7"/>
      <c r="U388" s="7"/>
    </row>
    <row r="389" spans="1:21">
      <c r="A389" t="s">
        <v>1445</v>
      </c>
      <c r="B389" s="67">
        <f>+'KY_Res by Plant Acct-P29 (Fin)'!B389+'KY_Res by Plant Acct-P29 (PA)'!B387</f>
        <v>-35270.86</v>
      </c>
      <c r="C389" s="68"/>
      <c r="D389" s="67">
        <f>+'KY_Res by Plant Acct-P29 (Fin)'!D389+'KY_Res by Plant Acct-P29 (PA)'!D387</f>
        <v>-26453.13</v>
      </c>
      <c r="E389" s="68"/>
      <c r="F389" s="140">
        <f>+'KY_Res by Plant Acct-P29 (Fin)'!F389+'KY_Res by Plant Acct-P29 (PA)'!F387</f>
        <v>0</v>
      </c>
      <c r="G389" s="147"/>
      <c r="H389" s="140">
        <f>+'KY_Res by Plant Acct-P29 (Fin)'!H389+'KY_Res by Plant Acct-P29 (PA)'!H387</f>
        <v>0</v>
      </c>
      <c r="I389" s="147"/>
      <c r="J389" s="140">
        <f>+'KY_Res by Plant Acct-P29 (Fin)'!J389+'KY_Res by Plant Acct-P29 (PA)'!J387</f>
        <v>0</v>
      </c>
      <c r="K389" s="147"/>
      <c r="L389" s="140">
        <f>+'KY_Res by Plant Acct-P29 (Fin)'!L389+'KY_Res by Plant Acct-P29 (PA)'!L387</f>
        <v>0</v>
      </c>
      <c r="M389" s="147"/>
      <c r="N389" s="140">
        <f>+'KY_Res by Plant Acct-P29 (Fin)'!N389+'KY_Res by Plant Acct-P29 (PA)'!N387</f>
        <v>0</v>
      </c>
      <c r="O389" s="68"/>
      <c r="P389" s="67">
        <f>+'KY_Res by Plant Acct-P29 (Fin)'!P389+'KY_Res by Plant Acct-P29 (PA)'!P387</f>
        <v>0</v>
      </c>
      <c r="Q389" s="68"/>
      <c r="R389" s="67">
        <f>SUM(B389:P389)</f>
        <v>-61723.990000000005</v>
      </c>
      <c r="S389" s="7"/>
      <c r="T389" s="7"/>
      <c r="U389" s="7"/>
    </row>
    <row r="390" spans="1:21">
      <c r="B390" s="37">
        <f>SUM(B387:B389)</f>
        <v>-2856561.3400000008</v>
      </c>
      <c r="C390" s="37"/>
      <c r="D390" s="37">
        <f>SUM(D387:D389)</f>
        <v>-44032.93</v>
      </c>
      <c r="E390" s="37"/>
      <c r="F390" s="37">
        <f>SUM(F387:F389)</f>
        <v>691.69</v>
      </c>
      <c r="G390" s="149"/>
      <c r="H390" s="37">
        <f>SUM(H387:H389)</f>
        <v>-1337.83</v>
      </c>
      <c r="I390" s="149"/>
      <c r="J390" s="37">
        <f>SUM(J387:J389)</f>
        <v>0</v>
      </c>
      <c r="K390" s="149"/>
      <c r="L390" s="37">
        <f>SUM(L387:L389)</f>
        <v>21090.05</v>
      </c>
      <c r="M390" s="149"/>
      <c r="N390" s="37">
        <f>SUM(N387:N389)</f>
        <v>0</v>
      </c>
      <c r="O390" s="37"/>
      <c r="P390" s="37">
        <f>SUM(P387:P389)</f>
        <v>0</v>
      </c>
      <c r="Q390" s="37"/>
      <c r="R390" s="37">
        <f>SUM(R387:R389)</f>
        <v>-2880150.3600000013</v>
      </c>
      <c r="S390" s="7"/>
      <c r="T390" s="7"/>
      <c r="U390" s="7"/>
    </row>
    <row r="391" spans="1:21">
      <c r="B391" s="37"/>
      <c r="C391" s="37"/>
      <c r="D391" s="37"/>
      <c r="E391" s="37"/>
      <c r="F391" s="149"/>
      <c r="G391" s="149"/>
      <c r="H391" s="149"/>
      <c r="I391" s="149"/>
      <c r="J391" s="149"/>
      <c r="K391" s="149"/>
      <c r="L391" s="149"/>
      <c r="M391" s="149"/>
      <c r="N391" s="149"/>
      <c r="O391" s="37"/>
      <c r="P391" s="37"/>
      <c r="Q391" s="37"/>
      <c r="R391" s="37"/>
      <c r="S391" s="7"/>
      <c r="T391" s="7"/>
      <c r="U391" s="7"/>
    </row>
    <row r="392" spans="1:21">
      <c r="B392" s="33"/>
      <c r="C392" s="37"/>
      <c r="D392" s="33"/>
      <c r="E392" s="37"/>
      <c r="F392" s="150"/>
      <c r="G392" s="149"/>
      <c r="H392" s="150"/>
      <c r="I392" s="149"/>
      <c r="J392" s="150"/>
      <c r="K392" s="149"/>
      <c r="L392" s="150"/>
      <c r="M392" s="149"/>
      <c r="N392" s="150"/>
      <c r="O392" s="37"/>
      <c r="P392" s="33"/>
      <c r="Q392" s="37"/>
      <c r="R392" s="33"/>
    </row>
    <row r="393" spans="1:21" ht="13.5" thickBot="1">
      <c r="A393" s="3" t="s">
        <v>40</v>
      </c>
      <c r="B393" s="44">
        <f>B390+B384+'KY_Res by Plant Acct-P29 (Tot)'!B362+'KY_Res by Plant Acct-P29 (Tot)'!B353</f>
        <v>-69905061.199999988</v>
      </c>
      <c r="C393" s="37"/>
      <c r="D393" s="44">
        <f>D390+D384+'KY_Res by Plant Acct-P29 (Tot)'!D362+'KY_Res by Plant Acct-P29 (Tot)'!D353</f>
        <v>-4418196.63</v>
      </c>
      <c r="E393" s="37"/>
      <c r="F393" s="151">
        <f>F390+F384+'KY_Res by Plant Acct-P29 (Tot)'!F362+'KY_Res by Plant Acct-P29 (Tot)'!F353</f>
        <v>27938.79</v>
      </c>
      <c r="G393" s="149"/>
      <c r="H393" s="151">
        <f>H390+H384+'KY_Res by Plant Acct-P29 (Tot)'!H362+'KY_Res by Plant Acct-P29 (Tot)'!H353</f>
        <v>0</v>
      </c>
      <c r="I393" s="149"/>
      <c r="J393" s="151">
        <f>J390+J384+'KY_Res by Plant Acct-P29 (Tot)'!J362+'KY_Res by Plant Acct-P29 (Tot)'!J353</f>
        <v>0</v>
      </c>
      <c r="K393" s="149"/>
      <c r="L393" s="151">
        <f>L390+L384+'KY_Res by Plant Acct-P29 (Tot)'!L362+'KY_Res by Plant Acct-P29 (Tot)'!L353</f>
        <v>81453.78</v>
      </c>
      <c r="M393" s="149"/>
      <c r="N393" s="151">
        <f>N390+N384+'KY_Res by Plant Acct-P29 (Tot)'!N362+'KY_Res by Plant Acct-P29 (Tot)'!N353</f>
        <v>0</v>
      </c>
      <c r="O393" s="37"/>
      <c r="P393" s="44">
        <f>P390+P384+'KY_Res by Plant Acct-P29 (Tot)'!P362+'KY_Res by Plant Acct-P29 (Tot)'!P353</f>
        <v>0</v>
      </c>
      <c r="Q393" s="37"/>
      <c r="R393" s="44">
        <f>R390+R384+'KY_Res by Plant Acct-P29 (Tot)'!R362+'KY_Res by Plant Acct-P29 (Tot)'!R353</f>
        <v>-74213865.26000002</v>
      </c>
    </row>
    <row r="394" spans="1:21" ht="13.5" thickTop="1">
      <c r="B394" s="33"/>
      <c r="C394" s="37"/>
      <c r="D394" s="33"/>
      <c r="E394" s="37"/>
      <c r="F394" s="33"/>
      <c r="G394" s="37"/>
      <c r="H394" s="33"/>
      <c r="I394" s="37"/>
      <c r="J394" s="33"/>
      <c r="K394" s="37"/>
      <c r="L394" s="33"/>
      <c r="M394" s="37"/>
      <c r="N394" s="33"/>
      <c r="O394" s="37"/>
      <c r="P394" s="33"/>
      <c r="Q394" s="37"/>
      <c r="R394" s="33"/>
    </row>
    <row r="395" spans="1:21">
      <c r="B395" s="33"/>
      <c r="C395" s="37"/>
      <c r="D395" s="33"/>
      <c r="E395" s="37"/>
      <c r="F395" s="33"/>
      <c r="G395" s="37"/>
      <c r="H395" s="33"/>
      <c r="I395" s="37"/>
      <c r="J395" s="33"/>
      <c r="K395" s="37"/>
      <c r="L395" s="33"/>
      <c r="M395" s="37"/>
      <c r="N395" s="33"/>
      <c r="O395" s="37"/>
      <c r="P395" s="33"/>
      <c r="Q395" s="37"/>
      <c r="R395" s="33"/>
    </row>
    <row r="396" spans="1:21">
      <c r="A396" s="3" t="s">
        <v>123</v>
      </c>
      <c r="B396" s="52"/>
      <c r="C396" s="52"/>
      <c r="D396" s="52"/>
      <c r="E396" s="52"/>
      <c r="F396" s="52"/>
      <c r="G396" s="52"/>
      <c r="H396" s="52"/>
      <c r="I396" s="52"/>
      <c r="J396" s="52"/>
      <c r="K396" s="52"/>
      <c r="L396" s="52"/>
      <c r="M396" s="52"/>
      <c r="N396" s="52"/>
      <c r="O396" s="52"/>
      <c r="P396" s="52"/>
      <c r="Q396" s="52"/>
      <c r="R396" s="52"/>
      <c r="S396" s="7"/>
      <c r="T396" s="7"/>
      <c r="U396" s="7"/>
    </row>
    <row r="397" spans="1:21">
      <c r="A397" t="s">
        <v>636</v>
      </c>
      <c r="B397" s="67">
        <f>+'KY_Res by Plant Acct-P29 (Fin)'!B397+'KY_Res by Plant Acct-P29 (PA)'!B395</f>
        <v>119.15999999999997</v>
      </c>
      <c r="C397" s="68"/>
      <c r="D397" s="67">
        <f>+'KY_Res by Plant Acct-P29 (Fin)'!D397+'KY_Res by Plant Acct-P29 (PA)'!D395</f>
        <v>0</v>
      </c>
      <c r="E397" s="68"/>
      <c r="F397" s="67">
        <f>+'KY_Res by Plant Acct-P29 (Fin)'!F397+'KY_Res by Plant Acct-P29 (PA)'!F395</f>
        <v>0</v>
      </c>
      <c r="G397" s="68"/>
      <c r="H397" s="67">
        <f>+'KY_Res by Plant Acct-P29 (Fin)'!H397+'KY_Res by Plant Acct-P29 (PA)'!H395</f>
        <v>0</v>
      </c>
      <c r="I397" s="68"/>
      <c r="J397" s="67">
        <f>+'KY_Res by Plant Acct-P29 (Fin)'!J397+'KY_Res by Plant Acct-P29 (PA)'!J395</f>
        <v>0</v>
      </c>
      <c r="K397" s="68"/>
      <c r="L397" s="67">
        <f>+'KY_Res by Plant Acct-P29 (Fin)'!L397+'KY_Res by Plant Acct-P29 (PA)'!L395</f>
        <v>0</v>
      </c>
      <c r="M397" s="68"/>
      <c r="N397" s="67">
        <f>+'KY_Res by Plant Acct-P29 (Fin)'!N397+'KY_Res by Plant Acct-P29 (PA)'!N395</f>
        <v>0</v>
      </c>
      <c r="O397" s="68"/>
      <c r="P397" s="67">
        <f>+'KY_Res by Plant Acct-P29 (Fin)'!P397+'KY_Res by Plant Acct-P29 (PA)'!P395</f>
        <v>0</v>
      </c>
      <c r="Q397" s="68"/>
      <c r="R397" s="48">
        <f>SUM(B397:P397)</f>
        <v>119.15999999999997</v>
      </c>
      <c r="S397" s="7"/>
      <c r="T397" s="7"/>
      <c r="U397" s="7"/>
    </row>
    <row r="398" spans="1:21">
      <c r="B398" s="52">
        <f>SUM(B397)</f>
        <v>119.15999999999997</v>
      </c>
      <c r="C398" s="52"/>
      <c r="D398" s="52">
        <f>SUM(D397)</f>
        <v>0</v>
      </c>
      <c r="E398" s="52"/>
      <c r="F398" s="52">
        <f>SUM(F397)</f>
        <v>0</v>
      </c>
      <c r="G398" s="52"/>
      <c r="H398" s="52">
        <f>SUM(H397)</f>
        <v>0</v>
      </c>
      <c r="I398" s="52"/>
      <c r="J398" s="52">
        <f>SUM(J397)</f>
        <v>0</v>
      </c>
      <c r="K398" s="52"/>
      <c r="L398" s="52">
        <f>SUM(L397)</f>
        <v>0</v>
      </c>
      <c r="M398" s="52"/>
      <c r="N398" s="52">
        <f>SUM(N397)</f>
        <v>0</v>
      </c>
      <c r="O398" s="52"/>
      <c r="P398" s="52">
        <f>SUM(P397)</f>
        <v>0</v>
      </c>
      <c r="Q398" s="52"/>
      <c r="R398" s="52">
        <f>SUM(R397)</f>
        <v>119.15999999999997</v>
      </c>
      <c r="S398" s="7"/>
      <c r="T398" s="7"/>
      <c r="U398" s="7"/>
    </row>
    <row r="399" spans="1:21">
      <c r="B399" s="33"/>
      <c r="C399" s="37"/>
      <c r="D399" s="33"/>
      <c r="E399" s="37"/>
      <c r="F399" s="33"/>
      <c r="G399" s="37"/>
      <c r="H399" s="33"/>
      <c r="I399" s="37"/>
      <c r="J399" s="33"/>
      <c r="K399" s="37"/>
      <c r="L399" s="33"/>
      <c r="M399" s="37"/>
      <c r="N399" s="33"/>
      <c r="O399" s="37"/>
      <c r="P399" s="33"/>
      <c r="Q399" s="37"/>
      <c r="R399" s="33"/>
    </row>
    <row r="400" spans="1:21">
      <c r="B400" s="33"/>
      <c r="C400" s="37"/>
      <c r="D400" s="33"/>
      <c r="E400" s="37"/>
      <c r="F400" s="33"/>
      <c r="G400" s="37"/>
      <c r="H400" s="33"/>
      <c r="I400" s="37"/>
      <c r="J400" s="33"/>
      <c r="K400" s="37"/>
      <c r="L400" s="33"/>
      <c r="M400" s="37"/>
      <c r="N400" s="33"/>
      <c r="O400" s="37"/>
      <c r="P400" s="33"/>
      <c r="Q400" s="37"/>
      <c r="R400" s="33"/>
    </row>
    <row r="401" spans="1:19" ht="13.5" thickBot="1">
      <c r="A401" s="3" t="s">
        <v>41</v>
      </c>
      <c r="B401" s="44">
        <f>B398</f>
        <v>119.15999999999997</v>
      </c>
      <c r="C401" s="37"/>
      <c r="D401" s="44">
        <f>D398</f>
        <v>0</v>
      </c>
      <c r="E401" s="37"/>
      <c r="F401" s="44">
        <f>F398</f>
        <v>0</v>
      </c>
      <c r="G401" s="37"/>
      <c r="H401" s="44">
        <f>H398</f>
        <v>0</v>
      </c>
      <c r="I401" s="37"/>
      <c r="J401" s="44">
        <f>J398</f>
        <v>0</v>
      </c>
      <c r="K401" s="37"/>
      <c r="L401" s="44">
        <f>L398</f>
        <v>0</v>
      </c>
      <c r="M401" s="37"/>
      <c r="N401" s="44">
        <f>N398</f>
        <v>0</v>
      </c>
      <c r="O401" s="37"/>
      <c r="P401" s="44">
        <f>P398</f>
        <v>0</v>
      </c>
      <c r="Q401" s="37"/>
      <c r="R401" s="44">
        <f>R398</f>
        <v>119.15999999999997</v>
      </c>
    </row>
    <row r="402" spans="1:19" ht="13.5" thickTop="1"/>
    <row r="404" spans="1:19" s="10" customFormat="1">
      <c r="A404" s="12" t="s">
        <v>455</v>
      </c>
      <c r="C404" s="71"/>
      <c r="E404" s="71"/>
      <c r="G404" s="71"/>
      <c r="I404" s="71"/>
      <c r="K404" s="71"/>
      <c r="M404" s="71"/>
      <c r="O404" s="71"/>
      <c r="Q404" s="71"/>
    </row>
    <row r="405" spans="1:19" s="10" customFormat="1">
      <c r="A405" s="10" t="s">
        <v>325</v>
      </c>
      <c r="B405" s="24">
        <f>+'KY_Res by Plant Acct-P29 (Fin)'!B405+'KY_Res by Plant Acct-P29 (PA)'!B403</f>
        <v>0</v>
      </c>
      <c r="C405" s="27"/>
      <c r="D405" s="24">
        <f>+'KY_Res by Plant Acct-P29 (Fin)'!D405+'KY_Res by Plant Acct-P29 (PA)'!D403</f>
        <v>0</v>
      </c>
      <c r="E405" s="27"/>
      <c r="F405" s="24">
        <f>+'KY_Res by Plant Acct-P29 (Fin)'!F405+'KY_Res by Plant Acct-P29 (PA)'!F403</f>
        <v>0</v>
      </c>
      <c r="G405" s="27"/>
      <c r="H405" s="24">
        <f>+'KY_Res by Plant Acct-P29 (Fin)'!H405+'KY_Res by Plant Acct-P29 (PA)'!H403</f>
        <v>0</v>
      </c>
      <c r="I405" s="27"/>
      <c r="J405" s="24">
        <f>+'KY_Res by Plant Acct-P29 (Fin)'!J405+'KY_Res by Plant Acct-P29 (PA)'!J403</f>
        <v>0</v>
      </c>
      <c r="K405" s="27"/>
      <c r="L405" s="24">
        <f>+'KY_Res by Plant Acct-P29 (Fin)'!L405+'KY_Res by Plant Acct-P29 (PA)'!L403</f>
        <v>0</v>
      </c>
      <c r="M405" s="27"/>
      <c r="N405" s="24">
        <f>+'KY_Res by Plant Acct-P29 (Fin)'!N405+'KY_Res by Plant Acct-P29 (PA)'!N403</f>
        <v>0</v>
      </c>
      <c r="O405" s="27"/>
      <c r="P405" s="24">
        <f>+'KY_Res by Plant Acct-P29 (Fin)'!P405+'KY_Res by Plant Acct-P29 (PA)'!P403</f>
        <v>0</v>
      </c>
      <c r="Q405" s="27"/>
      <c r="R405" s="24">
        <f t="shared" ref="R405:R432" si="30">SUM(B405:P405)</f>
        <v>0</v>
      </c>
      <c r="S405" s="24"/>
    </row>
    <row r="406" spans="1:19" s="10" customFormat="1">
      <c r="A406" s="10" t="s">
        <v>327</v>
      </c>
      <c r="B406" s="24">
        <f>+'KY_Res by Plant Acct-P29 (Fin)'!B406+'KY_Res by Plant Acct-P29 (PA)'!B404</f>
        <v>-6955.4799999999959</v>
      </c>
      <c r="C406" s="27"/>
      <c r="D406" s="24">
        <f>+'KY_Res by Plant Acct-P29 (Fin)'!D406+'KY_Res by Plant Acct-P29 (PA)'!D404</f>
        <v>-1490.46</v>
      </c>
      <c r="E406" s="27"/>
      <c r="F406" s="24">
        <f>+'KY_Res by Plant Acct-P29 (Fin)'!F406+'KY_Res by Plant Acct-P29 (PA)'!F404</f>
        <v>0</v>
      </c>
      <c r="G406" s="27"/>
      <c r="H406" s="24">
        <f>+'KY_Res by Plant Acct-P29 (Fin)'!H406+'KY_Res by Plant Acct-P29 (PA)'!H404</f>
        <v>0</v>
      </c>
      <c r="I406" s="27"/>
      <c r="J406" s="24">
        <f>+'KY_Res by Plant Acct-P29 (Fin)'!J406+'KY_Res by Plant Acct-P29 (PA)'!J404</f>
        <v>0</v>
      </c>
      <c r="K406" s="27"/>
      <c r="L406" s="24">
        <f>+'KY_Res by Plant Acct-P29 (Fin)'!L406+'KY_Res by Plant Acct-P29 (PA)'!L404</f>
        <v>0</v>
      </c>
      <c r="M406" s="27"/>
      <c r="N406" s="24">
        <f>+'KY_Res by Plant Acct-P29 (Fin)'!N406+'KY_Res by Plant Acct-P29 (PA)'!N404</f>
        <v>0</v>
      </c>
      <c r="O406" s="27"/>
      <c r="P406" s="24">
        <f>+'KY_Res by Plant Acct-P29 (Fin)'!P406+'KY_Res by Plant Acct-P29 (PA)'!P404</f>
        <v>0</v>
      </c>
      <c r="Q406" s="27"/>
      <c r="R406" s="24">
        <f t="shared" si="30"/>
        <v>-8445.9399999999951</v>
      </c>
      <c r="S406" s="24"/>
    </row>
    <row r="407" spans="1:19" s="10" customFormat="1">
      <c r="A407" s="10" t="s">
        <v>960</v>
      </c>
      <c r="B407" s="24">
        <f>+'KY_Res by Plant Acct-P29 (Fin)'!B407+'KY_Res by Plant Acct-P29 (PA)'!B405</f>
        <v>-998041.04999999981</v>
      </c>
      <c r="C407" s="27"/>
      <c r="D407" s="24">
        <f>+'KY_Res by Plant Acct-P29 (Fin)'!D407+'KY_Res by Plant Acct-P29 (PA)'!D405</f>
        <v>-262644.7</v>
      </c>
      <c r="E407" s="27"/>
      <c r="F407" s="24">
        <f>+'KY_Res by Plant Acct-P29 (Fin)'!F407+'KY_Res by Plant Acct-P29 (PA)'!F405</f>
        <v>0</v>
      </c>
      <c r="G407" s="27"/>
      <c r="H407" s="24">
        <f>+'KY_Res by Plant Acct-P29 (Fin)'!H407+'KY_Res by Plant Acct-P29 (PA)'!H405</f>
        <v>0</v>
      </c>
      <c r="I407" s="27"/>
      <c r="J407" s="24">
        <f>+'KY_Res by Plant Acct-P29 (Fin)'!J407+'KY_Res by Plant Acct-P29 (PA)'!J405</f>
        <v>0</v>
      </c>
      <c r="K407" s="27"/>
      <c r="L407" s="24">
        <f>+'KY_Res by Plant Acct-P29 (Fin)'!L407+'KY_Res by Plant Acct-P29 (PA)'!L405</f>
        <v>0</v>
      </c>
      <c r="M407" s="27"/>
      <c r="N407" s="24">
        <f>+'KY_Res by Plant Acct-P29 (Fin)'!N407+'KY_Res by Plant Acct-P29 (PA)'!N405</f>
        <v>0</v>
      </c>
      <c r="O407" s="27"/>
      <c r="P407" s="24">
        <f>+'KY_Res by Plant Acct-P29 (Fin)'!P407+'KY_Res by Plant Acct-P29 (PA)'!P405</f>
        <v>0</v>
      </c>
      <c r="Q407" s="27"/>
      <c r="R407" s="24">
        <f>SUM(B407:P407)</f>
        <v>-1260685.7499999998</v>
      </c>
      <c r="S407" s="24"/>
    </row>
    <row r="408" spans="1:19" s="10" customFormat="1">
      <c r="A408" s="10" t="s">
        <v>1959</v>
      </c>
      <c r="B408" s="24">
        <f>+'KY_Res by Plant Acct-P29 (Fin)'!B408+'KY_Res by Plant Acct-P29 (PA)'!B406</f>
        <v>0</v>
      </c>
      <c r="C408" s="27"/>
      <c r="D408" s="24">
        <f>+'KY_Res by Plant Acct-P29 (Fin)'!D408+'KY_Res by Plant Acct-P29 (PA)'!D406</f>
        <v>-2258.9699999999998</v>
      </c>
      <c r="E408" s="27"/>
      <c r="F408" s="24">
        <f>+'KY_Res by Plant Acct-P29 (Fin)'!F408+'KY_Res by Plant Acct-P29 (PA)'!F406</f>
        <v>0</v>
      </c>
      <c r="G408" s="27"/>
      <c r="H408" s="24">
        <f>+'KY_Res by Plant Acct-P29 (Fin)'!H408+'KY_Res by Plant Acct-P29 (PA)'!H406</f>
        <v>-41950.22</v>
      </c>
      <c r="I408" s="27"/>
      <c r="J408" s="24">
        <f>+'KY_Res by Plant Acct-P29 (Fin)'!J408+'KY_Res by Plant Acct-P29 (PA)'!J406</f>
        <v>0</v>
      </c>
      <c r="K408" s="27"/>
      <c r="L408" s="24">
        <f>+'KY_Res by Plant Acct-P29 (Fin)'!L408+'KY_Res by Plant Acct-P29 (PA)'!L406</f>
        <v>0</v>
      </c>
      <c r="M408" s="27"/>
      <c r="N408" s="24">
        <f>+'KY_Res by Plant Acct-P29 (Fin)'!N408+'KY_Res by Plant Acct-P29 (PA)'!N406</f>
        <v>0</v>
      </c>
      <c r="O408" s="27"/>
      <c r="P408" s="24">
        <f>+'KY_Res by Plant Acct-P29 (Fin)'!P408+'KY_Res by Plant Acct-P29 (PA)'!P406</f>
        <v>0</v>
      </c>
      <c r="Q408" s="27"/>
      <c r="R408" s="24">
        <f t="shared" ref="R408" si="31">SUM(B408:P408)</f>
        <v>-44209.19</v>
      </c>
      <c r="S408" s="24"/>
    </row>
    <row r="409" spans="1:19" s="10" customFormat="1">
      <c r="A409" s="10" t="s">
        <v>1958</v>
      </c>
      <c r="B409" s="24">
        <f>+'KY_Res by Plant Acct-P29 (Fin)'!B409+'KY_Res by Plant Acct-P29 (PA)'!B407</f>
        <v>0</v>
      </c>
      <c r="C409" s="27"/>
      <c r="D409" s="24">
        <f>+'KY_Res by Plant Acct-P29 (Fin)'!D409+'KY_Res by Plant Acct-P29 (PA)'!D407</f>
        <v>-2486.04</v>
      </c>
      <c r="E409" s="27"/>
      <c r="F409" s="24">
        <f>+'KY_Res by Plant Acct-P29 (Fin)'!F409+'KY_Res by Plant Acct-P29 (PA)'!F407</f>
        <v>0</v>
      </c>
      <c r="G409" s="27"/>
      <c r="H409" s="24">
        <f>+'KY_Res by Plant Acct-P29 (Fin)'!H409+'KY_Res by Plant Acct-P29 (PA)'!H407</f>
        <v>-16800.599999999999</v>
      </c>
      <c r="I409" s="27"/>
      <c r="J409" s="24">
        <f>+'KY_Res by Plant Acct-P29 (Fin)'!J409+'KY_Res by Plant Acct-P29 (PA)'!J407</f>
        <v>0</v>
      </c>
      <c r="K409" s="27"/>
      <c r="L409" s="24">
        <f>+'KY_Res by Plant Acct-P29 (Fin)'!L409+'KY_Res by Plant Acct-P29 (PA)'!L407</f>
        <v>0</v>
      </c>
      <c r="M409" s="27"/>
      <c r="N409" s="24">
        <f>+'KY_Res by Plant Acct-P29 (Fin)'!N409+'KY_Res by Plant Acct-P29 (PA)'!N407</f>
        <v>0</v>
      </c>
      <c r="O409" s="27"/>
      <c r="P409" s="24">
        <f>+'KY_Res by Plant Acct-P29 (Fin)'!P409+'KY_Res by Plant Acct-P29 (PA)'!P407</f>
        <v>0</v>
      </c>
      <c r="Q409" s="27"/>
      <c r="R409" s="24">
        <f t="shared" ref="R409" si="32">SUM(B409:P409)</f>
        <v>-19286.64</v>
      </c>
      <c r="S409" s="24"/>
    </row>
    <row r="410" spans="1:19" s="10" customFormat="1">
      <c r="A410" s="10" t="s">
        <v>1957</v>
      </c>
      <c r="B410" s="24">
        <f>+'KY_Res by Plant Acct-P29 (Fin)'!B410+'KY_Res by Plant Acct-P29 (PA)'!B408</f>
        <v>-933495.70000000298</v>
      </c>
      <c r="C410" s="27"/>
      <c r="D410" s="24">
        <f>+'KY_Res by Plant Acct-P29 (Fin)'!D410+'KY_Res by Plant Acct-P29 (PA)'!D408</f>
        <v>-217129.67</v>
      </c>
      <c r="E410" s="27"/>
      <c r="F410" s="24">
        <f>+'KY_Res by Plant Acct-P29 (Fin)'!F410+'KY_Res by Plant Acct-P29 (PA)'!F408</f>
        <v>48761.45</v>
      </c>
      <c r="G410" s="27"/>
      <c r="H410" s="24">
        <f>+'KY_Res by Plant Acct-P29 (Fin)'!H410+'KY_Res by Plant Acct-P29 (PA)'!H408</f>
        <v>16800.599999999999</v>
      </c>
      <c r="I410" s="27"/>
      <c r="J410" s="24">
        <f>+'KY_Res by Plant Acct-P29 (Fin)'!J410+'KY_Res by Plant Acct-P29 (PA)'!J408</f>
        <v>0</v>
      </c>
      <c r="K410" s="27"/>
      <c r="L410" s="24">
        <f>+'KY_Res by Plant Acct-P29 (Fin)'!L410+'KY_Res by Plant Acct-P29 (PA)'!L408</f>
        <v>10656</v>
      </c>
      <c r="M410" s="27"/>
      <c r="N410" s="24">
        <f>+'KY_Res by Plant Acct-P29 (Fin)'!N410+'KY_Res by Plant Acct-P29 (PA)'!N408</f>
        <v>0</v>
      </c>
      <c r="O410" s="27"/>
      <c r="P410" s="24">
        <f>+'KY_Res by Plant Acct-P29 (Fin)'!P410+'KY_Res by Plant Acct-P29 (PA)'!P408</f>
        <v>0</v>
      </c>
      <c r="Q410" s="27"/>
      <c r="R410" s="24">
        <f t="shared" si="30"/>
        <v>-1074407.3200000029</v>
      </c>
      <c r="S410" s="24"/>
    </row>
    <row r="411" spans="1:19" s="10" customFormat="1">
      <c r="A411" s="10" t="s">
        <v>1956</v>
      </c>
      <c r="B411" s="24">
        <f>+'KY_Res by Plant Acct-P29 (Fin)'!B411+'KY_Res by Plant Acct-P29 (PA)'!B409</f>
        <v>-95120.280000000028</v>
      </c>
      <c r="C411" s="27"/>
      <c r="D411" s="24">
        <f>+'KY_Res by Plant Acct-P29 (Fin)'!D411+'KY_Res by Plant Acct-P29 (PA)'!D409</f>
        <v>-22119.260000000002</v>
      </c>
      <c r="E411" s="27"/>
      <c r="F411" s="24">
        <f>+'KY_Res by Plant Acct-P29 (Fin)'!F411+'KY_Res by Plant Acct-P29 (PA)'!F409</f>
        <v>41.389999999999986</v>
      </c>
      <c r="G411" s="27"/>
      <c r="H411" s="24">
        <f>+'KY_Res by Plant Acct-P29 (Fin)'!H411+'KY_Res by Plant Acct-P29 (PA)'!H409</f>
        <v>41950.22</v>
      </c>
      <c r="I411" s="27"/>
      <c r="J411" s="24">
        <f>+'KY_Res by Plant Acct-P29 (Fin)'!J411+'KY_Res by Plant Acct-P29 (PA)'!J409</f>
        <v>0</v>
      </c>
      <c r="K411" s="27"/>
      <c r="L411" s="24">
        <f>+'KY_Res by Plant Acct-P29 (Fin)'!L411+'KY_Res by Plant Acct-P29 (PA)'!L409</f>
        <v>0</v>
      </c>
      <c r="M411" s="27"/>
      <c r="N411" s="24">
        <f>+'KY_Res by Plant Acct-P29 (Fin)'!N411+'KY_Res by Plant Acct-P29 (PA)'!N409</f>
        <v>0</v>
      </c>
      <c r="O411" s="27"/>
      <c r="P411" s="24">
        <f>+'KY_Res by Plant Acct-P29 (Fin)'!P411+'KY_Res by Plant Acct-P29 (PA)'!P409</f>
        <v>0</v>
      </c>
      <c r="Q411" s="27"/>
      <c r="R411" s="24">
        <f t="shared" si="30"/>
        <v>-75247.930000000037</v>
      </c>
      <c r="S411" s="24"/>
    </row>
    <row r="412" spans="1:19" s="10" customFormat="1">
      <c r="A412" s="10" t="s">
        <v>330</v>
      </c>
      <c r="B412" s="24">
        <f>+'KY_Res by Plant Acct-P29 (Fin)'!B412+'KY_Res by Plant Acct-P29 (PA)'!B410</f>
        <v>-151080.64999999985</v>
      </c>
      <c r="C412" s="27"/>
      <c r="D412" s="24">
        <f>+'KY_Res by Plant Acct-P29 (Fin)'!D412+'KY_Res by Plant Acct-P29 (PA)'!D410</f>
        <v>-26707.379999999997</v>
      </c>
      <c r="E412" s="27"/>
      <c r="F412" s="24">
        <f>+'KY_Res by Plant Acct-P29 (Fin)'!F412+'KY_Res by Plant Acct-P29 (PA)'!F410</f>
        <v>0</v>
      </c>
      <c r="G412" s="27"/>
      <c r="H412" s="24">
        <f>+'KY_Res by Plant Acct-P29 (Fin)'!H412+'KY_Res by Plant Acct-P29 (PA)'!H410</f>
        <v>0</v>
      </c>
      <c r="I412" s="27"/>
      <c r="J412" s="24">
        <f>+'KY_Res by Plant Acct-P29 (Fin)'!J412+'KY_Res by Plant Acct-P29 (PA)'!J410</f>
        <v>0</v>
      </c>
      <c r="K412" s="27"/>
      <c r="L412" s="24">
        <f>+'KY_Res by Plant Acct-P29 (Fin)'!L412+'KY_Res by Plant Acct-P29 (PA)'!L410</f>
        <v>0</v>
      </c>
      <c r="M412" s="27"/>
      <c r="N412" s="24">
        <f>+'KY_Res by Plant Acct-P29 (Fin)'!N412+'KY_Res by Plant Acct-P29 (PA)'!N410</f>
        <v>0</v>
      </c>
      <c r="O412" s="27"/>
      <c r="P412" s="24">
        <f>+'KY_Res by Plant Acct-P29 (Fin)'!P412+'KY_Res by Plant Acct-P29 (PA)'!P410</f>
        <v>0</v>
      </c>
      <c r="Q412" s="27"/>
      <c r="R412" s="24">
        <f t="shared" si="30"/>
        <v>-177788.02999999985</v>
      </c>
      <c r="S412" s="24"/>
    </row>
    <row r="413" spans="1:19" s="10" customFormat="1">
      <c r="A413" s="10" t="s">
        <v>323</v>
      </c>
      <c r="B413" s="24">
        <f>+'KY_Res by Plant Acct-P29 (Fin)'!B413+'KY_Res by Plant Acct-P29 (PA)'!B411</f>
        <v>-536417.01999999955</v>
      </c>
      <c r="C413" s="27"/>
      <c r="D413" s="24">
        <f>+'KY_Res by Plant Acct-P29 (Fin)'!D413+'KY_Res by Plant Acct-P29 (PA)'!D411</f>
        <v>-40814.979999999996</v>
      </c>
      <c r="E413" s="27"/>
      <c r="F413" s="24">
        <f>+'KY_Res by Plant Acct-P29 (Fin)'!F413+'KY_Res by Plant Acct-P29 (PA)'!F411</f>
        <v>46260.709999999992</v>
      </c>
      <c r="G413" s="27"/>
      <c r="H413" s="24">
        <f>+'KY_Res by Plant Acct-P29 (Fin)'!H413+'KY_Res by Plant Acct-P29 (PA)'!H411</f>
        <v>0</v>
      </c>
      <c r="I413" s="27"/>
      <c r="J413" s="24">
        <f>+'KY_Res by Plant Acct-P29 (Fin)'!J413+'KY_Res by Plant Acct-P29 (PA)'!J411</f>
        <v>0</v>
      </c>
      <c r="K413" s="27"/>
      <c r="L413" s="24">
        <f>+'KY_Res by Plant Acct-P29 (Fin)'!L413+'KY_Res by Plant Acct-P29 (PA)'!L411</f>
        <v>5901.84</v>
      </c>
      <c r="M413" s="27"/>
      <c r="N413" s="24">
        <f>+'KY_Res by Plant Acct-P29 (Fin)'!N413+'KY_Res by Plant Acct-P29 (PA)'!N411</f>
        <v>0</v>
      </c>
      <c r="O413" s="27"/>
      <c r="P413" s="24">
        <f>+'KY_Res by Plant Acct-P29 (Fin)'!P413+'KY_Res by Plant Acct-P29 (PA)'!P411</f>
        <v>0</v>
      </c>
      <c r="Q413" s="27"/>
      <c r="R413" s="24">
        <f t="shared" si="30"/>
        <v>-525069.4499999996</v>
      </c>
      <c r="S413" s="24"/>
    </row>
    <row r="414" spans="1:19" s="10" customFormat="1">
      <c r="A414" s="10" t="s">
        <v>328</v>
      </c>
      <c r="B414" s="24">
        <f>+'KY_Res by Plant Acct-P29 (Fin)'!B414+'KY_Res by Plant Acct-P29 (PA)'!B412</f>
        <v>-24830.03</v>
      </c>
      <c r="C414" s="27"/>
      <c r="D414" s="24">
        <f>+'KY_Res by Plant Acct-P29 (Fin)'!D414+'KY_Res by Plant Acct-P29 (PA)'!D412</f>
        <v>-1838.16</v>
      </c>
      <c r="E414" s="27"/>
      <c r="F414" s="24">
        <f>+'KY_Res by Plant Acct-P29 (Fin)'!F414+'KY_Res by Plant Acct-P29 (PA)'!F412</f>
        <v>0</v>
      </c>
      <c r="G414" s="27"/>
      <c r="H414" s="24">
        <f>+'KY_Res by Plant Acct-P29 (Fin)'!H414+'KY_Res by Plant Acct-P29 (PA)'!H412</f>
        <v>0</v>
      </c>
      <c r="I414" s="27"/>
      <c r="J414" s="24">
        <f>+'KY_Res by Plant Acct-P29 (Fin)'!J414+'KY_Res by Plant Acct-P29 (PA)'!J412</f>
        <v>0</v>
      </c>
      <c r="K414" s="27"/>
      <c r="L414" s="24">
        <f>+'KY_Res by Plant Acct-P29 (Fin)'!L414+'KY_Res by Plant Acct-P29 (PA)'!L412</f>
        <v>0</v>
      </c>
      <c r="M414" s="27"/>
      <c r="N414" s="24">
        <f>+'KY_Res by Plant Acct-P29 (Fin)'!N414+'KY_Res by Plant Acct-P29 (PA)'!N412</f>
        <v>0</v>
      </c>
      <c r="O414" s="27"/>
      <c r="P414" s="24">
        <f>+'KY_Res by Plant Acct-P29 (Fin)'!P414+'KY_Res by Plant Acct-P29 (PA)'!P412</f>
        <v>0</v>
      </c>
      <c r="Q414" s="27"/>
      <c r="R414" s="24">
        <f t="shared" si="30"/>
        <v>-26668.19</v>
      </c>
      <c r="S414" s="24"/>
    </row>
    <row r="415" spans="1:19" s="10" customFormat="1">
      <c r="A415" s="10" t="s">
        <v>324</v>
      </c>
      <c r="B415" s="24">
        <f>+'KY_Res by Plant Acct-P29 (Fin)'!B415+'KY_Res by Plant Acct-P29 (PA)'!B413</f>
        <v>-46257.440000000002</v>
      </c>
      <c r="C415" s="27"/>
      <c r="D415" s="24">
        <f>+'KY_Res by Plant Acct-P29 (Fin)'!D415+'KY_Res by Plant Acct-P29 (PA)'!D413</f>
        <v>-6230.16</v>
      </c>
      <c r="E415" s="27"/>
      <c r="F415" s="24">
        <f>+'KY_Res by Plant Acct-P29 (Fin)'!F415+'KY_Res by Plant Acct-P29 (PA)'!F413</f>
        <v>0</v>
      </c>
      <c r="G415" s="27"/>
      <c r="H415" s="24">
        <f>+'KY_Res by Plant Acct-P29 (Fin)'!H415+'KY_Res by Plant Acct-P29 (PA)'!H413</f>
        <v>0</v>
      </c>
      <c r="I415" s="27"/>
      <c r="J415" s="24">
        <f>+'KY_Res by Plant Acct-P29 (Fin)'!J415+'KY_Res by Plant Acct-P29 (PA)'!J413</f>
        <v>0</v>
      </c>
      <c r="K415" s="27"/>
      <c r="L415" s="24">
        <f>+'KY_Res by Plant Acct-P29 (Fin)'!L415+'KY_Res by Plant Acct-P29 (PA)'!L413</f>
        <v>0</v>
      </c>
      <c r="M415" s="27"/>
      <c r="N415" s="24">
        <f>+'KY_Res by Plant Acct-P29 (Fin)'!N415+'KY_Res by Plant Acct-P29 (PA)'!N413</f>
        <v>0</v>
      </c>
      <c r="O415" s="27"/>
      <c r="P415" s="24">
        <f>+'KY_Res by Plant Acct-P29 (Fin)'!P415+'KY_Res by Plant Acct-P29 (PA)'!P413</f>
        <v>0</v>
      </c>
      <c r="Q415" s="27"/>
      <c r="R415" s="24">
        <f t="shared" si="30"/>
        <v>-52487.600000000006</v>
      </c>
      <c r="S415" s="24"/>
    </row>
    <row r="416" spans="1:19" s="10" customFormat="1">
      <c r="A416" s="10" t="s">
        <v>322</v>
      </c>
      <c r="B416" s="24">
        <f>+'KY_Res by Plant Acct-P29 (Fin)'!B416+'KY_Res by Plant Acct-P29 (PA)'!B414</f>
        <v>-856612.8599999994</v>
      </c>
      <c r="C416" s="27"/>
      <c r="D416" s="24">
        <f>+'KY_Res by Plant Acct-P29 (Fin)'!D416+'KY_Res by Plant Acct-P29 (PA)'!D414</f>
        <v>-128555.89000000001</v>
      </c>
      <c r="E416" s="27"/>
      <c r="F416" s="24">
        <f>+'KY_Res by Plant Acct-P29 (Fin)'!F416+'KY_Res by Plant Acct-P29 (PA)'!F414</f>
        <v>0</v>
      </c>
      <c r="G416" s="27"/>
      <c r="H416" s="24">
        <f>+'KY_Res by Plant Acct-P29 (Fin)'!H416+'KY_Res by Plant Acct-P29 (PA)'!H414</f>
        <v>0</v>
      </c>
      <c r="I416" s="27"/>
      <c r="J416" s="24">
        <f>+'KY_Res by Plant Acct-P29 (Fin)'!J416+'KY_Res by Plant Acct-P29 (PA)'!J414</f>
        <v>0</v>
      </c>
      <c r="K416" s="27"/>
      <c r="L416" s="24">
        <f>+'KY_Res by Plant Acct-P29 (Fin)'!L416+'KY_Res by Plant Acct-P29 (PA)'!L414</f>
        <v>0</v>
      </c>
      <c r="M416" s="27"/>
      <c r="N416" s="24">
        <f>+'KY_Res by Plant Acct-P29 (Fin)'!N416+'KY_Res by Plant Acct-P29 (PA)'!N414</f>
        <v>0</v>
      </c>
      <c r="O416" s="27"/>
      <c r="P416" s="24">
        <f>+'KY_Res by Plant Acct-P29 (Fin)'!P416+'KY_Res by Plant Acct-P29 (PA)'!P414</f>
        <v>0</v>
      </c>
      <c r="Q416" s="27"/>
      <c r="R416" s="24">
        <f t="shared" si="30"/>
        <v>-985168.74999999942</v>
      </c>
      <c r="S416" s="24"/>
    </row>
    <row r="417" spans="1:20" s="10" customFormat="1">
      <c r="A417" s="10" t="s">
        <v>959</v>
      </c>
      <c r="B417" s="24">
        <f>+'KY_Res by Plant Acct-P29 (Fin)'!B417+'KY_Res by Plant Acct-P29 (PA)'!B415</f>
        <v>68659.939999999944</v>
      </c>
      <c r="C417" s="27"/>
      <c r="D417" s="24">
        <f>+'KY_Res by Plant Acct-P29 (Fin)'!D417+'KY_Res by Plant Acct-P29 (PA)'!D415</f>
        <v>-45800.43</v>
      </c>
      <c r="E417" s="27"/>
      <c r="F417" s="24">
        <f>+'KY_Res by Plant Acct-P29 (Fin)'!F417+'KY_Res by Plant Acct-P29 (PA)'!F415</f>
        <v>0</v>
      </c>
      <c r="G417" s="27"/>
      <c r="H417" s="24">
        <f>+'KY_Res by Plant Acct-P29 (Fin)'!H417+'KY_Res by Plant Acct-P29 (PA)'!H415</f>
        <v>0</v>
      </c>
      <c r="I417" s="27"/>
      <c r="J417" s="24">
        <f>+'KY_Res by Plant Acct-P29 (Fin)'!J417+'KY_Res by Plant Acct-P29 (PA)'!J415</f>
        <v>0</v>
      </c>
      <c r="K417" s="27"/>
      <c r="L417" s="24">
        <f>+'KY_Res by Plant Acct-P29 (Fin)'!L417+'KY_Res by Plant Acct-P29 (PA)'!L415</f>
        <v>0</v>
      </c>
      <c r="M417" s="27"/>
      <c r="N417" s="24">
        <f>+'KY_Res by Plant Acct-P29 (Fin)'!N417+'KY_Res by Plant Acct-P29 (PA)'!N415</f>
        <v>0</v>
      </c>
      <c r="O417" s="27"/>
      <c r="P417" s="24">
        <f>+'KY_Res by Plant Acct-P29 (Fin)'!P417+'KY_Res by Plant Acct-P29 (PA)'!P415</f>
        <v>0</v>
      </c>
      <c r="Q417" s="27"/>
      <c r="R417" s="24">
        <f t="shared" si="30"/>
        <v>22859.509999999944</v>
      </c>
      <c r="S417" s="24"/>
    </row>
    <row r="418" spans="1:20" s="10" customFormat="1">
      <c r="A418" s="10" t="s">
        <v>1429</v>
      </c>
      <c r="B418" s="24">
        <f>+'KY_Res by Plant Acct-P29 (Fin)'!B418+'KY_Res by Plant Acct-P29 (PA)'!B416</f>
        <v>-3934096.2600000007</v>
      </c>
      <c r="C418" s="27"/>
      <c r="D418" s="24">
        <f>+'KY_Res by Plant Acct-P29 (Fin)'!D418+'KY_Res by Plant Acct-P29 (PA)'!D416</f>
        <v>-770475.36999999988</v>
      </c>
      <c r="E418" s="27"/>
      <c r="F418" s="24">
        <f>+'KY_Res by Plant Acct-P29 (Fin)'!F418+'KY_Res by Plant Acct-P29 (PA)'!F416</f>
        <v>0</v>
      </c>
      <c r="G418" s="27"/>
      <c r="H418" s="24">
        <f>+'KY_Res by Plant Acct-P29 (Fin)'!H418+'KY_Res by Plant Acct-P29 (PA)'!H416</f>
        <v>0</v>
      </c>
      <c r="I418" s="27"/>
      <c r="J418" s="24">
        <f>+'KY_Res by Plant Acct-P29 (Fin)'!J418+'KY_Res by Plant Acct-P29 (PA)'!J416</f>
        <v>0</v>
      </c>
      <c r="K418" s="27"/>
      <c r="L418" s="24">
        <f>+'KY_Res by Plant Acct-P29 (Fin)'!L418+'KY_Res by Plant Acct-P29 (PA)'!L416</f>
        <v>0</v>
      </c>
      <c r="M418" s="27"/>
      <c r="N418" s="24">
        <f>+'KY_Res by Plant Acct-P29 (Fin)'!N418+'KY_Res by Plant Acct-P29 (PA)'!N416</f>
        <v>0</v>
      </c>
      <c r="O418" s="27"/>
      <c r="P418" s="24">
        <f>+'KY_Res by Plant Acct-P29 (Fin)'!P418+'KY_Res by Plant Acct-P29 (PA)'!P416</f>
        <v>0</v>
      </c>
      <c r="Q418" s="27"/>
      <c r="R418" s="24">
        <f t="shared" ref="R418:R420" si="33">SUM(B418:P418)</f>
        <v>-4704571.6300000008</v>
      </c>
      <c r="S418" s="24"/>
    </row>
    <row r="419" spans="1:20" s="10" customFormat="1">
      <c r="A419" s="10" t="s">
        <v>961</v>
      </c>
      <c r="B419" s="24">
        <f>+'KY_Res by Plant Acct-P29 (Fin)'!B419+'KY_Res by Plant Acct-P29 (PA)'!B417</f>
        <v>-879942.2100000002</v>
      </c>
      <c r="C419" s="27"/>
      <c r="D419" s="24">
        <f>+'KY_Res by Plant Acct-P29 (Fin)'!D419+'KY_Res by Plant Acct-P29 (PA)'!D417</f>
        <v>-203423.71</v>
      </c>
      <c r="E419" s="27"/>
      <c r="F419" s="24">
        <f>+'KY_Res by Plant Acct-P29 (Fin)'!F419+'KY_Res by Plant Acct-P29 (PA)'!F417</f>
        <v>0</v>
      </c>
      <c r="G419" s="27"/>
      <c r="H419" s="24">
        <f>+'KY_Res by Plant Acct-P29 (Fin)'!H419+'KY_Res by Plant Acct-P29 (PA)'!H417</f>
        <v>0</v>
      </c>
      <c r="I419" s="27"/>
      <c r="J419" s="24">
        <f>+'KY_Res by Plant Acct-P29 (Fin)'!J419+'KY_Res by Plant Acct-P29 (PA)'!J417</f>
        <v>0</v>
      </c>
      <c r="K419" s="27"/>
      <c r="L419" s="24">
        <f>+'KY_Res by Plant Acct-P29 (Fin)'!L419+'KY_Res by Plant Acct-P29 (PA)'!L417</f>
        <v>0</v>
      </c>
      <c r="M419" s="27"/>
      <c r="N419" s="24">
        <f>+'KY_Res by Plant Acct-P29 (Fin)'!N419+'KY_Res by Plant Acct-P29 (PA)'!N417</f>
        <v>0</v>
      </c>
      <c r="O419" s="27"/>
      <c r="P419" s="24">
        <f>+'KY_Res by Plant Acct-P29 (Fin)'!P419+'KY_Res by Plant Acct-P29 (PA)'!P417</f>
        <v>0</v>
      </c>
      <c r="Q419" s="27"/>
      <c r="R419" s="24">
        <f t="shared" si="33"/>
        <v>-1083365.9200000002</v>
      </c>
      <c r="S419" s="24"/>
    </row>
    <row r="420" spans="1:20" s="10" customFormat="1">
      <c r="A420" s="10" t="s">
        <v>1433</v>
      </c>
      <c r="B420" s="24">
        <f>+'KY_Res by Plant Acct-P29 (Fin)'!B420+'KY_Res by Plant Acct-P29 (PA)'!B418</f>
        <v>518.69999999999709</v>
      </c>
      <c r="C420" s="27"/>
      <c r="D420" s="24">
        <f>+'KY_Res by Plant Acct-P29 (Fin)'!D420+'KY_Res by Plant Acct-P29 (PA)'!D418</f>
        <v>-4262.3999999999996</v>
      </c>
      <c r="E420" s="27"/>
      <c r="F420" s="24">
        <f>+'KY_Res by Plant Acct-P29 (Fin)'!F420+'KY_Res by Plant Acct-P29 (PA)'!F418</f>
        <v>0</v>
      </c>
      <c r="G420" s="27"/>
      <c r="H420" s="24">
        <f>+'KY_Res by Plant Acct-P29 (Fin)'!H420+'KY_Res by Plant Acct-P29 (PA)'!H418</f>
        <v>0</v>
      </c>
      <c r="I420" s="27"/>
      <c r="J420" s="24">
        <f>+'KY_Res by Plant Acct-P29 (Fin)'!J420+'KY_Res by Plant Acct-P29 (PA)'!J418</f>
        <v>0</v>
      </c>
      <c r="K420" s="27"/>
      <c r="L420" s="24">
        <f>+'KY_Res by Plant Acct-P29 (Fin)'!L420+'KY_Res by Plant Acct-P29 (PA)'!L418</f>
        <v>0</v>
      </c>
      <c r="M420" s="27"/>
      <c r="N420" s="24">
        <f>+'KY_Res by Plant Acct-P29 (Fin)'!N420+'KY_Res by Plant Acct-P29 (PA)'!N418</f>
        <v>0</v>
      </c>
      <c r="O420" s="27"/>
      <c r="P420" s="24">
        <f>+'KY_Res by Plant Acct-P29 (Fin)'!P420+'KY_Res by Plant Acct-P29 (PA)'!P418</f>
        <v>0</v>
      </c>
      <c r="Q420" s="27"/>
      <c r="R420" s="24">
        <f t="shared" si="33"/>
        <v>-3743.7000000000025</v>
      </c>
      <c r="S420" s="24"/>
    </row>
    <row r="421" spans="1:20" s="10" customFormat="1">
      <c r="A421" s="10" t="s">
        <v>963</v>
      </c>
      <c r="B421" s="24">
        <f>+'KY_Res by Plant Acct-P29 (Fin)'!B421+'KY_Res by Plant Acct-P29 (PA)'!B419</f>
        <v>89417.439999999711</v>
      </c>
      <c r="C421" s="27"/>
      <c r="D421" s="24">
        <f>+'KY_Res by Plant Acct-P29 (Fin)'!D421+'KY_Res by Plant Acct-P29 (PA)'!D419</f>
        <v>-38839.590000000004</v>
      </c>
      <c r="E421" s="27"/>
      <c r="F421" s="24">
        <f>+'KY_Res by Plant Acct-P29 (Fin)'!F421+'KY_Res by Plant Acct-P29 (PA)'!F419</f>
        <v>0</v>
      </c>
      <c r="G421" s="27"/>
      <c r="H421" s="24">
        <f>+'KY_Res by Plant Acct-P29 (Fin)'!H421+'KY_Res by Plant Acct-P29 (PA)'!H419</f>
        <v>0</v>
      </c>
      <c r="I421" s="27"/>
      <c r="J421" s="24">
        <f>+'KY_Res by Plant Acct-P29 (Fin)'!J421+'KY_Res by Plant Acct-P29 (PA)'!J419</f>
        <v>0</v>
      </c>
      <c r="K421" s="27"/>
      <c r="L421" s="24">
        <f>+'KY_Res by Plant Acct-P29 (Fin)'!L421+'KY_Res by Plant Acct-P29 (PA)'!L419</f>
        <v>0</v>
      </c>
      <c r="M421" s="27"/>
      <c r="N421" s="24">
        <f>+'KY_Res by Plant Acct-P29 (Fin)'!N421+'KY_Res by Plant Acct-P29 (PA)'!N419</f>
        <v>0</v>
      </c>
      <c r="O421" s="27"/>
      <c r="P421" s="24">
        <f>+'KY_Res by Plant Acct-P29 (Fin)'!P421+'KY_Res by Plant Acct-P29 (PA)'!P419</f>
        <v>0</v>
      </c>
      <c r="Q421" s="27"/>
      <c r="R421" s="24">
        <f t="shared" si="30"/>
        <v>50577.849999999708</v>
      </c>
      <c r="S421" s="24"/>
    </row>
    <row r="422" spans="1:20" s="10" customFormat="1">
      <c r="A422" s="10" t="s">
        <v>331</v>
      </c>
      <c r="B422" s="24">
        <f>+'KY_Res by Plant Acct-P29 (Fin)'!B422+'KY_Res by Plant Acct-P29 (PA)'!B420</f>
        <v>-21739.020000000004</v>
      </c>
      <c r="C422" s="27"/>
      <c r="D422" s="24">
        <f>+'KY_Res by Plant Acct-P29 (Fin)'!D422+'KY_Res by Plant Acct-P29 (PA)'!D420</f>
        <v>-8030.87</v>
      </c>
      <c r="E422" s="27"/>
      <c r="F422" s="24">
        <f>+'KY_Res by Plant Acct-P29 (Fin)'!F422+'KY_Res by Plant Acct-P29 (PA)'!F420</f>
        <v>0</v>
      </c>
      <c r="G422" s="27"/>
      <c r="H422" s="24">
        <f>+'KY_Res by Plant Acct-P29 (Fin)'!H422+'KY_Res by Plant Acct-P29 (PA)'!H420</f>
        <v>0</v>
      </c>
      <c r="I422" s="27"/>
      <c r="J422" s="24">
        <f>+'KY_Res by Plant Acct-P29 (Fin)'!J422+'KY_Res by Plant Acct-P29 (PA)'!J420</f>
        <v>0</v>
      </c>
      <c r="K422" s="27"/>
      <c r="L422" s="24">
        <f>+'KY_Res by Plant Acct-P29 (Fin)'!L422+'KY_Res by Plant Acct-P29 (PA)'!L420</f>
        <v>0</v>
      </c>
      <c r="M422" s="27"/>
      <c r="N422" s="24">
        <f>+'KY_Res by Plant Acct-P29 (Fin)'!N422+'KY_Res by Plant Acct-P29 (PA)'!N420</f>
        <v>0</v>
      </c>
      <c r="O422" s="27"/>
      <c r="P422" s="24">
        <f>+'KY_Res by Plant Acct-P29 (Fin)'!P422+'KY_Res by Plant Acct-P29 (PA)'!P420</f>
        <v>0</v>
      </c>
      <c r="Q422" s="27"/>
      <c r="R422" s="24">
        <f t="shared" si="30"/>
        <v>-29769.890000000003</v>
      </c>
      <c r="S422" s="24"/>
    </row>
    <row r="423" spans="1:20" s="10" customFormat="1">
      <c r="A423" s="10" t="s">
        <v>957</v>
      </c>
      <c r="B423" s="24">
        <f>+'KY_Res by Plant Acct-P29 (Fin)'!B423+'KY_Res by Plant Acct-P29 (PA)'!B421</f>
        <v>-321.77000000000044</v>
      </c>
      <c r="C423" s="27"/>
      <c r="D423" s="24">
        <f>+'KY_Res by Plant Acct-P29 (Fin)'!D423+'KY_Res by Plant Acct-P29 (PA)'!D421</f>
        <v>-551.46</v>
      </c>
      <c r="E423" s="27"/>
      <c r="F423" s="24">
        <f>+'KY_Res by Plant Acct-P29 (Fin)'!F423+'KY_Res by Plant Acct-P29 (PA)'!F421</f>
        <v>0</v>
      </c>
      <c r="G423" s="27"/>
      <c r="H423" s="24">
        <f>+'KY_Res by Plant Acct-P29 (Fin)'!H423+'KY_Res by Plant Acct-P29 (PA)'!H421</f>
        <v>0</v>
      </c>
      <c r="I423" s="27"/>
      <c r="J423" s="24">
        <f>+'KY_Res by Plant Acct-P29 (Fin)'!J423+'KY_Res by Plant Acct-P29 (PA)'!J421</f>
        <v>0</v>
      </c>
      <c r="K423" s="27"/>
      <c r="L423" s="24">
        <f>+'KY_Res by Plant Acct-P29 (Fin)'!L423+'KY_Res by Plant Acct-P29 (PA)'!L421</f>
        <v>0</v>
      </c>
      <c r="M423" s="27"/>
      <c r="N423" s="24">
        <f>+'KY_Res by Plant Acct-P29 (Fin)'!N423+'KY_Res by Plant Acct-P29 (PA)'!N421</f>
        <v>0</v>
      </c>
      <c r="O423" s="27"/>
      <c r="P423" s="24">
        <f>+'KY_Res by Plant Acct-P29 (Fin)'!P423+'KY_Res by Plant Acct-P29 (PA)'!P421</f>
        <v>0</v>
      </c>
      <c r="Q423" s="27"/>
      <c r="R423" s="24">
        <f t="shared" si="30"/>
        <v>-873.23000000000047</v>
      </c>
      <c r="S423" s="24"/>
    </row>
    <row r="424" spans="1:20" s="10" customFormat="1">
      <c r="A424" s="10" t="s">
        <v>958</v>
      </c>
      <c r="B424" s="24">
        <f>+'KY_Res by Plant Acct-P29 (Fin)'!B424+'KY_Res by Plant Acct-P29 (PA)'!B422</f>
        <v>-53508.270000000019</v>
      </c>
      <c r="C424" s="27"/>
      <c r="D424" s="24">
        <f>+'KY_Res by Plant Acct-P29 (Fin)'!D424+'KY_Res by Plant Acct-P29 (PA)'!D422</f>
        <v>-15902.099999999999</v>
      </c>
      <c r="E424" s="27"/>
      <c r="F424" s="24">
        <f>+'KY_Res by Plant Acct-P29 (Fin)'!F424+'KY_Res by Plant Acct-P29 (PA)'!F422</f>
        <v>0</v>
      </c>
      <c r="G424" s="27"/>
      <c r="H424" s="24">
        <f>+'KY_Res by Plant Acct-P29 (Fin)'!H424+'KY_Res by Plant Acct-P29 (PA)'!H422</f>
        <v>0</v>
      </c>
      <c r="I424" s="27"/>
      <c r="J424" s="24">
        <f>+'KY_Res by Plant Acct-P29 (Fin)'!J424+'KY_Res by Plant Acct-P29 (PA)'!J422</f>
        <v>0</v>
      </c>
      <c r="K424" s="27"/>
      <c r="L424" s="24">
        <f>+'KY_Res by Plant Acct-P29 (Fin)'!L424+'KY_Res by Plant Acct-P29 (PA)'!L422</f>
        <v>0</v>
      </c>
      <c r="M424" s="27"/>
      <c r="N424" s="24">
        <f>+'KY_Res by Plant Acct-P29 (Fin)'!N424+'KY_Res by Plant Acct-P29 (PA)'!N422</f>
        <v>0</v>
      </c>
      <c r="O424" s="27"/>
      <c r="P424" s="24">
        <f>+'KY_Res by Plant Acct-P29 (Fin)'!P424+'KY_Res by Plant Acct-P29 (PA)'!P422</f>
        <v>0</v>
      </c>
      <c r="Q424" s="27"/>
      <c r="R424" s="24">
        <f t="shared" si="30"/>
        <v>-69410.370000000024</v>
      </c>
      <c r="S424" s="24"/>
    </row>
    <row r="425" spans="1:20" s="10" customFormat="1">
      <c r="A425" s="10" t="s">
        <v>329</v>
      </c>
      <c r="B425" s="24">
        <f>+'KY_Res by Plant Acct-P29 (Fin)'!B425+'KY_Res by Plant Acct-P29 (PA)'!B423</f>
        <v>-99334.509999999776</v>
      </c>
      <c r="C425" s="27"/>
      <c r="D425" s="24">
        <f>+'KY_Res by Plant Acct-P29 (Fin)'!D425+'KY_Res by Plant Acct-P29 (PA)'!D423</f>
        <v>-46831.8</v>
      </c>
      <c r="E425" s="27"/>
      <c r="F425" s="24">
        <f>+'KY_Res by Plant Acct-P29 (Fin)'!F425+'KY_Res by Plant Acct-P29 (PA)'!F423</f>
        <v>0</v>
      </c>
      <c r="G425" s="27"/>
      <c r="H425" s="24">
        <f>+'KY_Res by Plant Acct-P29 (Fin)'!H425+'KY_Res by Plant Acct-P29 (PA)'!H423</f>
        <v>-87673.27</v>
      </c>
      <c r="I425" s="27"/>
      <c r="J425" s="24">
        <f>+'KY_Res by Plant Acct-P29 (Fin)'!J425+'KY_Res by Plant Acct-P29 (PA)'!J423</f>
        <v>0</v>
      </c>
      <c r="K425" s="27"/>
      <c r="L425" s="24">
        <f>+'KY_Res by Plant Acct-P29 (Fin)'!L425+'KY_Res by Plant Acct-P29 (PA)'!L423</f>
        <v>0</v>
      </c>
      <c r="M425" s="27"/>
      <c r="N425" s="24">
        <f>+'KY_Res by Plant Acct-P29 (Fin)'!N425+'KY_Res by Plant Acct-P29 (PA)'!N423</f>
        <v>0</v>
      </c>
      <c r="O425" s="27"/>
      <c r="P425" s="24">
        <f>+'KY_Res by Plant Acct-P29 (Fin)'!P425+'KY_Res by Plant Acct-P29 (PA)'!P423</f>
        <v>0</v>
      </c>
      <c r="Q425" s="27"/>
      <c r="R425" s="24">
        <f t="shared" si="30"/>
        <v>-233839.57999999978</v>
      </c>
      <c r="S425" s="24"/>
      <c r="T425" s="72"/>
    </row>
    <row r="426" spans="1:20" s="10" customFormat="1">
      <c r="A426" s="10" t="s">
        <v>962</v>
      </c>
      <c r="B426" s="24">
        <f>+'KY_Res by Plant Acct-P29 (Fin)'!B426+'KY_Res by Plant Acct-P29 (PA)'!B424</f>
        <v>231.25000000000182</v>
      </c>
      <c r="C426" s="27"/>
      <c r="D426" s="24">
        <f>+'KY_Res by Plant Acct-P29 (Fin)'!D426+'KY_Res by Plant Acct-P29 (PA)'!D424</f>
        <v>0</v>
      </c>
      <c r="E426" s="27"/>
      <c r="F426" s="24">
        <f>+'KY_Res by Plant Acct-P29 (Fin)'!F426+'KY_Res by Plant Acct-P29 (PA)'!F424</f>
        <v>0</v>
      </c>
      <c r="G426" s="27"/>
      <c r="H426" s="24">
        <f>+'KY_Res by Plant Acct-P29 (Fin)'!H426+'KY_Res by Plant Acct-P29 (PA)'!H424</f>
        <v>0</v>
      </c>
      <c r="I426" s="27"/>
      <c r="J426" s="24">
        <f>+'KY_Res by Plant Acct-P29 (Fin)'!J426+'KY_Res by Plant Acct-P29 (PA)'!J424</f>
        <v>0</v>
      </c>
      <c r="K426" s="27"/>
      <c r="L426" s="24">
        <f>+'KY_Res by Plant Acct-P29 (Fin)'!L426+'KY_Res by Plant Acct-P29 (PA)'!L424</f>
        <v>0</v>
      </c>
      <c r="M426" s="27"/>
      <c r="N426" s="24">
        <f>+'KY_Res by Plant Acct-P29 (Fin)'!N426+'KY_Res by Plant Acct-P29 (PA)'!N424</f>
        <v>0</v>
      </c>
      <c r="O426" s="27"/>
      <c r="P426" s="24">
        <f>+'KY_Res by Plant Acct-P29 (Fin)'!P426+'KY_Res by Plant Acct-P29 (PA)'!P424</f>
        <v>0</v>
      </c>
      <c r="Q426" s="27"/>
      <c r="R426" s="24">
        <f t="shared" si="30"/>
        <v>231.25000000000182</v>
      </c>
      <c r="S426" s="24"/>
    </row>
    <row r="427" spans="1:20" s="10" customFormat="1">
      <c r="A427" s="10" t="s">
        <v>326</v>
      </c>
      <c r="B427" s="24">
        <f>+'KY_Res by Plant Acct-P29 (Fin)'!B427+'KY_Res by Plant Acct-P29 (PA)'!B425</f>
        <v>-5313</v>
      </c>
      <c r="C427" s="27"/>
      <c r="D427" s="24">
        <f>+'KY_Res by Plant Acct-P29 (Fin)'!D427+'KY_Res by Plant Acct-P29 (PA)'!D425</f>
        <v>-1138.5</v>
      </c>
      <c r="E427" s="27"/>
      <c r="F427" s="24">
        <f>+'KY_Res by Plant Acct-P29 (Fin)'!F427+'KY_Res by Plant Acct-P29 (PA)'!F425</f>
        <v>0</v>
      </c>
      <c r="G427" s="27"/>
      <c r="H427" s="24">
        <f>+'KY_Res by Plant Acct-P29 (Fin)'!H427+'KY_Res by Plant Acct-P29 (PA)'!H425</f>
        <v>0</v>
      </c>
      <c r="I427" s="27"/>
      <c r="J427" s="24">
        <f>+'KY_Res by Plant Acct-P29 (Fin)'!J427+'KY_Res by Plant Acct-P29 (PA)'!J425</f>
        <v>0</v>
      </c>
      <c r="K427" s="27"/>
      <c r="L427" s="24">
        <f>+'KY_Res by Plant Acct-P29 (Fin)'!L427+'KY_Res by Plant Acct-P29 (PA)'!L425</f>
        <v>0</v>
      </c>
      <c r="M427" s="27"/>
      <c r="N427" s="24">
        <f>+'KY_Res by Plant Acct-P29 (Fin)'!N427+'KY_Res by Plant Acct-P29 (PA)'!N425</f>
        <v>0</v>
      </c>
      <c r="O427" s="27"/>
      <c r="P427" s="24">
        <f>+'KY_Res by Plant Acct-P29 (Fin)'!P427+'KY_Res by Plant Acct-P29 (PA)'!P425</f>
        <v>0</v>
      </c>
      <c r="Q427" s="27"/>
      <c r="R427" s="24">
        <f t="shared" si="30"/>
        <v>-6451.5</v>
      </c>
      <c r="S427" s="24"/>
    </row>
    <row r="428" spans="1:20" s="10" customFormat="1">
      <c r="A428" s="10" t="s">
        <v>964</v>
      </c>
      <c r="B428" s="24">
        <f>+'KY_Res by Plant Acct-P29 (Fin)'!B428+'KY_Res by Plant Acct-P29 (PA)'!B426</f>
        <v>82.899999999997817</v>
      </c>
      <c r="C428" s="27"/>
      <c r="D428" s="24">
        <f>+'KY_Res by Plant Acct-P29 (Fin)'!D428+'KY_Res by Plant Acct-P29 (PA)'!D426</f>
        <v>-141.84</v>
      </c>
      <c r="E428" s="27"/>
      <c r="F428" s="24">
        <f>+'KY_Res by Plant Acct-P29 (Fin)'!F428+'KY_Res by Plant Acct-P29 (PA)'!F426</f>
        <v>0</v>
      </c>
      <c r="G428" s="27"/>
      <c r="H428" s="24">
        <f>+'KY_Res by Plant Acct-P29 (Fin)'!H428+'KY_Res by Plant Acct-P29 (PA)'!H426</f>
        <v>0</v>
      </c>
      <c r="I428" s="27"/>
      <c r="J428" s="24">
        <f>+'KY_Res by Plant Acct-P29 (Fin)'!J428+'KY_Res by Plant Acct-P29 (PA)'!J426</f>
        <v>0</v>
      </c>
      <c r="K428" s="27"/>
      <c r="L428" s="24">
        <f>+'KY_Res by Plant Acct-P29 (Fin)'!L428+'KY_Res by Plant Acct-P29 (PA)'!L426</f>
        <v>0</v>
      </c>
      <c r="M428" s="27"/>
      <c r="N428" s="24">
        <f>+'KY_Res by Plant Acct-P29 (Fin)'!N428+'KY_Res by Plant Acct-P29 (PA)'!N426</f>
        <v>0</v>
      </c>
      <c r="O428" s="27"/>
      <c r="P428" s="24">
        <f>+'KY_Res by Plant Acct-P29 (Fin)'!P428+'KY_Res by Plant Acct-P29 (PA)'!P426</f>
        <v>0</v>
      </c>
      <c r="Q428" s="27"/>
      <c r="R428" s="24">
        <f t="shared" si="30"/>
        <v>-58.940000000002186</v>
      </c>
      <c r="S428" s="24"/>
    </row>
    <row r="429" spans="1:20" s="10" customFormat="1">
      <c r="A429" s="10" t="s">
        <v>817</v>
      </c>
      <c r="B429" s="24">
        <f>+'KY_Res by Plant Acct-P29 (Fin)'!B429+'KY_Res by Plant Acct-P29 (PA)'!B427</f>
        <v>-5388093.9600000009</v>
      </c>
      <c r="C429" s="27"/>
      <c r="D429" s="24">
        <f>+'KY_Res by Plant Acct-P29 (Fin)'!D429+'KY_Res by Plant Acct-P29 (PA)'!D427</f>
        <v>-1216794.71</v>
      </c>
      <c r="E429" s="27"/>
      <c r="F429" s="24">
        <f>+'KY_Res by Plant Acct-P29 (Fin)'!F429+'KY_Res by Plant Acct-P29 (PA)'!F427</f>
        <v>991.89</v>
      </c>
      <c r="G429" s="27"/>
      <c r="H429" s="24">
        <f>+'KY_Res by Plant Acct-P29 (Fin)'!H429+'KY_Res by Plant Acct-P29 (PA)'!H427</f>
        <v>0</v>
      </c>
      <c r="I429" s="27"/>
      <c r="J429" s="24">
        <f>+'KY_Res by Plant Acct-P29 (Fin)'!J429+'KY_Res by Plant Acct-P29 (PA)'!J427</f>
        <v>0</v>
      </c>
      <c r="K429" s="27"/>
      <c r="L429" s="24">
        <f>+'KY_Res by Plant Acct-P29 (Fin)'!L429+'KY_Res by Plant Acct-P29 (PA)'!L427</f>
        <v>0</v>
      </c>
      <c r="M429" s="27"/>
      <c r="N429" s="24">
        <f>+'KY_Res by Plant Acct-P29 (Fin)'!N429+'KY_Res by Plant Acct-P29 (PA)'!N427</f>
        <v>-3000</v>
      </c>
      <c r="O429" s="27"/>
      <c r="P429" s="24">
        <f>+'KY_Res by Plant Acct-P29 (Fin)'!P429+'KY_Res by Plant Acct-P29 (PA)'!P427</f>
        <v>0</v>
      </c>
      <c r="Q429" s="27"/>
      <c r="R429" s="24">
        <f t="shared" si="30"/>
        <v>-6606896.7800000012</v>
      </c>
      <c r="S429" s="24"/>
    </row>
    <row r="430" spans="1:20" s="10" customFormat="1">
      <c r="A430" s="10" t="s">
        <v>332</v>
      </c>
      <c r="B430" s="24">
        <f>+'KY_Res by Plant Acct-P29 (Fin)'!B430+'KY_Res by Plant Acct-P29 (PA)'!B428</f>
        <v>-65765.679999999702</v>
      </c>
      <c r="C430" s="27"/>
      <c r="D430" s="24">
        <f>+'KY_Res by Plant Acct-P29 (Fin)'!D430+'KY_Res by Plant Acct-P29 (PA)'!D428</f>
        <v>-14659.49</v>
      </c>
      <c r="E430" s="27"/>
      <c r="F430" s="24">
        <f>+'KY_Res by Plant Acct-P29 (Fin)'!F430+'KY_Res by Plant Acct-P29 (PA)'!F428</f>
        <v>0</v>
      </c>
      <c r="G430" s="27"/>
      <c r="H430" s="24">
        <f>+'KY_Res by Plant Acct-P29 (Fin)'!H430+'KY_Res by Plant Acct-P29 (PA)'!H428</f>
        <v>0</v>
      </c>
      <c r="I430" s="27"/>
      <c r="J430" s="24">
        <f>+'KY_Res by Plant Acct-P29 (Fin)'!J430+'KY_Res by Plant Acct-P29 (PA)'!J428</f>
        <v>0</v>
      </c>
      <c r="K430" s="27"/>
      <c r="L430" s="24">
        <f>+'KY_Res by Plant Acct-P29 (Fin)'!L430+'KY_Res by Plant Acct-P29 (PA)'!L428</f>
        <v>0</v>
      </c>
      <c r="M430" s="27"/>
      <c r="N430" s="24">
        <f>+'KY_Res by Plant Acct-P29 (Fin)'!N430+'KY_Res by Plant Acct-P29 (PA)'!N428</f>
        <v>0</v>
      </c>
      <c r="O430" s="27"/>
      <c r="P430" s="24">
        <f>+'KY_Res by Plant Acct-P29 (Fin)'!P430+'KY_Res by Plant Acct-P29 (PA)'!P428</f>
        <v>0</v>
      </c>
      <c r="Q430" s="27"/>
      <c r="R430" s="24">
        <f t="shared" si="30"/>
        <v>-80425.169999999707</v>
      </c>
      <c r="S430" s="24"/>
    </row>
    <row r="431" spans="1:20" s="10" customFormat="1">
      <c r="A431" s="10" t="s">
        <v>333</v>
      </c>
      <c r="B431" s="24">
        <f>+'KY_Res by Plant Acct-P29 (Fin)'!B431+'KY_Res by Plant Acct-P29 (PA)'!B429</f>
        <v>-208445.95999999985</v>
      </c>
      <c r="C431" s="27"/>
      <c r="D431" s="24">
        <f>+'KY_Res by Plant Acct-P29 (Fin)'!D431+'KY_Res by Plant Acct-P29 (PA)'!D429</f>
        <v>-1556.1299999999999</v>
      </c>
      <c r="E431" s="27"/>
      <c r="F431" s="24">
        <f>+'KY_Res by Plant Acct-P29 (Fin)'!F431+'KY_Res by Plant Acct-P29 (PA)'!F429</f>
        <v>0</v>
      </c>
      <c r="G431" s="27"/>
      <c r="H431" s="24">
        <f>+'KY_Res by Plant Acct-P29 (Fin)'!H431+'KY_Res by Plant Acct-P29 (PA)'!H429</f>
        <v>87673.27</v>
      </c>
      <c r="I431" s="27"/>
      <c r="J431" s="24">
        <f>+'KY_Res by Plant Acct-P29 (Fin)'!J431+'KY_Res by Plant Acct-P29 (PA)'!J429</f>
        <v>0</v>
      </c>
      <c r="K431" s="27"/>
      <c r="L431" s="24">
        <f>+'KY_Res by Plant Acct-P29 (Fin)'!L431+'KY_Res by Plant Acct-P29 (PA)'!L429</f>
        <v>0</v>
      </c>
      <c r="M431" s="27"/>
      <c r="N431" s="24">
        <f>+'KY_Res by Plant Acct-P29 (Fin)'!N431+'KY_Res by Plant Acct-P29 (PA)'!N429</f>
        <v>0</v>
      </c>
      <c r="O431" s="27"/>
      <c r="P431" s="24">
        <f>+'KY_Res by Plant Acct-P29 (Fin)'!P431+'KY_Res by Plant Acct-P29 (PA)'!P429</f>
        <v>0</v>
      </c>
      <c r="Q431" s="27"/>
      <c r="R431" s="24">
        <f t="shared" si="30"/>
        <v>-122328.81999999985</v>
      </c>
      <c r="S431" s="24"/>
    </row>
    <row r="432" spans="1:20" s="10" customFormat="1">
      <c r="A432" s="10" t="s">
        <v>334</v>
      </c>
      <c r="B432" s="28">
        <f>+'KY_Res by Plant Acct-P29 (Fin)'!B432+'KY_Res by Plant Acct-P29 (PA)'!B430</f>
        <v>-2403.5899999999974</v>
      </c>
      <c r="C432" s="27"/>
      <c r="D432" s="28">
        <f>+'KY_Res by Plant Acct-P29 (Fin)'!D432+'KY_Res by Plant Acct-P29 (PA)'!D430</f>
        <v>-515.09999999999991</v>
      </c>
      <c r="E432" s="27"/>
      <c r="F432" s="28">
        <f>+'KY_Res by Plant Acct-P29 (Fin)'!F432+'KY_Res by Plant Acct-P29 (PA)'!F430</f>
        <v>0</v>
      </c>
      <c r="G432" s="27"/>
      <c r="H432" s="28">
        <f>+'KY_Res by Plant Acct-P29 (Fin)'!H432+'KY_Res by Plant Acct-P29 (PA)'!H430</f>
        <v>0</v>
      </c>
      <c r="I432" s="27"/>
      <c r="J432" s="28">
        <f>+'KY_Res by Plant Acct-P29 (Fin)'!J432+'KY_Res by Plant Acct-P29 (PA)'!J430</f>
        <v>0</v>
      </c>
      <c r="K432" s="27"/>
      <c r="L432" s="28">
        <f>+'KY_Res by Plant Acct-P29 (Fin)'!L432+'KY_Res by Plant Acct-P29 (PA)'!L430</f>
        <v>0</v>
      </c>
      <c r="M432" s="27"/>
      <c r="N432" s="28">
        <f>+'KY_Res by Plant Acct-P29 (Fin)'!N432+'KY_Res by Plant Acct-P29 (PA)'!N430</f>
        <v>0</v>
      </c>
      <c r="O432" s="27"/>
      <c r="P432" s="28">
        <f>+'KY_Res by Plant Acct-P29 (Fin)'!P432+'KY_Res by Plant Acct-P29 (PA)'!P430</f>
        <v>0</v>
      </c>
      <c r="Q432" s="27"/>
      <c r="R432" s="28">
        <f t="shared" si="30"/>
        <v>-2918.6899999999973</v>
      </c>
      <c r="S432" s="24"/>
    </row>
    <row r="433" spans="1:19" s="10" customFormat="1">
      <c r="B433" s="27">
        <f>SUM(B405:B417)+SUM(B418:B432)</f>
        <v>-14148864.510000002</v>
      </c>
      <c r="C433" s="27"/>
      <c r="D433" s="27">
        <f>SUM(D405:D417)+SUM(D418:D432)</f>
        <v>-3081199.17</v>
      </c>
      <c r="E433" s="27"/>
      <c r="F433" s="27">
        <f>SUM(F405:F417)+SUM(F418:F432)</f>
        <v>96055.439999999988</v>
      </c>
      <c r="G433" s="152"/>
      <c r="H433" s="27">
        <f>SUM(H405:H417)+SUM(H418:H432)</f>
        <v>0</v>
      </c>
      <c r="I433" s="152"/>
      <c r="J433" s="27">
        <f>SUM(J405:J417)+SUM(J418:J432)</f>
        <v>0</v>
      </c>
      <c r="K433" s="152"/>
      <c r="L433" s="27">
        <f>SUM(L405:L417)+SUM(L418:L432)</f>
        <v>16557.84</v>
      </c>
      <c r="M433" s="27"/>
      <c r="N433" s="27">
        <f>SUM(N405:N417)+SUM(N418:N432)</f>
        <v>-3000</v>
      </c>
      <c r="O433" s="27"/>
      <c r="P433" s="27">
        <f>SUM(P405:P417)+SUM(P418:P432)</f>
        <v>0</v>
      </c>
      <c r="Q433" s="27"/>
      <c r="R433" s="27">
        <f>SUM(R405:R417)+SUM(R418:R432)</f>
        <v>-17120450.400000006</v>
      </c>
      <c r="S433" s="24"/>
    </row>
    <row r="434" spans="1:19" s="10" customFormat="1">
      <c r="B434" s="27"/>
      <c r="C434" s="27"/>
      <c r="D434" s="27"/>
      <c r="E434" s="27"/>
      <c r="F434" s="152"/>
      <c r="G434" s="152"/>
      <c r="H434" s="152"/>
      <c r="I434" s="152"/>
      <c r="J434" s="152"/>
      <c r="K434" s="152"/>
      <c r="L434" s="152"/>
      <c r="M434" s="27"/>
      <c r="N434" s="27"/>
      <c r="O434" s="27"/>
      <c r="P434" s="27"/>
      <c r="Q434" s="27"/>
      <c r="R434" s="27"/>
      <c r="S434" s="24"/>
    </row>
    <row r="435" spans="1:19" s="10" customFormat="1">
      <c r="A435" s="12" t="s">
        <v>651</v>
      </c>
      <c r="B435" s="27"/>
      <c r="C435" s="27"/>
      <c r="D435" s="27"/>
      <c r="E435" s="27"/>
      <c r="F435" s="27"/>
      <c r="G435" s="27"/>
      <c r="H435" s="27"/>
      <c r="I435" s="27"/>
      <c r="J435" s="27"/>
      <c r="K435" s="27"/>
      <c r="L435" s="27"/>
      <c r="M435" s="27"/>
      <c r="N435" s="27"/>
      <c r="O435" s="27"/>
      <c r="P435" s="27"/>
      <c r="Q435" s="27"/>
      <c r="R435" s="27"/>
      <c r="S435" s="24"/>
    </row>
    <row r="436" spans="1:19" s="10" customFormat="1">
      <c r="A436" s="10" t="s">
        <v>339</v>
      </c>
      <c r="B436" s="27">
        <f>+'KY_Res by Plant Acct-P29 (Fin)'!B436+'KY_Res by Plant Acct-P29 (PA)'!B434</f>
        <v>0</v>
      </c>
      <c r="C436" s="27"/>
      <c r="D436" s="27">
        <f>+'KY_Res by Plant Acct-P29 (Fin)'!D436+'KY_Res by Plant Acct-P29 (PA)'!D434</f>
        <v>0</v>
      </c>
      <c r="E436" s="27"/>
      <c r="F436" s="27">
        <f>+'KY_Res by Plant Acct-P29 (Fin)'!F436+'KY_Res by Plant Acct-P29 (PA)'!F434</f>
        <v>0</v>
      </c>
      <c r="G436" s="27"/>
      <c r="H436" s="27">
        <f>+'KY_Res by Plant Acct-P29 (Fin)'!H436+'KY_Res by Plant Acct-P29 (PA)'!H434</f>
        <v>0</v>
      </c>
      <c r="I436" s="27"/>
      <c r="J436" s="27">
        <f>+'KY_Res by Plant Acct-P29 (Fin)'!J436+'KY_Res by Plant Acct-P29 (PA)'!J434</f>
        <v>0</v>
      </c>
      <c r="K436" s="27"/>
      <c r="L436" s="27">
        <f>+'KY_Res by Plant Acct-P29 (Fin)'!L436+'KY_Res by Plant Acct-P29 (PA)'!L434</f>
        <v>0</v>
      </c>
      <c r="M436" s="27"/>
      <c r="N436" s="27">
        <f>+'KY_Res by Plant Acct-P29 (Fin)'!N436+'KY_Res by Plant Acct-P29 (PA)'!N434</f>
        <v>0</v>
      </c>
      <c r="O436" s="27"/>
      <c r="P436" s="27">
        <f>+'KY_Res by Plant Acct-P29 (Fin)'!P436+'KY_Res by Plant Acct-P29 (PA)'!P434</f>
        <v>0</v>
      </c>
      <c r="Q436" s="27"/>
      <c r="R436" s="24">
        <f>SUM(B436:P436)</f>
        <v>0</v>
      </c>
      <c r="S436" s="24"/>
    </row>
    <row r="437" spans="1:19" s="10" customFormat="1">
      <c r="A437" s="10" t="s">
        <v>340</v>
      </c>
      <c r="B437" s="27">
        <f>+'KY_Res by Plant Acct-P29 (Fin)'!B437+'KY_Res by Plant Acct-P29 (PA)'!B435</f>
        <v>0</v>
      </c>
      <c r="C437" s="27"/>
      <c r="D437" s="27">
        <f>+'KY_Res by Plant Acct-P29 (Fin)'!D437+'KY_Res by Plant Acct-P29 (PA)'!D435</f>
        <v>0</v>
      </c>
      <c r="E437" s="27"/>
      <c r="F437" s="27">
        <f>+'KY_Res by Plant Acct-P29 (Fin)'!F437+'KY_Res by Plant Acct-P29 (PA)'!F435</f>
        <v>0</v>
      </c>
      <c r="G437" s="27"/>
      <c r="H437" s="27">
        <f>+'KY_Res by Plant Acct-P29 (Fin)'!H437+'KY_Res by Plant Acct-P29 (PA)'!H435</f>
        <v>0</v>
      </c>
      <c r="I437" s="27"/>
      <c r="J437" s="27">
        <f>+'KY_Res by Plant Acct-P29 (Fin)'!J437+'KY_Res by Plant Acct-P29 (PA)'!J435</f>
        <v>0</v>
      </c>
      <c r="K437" s="27"/>
      <c r="L437" s="27">
        <f>+'KY_Res by Plant Acct-P29 (Fin)'!L437+'KY_Res by Plant Acct-P29 (PA)'!L435</f>
        <v>0</v>
      </c>
      <c r="M437" s="27"/>
      <c r="N437" s="27">
        <f>+'KY_Res by Plant Acct-P29 (Fin)'!N437+'KY_Res by Plant Acct-P29 (PA)'!N435</f>
        <v>0</v>
      </c>
      <c r="O437" s="27"/>
      <c r="P437" s="27">
        <f>+'KY_Res by Plant Acct-P29 (Fin)'!P437+'KY_Res by Plant Acct-P29 (PA)'!P435</f>
        <v>0</v>
      </c>
      <c r="Q437" s="27"/>
      <c r="R437" s="24">
        <f>SUM(B437:P437)</f>
        <v>0</v>
      </c>
      <c r="S437" s="24"/>
    </row>
    <row r="438" spans="1:19" s="10" customFormat="1">
      <c r="A438" s="10" t="s">
        <v>341</v>
      </c>
      <c r="B438" s="27">
        <f>+'KY_Res by Plant Acct-P29 (Fin)'!B438+'KY_Res by Plant Acct-P29 (PA)'!B436</f>
        <v>0</v>
      </c>
      <c r="C438" s="27"/>
      <c r="D438" s="27">
        <f>+'KY_Res by Plant Acct-P29 (Fin)'!D438+'KY_Res by Plant Acct-P29 (PA)'!D436</f>
        <v>0</v>
      </c>
      <c r="E438" s="27"/>
      <c r="F438" s="27">
        <f>+'KY_Res by Plant Acct-P29 (Fin)'!F438+'KY_Res by Plant Acct-P29 (PA)'!F436</f>
        <v>0</v>
      </c>
      <c r="G438" s="27"/>
      <c r="H438" s="27">
        <f>+'KY_Res by Plant Acct-P29 (Fin)'!H438+'KY_Res by Plant Acct-P29 (PA)'!H436</f>
        <v>0</v>
      </c>
      <c r="I438" s="27"/>
      <c r="J438" s="27">
        <f>+'KY_Res by Plant Acct-P29 (Fin)'!J438+'KY_Res by Plant Acct-P29 (PA)'!J436</f>
        <v>0</v>
      </c>
      <c r="K438" s="27"/>
      <c r="L438" s="27">
        <f>+'KY_Res by Plant Acct-P29 (Fin)'!L438+'KY_Res by Plant Acct-P29 (PA)'!L436</f>
        <v>0</v>
      </c>
      <c r="M438" s="27"/>
      <c r="N438" s="27">
        <f>+'KY_Res by Plant Acct-P29 (Fin)'!N438+'KY_Res by Plant Acct-P29 (PA)'!N436</f>
        <v>0</v>
      </c>
      <c r="O438" s="27"/>
      <c r="P438" s="27">
        <f>+'KY_Res by Plant Acct-P29 (Fin)'!P438+'KY_Res by Plant Acct-P29 (PA)'!P436</f>
        <v>0</v>
      </c>
      <c r="Q438" s="27"/>
      <c r="R438" s="24">
        <f>SUM(B438:P438)</f>
        <v>0</v>
      </c>
      <c r="S438" s="24"/>
    </row>
    <row r="439" spans="1:19" s="10" customFormat="1">
      <c r="A439" s="10" t="s">
        <v>342</v>
      </c>
      <c r="B439" s="28">
        <f>+'KY_Res by Plant Acct-P29 (Fin)'!B439+'KY_Res by Plant Acct-P29 (PA)'!B437</f>
        <v>0</v>
      </c>
      <c r="C439" s="27"/>
      <c r="D439" s="28">
        <f>+'KY_Res by Plant Acct-P29 (Fin)'!D439+'KY_Res by Plant Acct-P29 (PA)'!D437</f>
        <v>0</v>
      </c>
      <c r="E439" s="27"/>
      <c r="F439" s="28">
        <f>+'KY_Res by Plant Acct-P29 (Fin)'!F439+'KY_Res by Plant Acct-P29 (PA)'!F437</f>
        <v>0</v>
      </c>
      <c r="G439" s="27"/>
      <c r="H439" s="28">
        <f>+'KY_Res by Plant Acct-P29 (Fin)'!H439+'KY_Res by Plant Acct-P29 (PA)'!H437</f>
        <v>0</v>
      </c>
      <c r="I439" s="27"/>
      <c r="J439" s="28">
        <f>+'KY_Res by Plant Acct-P29 (Fin)'!J439+'KY_Res by Plant Acct-P29 (PA)'!J437</f>
        <v>0</v>
      </c>
      <c r="K439" s="27"/>
      <c r="L439" s="28">
        <f>+'KY_Res by Plant Acct-P29 (Fin)'!L439+'KY_Res by Plant Acct-P29 (PA)'!L437</f>
        <v>0</v>
      </c>
      <c r="M439" s="27"/>
      <c r="N439" s="28">
        <f>+'KY_Res by Plant Acct-P29 (Fin)'!N439+'KY_Res by Plant Acct-P29 (PA)'!N437</f>
        <v>0</v>
      </c>
      <c r="O439" s="27"/>
      <c r="P439" s="28">
        <f>+'KY_Res by Plant Acct-P29 (Fin)'!P439+'KY_Res by Plant Acct-P29 (PA)'!P437</f>
        <v>0</v>
      </c>
      <c r="Q439" s="27"/>
      <c r="R439" s="28">
        <f>SUM(B439:P439)</f>
        <v>0</v>
      </c>
      <c r="S439" s="24"/>
    </row>
    <row r="440" spans="1:19" s="10" customFormat="1">
      <c r="B440" s="27">
        <f>SUM(B436:B439)</f>
        <v>0</v>
      </c>
      <c r="C440" s="27"/>
      <c r="D440" s="27">
        <f>SUM(D436:D439)</f>
        <v>0</v>
      </c>
      <c r="E440" s="27"/>
      <c r="F440" s="27">
        <f>SUM(F436:F439)</f>
        <v>0</v>
      </c>
      <c r="G440" s="27"/>
      <c r="H440" s="27">
        <f>SUM(H436:H439)</f>
        <v>0</v>
      </c>
      <c r="I440" s="27"/>
      <c r="J440" s="27">
        <f>SUM(J436:J439)</f>
        <v>0</v>
      </c>
      <c r="K440" s="27"/>
      <c r="L440" s="27">
        <f>SUM(L436:L439)</f>
        <v>0</v>
      </c>
      <c r="M440" s="27"/>
      <c r="N440" s="27">
        <f>SUM(N436:N439)</f>
        <v>0</v>
      </c>
      <c r="O440" s="27"/>
      <c r="P440" s="27">
        <f>SUM(P436:P439)</f>
        <v>0</v>
      </c>
      <c r="Q440" s="27"/>
      <c r="R440" s="27">
        <f>SUM(R436:R439)</f>
        <v>0</v>
      </c>
      <c r="S440" s="24"/>
    </row>
    <row r="441" spans="1:19" s="10" customFormat="1">
      <c r="B441" s="27"/>
      <c r="C441" s="27"/>
      <c r="D441" s="27"/>
      <c r="E441" s="27"/>
      <c r="F441" s="27"/>
      <c r="G441" s="27"/>
      <c r="H441" s="27"/>
      <c r="I441" s="27"/>
      <c r="J441" s="27"/>
      <c r="K441" s="27"/>
      <c r="L441" s="27"/>
      <c r="M441" s="27"/>
      <c r="N441" s="27"/>
      <c r="O441" s="27"/>
      <c r="P441" s="27"/>
      <c r="Q441" s="27"/>
      <c r="R441" s="27"/>
      <c r="S441" s="24"/>
    </row>
    <row r="442" spans="1:19" s="10" customFormat="1">
      <c r="B442" s="24"/>
      <c r="C442" s="27"/>
      <c r="D442" s="24"/>
      <c r="E442" s="27"/>
      <c r="F442" s="24"/>
      <c r="G442" s="27"/>
      <c r="H442" s="24"/>
      <c r="I442" s="27"/>
      <c r="J442" s="24"/>
      <c r="K442" s="27"/>
      <c r="L442" s="24"/>
      <c r="M442" s="27"/>
      <c r="N442" s="24"/>
      <c r="O442" s="27"/>
      <c r="P442" s="24"/>
      <c r="Q442" s="27"/>
      <c r="R442" s="24"/>
      <c r="S442" s="24"/>
    </row>
    <row r="443" spans="1:19" s="10" customFormat="1" ht="13.5" thickBot="1">
      <c r="A443" s="12" t="s">
        <v>44</v>
      </c>
      <c r="B443" s="73">
        <f>B440+B433</f>
        <v>-14148864.510000002</v>
      </c>
      <c r="C443" s="27"/>
      <c r="D443" s="73">
        <f>D440+D433</f>
        <v>-3081199.17</v>
      </c>
      <c r="E443" s="27"/>
      <c r="F443" s="73">
        <f>F440+F433</f>
        <v>96055.439999999988</v>
      </c>
      <c r="G443" s="27"/>
      <c r="H443" s="73">
        <f>H440+H433</f>
        <v>0</v>
      </c>
      <c r="I443" s="27"/>
      <c r="J443" s="73">
        <f>J440+J433</f>
        <v>0</v>
      </c>
      <c r="K443" s="27"/>
      <c r="L443" s="73">
        <f>L440+L433</f>
        <v>16557.84</v>
      </c>
      <c r="M443" s="27"/>
      <c r="N443" s="73">
        <f>N440+N433</f>
        <v>-3000</v>
      </c>
      <c r="O443" s="27"/>
      <c r="P443" s="73">
        <f>P440+P433</f>
        <v>0</v>
      </c>
      <c r="Q443" s="27"/>
      <c r="R443" s="73">
        <f>R440+R433</f>
        <v>-17120450.400000006</v>
      </c>
      <c r="S443" s="24"/>
    </row>
    <row r="444" spans="1:19" s="10" customFormat="1" ht="13.5" thickTop="1">
      <c r="C444" s="71"/>
      <c r="E444" s="71"/>
      <c r="G444" s="71"/>
      <c r="I444" s="71"/>
      <c r="K444" s="71"/>
      <c r="M444" s="71"/>
      <c r="O444" s="71"/>
      <c r="Q444" s="71"/>
    </row>
    <row r="445" spans="1:19" s="10" customFormat="1">
      <c r="C445" s="71"/>
      <c r="E445" s="71"/>
      <c r="G445" s="71"/>
      <c r="I445" s="71"/>
      <c r="K445" s="71"/>
      <c r="M445" s="71"/>
      <c r="O445" s="71"/>
      <c r="Q445" s="71"/>
    </row>
    <row r="446" spans="1:19" s="10" customFormat="1">
      <c r="A446" s="12" t="s">
        <v>111</v>
      </c>
      <c r="B446" s="27"/>
      <c r="C446" s="27"/>
      <c r="D446" s="27"/>
      <c r="E446" s="27"/>
      <c r="F446" s="27"/>
      <c r="G446" s="27"/>
      <c r="H446" s="27"/>
      <c r="I446" s="27"/>
      <c r="J446" s="27"/>
      <c r="K446" s="27"/>
      <c r="L446" s="27"/>
      <c r="M446" s="27"/>
      <c r="N446" s="27"/>
      <c r="O446" s="27"/>
      <c r="P446" s="27"/>
      <c r="Q446" s="27"/>
      <c r="R446" s="27"/>
      <c r="S446" s="24"/>
    </row>
    <row r="447" spans="1:19" s="10" customFormat="1">
      <c r="A447" s="10" t="s">
        <v>335</v>
      </c>
      <c r="B447" s="27">
        <f>+'KY_Res by Plant Acct-P29 (Fin)'!B447+'KY_Res by Plant Acct-P29 (PA)'!B445</f>
        <v>0</v>
      </c>
      <c r="C447" s="27"/>
      <c r="D447" s="27">
        <f>+'KY_Res by Plant Acct-P29 (Fin)'!D447+'KY_Res by Plant Acct-P29 (PA)'!D445</f>
        <v>0</v>
      </c>
      <c r="E447" s="27"/>
      <c r="F447" s="27">
        <f>+'KY_Res by Plant Acct-P29 (Fin)'!F447+'KY_Res by Plant Acct-P29 (PA)'!F445</f>
        <v>0</v>
      </c>
      <c r="G447" s="27"/>
      <c r="H447" s="27">
        <f>+'KY_Res by Plant Acct-P29 (Fin)'!H447+'KY_Res by Plant Acct-P29 (PA)'!H445</f>
        <v>0</v>
      </c>
      <c r="I447" s="27"/>
      <c r="J447" s="27">
        <f>+'KY_Res by Plant Acct-P29 (Fin)'!J447+'KY_Res by Plant Acct-P29 (PA)'!J445</f>
        <v>0</v>
      </c>
      <c r="K447" s="27"/>
      <c r="L447" s="27">
        <f>+'KY_Res by Plant Acct-P29 (Fin)'!L447+'KY_Res by Plant Acct-P29 (PA)'!L445</f>
        <v>0</v>
      </c>
      <c r="M447" s="27"/>
      <c r="N447" s="27">
        <f>+'KY_Res by Plant Acct-P29 (Fin)'!N447+'KY_Res by Plant Acct-P29 (PA)'!N445</f>
        <v>0</v>
      </c>
      <c r="O447" s="27"/>
      <c r="P447" s="27">
        <f>+'KY_Res by Plant Acct-P29 (Fin)'!P447+'KY_Res by Plant Acct-P29 (PA)'!P445</f>
        <v>0</v>
      </c>
      <c r="Q447" s="27"/>
      <c r="R447" s="24">
        <f>SUM(B447:P447)</f>
        <v>0</v>
      </c>
      <c r="S447" s="24"/>
    </row>
    <row r="448" spans="1:19" s="10" customFormat="1">
      <c r="A448" s="10" t="s">
        <v>336</v>
      </c>
      <c r="B448" s="27">
        <f>+'KY_Res by Plant Acct-P29 (Fin)'!B448+'KY_Res by Plant Acct-P29 (PA)'!B446</f>
        <v>0</v>
      </c>
      <c r="C448" s="27"/>
      <c r="D448" s="27">
        <f>+'KY_Res by Plant Acct-P29 (Fin)'!D448+'KY_Res by Plant Acct-P29 (PA)'!D446</f>
        <v>0</v>
      </c>
      <c r="E448" s="27"/>
      <c r="F448" s="27">
        <f>+'KY_Res by Plant Acct-P29 (Fin)'!F448+'KY_Res by Plant Acct-P29 (PA)'!F446</f>
        <v>0</v>
      </c>
      <c r="G448" s="27"/>
      <c r="H448" s="27">
        <f>+'KY_Res by Plant Acct-P29 (Fin)'!H448+'KY_Res by Plant Acct-P29 (PA)'!H446</f>
        <v>0</v>
      </c>
      <c r="I448" s="27"/>
      <c r="J448" s="27">
        <f>+'KY_Res by Plant Acct-P29 (Fin)'!J448+'KY_Res by Plant Acct-P29 (PA)'!J446</f>
        <v>0</v>
      </c>
      <c r="K448" s="27"/>
      <c r="L448" s="27">
        <f>+'KY_Res by Plant Acct-P29 (Fin)'!L448+'KY_Res by Plant Acct-P29 (PA)'!L446</f>
        <v>0</v>
      </c>
      <c r="M448" s="27"/>
      <c r="N448" s="27">
        <f>+'KY_Res by Plant Acct-P29 (Fin)'!N448+'KY_Res by Plant Acct-P29 (PA)'!N446</f>
        <v>0</v>
      </c>
      <c r="O448" s="27"/>
      <c r="P448" s="27">
        <f>+'KY_Res by Plant Acct-P29 (Fin)'!P448+'KY_Res by Plant Acct-P29 (PA)'!P446</f>
        <v>0</v>
      </c>
      <c r="Q448" s="27"/>
      <c r="R448" s="24">
        <f>SUM(B448:P448)</f>
        <v>0</v>
      </c>
      <c r="S448" s="24"/>
    </row>
    <row r="449" spans="1:19" s="10" customFormat="1">
      <c r="A449" s="10" t="s">
        <v>338</v>
      </c>
      <c r="B449" s="27">
        <f>+'KY_Res by Plant Acct-P29 (Fin)'!B449+'KY_Res by Plant Acct-P29 (PA)'!B447</f>
        <v>-3739729.620000002</v>
      </c>
      <c r="C449" s="27"/>
      <c r="D449" s="27">
        <f>+'KY_Res by Plant Acct-P29 (Fin)'!D449+'KY_Res by Plant Acct-P29 (PA)'!D447</f>
        <v>-1068723.82</v>
      </c>
      <c r="E449" s="27"/>
      <c r="F449" s="27">
        <f>+'KY_Res by Plant Acct-P29 (Fin)'!F449+'KY_Res by Plant Acct-P29 (PA)'!F447</f>
        <v>400877.43000000005</v>
      </c>
      <c r="G449" s="27"/>
      <c r="H449" s="27">
        <f>+'KY_Res by Plant Acct-P29 (Fin)'!H449+'KY_Res by Plant Acct-P29 (PA)'!H447</f>
        <v>0</v>
      </c>
      <c r="I449" s="27"/>
      <c r="J449" s="27">
        <f>+'KY_Res by Plant Acct-P29 (Fin)'!J449+'KY_Res by Plant Acct-P29 (PA)'!J447</f>
        <v>0</v>
      </c>
      <c r="K449" s="27"/>
      <c r="L449" s="27">
        <f>+'KY_Res by Plant Acct-P29 (Fin)'!L449+'KY_Res by Plant Acct-P29 (PA)'!L447</f>
        <v>0</v>
      </c>
      <c r="M449" s="27"/>
      <c r="N449" s="27">
        <f>+'KY_Res by Plant Acct-P29 (Fin)'!N449+'KY_Res by Plant Acct-P29 (PA)'!N447</f>
        <v>0</v>
      </c>
      <c r="O449" s="27"/>
      <c r="P449" s="27">
        <f>+'KY_Res by Plant Acct-P29 (Fin)'!P449+'KY_Res by Plant Acct-P29 (PA)'!P447</f>
        <v>0</v>
      </c>
      <c r="Q449" s="27"/>
      <c r="R449" s="27">
        <f>SUM(B449:P449)</f>
        <v>-4407576.0100000026</v>
      </c>
      <c r="S449" s="24"/>
    </row>
    <row r="450" spans="1:19" s="10" customFormat="1">
      <c r="A450" s="10" t="s">
        <v>1025</v>
      </c>
      <c r="B450" s="27">
        <f>+'KY_Res by Plant Acct-P29 (Fin)'!B450+'KY_Res by Plant Acct-P29 (PA)'!B448</f>
        <v>-5063581.1800000006</v>
      </c>
      <c r="C450" s="27"/>
      <c r="D450" s="27">
        <f>+'KY_Res by Plant Acct-P29 (Fin)'!D450+'KY_Res by Plant Acct-P29 (PA)'!D448</f>
        <v>-1108451.48</v>
      </c>
      <c r="E450" s="27"/>
      <c r="F450" s="27">
        <f>+'KY_Res by Plant Acct-P29 (Fin)'!F450+'KY_Res by Plant Acct-P29 (PA)'!F448</f>
        <v>0</v>
      </c>
      <c r="G450" s="27"/>
      <c r="H450" s="27">
        <f>+'KY_Res by Plant Acct-P29 (Fin)'!H450+'KY_Res by Plant Acct-P29 (PA)'!H448</f>
        <v>0</v>
      </c>
      <c r="I450" s="27"/>
      <c r="J450" s="27">
        <f>+'KY_Res by Plant Acct-P29 (Fin)'!J450+'KY_Res by Plant Acct-P29 (PA)'!J448</f>
        <v>0</v>
      </c>
      <c r="K450" s="27"/>
      <c r="L450" s="27">
        <f>+'KY_Res by Plant Acct-P29 (Fin)'!L450+'KY_Res by Plant Acct-P29 (PA)'!L448</f>
        <v>0</v>
      </c>
      <c r="M450" s="27"/>
      <c r="N450" s="27">
        <f>+'KY_Res by Plant Acct-P29 (Fin)'!N450+'KY_Res by Plant Acct-P29 (PA)'!N448</f>
        <v>0</v>
      </c>
      <c r="O450" s="27"/>
      <c r="P450" s="27">
        <f>+'KY_Res by Plant Acct-P29 (Fin)'!P450+'KY_Res by Plant Acct-P29 (PA)'!P448</f>
        <v>0</v>
      </c>
      <c r="Q450" s="27"/>
      <c r="R450" s="24">
        <f>SUM(B450:P450)</f>
        <v>-6172032.6600000001</v>
      </c>
      <c r="S450" s="24"/>
    </row>
    <row r="451" spans="1:19" s="10" customFormat="1">
      <c r="A451" s="10" t="s">
        <v>337</v>
      </c>
      <c r="B451" s="28">
        <f>+'KY_Res by Plant Acct-P29 (Fin)'!B451+'KY_Res by Plant Acct-P29 (PA)'!B449</f>
        <v>0</v>
      </c>
      <c r="C451" s="27"/>
      <c r="D451" s="28">
        <f>+'KY_Res by Plant Acct-P29 (Fin)'!D451+'KY_Res by Plant Acct-P29 (PA)'!D449</f>
        <v>0</v>
      </c>
      <c r="E451" s="27"/>
      <c r="F451" s="28">
        <f>+'KY_Res by Plant Acct-P29 (Fin)'!F451+'KY_Res by Plant Acct-P29 (PA)'!F449</f>
        <v>0</v>
      </c>
      <c r="G451" s="27"/>
      <c r="H451" s="28">
        <f>+'KY_Res by Plant Acct-P29 (Fin)'!H451+'KY_Res by Plant Acct-P29 (PA)'!H449</f>
        <v>0</v>
      </c>
      <c r="I451" s="27"/>
      <c r="J451" s="28">
        <f>+'KY_Res by Plant Acct-P29 (Fin)'!J451+'KY_Res by Plant Acct-P29 (PA)'!J449</f>
        <v>0</v>
      </c>
      <c r="K451" s="27"/>
      <c r="L451" s="28">
        <f>+'KY_Res by Plant Acct-P29 (Fin)'!L451+'KY_Res by Plant Acct-P29 (PA)'!L449</f>
        <v>0</v>
      </c>
      <c r="M451" s="27"/>
      <c r="N451" s="28">
        <f>+'KY_Res by Plant Acct-P29 (Fin)'!N451+'KY_Res by Plant Acct-P29 (PA)'!N449</f>
        <v>0</v>
      </c>
      <c r="O451" s="27"/>
      <c r="P451" s="28">
        <f>+'KY_Res by Plant Acct-P29 (Fin)'!P451+'KY_Res by Plant Acct-P29 (PA)'!P449</f>
        <v>0</v>
      </c>
      <c r="Q451" s="27"/>
      <c r="R451" s="28">
        <f>SUM(B451:P451)</f>
        <v>0</v>
      </c>
      <c r="S451" s="24"/>
    </row>
    <row r="452" spans="1:19" s="10" customFormat="1">
      <c r="B452" s="27">
        <f>SUM(B447:B451)</f>
        <v>-8803310.8000000026</v>
      </c>
      <c r="C452" s="27"/>
      <c r="D452" s="27">
        <f>SUM(D447:D451)</f>
        <v>-2177175.2999999998</v>
      </c>
      <c r="E452" s="27"/>
      <c r="F452" s="27">
        <f>SUM(F447:F451)</f>
        <v>400877.43000000005</v>
      </c>
      <c r="G452" s="27"/>
      <c r="H452" s="27">
        <f>SUM(H447:H451)</f>
        <v>0</v>
      </c>
      <c r="I452" s="27"/>
      <c r="J452" s="27">
        <f>SUM(J447:J451)</f>
        <v>0</v>
      </c>
      <c r="K452" s="27"/>
      <c r="L452" s="27">
        <f>SUM(L447:L451)</f>
        <v>0</v>
      </c>
      <c r="M452" s="27"/>
      <c r="N452" s="27">
        <f>SUM(N447:N451)</f>
        <v>0</v>
      </c>
      <c r="O452" s="27"/>
      <c r="P452" s="27">
        <f>SUM(P447:P451)</f>
        <v>0</v>
      </c>
      <c r="Q452" s="27"/>
      <c r="R452" s="27">
        <f>SUM(R447:R451)</f>
        <v>-10579608.670000002</v>
      </c>
      <c r="S452" s="24"/>
    </row>
    <row r="453" spans="1:19" s="10" customFormat="1">
      <c r="B453" s="27"/>
      <c r="C453" s="27"/>
      <c r="D453" s="27"/>
      <c r="E453" s="27"/>
      <c r="F453" s="27"/>
      <c r="G453" s="27"/>
      <c r="H453" s="27"/>
      <c r="I453" s="27"/>
      <c r="J453" s="27"/>
      <c r="K453" s="27"/>
      <c r="L453" s="27"/>
      <c r="M453" s="27"/>
      <c r="N453" s="27"/>
      <c r="O453" s="27"/>
      <c r="P453" s="27"/>
      <c r="Q453" s="27"/>
      <c r="R453" s="27"/>
      <c r="S453" s="24"/>
    </row>
    <row r="454" spans="1:19" s="10" customFormat="1">
      <c r="C454" s="71"/>
      <c r="E454" s="71"/>
      <c r="G454" s="71"/>
      <c r="I454" s="71"/>
      <c r="K454" s="71"/>
      <c r="M454" s="71"/>
      <c r="O454" s="71"/>
      <c r="Q454" s="71"/>
    </row>
    <row r="455" spans="1:19" s="10" customFormat="1" ht="13.5" thickBot="1">
      <c r="A455" s="12" t="s">
        <v>45</v>
      </c>
      <c r="B455" s="73">
        <f>B452</f>
        <v>-8803310.8000000026</v>
      </c>
      <c r="C455" s="27"/>
      <c r="D455" s="73">
        <f>D452</f>
        <v>-2177175.2999999998</v>
      </c>
      <c r="E455" s="27"/>
      <c r="F455" s="73">
        <f>F452</f>
        <v>400877.43000000005</v>
      </c>
      <c r="G455" s="27"/>
      <c r="H455" s="73">
        <f>H452</f>
        <v>0</v>
      </c>
      <c r="I455" s="27"/>
      <c r="J455" s="73">
        <f>J452</f>
        <v>0</v>
      </c>
      <c r="K455" s="27"/>
      <c r="L455" s="73">
        <f>L452</f>
        <v>0</v>
      </c>
      <c r="M455" s="27"/>
      <c r="N455" s="73">
        <f>N452</f>
        <v>0</v>
      </c>
      <c r="O455" s="27"/>
      <c r="P455" s="73">
        <f>P452</f>
        <v>0</v>
      </c>
      <c r="Q455" s="27"/>
      <c r="R455" s="73">
        <f>R452</f>
        <v>-10579608.670000002</v>
      </c>
      <c r="S455" s="24"/>
    </row>
    <row r="456" spans="1:19" ht="13.5" thickTop="1"/>
    <row r="458" spans="1:19" ht="13.5" thickBot="1">
      <c r="A458" s="3" t="s">
        <v>141</v>
      </c>
      <c r="B458" s="92">
        <f>B401+B393+B333+B325+B455+B443</f>
        <v>-408460783.03999978</v>
      </c>
      <c r="D458" s="92">
        <f>D401+D393+D333+D325+D455+D443</f>
        <v>-38068224.240000002</v>
      </c>
      <c r="F458" s="92">
        <f>F401+F393+F333+F325+F455+F443</f>
        <v>3797909.2199999997</v>
      </c>
      <c r="H458" s="92">
        <f>H401+H393+H333+H325+H455+H443</f>
        <v>-223.56000000005935</v>
      </c>
      <c r="J458" s="92">
        <f>J401+J393+J333+J325+J455+J443</f>
        <v>0</v>
      </c>
      <c r="L458" s="92">
        <f>L401+L393+L333+L325+L455+L443</f>
        <v>4675794.42</v>
      </c>
      <c r="N458" s="92">
        <f>N401+N393+N333+N325+N455+N443</f>
        <v>-541299.82999999996</v>
      </c>
      <c r="P458" s="92">
        <f>P401+P393+P333+P325+P455+P443</f>
        <v>0</v>
      </c>
      <c r="R458" s="92">
        <f>R401+R393+R333+R325+R455+R443</f>
        <v>-438596827.03000009</v>
      </c>
    </row>
    <row r="459" spans="1:19" ht="13.5" thickTop="1"/>
  </sheetData>
  <sortState ref="A25:AA27">
    <sortCondition ref="A25"/>
  </sortState>
  <mergeCells count="3">
    <mergeCell ref="A1:R1"/>
    <mergeCell ref="A2:R2"/>
    <mergeCell ref="A3:R3"/>
  </mergeCells>
  <pageMargins left="0.75" right="0.75" top="1" bottom="1" header="0.5" footer="0.5"/>
  <pageSetup scale="55" fitToHeight="0" orientation="landscape" r:id="rId1"/>
  <headerFooter alignWithMargins="0">
    <oddFooter>&amp;L&amp;Z
&amp;F&amp;C&amp;A&amp;R29.&amp;P</oddFooter>
  </headerFooter>
  <rowBreaks count="4" manualBreakCount="4">
    <brk id="149" max="17" man="1"/>
    <brk id="337" max="16383" man="1"/>
    <brk id="385" max="16383" man="1"/>
    <brk id="444" max="16383" man="1"/>
  </rowBreaks>
  <legacyDrawing r:id="rId2"/>
</worksheet>
</file>

<file path=xl/worksheets/sheet82.xml><?xml version="1.0" encoding="utf-8"?>
<worksheet xmlns="http://schemas.openxmlformats.org/spreadsheetml/2006/main" xmlns:r="http://schemas.openxmlformats.org/officeDocument/2006/relationships">
  <sheetPr codeName="Sheet119">
    <pageSetUpPr fitToPage="1"/>
  </sheetPr>
  <dimension ref="A1:AA51"/>
  <sheetViews>
    <sheetView zoomScaleNormal="100" workbookViewId="0">
      <pane xSplit="3" ySplit="7" topLeftCell="D8" activePane="bottomRight" state="frozen"/>
      <selection activeCell="A31" sqref="A31"/>
      <selection pane="topRight" activeCell="A31" sqref="A31"/>
      <selection pane="bottomLeft" activeCell="A31" sqref="A31"/>
      <selection pane="bottomRight" activeCell="A31" sqref="A31"/>
    </sheetView>
  </sheetViews>
  <sheetFormatPr defaultRowHeight="12.75"/>
  <cols>
    <col min="1" max="1" width="43.7109375" bestFit="1" customWidth="1"/>
    <col min="2" max="2" width="17.7109375" customWidth="1"/>
    <col min="3" max="3" width="1.7109375" style="7" customWidth="1"/>
    <col min="4" max="4" width="17.7109375" customWidth="1"/>
    <col min="5" max="5" width="1.7109375" style="7" customWidth="1"/>
    <col min="6" max="6" width="17.7109375" customWidth="1"/>
    <col min="7" max="7" width="1.7109375" style="7" customWidth="1"/>
    <col min="8" max="8" width="17.7109375" customWidth="1"/>
    <col min="9" max="9" width="1.7109375" style="7" customWidth="1"/>
    <col min="10" max="10" width="17.7109375" customWidth="1"/>
    <col min="11" max="11" width="1.7109375" style="7" customWidth="1"/>
    <col min="12" max="12" width="17.7109375" customWidth="1"/>
    <col min="13" max="13" width="1.7109375" style="7" customWidth="1"/>
    <col min="14" max="14" width="17.7109375" customWidth="1"/>
    <col min="15" max="15" width="1.7109375" style="7" customWidth="1"/>
    <col min="16" max="16" width="17.7109375" customWidth="1"/>
    <col min="17" max="17" width="1.7109375" style="7" customWidth="1"/>
    <col min="18" max="18" width="17.7109375" customWidth="1"/>
  </cols>
  <sheetData>
    <row r="1" spans="1:27" s="38" customFormat="1" ht="15.75">
      <c r="A1" s="366" t="s">
        <v>134</v>
      </c>
      <c r="B1" s="366"/>
      <c r="C1" s="366"/>
      <c r="D1" s="366"/>
      <c r="E1" s="366"/>
      <c r="F1" s="366"/>
      <c r="G1" s="366"/>
      <c r="H1" s="366"/>
      <c r="I1" s="366"/>
      <c r="J1" s="366"/>
      <c r="K1" s="366"/>
      <c r="L1" s="366"/>
      <c r="M1" s="366"/>
      <c r="N1" s="366"/>
      <c r="O1" s="366"/>
      <c r="P1" s="366"/>
      <c r="Q1" s="366"/>
      <c r="R1" s="366"/>
      <c r="W1" s="39"/>
    </row>
    <row r="2" spans="1:27" s="38" customFormat="1" ht="15.75">
      <c r="A2" s="366" t="s">
        <v>1208</v>
      </c>
      <c r="B2" s="367"/>
      <c r="C2" s="367"/>
      <c r="D2" s="367"/>
      <c r="E2" s="367"/>
      <c r="F2" s="367"/>
      <c r="G2" s="367"/>
      <c r="H2" s="367"/>
      <c r="I2" s="367"/>
      <c r="J2" s="367"/>
      <c r="K2" s="367"/>
      <c r="L2" s="367"/>
      <c r="M2" s="367"/>
      <c r="N2" s="367"/>
      <c r="O2" s="367"/>
      <c r="P2" s="367"/>
      <c r="Q2" s="367"/>
      <c r="R2" s="367"/>
      <c r="W2" s="39"/>
    </row>
    <row r="3" spans="1:27">
      <c r="A3" s="357" t="str">
        <f>'Summary - Cost - PG 1 (Tot)'!A3:N3</f>
        <v>MARCH 2012</v>
      </c>
      <c r="B3" s="357"/>
      <c r="C3" s="357"/>
      <c r="D3" s="357"/>
      <c r="E3" s="357"/>
      <c r="F3" s="357"/>
      <c r="G3" s="357"/>
      <c r="H3" s="357"/>
      <c r="I3" s="357"/>
      <c r="J3" s="357"/>
      <c r="K3" s="357"/>
      <c r="L3" s="357"/>
      <c r="M3" s="357"/>
      <c r="N3" s="357"/>
      <c r="O3" s="357"/>
      <c r="P3" s="357"/>
      <c r="Q3" s="357"/>
      <c r="R3" s="357"/>
      <c r="S3" s="40"/>
      <c r="T3" s="40"/>
      <c r="U3" s="40"/>
      <c r="V3" s="40"/>
      <c r="W3" s="40"/>
      <c r="X3" s="40"/>
      <c r="Y3" s="40"/>
      <c r="Z3" s="40"/>
      <c r="AA3" s="40"/>
    </row>
    <row r="4" spans="1:27">
      <c r="A4" s="190"/>
      <c r="B4" s="190"/>
      <c r="C4" s="53"/>
      <c r="D4" s="190"/>
      <c r="E4" s="53"/>
      <c r="F4" s="190"/>
      <c r="G4" s="53"/>
      <c r="H4" s="190"/>
      <c r="I4" s="53"/>
      <c r="J4" s="190"/>
      <c r="K4" s="53"/>
      <c r="L4" s="190"/>
      <c r="M4" s="53"/>
      <c r="N4" s="190"/>
      <c r="O4" s="53"/>
      <c r="P4" s="190"/>
      <c r="Q4" s="53"/>
      <c r="R4" s="190"/>
      <c r="S4" s="40"/>
      <c r="T4" s="40"/>
      <c r="U4" s="40"/>
      <c r="V4" s="40"/>
      <c r="W4" s="40"/>
      <c r="X4" s="40"/>
      <c r="Y4" s="40"/>
      <c r="Z4" s="40"/>
      <c r="AA4" s="40"/>
    </row>
    <row r="6" spans="1:27">
      <c r="B6" s="41" t="s">
        <v>25</v>
      </c>
      <c r="D6" s="182"/>
      <c r="F6" s="182"/>
      <c r="H6" s="41" t="s">
        <v>612</v>
      </c>
      <c r="I6" s="54"/>
      <c r="J6" s="41" t="s">
        <v>28</v>
      </c>
      <c r="K6" s="54"/>
      <c r="L6" s="54" t="s">
        <v>37</v>
      </c>
      <c r="P6" s="41" t="s">
        <v>39</v>
      </c>
      <c r="Q6" s="54"/>
      <c r="R6" s="41" t="s">
        <v>26</v>
      </c>
      <c r="S6" s="41"/>
      <c r="U6" s="41"/>
    </row>
    <row r="7" spans="1:27">
      <c r="B7" s="42" t="s">
        <v>27</v>
      </c>
      <c r="D7" s="42" t="s">
        <v>954</v>
      </c>
      <c r="F7" s="42" t="s">
        <v>108</v>
      </c>
      <c r="H7" s="42" t="s">
        <v>613</v>
      </c>
      <c r="I7" s="54"/>
      <c r="J7" s="42" t="s">
        <v>29</v>
      </c>
      <c r="K7" s="54"/>
      <c r="L7" s="42" t="s">
        <v>38</v>
      </c>
      <c r="M7" s="54"/>
      <c r="N7" s="42" t="s">
        <v>955</v>
      </c>
      <c r="O7" s="54"/>
      <c r="P7" s="42" t="s">
        <v>105</v>
      </c>
      <c r="Q7" s="54"/>
      <c r="R7" s="42" t="s">
        <v>27</v>
      </c>
    </row>
    <row r="9" spans="1:27">
      <c r="A9" s="3" t="s">
        <v>113</v>
      </c>
      <c r="B9" s="4"/>
      <c r="C9" s="55"/>
      <c r="D9" s="4"/>
      <c r="E9" s="55"/>
      <c r="F9" s="4"/>
      <c r="G9" s="55"/>
      <c r="H9" s="4"/>
      <c r="I9" s="55"/>
      <c r="J9" s="4"/>
      <c r="K9" s="55"/>
      <c r="L9" s="4"/>
      <c r="M9" s="55"/>
      <c r="N9" s="4"/>
      <c r="O9" s="55"/>
      <c r="P9" s="4"/>
      <c r="Q9" s="55"/>
      <c r="R9" s="4"/>
    </row>
    <row r="10" spans="1:27">
      <c r="A10" t="s">
        <v>818</v>
      </c>
      <c r="B10" s="48">
        <f>+'IN_Res by Plant Acct-P30 (Fin)'!B10+'IN_Res by Plant Acct-P30 (PA)'!B10</f>
        <v>0</v>
      </c>
      <c r="C10" s="52"/>
      <c r="D10" s="48">
        <f>+'IN_Res by Plant Acct-P30 (Fin)'!D10+'IN_Res by Plant Acct-P30 (PA)'!D10</f>
        <v>0</v>
      </c>
      <c r="E10" s="52"/>
      <c r="F10" s="48">
        <f>+'IN_Res by Plant Acct-P30 (Fin)'!F10+'IN_Res by Plant Acct-P30 (PA)'!F10</f>
        <v>0</v>
      </c>
      <c r="G10" s="52"/>
      <c r="H10" s="48">
        <f>+'IN_Res by Plant Acct-P30 (Fin)'!H10+'IN_Res by Plant Acct-P30 (PA)'!H10</f>
        <v>0</v>
      </c>
      <c r="I10" s="52"/>
      <c r="J10" s="48">
        <f>+'IN_Res by Plant Acct-P30 (Fin)'!J10+'IN_Res by Plant Acct-P30 (PA)'!J10</f>
        <v>0</v>
      </c>
      <c r="K10" s="52"/>
      <c r="L10" s="48">
        <f>+'IN_Res by Plant Acct-P30 (Fin)'!L10+'IN_Res by Plant Acct-P30 (PA)'!L10</f>
        <v>0</v>
      </c>
      <c r="M10" s="52"/>
      <c r="N10" s="48">
        <f>+'IN_Res by Plant Acct-P30 (Fin)'!N10+'IN_Res by Plant Acct-P30 (PA)'!N10</f>
        <v>0</v>
      </c>
      <c r="O10" s="52"/>
      <c r="P10" s="48">
        <f>+'IN_Res by Plant Acct-P30 (Fin)'!P10+'IN_Res by Plant Acct-P30 (PA)'!P10</f>
        <v>0</v>
      </c>
      <c r="Q10" s="52"/>
      <c r="R10" s="48">
        <f>SUM(B10:P10)</f>
        <v>0</v>
      </c>
      <c r="S10" s="182"/>
      <c r="T10" s="182"/>
      <c r="U10" s="182"/>
    </row>
    <row r="11" spans="1:27">
      <c r="B11" s="52">
        <f>SUM(B10:B10)</f>
        <v>0</v>
      </c>
      <c r="C11" s="52"/>
      <c r="D11" s="52">
        <f>SUM(D10:D10)</f>
        <v>0</v>
      </c>
      <c r="E11" s="52"/>
      <c r="F11" s="52">
        <f>SUM(F10:F10)</f>
        <v>0</v>
      </c>
      <c r="G11" s="52"/>
      <c r="H11" s="52">
        <f>SUM(H10:H10)</f>
        <v>0</v>
      </c>
      <c r="I11" s="52"/>
      <c r="J11" s="52">
        <f>SUM(J10:J10)</f>
        <v>0</v>
      </c>
      <c r="K11" s="52"/>
      <c r="L11" s="52">
        <f>SUM(L10:L10)</f>
        <v>0</v>
      </c>
      <c r="M11" s="52"/>
      <c r="N11" s="52">
        <f>SUM(N10:N10)</f>
        <v>0</v>
      </c>
      <c r="O11" s="52"/>
      <c r="P11" s="52">
        <f>SUM(P10:P10)</f>
        <v>0</v>
      </c>
      <c r="Q11" s="52"/>
      <c r="R11" s="52">
        <f>SUM(R10:R10)</f>
        <v>0</v>
      </c>
      <c r="S11" s="182"/>
      <c r="T11" s="182"/>
      <c r="U11" s="182"/>
    </row>
    <row r="12" spans="1:27">
      <c r="B12" s="52"/>
      <c r="C12" s="52"/>
      <c r="D12" s="52"/>
      <c r="E12" s="52"/>
      <c r="F12" s="52"/>
      <c r="G12" s="52"/>
      <c r="H12" s="52"/>
      <c r="I12" s="52"/>
      <c r="J12" s="52"/>
      <c r="K12" s="52"/>
      <c r="L12" s="52"/>
      <c r="M12" s="52"/>
      <c r="N12" s="52"/>
      <c r="O12" s="52"/>
      <c r="P12" s="52"/>
      <c r="Q12" s="52"/>
      <c r="R12" s="52"/>
      <c r="S12" s="182"/>
      <c r="T12" s="182"/>
      <c r="U12" s="182"/>
    </row>
    <row r="13" spans="1:27">
      <c r="B13" s="52"/>
      <c r="C13" s="52"/>
      <c r="D13" s="52"/>
      <c r="E13" s="52"/>
      <c r="F13" s="52"/>
      <c r="G13" s="52"/>
      <c r="H13" s="52"/>
      <c r="I13" s="52"/>
      <c r="J13" s="52"/>
      <c r="K13" s="52"/>
      <c r="L13" s="52"/>
      <c r="M13" s="52"/>
      <c r="N13" s="52"/>
      <c r="O13" s="52"/>
      <c r="P13" s="52"/>
      <c r="Q13" s="52"/>
      <c r="R13" s="52"/>
      <c r="S13" s="52"/>
      <c r="T13" s="182"/>
      <c r="U13" s="182"/>
    </row>
    <row r="14" spans="1:27">
      <c r="A14" s="3" t="s">
        <v>119</v>
      </c>
      <c r="B14" s="182"/>
      <c r="C14" s="52"/>
      <c r="D14" s="182"/>
      <c r="E14" s="52"/>
      <c r="F14" s="182"/>
      <c r="G14" s="52"/>
      <c r="H14" s="182"/>
      <c r="I14" s="52"/>
      <c r="J14" s="182"/>
      <c r="K14" s="52"/>
      <c r="L14" s="182"/>
      <c r="M14" s="52"/>
      <c r="N14" s="182"/>
      <c r="O14" s="52"/>
      <c r="P14" s="182"/>
      <c r="Q14" s="52"/>
      <c r="R14" s="182"/>
      <c r="S14" s="182"/>
      <c r="T14" s="182"/>
      <c r="U14" s="182"/>
    </row>
    <row r="15" spans="1:27">
      <c r="A15" t="s">
        <v>820</v>
      </c>
      <c r="B15" s="182">
        <f>+'IN_Res by Plant Acct-P30 (Fin)'!B15+'IN_Res by Plant Acct-P30 (PA)'!B15</f>
        <v>-21270.619999999995</v>
      </c>
      <c r="C15" s="52"/>
      <c r="D15" s="182">
        <f>+'IN_Res by Plant Acct-P30 (Fin)'!D15+'IN_Res by Plant Acct-P30 (PA)'!D15</f>
        <v>-4557.99</v>
      </c>
      <c r="E15" s="52"/>
      <c r="F15" s="182">
        <f>+'IN_Res by Plant Acct-P30 (Fin)'!F15+'IN_Res by Plant Acct-P30 (PA)'!F15</f>
        <v>0</v>
      </c>
      <c r="G15" s="52"/>
      <c r="H15" s="182">
        <f>+'IN_Res by Plant Acct-P30 (Fin)'!H15+'IN_Res by Plant Acct-P30 (PA)'!H15</f>
        <v>0</v>
      </c>
      <c r="I15" s="52"/>
      <c r="J15" s="182">
        <f>+'IN_Res by Plant Acct-P30 (Fin)'!J15+'IN_Res by Plant Acct-P30 (PA)'!J15</f>
        <v>0</v>
      </c>
      <c r="K15" s="52"/>
      <c r="L15" s="182">
        <f>+'IN_Res by Plant Acct-P30 (Fin)'!L15+'IN_Res by Plant Acct-P30 (PA)'!L15</f>
        <v>0</v>
      </c>
      <c r="M15" s="52"/>
      <c r="N15" s="182">
        <f>+'IN_Res by Plant Acct-P30 (Fin)'!N15+'IN_Res by Plant Acct-P30 (PA)'!N15</f>
        <v>0</v>
      </c>
      <c r="O15" s="52"/>
      <c r="P15" s="182">
        <f>+'IN_Res by Plant Acct-P30 (Fin)'!P15+'IN_Res by Plant Acct-P30 (PA)'!P15</f>
        <v>0</v>
      </c>
      <c r="Q15" s="52"/>
      <c r="R15" s="52">
        <f t="shared" ref="R15:R21" si="0">SUM(B15:P15)</f>
        <v>-25828.609999999993</v>
      </c>
      <c r="S15" s="182"/>
      <c r="T15" s="182"/>
      <c r="U15" s="182"/>
    </row>
    <row r="16" spans="1:27">
      <c r="A16" t="s">
        <v>139</v>
      </c>
      <c r="B16" s="182">
        <f>+'IN_Res by Plant Acct-P30 (Fin)'!B16+'IN_Res by Plant Acct-P30 (PA)'!B16</f>
        <v>0</v>
      </c>
      <c r="C16" s="52"/>
      <c r="D16" s="182">
        <f>+'IN_Res by Plant Acct-P30 (Fin)'!D16+'IN_Res by Plant Acct-P30 (PA)'!D16</f>
        <v>0</v>
      </c>
      <c r="E16" s="52"/>
      <c r="F16" s="182">
        <f>+'IN_Res by Plant Acct-P30 (Fin)'!F16+'IN_Res by Plant Acct-P30 (PA)'!F16</f>
        <v>0</v>
      </c>
      <c r="G16" s="52"/>
      <c r="H16" s="182">
        <f>+'IN_Res by Plant Acct-P30 (Fin)'!H16+'IN_Res by Plant Acct-P30 (PA)'!H16</f>
        <v>0</v>
      </c>
      <c r="I16" s="52"/>
      <c r="J16" s="182">
        <f>+'IN_Res by Plant Acct-P30 (Fin)'!J16+'IN_Res by Plant Acct-P30 (PA)'!J16</f>
        <v>0</v>
      </c>
      <c r="K16" s="52"/>
      <c r="L16" s="182">
        <f>+'IN_Res by Plant Acct-P30 (Fin)'!L16+'IN_Res by Plant Acct-P30 (PA)'!L16</f>
        <v>0</v>
      </c>
      <c r="M16" s="52"/>
      <c r="N16" s="182">
        <f>+'IN_Res by Plant Acct-P30 (Fin)'!N16+'IN_Res by Plant Acct-P30 (PA)'!N16</f>
        <v>0</v>
      </c>
      <c r="O16" s="52"/>
      <c r="P16" s="182">
        <f>+'IN_Res by Plant Acct-P30 (Fin)'!P16+'IN_Res by Plant Acct-P30 (PA)'!P16</f>
        <v>0</v>
      </c>
      <c r="Q16" s="52"/>
      <c r="R16" s="52">
        <f t="shared" si="0"/>
        <v>0</v>
      </c>
      <c r="S16" s="182"/>
      <c r="T16" s="182"/>
      <c r="U16" s="182"/>
    </row>
    <row r="17" spans="1:21">
      <c r="A17" t="s">
        <v>822</v>
      </c>
      <c r="B17" s="182">
        <f>+'IN_Res by Plant Acct-P30 (Fin)'!B17+'IN_Res by Plant Acct-P30 (PA)'!B17</f>
        <v>-28339.070000000007</v>
      </c>
      <c r="C17" s="52"/>
      <c r="D17" s="182">
        <f>+'IN_Res by Plant Acct-P30 (Fin)'!D17+'IN_Res by Plant Acct-P30 (PA)'!D17</f>
        <v>-990.72</v>
      </c>
      <c r="E17" s="52"/>
      <c r="F17" s="182">
        <f>+'IN_Res by Plant Acct-P30 (Fin)'!F17+'IN_Res by Plant Acct-P30 (PA)'!F17</f>
        <v>0</v>
      </c>
      <c r="G17" s="52"/>
      <c r="H17" s="182">
        <f>+'IN_Res by Plant Acct-P30 (Fin)'!H17+'IN_Res by Plant Acct-P30 (PA)'!H17</f>
        <v>0</v>
      </c>
      <c r="I17" s="52"/>
      <c r="J17" s="182">
        <f>+'IN_Res by Plant Acct-P30 (Fin)'!J17+'IN_Res by Plant Acct-P30 (PA)'!J17</f>
        <v>0</v>
      </c>
      <c r="K17" s="52"/>
      <c r="L17" s="182">
        <f>+'IN_Res by Plant Acct-P30 (Fin)'!L17+'IN_Res by Plant Acct-P30 (PA)'!L17</f>
        <v>0</v>
      </c>
      <c r="M17" s="52"/>
      <c r="N17" s="182">
        <f>+'IN_Res by Plant Acct-P30 (Fin)'!N17+'IN_Res by Plant Acct-P30 (PA)'!N17</f>
        <v>0</v>
      </c>
      <c r="O17" s="52"/>
      <c r="P17" s="182">
        <f>+'IN_Res by Plant Acct-P30 (Fin)'!P17+'IN_Res by Plant Acct-P30 (PA)'!P17</f>
        <v>0</v>
      </c>
      <c r="Q17" s="52"/>
      <c r="R17" s="52">
        <f t="shared" si="0"/>
        <v>-29329.790000000008</v>
      </c>
      <c r="S17" s="182"/>
      <c r="T17" s="182"/>
      <c r="U17" s="182"/>
    </row>
    <row r="18" spans="1:21">
      <c r="A18" t="s">
        <v>207</v>
      </c>
      <c r="B18" s="182">
        <f>+'IN_Res by Plant Acct-P30 (Fin)'!B18+'IN_Res by Plant Acct-P30 (PA)'!B18</f>
        <v>-196007</v>
      </c>
      <c r="C18" s="52"/>
      <c r="D18" s="182">
        <f>+'IN_Res by Plant Acct-P30 (Fin)'!D18+'IN_Res by Plant Acct-P30 (PA)'!D18</f>
        <v>-36554.729999999996</v>
      </c>
      <c r="E18" s="52"/>
      <c r="F18" s="182">
        <f>+'IN_Res by Plant Acct-P30 (Fin)'!F18+'IN_Res by Plant Acct-P30 (PA)'!F18</f>
        <v>0</v>
      </c>
      <c r="G18" s="52"/>
      <c r="H18" s="182">
        <f>+'IN_Res by Plant Acct-P30 (Fin)'!H18+'IN_Res by Plant Acct-P30 (PA)'!H18</f>
        <v>0</v>
      </c>
      <c r="I18" s="52"/>
      <c r="J18" s="182">
        <f>+'IN_Res by Plant Acct-P30 (Fin)'!J18+'IN_Res by Plant Acct-P30 (PA)'!J18</f>
        <v>0</v>
      </c>
      <c r="K18" s="52"/>
      <c r="L18" s="182">
        <f>+'IN_Res by Plant Acct-P30 (Fin)'!L18+'IN_Res by Plant Acct-P30 (PA)'!L18</f>
        <v>0</v>
      </c>
      <c r="M18" s="52"/>
      <c r="N18" s="182">
        <f>+'IN_Res by Plant Acct-P30 (Fin)'!N18+'IN_Res by Plant Acct-P30 (PA)'!N18</f>
        <v>0</v>
      </c>
      <c r="O18" s="52"/>
      <c r="P18" s="182">
        <f>+'IN_Res by Plant Acct-P30 (Fin)'!P18+'IN_Res by Plant Acct-P30 (PA)'!P18</f>
        <v>0</v>
      </c>
      <c r="Q18" s="52"/>
      <c r="R18" s="52">
        <f t="shared" si="0"/>
        <v>-232561.72999999998</v>
      </c>
      <c r="S18" s="182"/>
      <c r="T18" s="182"/>
      <c r="U18" s="182"/>
    </row>
    <row r="19" spans="1:21">
      <c r="A19" t="s">
        <v>209</v>
      </c>
      <c r="B19" s="182">
        <f>+'IN_Res by Plant Acct-P30 (Fin)'!B19+'IN_Res by Plant Acct-P30 (PA)'!B19</f>
        <v>-1749577.4700000007</v>
      </c>
      <c r="C19" s="52"/>
      <c r="D19" s="182">
        <f>+'IN_Res by Plant Acct-P30 (Fin)'!D19+'IN_Res by Plant Acct-P30 (PA)'!D19</f>
        <v>-20611.5</v>
      </c>
      <c r="E19" s="52"/>
      <c r="F19" s="182">
        <f>+'IN_Res by Plant Acct-P30 (Fin)'!F19+'IN_Res by Plant Acct-P30 (PA)'!F19</f>
        <v>0</v>
      </c>
      <c r="G19" s="52"/>
      <c r="H19" s="182">
        <f>+'IN_Res by Plant Acct-P30 (Fin)'!H19+'IN_Res by Plant Acct-P30 (PA)'!H19</f>
        <v>0</v>
      </c>
      <c r="I19" s="52"/>
      <c r="J19" s="182">
        <f>+'IN_Res by Plant Acct-P30 (Fin)'!J19+'IN_Res by Plant Acct-P30 (PA)'!J19</f>
        <v>0</v>
      </c>
      <c r="K19" s="52"/>
      <c r="L19" s="182">
        <f>+'IN_Res by Plant Acct-P30 (Fin)'!L19+'IN_Res by Plant Acct-P30 (PA)'!L19</f>
        <v>0</v>
      </c>
      <c r="M19" s="52"/>
      <c r="N19" s="182">
        <f>+'IN_Res by Plant Acct-P30 (Fin)'!N19+'IN_Res by Plant Acct-P30 (PA)'!N19</f>
        <v>0</v>
      </c>
      <c r="O19" s="52"/>
      <c r="P19" s="182">
        <f>+'IN_Res by Plant Acct-P30 (Fin)'!P19+'IN_Res by Plant Acct-P30 (PA)'!P19</f>
        <v>0</v>
      </c>
      <c r="Q19" s="52"/>
      <c r="R19" s="52">
        <f t="shared" si="0"/>
        <v>-1770188.9700000007</v>
      </c>
      <c r="S19" s="182"/>
      <c r="T19" s="182"/>
      <c r="U19" s="182"/>
    </row>
    <row r="20" spans="1:21">
      <c r="A20" t="s">
        <v>994</v>
      </c>
      <c r="B20" s="182">
        <f>+'IN_Res by Plant Acct-P30 (Fin)'!B20+'IN_Res by Plant Acct-P30 (PA)'!B20</f>
        <v>-338416.45000000019</v>
      </c>
      <c r="C20" s="52"/>
      <c r="D20" s="182">
        <f>+'IN_Res by Plant Acct-P30 (Fin)'!D20+'IN_Res by Plant Acct-P30 (PA)'!D20</f>
        <v>-14823.21</v>
      </c>
      <c r="E20" s="52"/>
      <c r="F20" s="182">
        <f>+'IN_Res by Plant Acct-P30 (Fin)'!F20+'IN_Res by Plant Acct-P30 (PA)'!F20</f>
        <v>0</v>
      </c>
      <c r="G20" s="52"/>
      <c r="H20" s="182">
        <f>+'IN_Res by Plant Acct-P30 (Fin)'!H20+'IN_Res by Plant Acct-P30 (PA)'!H20</f>
        <v>0</v>
      </c>
      <c r="I20" s="52"/>
      <c r="J20" s="182">
        <f>+'IN_Res by Plant Acct-P30 (Fin)'!J20+'IN_Res by Plant Acct-P30 (PA)'!J20</f>
        <v>0</v>
      </c>
      <c r="K20" s="52"/>
      <c r="L20" s="182">
        <f>+'IN_Res by Plant Acct-P30 (Fin)'!L20+'IN_Res by Plant Acct-P30 (PA)'!L20</f>
        <v>0</v>
      </c>
      <c r="M20" s="52"/>
      <c r="N20" s="182">
        <f>+'IN_Res by Plant Acct-P30 (Fin)'!N20+'IN_Res by Plant Acct-P30 (PA)'!N20</f>
        <v>0</v>
      </c>
      <c r="O20" s="52"/>
      <c r="P20" s="182">
        <f>+'IN_Res by Plant Acct-P30 (Fin)'!P20+'IN_Res by Plant Acct-P30 (PA)'!P20</f>
        <v>0</v>
      </c>
      <c r="Q20" s="52"/>
      <c r="R20" s="52">
        <f t="shared" si="0"/>
        <v>-353239.66000000021</v>
      </c>
      <c r="S20" s="182"/>
      <c r="T20" s="182"/>
      <c r="U20" s="182"/>
    </row>
    <row r="21" spans="1:21">
      <c r="A21" t="s">
        <v>617</v>
      </c>
      <c r="B21" s="48">
        <f>+'IN_Res by Plant Acct-P30 (Fin)'!B21+'IN_Res by Plant Acct-P30 (PA)'!B21</f>
        <v>-1387423.11</v>
      </c>
      <c r="C21" s="52"/>
      <c r="D21" s="48">
        <f>+'IN_Res by Plant Acct-P30 (Fin)'!D21+'IN_Res by Plant Acct-P30 (PA)'!D21</f>
        <v>-21868.829999999998</v>
      </c>
      <c r="E21" s="52"/>
      <c r="F21" s="48">
        <f>+'IN_Res by Plant Acct-P30 (Fin)'!F21+'IN_Res by Plant Acct-P30 (PA)'!F21</f>
        <v>0</v>
      </c>
      <c r="G21" s="52"/>
      <c r="H21" s="48">
        <f>+'IN_Res by Plant Acct-P30 (Fin)'!H21+'IN_Res by Plant Acct-P30 (PA)'!H21</f>
        <v>0</v>
      </c>
      <c r="I21" s="52"/>
      <c r="J21" s="48">
        <f>+'IN_Res by Plant Acct-P30 (Fin)'!J21+'IN_Res by Plant Acct-P30 (PA)'!J21</f>
        <v>0</v>
      </c>
      <c r="K21" s="52"/>
      <c r="L21" s="48">
        <f>+'IN_Res by Plant Acct-P30 (Fin)'!L21+'IN_Res by Plant Acct-P30 (PA)'!L21</f>
        <v>0</v>
      </c>
      <c r="M21" s="52"/>
      <c r="N21" s="48">
        <f>+'IN_Res by Plant Acct-P30 (Fin)'!N21+'IN_Res by Plant Acct-P30 (PA)'!N21</f>
        <v>0</v>
      </c>
      <c r="O21" s="52"/>
      <c r="P21" s="48">
        <f>+'IN_Res by Plant Acct-P30 (Fin)'!P21+'IN_Res by Plant Acct-P30 (PA)'!P21</f>
        <v>0</v>
      </c>
      <c r="Q21" s="52"/>
      <c r="R21" s="48">
        <f t="shared" si="0"/>
        <v>-1409291.9400000002</v>
      </c>
      <c r="S21" s="182"/>
      <c r="T21" s="182"/>
      <c r="U21" s="182"/>
    </row>
    <row r="22" spans="1:21">
      <c r="B22" s="52">
        <f>SUM(B15:B21)</f>
        <v>-3721033.7200000007</v>
      </c>
      <c r="C22" s="52"/>
      <c r="D22" s="52">
        <f>SUM(D15:D21)</f>
        <v>-99406.98</v>
      </c>
      <c r="E22" s="52"/>
      <c r="F22" s="52">
        <f>SUM(F15:F21)</f>
        <v>0</v>
      </c>
      <c r="G22" s="52"/>
      <c r="H22" s="52">
        <f>SUM(H15:H21)</f>
        <v>0</v>
      </c>
      <c r="I22" s="52"/>
      <c r="J22" s="52">
        <f>SUM(J15:J21)</f>
        <v>0</v>
      </c>
      <c r="K22" s="52"/>
      <c r="L22" s="52">
        <f>SUM(L15:L21)</f>
        <v>0</v>
      </c>
      <c r="M22" s="52"/>
      <c r="N22" s="52">
        <f>SUM(N15:N21)</f>
        <v>0</v>
      </c>
      <c r="O22" s="52"/>
      <c r="P22" s="52">
        <f>SUM(P15:P21)</f>
        <v>0</v>
      </c>
      <c r="Q22" s="52"/>
      <c r="R22" s="52">
        <f>SUM(R15:R21)</f>
        <v>-3820440.7000000011</v>
      </c>
      <c r="S22" s="52"/>
      <c r="T22" s="182"/>
      <c r="U22" s="182"/>
    </row>
    <row r="23" spans="1:21">
      <c r="B23" s="52"/>
      <c r="C23" s="52"/>
      <c r="D23" s="52"/>
      <c r="E23" s="52"/>
      <c r="F23" s="52"/>
      <c r="G23" s="52"/>
      <c r="H23" s="52"/>
      <c r="I23" s="52"/>
      <c r="J23" s="52"/>
      <c r="K23" s="52"/>
      <c r="L23" s="52"/>
      <c r="M23" s="52"/>
      <c r="N23" s="52"/>
      <c r="O23" s="52"/>
      <c r="P23" s="52"/>
      <c r="Q23" s="52"/>
      <c r="R23" s="52"/>
      <c r="S23" s="52"/>
      <c r="T23" s="182"/>
      <c r="U23" s="182"/>
    </row>
    <row r="24" spans="1:21">
      <c r="B24" s="182"/>
      <c r="C24" s="52"/>
      <c r="D24" s="182"/>
      <c r="E24" s="52"/>
      <c r="F24" s="182"/>
      <c r="G24" s="52"/>
      <c r="H24" s="182"/>
      <c r="I24" s="52"/>
      <c r="J24" s="182"/>
      <c r="K24" s="52"/>
      <c r="L24" s="182"/>
      <c r="M24" s="52"/>
      <c r="N24" s="182"/>
      <c r="O24" s="52"/>
      <c r="P24" s="182"/>
      <c r="Q24" s="52"/>
      <c r="R24" s="182"/>
      <c r="S24" s="182"/>
      <c r="T24" s="182"/>
      <c r="U24" s="182"/>
    </row>
    <row r="25" spans="1:21" ht="13.5" thickBot="1">
      <c r="A25" s="3" t="s">
        <v>42</v>
      </c>
      <c r="B25" s="46">
        <f>B22+B11</f>
        <v>-3721033.7200000007</v>
      </c>
      <c r="C25" s="52"/>
      <c r="D25" s="46">
        <f>D22+D11</f>
        <v>-99406.98</v>
      </c>
      <c r="E25" s="52"/>
      <c r="F25" s="46">
        <f>F22+F11</f>
        <v>0</v>
      </c>
      <c r="G25" s="52"/>
      <c r="H25" s="46">
        <f>H22+H11</f>
        <v>0</v>
      </c>
      <c r="I25" s="52"/>
      <c r="J25" s="46">
        <f>J22+J11</f>
        <v>0</v>
      </c>
      <c r="K25" s="52"/>
      <c r="L25" s="46">
        <f>L22+L11</f>
        <v>0</v>
      </c>
      <c r="M25" s="52"/>
      <c r="N25" s="46">
        <f>N22+N11</f>
        <v>0</v>
      </c>
      <c r="O25" s="52"/>
      <c r="P25" s="46">
        <f>P22+P11</f>
        <v>0</v>
      </c>
      <c r="Q25" s="52"/>
      <c r="R25" s="46">
        <f>R22+R11</f>
        <v>-3820440.7000000011</v>
      </c>
      <c r="S25" s="182"/>
      <c r="T25" s="182"/>
      <c r="U25" s="182"/>
    </row>
    <row r="26" spans="1:21" ht="13.5" thickTop="1">
      <c r="B26" s="4"/>
      <c r="C26" s="55"/>
      <c r="D26" s="4"/>
      <c r="E26" s="55"/>
      <c r="F26" s="4"/>
      <c r="G26" s="55"/>
      <c r="H26" s="4"/>
      <c r="I26" s="55"/>
      <c r="J26" s="4"/>
      <c r="K26" s="55"/>
      <c r="L26" s="4"/>
      <c r="M26" s="55"/>
      <c r="N26" s="4"/>
      <c r="O26" s="55"/>
      <c r="P26" s="4"/>
      <c r="Q26" s="55"/>
      <c r="R26" s="4"/>
    </row>
    <row r="28" spans="1:21">
      <c r="A28" s="3" t="s">
        <v>124</v>
      </c>
      <c r="B28" s="52"/>
      <c r="C28" s="52"/>
      <c r="D28" s="52"/>
      <c r="E28" s="52"/>
      <c r="F28" s="52"/>
      <c r="G28" s="52"/>
      <c r="H28" s="52"/>
      <c r="I28" s="52"/>
      <c r="J28" s="52"/>
      <c r="K28" s="52"/>
      <c r="L28" s="52"/>
      <c r="M28" s="52"/>
      <c r="N28" s="52"/>
      <c r="O28" s="52"/>
      <c r="P28" s="52"/>
      <c r="Q28" s="52"/>
      <c r="R28" s="52"/>
      <c r="S28" s="7"/>
      <c r="T28" s="7"/>
      <c r="U28" s="7"/>
    </row>
    <row r="29" spans="1:21">
      <c r="A29" t="s">
        <v>619</v>
      </c>
      <c r="B29" s="52">
        <f>+'IN_Res by Plant Acct-P30 (Fin)'!B29+'IN_Res by Plant Acct-P30 (PA)'!B29</f>
        <v>-12851.129999999997</v>
      </c>
      <c r="C29" s="52"/>
      <c r="D29" s="52">
        <f>+'IN_Res by Plant Acct-P30 (Fin)'!D29+'IN_Res by Plant Acct-P30 (PA)'!D29</f>
        <v>-1179.54</v>
      </c>
      <c r="E29" s="52"/>
      <c r="F29" s="52">
        <f>+'IN_Res by Plant Acct-P30 (Fin)'!F29+'IN_Res by Plant Acct-P30 (PA)'!F29</f>
        <v>0</v>
      </c>
      <c r="G29" s="52"/>
      <c r="H29" s="52">
        <f>+'IN_Res by Plant Acct-P30 (Fin)'!H29+'IN_Res by Plant Acct-P30 (PA)'!H29</f>
        <v>0</v>
      </c>
      <c r="I29" s="52"/>
      <c r="J29" s="52">
        <f>+'IN_Res by Plant Acct-P30 (Fin)'!J29+'IN_Res by Plant Acct-P30 (PA)'!J29</f>
        <v>0</v>
      </c>
      <c r="K29" s="52"/>
      <c r="L29" s="52">
        <f>+'IN_Res by Plant Acct-P30 (Fin)'!L29+'IN_Res by Plant Acct-P30 (PA)'!L29</f>
        <v>0</v>
      </c>
      <c r="M29" s="52"/>
      <c r="N29" s="52">
        <f>+'IN_Res by Plant Acct-P30 (Fin)'!N29+'IN_Res by Plant Acct-P30 (PA)'!N29</f>
        <v>0</v>
      </c>
      <c r="O29" s="52"/>
      <c r="P29" s="52">
        <f>+'IN_Res by Plant Acct-P30 (Fin)'!P29+'IN_Res by Plant Acct-P30 (PA)'!P29</f>
        <v>0</v>
      </c>
      <c r="Q29" s="52"/>
      <c r="R29" s="182">
        <f t="shared" ref="R29:R35" si="1">SUM(B29:P29)</f>
        <v>-14030.669999999998</v>
      </c>
      <c r="S29" s="7"/>
      <c r="T29" s="7"/>
      <c r="U29" s="7"/>
    </row>
    <row r="30" spans="1:21">
      <c r="A30" t="s">
        <v>621</v>
      </c>
      <c r="B30" s="52">
        <f>+'IN_Res by Plant Acct-P30 (Fin)'!B30+'IN_Res by Plant Acct-P30 (PA)'!B30</f>
        <v>-34432.330000000045</v>
      </c>
      <c r="C30" s="52"/>
      <c r="D30" s="52">
        <f>+'IN_Res by Plant Acct-P30 (Fin)'!D30+'IN_Res by Plant Acct-P30 (PA)'!D30</f>
        <v>-543.96</v>
      </c>
      <c r="E30" s="52"/>
      <c r="F30" s="52">
        <f>+'IN_Res by Plant Acct-P30 (Fin)'!F30+'IN_Res by Plant Acct-P30 (PA)'!F30</f>
        <v>0</v>
      </c>
      <c r="G30" s="52"/>
      <c r="H30" s="52">
        <f>+'IN_Res by Plant Acct-P30 (Fin)'!H30+'IN_Res by Plant Acct-P30 (PA)'!H30</f>
        <v>0</v>
      </c>
      <c r="I30" s="52"/>
      <c r="J30" s="52">
        <f>+'IN_Res by Plant Acct-P30 (Fin)'!J30+'IN_Res by Plant Acct-P30 (PA)'!J30</f>
        <v>0</v>
      </c>
      <c r="K30" s="52"/>
      <c r="L30" s="52">
        <f>+'IN_Res by Plant Acct-P30 (Fin)'!L30+'IN_Res by Plant Acct-P30 (PA)'!L30</f>
        <v>0</v>
      </c>
      <c r="M30" s="52"/>
      <c r="N30" s="52">
        <f>+'IN_Res by Plant Acct-P30 (Fin)'!N30+'IN_Res by Plant Acct-P30 (PA)'!N30</f>
        <v>0</v>
      </c>
      <c r="O30" s="52"/>
      <c r="P30" s="52">
        <f>+'IN_Res by Plant Acct-P30 (Fin)'!P30+'IN_Res by Plant Acct-P30 (PA)'!P30</f>
        <v>0</v>
      </c>
      <c r="Q30" s="52"/>
      <c r="R30" s="182">
        <f t="shared" si="1"/>
        <v>-34976.290000000045</v>
      </c>
      <c r="S30" s="7"/>
      <c r="T30" s="7"/>
      <c r="U30" s="7"/>
    </row>
    <row r="31" spans="1:21">
      <c r="A31" t="s">
        <v>999</v>
      </c>
      <c r="B31" s="52">
        <f>+'IN_Res by Plant Acct-P30 (Fin)'!B31+'IN_Res by Plant Acct-P30 (PA)'!B31</f>
        <v>348149.24000000011</v>
      </c>
      <c r="C31" s="52"/>
      <c r="D31" s="52">
        <f>+'IN_Res by Plant Acct-P30 (Fin)'!D31+'IN_Res by Plant Acct-P30 (PA)'!D31</f>
        <v>-14196.980000000001</v>
      </c>
      <c r="E31" s="52"/>
      <c r="F31" s="52">
        <f>+'IN_Res by Plant Acct-P30 (Fin)'!F31+'IN_Res by Plant Acct-P30 (PA)'!F31</f>
        <v>0</v>
      </c>
      <c r="G31" s="52"/>
      <c r="H31" s="52">
        <f>+'IN_Res by Plant Acct-P30 (Fin)'!H31+'IN_Res by Plant Acct-P30 (PA)'!H31</f>
        <v>0</v>
      </c>
      <c r="I31" s="52"/>
      <c r="J31" s="52">
        <f>+'IN_Res by Plant Acct-P30 (Fin)'!J31+'IN_Res by Plant Acct-P30 (PA)'!J31</f>
        <v>0</v>
      </c>
      <c r="K31" s="52"/>
      <c r="L31" s="52">
        <f>+'IN_Res by Plant Acct-P30 (Fin)'!L31+'IN_Res by Plant Acct-P30 (PA)'!L31</f>
        <v>0</v>
      </c>
      <c r="M31" s="52"/>
      <c r="N31" s="52">
        <f>+'IN_Res by Plant Acct-P30 (Fin)'!N31+'IN_Res by Plant Acct-P30 (PA)'!N31</f>
        <v>0</v>
      </c>
      <c r="O31" s="52"/>
      <c r="P31" s="52">
        <f>+'IN_Res by Plant Acct-P30 (Fin)'!P31+'IN_Res by Plant Acct-P30 (PA)'!P31</f>
        <v>0</v>
      </c>
      <c r="Q31" s="52"/>
      <c r="R31" s="182">
        <f t="shared" si="1"/>
        <v>333952.26000000013</v>
      </c>
      <c r="S31" s="7"/>
      <c r="T31" s="7"/>
      <c r="U31" s="7"/>
    </row>
    <row r="32" spans="1:21">
      <c r="A32" t="s">
        <v>1091</v>
      </c>
      <c r="B32" s="52">
        <f>+'IN_Res by Plant Acct-P30 (Fin)'!B32+'IN_Res by Plant Acct-P30 (PA)'!B32</f>
        <v>239440.85</v>
      </c>
      <c r="C32" s="52"/>
      <c r="D32" s="52">
        <f>+'IN_Res by Plant Acct-P30 (Fin)'!D32+'IN_Res by Plant Acct-P30 (PA)'!D32</f>
        <v>-14581.330000000002</v>
      </c>
      <c r="E32" s="52"/>
      <c r="F32" s="52">
        <f>+'IN_Res by Plant Acct-P30 (Fin)'!F32+'IN_Res by Plant Acct-P30 (PA)'!F32</f>
        <v>0</v>
      </c>
      <c r="G32" s="52"/>
      <c r="H32" s="52">
        <f>+'IN_Res by Plant Acct-P30 (Fin)'!H32+'IN_Res by Plant Acct-P30 (PA)'!H32</f>
        <v>0</v>
      </c>
      <c r="I32" s="52"/>
      <c r="J32" s="52">
        <f>+'IN_Res by Plant Acct-P30 (Fin)'!J32+'IN_Res by Plant Acct-P30 (PA)'!J32</f>
        <v>0</v>
      </c>
      <c r="K32" s="52"/>
      <c r="L32" s="52">
        <f>+'IN_Res by Plant Acct-P30 (Fin)'!L32+'IN_Res by Plant Acct-P30 (PA)'!L32</f>
        <v>0</v>
      </c>
      <c r="M32" s="52"/>
      <c r="N32" s="52">
        <f>+'IN_Res by Plant Acct-P30 (Fin)'!N32+'IN_Res by Plant Acct-P30 (PA)'!N32</f>
        <v>0</v>
      </c>
      <c r="O32" s="52"/>
      <c r="P32" s="52">
        <f>+'IN_Res by Plant Acct-P30 (Fin)'!P32+'IN_Res by Plant Acct-P30 (PA)'!P32</f>
        <v>0</v>
      </c>
      <c r="Q32" s="52"/>
      <c r="R32" s="182">
        <f t="shared" ref="R32" si="2">SUM(B32:P32)</f>
        <v>224859.52000000002</v>
      </c>
      <c r="S32" s="7"/>
      <c r="T32" s="7"/>
      <c r="U32" s="7"/>
    </row>
    <row r="33" spans="1:21">
      <c r="A33" t="s">
        <v>1001</v>
      </c>
      <c r="B33" s="52">
        <f>+'IN_Res by Plant Acct-P30 (Fin)'!B33+'IN_Res by Plant Acct-P30 (PA)'!B33</f>
        <v>-89411.43</v>
      </c>
      <c r="C33" s="52"/>
      <c r="D33" s="52">
        <f>+'IN_Res by Plant Acct-P30 (Fin)'!D33+'IN_Res by Plant Acct-P30 (PA)'!D33</f>
        <v>-7237.98</v>
      </c>
      <c r="E33" s="52"/>
      <c r="F33" s="52">
        <f>+'IN_Res by Plant Acct-P30 (Fin)'!F33+'IN_Res by Plant Acct-P30 (PA)'!F33</f>
        <v>1347.67</v>
      </c>
      <c r="G33" s="52"/>
      <c r="H33" s="52">
        <f>+'IN_Res by Plant Acct-P30 (Fin)'!H33+'IN_Res by Plant Acct-P30 (PA)'!H33</f>
        <v>0</v>
      </c>
      <c r="I33" s="52"/>
      <c r="J33" s="52">
        <f>+'IN_Res by Plant Acct-P30 (Fin)'!J33+'IN_Res by Plant Acct-P30 (PA)'!J33</f>
        <v>0</v>
      </c>
      <c r="K33" s="52"/>
      <c r="L33" s="52">
        <f>+'IN_Res by Plant Acct-P30 (Fin)'!L33+'IN_Res by Plant Acct-P30 (PA)'!L33</f>
        <v>0</v>
      </c>
      <c r="M33" s="52"/>
      <c r="N33" s="52">
        <f>+'IN_Res by Plant Acct-P30 (Fin)'!N33+'IN_Res by Plant Acct-P30 (PA)'!N33</f>
        <v>0</v>
      </c>
      <c r="O33" s="52"/>
      <c r="P33" s="52">
        <f>+'IN_Res by Plant Acct-P30 (Fin)'!P33+'IN_Res by Plant Acct-P30 (PA)'!P33</f>
        <v>0</v>
      </c>
      <c r="Q33" s="52"/>
      <c r="R33" s="182">
        <f>SUM(B33:P33)</f>
        <v>-95301.739999999991</v>
      </c>
      <c r="S33" s="7"/>
      <c r="T33" s="7"/>
      <c r="U33" s="7"/>
    </row>
    <row r="34" spans="1:21">
      <c r="A34" t="s">
        <v>22</v>
      </c>
      <c r="B34" s="52">
        <f>+'IN_Res by Plant Acct-P30 (Fin)'!B34+'IN_Res by Plant Acct-P30 (PA)'!B34</f>
        <v>0</v>
      </c>
      <c r="C34" s="52"/>
      <c r="D34" s="52">
        <f>+'IN_Res by Plant Acct-P30 (Fin)'!D34+'IN_Res by Plant Acct-P30 (PA)'!D34</f>
        <v>0</v>
      </c>
      <c r="E34" s="52"/>
      <c r="F34" s="52">
        <f>+'IN_Res by Plant Acct-P30 (Fin)'!F34+'IN_Res by Plant Acct-P30 (PA)'!F34</f>
        <v>0</v>
      </c>
      <c r="G34" s="52"/>
      <c r="H34" s="52">
        <f>+'IN_Res by Plant Acct-P30 (Fin)'!H34+'IN_Res by Plant Acct-P30 (PA)'!H34</f>
        <v>0</v>
      </c>
      <c r="I34" s="52"/>
      <c r="J34" s="52">
        <f>+'IN_Res by Plant Acct-P30 (Fin)'!J34+'IN_Res by Plant Acct-P30 (PA)'!J34</f>
        <v>0</v>
      </c>
      <c r="K34" s="52"/>
      <c r="L34" s="52">
        <f>+'IN_Res by Plant Acct-P30 (Fin)'!L34+'IN_Res by Plant Acct-P30 (PA)'!L34</f>
        <v>0</v>
      </c>
      <c r="M34" s="52"/>
      <c r="N34" s="52">
        <f>+'IN_Res by Plant Acct-P30 (Fin)'!N34+'IN_Res by Plant Acct-P30 (PA)'!N34</f>
        <v>0</v>
      </c>
      <c r="O34" s="52"/>
      <c r="P34" s="52">
        <f>+'IN_Res by Plant Acct-P30 (Fin)'!P34+'IN_Res by Plant Acct-P30 (PA)'!P34</f>
        <v>0</v>
      </c>
      <c r="Q34" s="52"/>
      <c r="R34" s="182">
        <f t="shared" si="1"/>
        <v>0</v>
      </c>
      <c r="S34" s="7"/>
      <c r="T34" s="7"/>
      <c r="U34" s="7"/>
    </row>
    <row r="35" spans="1:21">
      <c r="A35" t="s">
        <v>1003</v>
      </c>
      <c r="B35" s="48">
        <f>+'IN_Res by Plant Acct-P30 (Fin)'!B35+'IN_Res by Plant Acct-P30 (PA)'!B35</f>
        <v>-11205.260000000002</v>
      </c>
      <c r="C35" s="52"/>
      <c r="D35" s="48">
        <f>+'IN_Res by Plant Acct-P30 (Fin)'!D35+'IN_Res by Plant Acct-P30 (PA)'!D35</f>
        <v>-2414.0700000000002</v>
      </c>
      <c r="E35" s="52"/>
      <c r="F35" s="48">
        <f>+'IN_Res by Plant Acct-P30 (Fin)'!F35+'IN_Res by Plant Acct-P30 (PA)'!F35</f>
        <v>0</v>
      </c>
      <c r="G35" s="52"/>
      <c r="H35" s="48">
        <f>+'IN_Res by Plant Acct-P30 (Fin)'!H35+'IN_Res by Plant Acct-P30 (PA)'!H35</f>
        <v>0</v>
      </c>
      <c r="I35" s="52"/>
      <c r="J35" s="48">
        <f>+'IN_Res by Plant Acct-P30 (Fin)'!J35+'IN_Res by Plant Acct-P30 (PA)'!J35</f>
        <v>0</v>
      </c>
      <c r="K35" s="52"/>
      <c r="L35" s="48">
        <f>+'IN_Res by Plant Acct-P30 (Fin)'!L35+'IN_Res by Plant Acct-P30 (PA)'!L35</f>
        <v>0</v>
      </c>
      <c r="M35" s="52"/>
      <c r="N35" s="48">
        <f>+'IN_Res by Plant Acct-P30 (Fin)'!N35+'IN_Res by Plant Acct-P30 (PA)'!N35</f>
        <v>0</v>
      </c>
      <c r="O35" s="52"/>
      <c r="P35" s="48">
        <f>+'IN_Res by Plant Acct-P30 (Fin)'!P35+'IN_Res by Plant Acct-P30 (PA)'!P35</f>
        <v>0</v>
      </c>
      <c r="Q35" s="52"/>
      <c r="R35" s="48">
        <f t="shared" si="1"/>
        <v>-13619.330000000002</v>
      </c>
      <c r="S35" s="7"/>
      <c r="T35" s="7"/>
      <c r="U35" s="7"/>
    </row>
    <row r="36" spans="1:21">
      <c r="B36" s="89">
        <f>SUM(B29:B35)</f>
        <v>439689.94000000012</v>
      </c>
      <c r="D36" s="89">
        <f>SUM(D29:D35)</f>
        <v>-40153.860000000008</v>
      </c>
      <c r="F36" s="89">
        <f>SUM(F29:F35)</f>
        <v>1347.67</v>
      </c>
      <c r="H36" s="89">
        <f>SUM(H29:H35)</f>
        <v>0</v>
      </c>
      <c r="J36" s="89">
        <f>SUM(J29:J35)</f>
        <v>0</v>
      </c>
      <c r="L36" s="89">
        <f>SUM(L29:L35)</f>
        <v>0</v>
      </c>
      <c r="N36" s="89">
        <f>SUM(N29:N35)</f>
        <v>0</v>
      </c>
      <c r="P36" s="89">
        <f>SUM(P29:P35)</f>
        <v>0</v>
      </c>
      <c r="R36" s="89">
        <f>SUM(R29:R35)</f>
        <v>400883.75000000012</v>
      </c>
    </row>
    <row r="39" spans="1:21" ht="13.5" thickBot="1">
      <c r="A39" s="3" t="s">
        <v>40</v>
      </c>
      <c r="B39" s="46">
        <f>B36+B24</f>
        <v>439689.94000000012</v>
      </c>
      <c r="C39" s="52"/>
      <c r="D39" s="46">
        <f>D36+D24</f>
        <v>-40153.860000000008</v>
      </c>
      <c r="E39" s="52"/>
      <c r="F39" s="46">
        <f>F36+F24</f>
        <v>1347.67</v>
      </c>
      <c r="G39" s="52"/>
      <c r="H39" s="46">
        <f>H36+H24</f>
        <v>0</v>
      </c>
      <c r="I39" s="52"/>
      <c r="J39" s="46">
        <f>J36+J24</f>
        <v>0</v>
      </c>
      <c r="K39" s="52"/>
      <c r="L39" s="46">
        <f>L36+L24</f>
        <v>0</v>
      </c>
      <c r="M39" s="52"/>
      <c r="N39" s="46">
        <f>N36+N24</f>
        <v>0</v>
      </c>
      <c r="O39" s="52"/>
      <c r="P39" s="46">
        <f>P36+P24</f>
        <v>0</v>
      </c>
      <c r="Q39" s="52"/>
      <c r="R39" s="46">
        <f>R36+R24</f>
        <v>400883.75000000012</v>
      </c>
      <c r="S39" s="182"/>
      <c r="T39" s="182"/>
      <c r="U39" s="182"/>
    </row>
    <row r="40" spans="1:21" ht="13.5" thickTop="1"/>
    <row r="42" spans="1:21" s="10" customFormat="1">
      <c r="A42" s="12" t="s">
        <v>455</v>
      </c>
      <c r="C42" s="71"/>
      <c r="E42" s="71"/>
      <c r="G42" s="71"/>
      <c r="I42" s="71"/>
      <c r="K42" s="71"/>
      <c r="M42" s="71"/>
      <c r="O42" s="71"/>
      <c r="Q42" s="71"/>
    </row>
    <row r="43" spans="1:21" s="10" customFormat="1">
      <c r="A43" s="10" t="s">
        <v>816</v>
      </c>
      <c r="B43" s="64">
        <f>+'IN_Res by Plant Acct-P30 (Fin)'!B43+'IN_Res by Plant Acct-P30 (PA)'!B43</f>
        <v>-121534.90000000002</v>
      </c>
      <c r="C43" s="65"/>
      <c r="D43" s="64">
        <f>+'IN_Res by Plant Acct-P30 (Fin)'!D43+'IN_Res by Plant Acct-P30 (PA)'!D43</f>
        <v>-23206.65</v>
      </c>
      <c r="E43" s="65"/>
      <c r="F43" s="64">
        <f>+'IN_Res by Plant Acct-P30 (Fin)'!F43+'IN_Res by Plant Acct-P30 (PA)'!F43</f>
        <v>0</v>
      </c>
      <c r="G43" s="65"/>
      <c r="H43" s="64">
        <f>+'IN_Res by Plant Acct-P30 (Fin)'!H43+'IN_Res by Plant Acct-P30 (PA)'!H43</f>
        <v>0</v>
      </c>
      <c r="I43" s="65"/>
      <c r="J43" s="64">
        <f>+'IN_Res by Plant Acct-P30 (Fin)'!J43+'IN_Res by Plant Acct-P30 (PA)'!J43</f>
        <v>0</v>
      </c>
      <c r="K43" s="65"/>
      <c r="L43" s="64">
        <f>+'IN_Res by Plant Acct-P30 (Fin)'!L43+'IN_Res by Plant Acct-P30 (PA)'!L43</f>
        <v>0</v>
      </c>
      <c r="M43" s="65"/>
      <c r="N43" s="64">
        <f>+'IN_Res by Plant Acct-P30 (Fin)'!N43+'IN_Res by Plant Acct-P30 (PA)'!N43</f>
        <v>0</v>
      </c>
      <c r="O43" s="65"/>
      <c r="P43" s="64">
        <f>+'IN_Res by Plant Acct-P30 (Fin)'!P43+'IN_Res by Plant Acct-P30 (PA)'!P43</f>
        <v>0</v>
      </c>
      <c r="Q43" s="65"/>
      <c r="R43" s="64">
        <f>SUM(B43:P43)</f>
        <v>-144741.55000000002</v>
      </c>
      <c r="S43" s="64"/>
    </row>
    <row r="44" spans="1:21" s="10" customFormat="1">
      <c r="B44" s="65"/>
      <c r="C44" s="65"/>
      <c r="D44" s="65"/>
      <c r="E44" s="65"/>
      <c r="F44" s="65"/>
      <c r="G44" s="65"/>
      <c r="H44" s="65"/>
      <c r="I44" s="65"/>
      <c r="J44" s="65"/>
      <c r="K44" s="65"/>
      <c r="L44" s="65"/>
      <c r="M44" s="65"/>
      <c r="N44" s="65"/>
      <c r="O44" s="65"/>
      <c r="P44" s="65"/>
      <c r="Q44" s="65"/>
      <c r="R44" s="65"/>
      <c r="S44" s="64"/>
    </row>
    <row r="45" spans="1:21" s="10" customFormat="1">
      <c r="B45" s="64"/>
      <c r="C45" s="65"/>
      <c r="D45" s="64"/>
      <c r="E45" s="65"/>
      <c r="F45" s="64"/>
      <c r="G45" s="65"/>
      <c r="H45" s="64"/>
      <c r="I45" s="65"/>
      <c r="J45" s="64"/>
      <c r="K45" s="65"/>
      <c r="L45" s="64"/>
      <c r="M45" s="65"/>
      <c r="N45" s="64"/>
      <c r="O45" s="65"/>
      <c r="P45" s="64"/>
      <c r="Q45" s="65"/>
      <c r="R45" s="64"/>
      <c r="S45" s="64"/>
    </row>
    <row r="46" spans="1:21" s="10" customFormat="1" ht="13.5" thickBot="1">
      <c r="A46" s="12" t="s">
        <v>44</v>
      </c>
      <c r="B46" s="91">
        <f>B43</f>
        <v>-121534.90000000002</v>
      </c>
      <c r="C46" s="65"/>
      <c r="D46" s="91">
        <f>D43</f>
        <v>-23206.65</v>
      </c>
      <c r="E46" s="65"/>
      <c r="F46" s="91">
        <f>F43</f>
        <v>0</v>
      </c>
      <c r="G46" s="65"/>
      <c r="H46" s="91">
        <f>H43</f>
        <v>0</v>
      </c>
      <c r="I46" s="65"/>
      <c r="J46" s="91">
        <f>J43</f>
        <v>0</v>
      </c>
      <c r="K46" s="65"/>
      <c r="L46" s="91">
        <f>L43</f>
        <v>0</v>
      </c>
      <c r="M46" s="65"/>
      <c r="N46" s="91">
        <f>N43</f>
        <v>0</v>
      </c>
      <c r="O46" s="65"/>
      <c r="P46" s="91">
        <f>P43</f>
        <v>0</v>
      </c>
      <c r="Q46" s="65"/>
      <c r="R46" s="91">
        <f>R43</f>
        <v>-144741.55000000002</v>
      </c>
      <c r="S46" s="64"/>
    </row>
    <row r="47" spans="1:21" ht="13.5" thickTop="1"/>
    <row r="50" spans="1:18" ht="13.5" thickBot="1">
      <c r="A50" s="3" t="s">
        <v>142</v>
      </c>
      <c r="B50" s="92">
        <f>B39+B25+B46</f>
        <v>-3402878.6800000006</v>
      </c>
      <c r="D50" s="92">
        <f>D39+D25+D46</f>
        <v>-162767.49</v>
      </c>
      <c r="F50" s="92">
        <f>F39+F25+F46</f>
        <v>1347.67</v>
      </c>
      <c r="H50" s="92">
        <f>H39+H25+H46</f>
        <v>0</v>
      </c>
      <c r="J50" s="92">
        <f>J39+J25+J46</f>
        <v>0</v>
      </c>
      <c r="L50" s="92">
        <f>L39+L25+L46</f>
        <v>0</v>
      </c>
      <c r="N50" s="92">
        <f>N39+N25+N46</f>
        <v>0</v>
      </c>
      <c r="P50" s="92">
        <f>P39+P25+P46</f>
        <v>0</v>
      </c>
      <c r="R50" s="92">
        <f>R39+R25+R46</f>
        <v>-3564298.5000000009</v>
      </c>
    </row>
    <row r="51" spans="1:18" ht="13.5" thickTop="1"/>
  </sheetData>
  <mergeCells count="3">
    <mergeCell ref="A1:R1"/>
    <mergeCell ref="A2:R2"/>
    <mergeCell ref="A3:R3"/>
  </mergeCells>
  <pageMargins left="0.75" right="0.75" top="1" bottom="1" header="0.5" footer="0.5"/>
  <pageSetup scale="57" fitToHeight="2" orientation="landscape" r:id="rId1"/>
  <headerFooter alignWithMargins="0">
    <oddFooter>&amp;L&amp;Z
&amp;F&amp;C&amp;A&amp;R30.&amp;P</oddFooter>
  </headerFooter>
</worksheet>
</file>

<file path=xl/worksheets/sheet83.xml><?xml version="1.0" encoding="utf-8"?>
<worksheet xmlns="http://schemas.openxmlformats.org/spreadsheetml/2006/main" xmlns:r="http://schemas.openxmlformats.org/officeDocument/2006/relationships">
  <sheetPr codeName="Sheet49"/>
  <dimension ref="A1:X131"/>
  <sheetViews>
    <sheetView zoomScaleNormal="100" workbookViewId="0">
      <pane xSplit="3" ySplit="9" topLeftCell="H10" activePane="bottomRight" state="frozen"/>
      <selection pane="topRight" activeCell="D1" sqref="D1"/>
      <selection pane="bottomLeft" activeCell="A10" sqref="A10"/>
      <selection pane="bottomRight" activeCell="N53" sqref="N53"/>
    </sheetView>
  </sheetViews>
  <sheetFormatPr defaultRowHeight="12.75"/>
  <cols>
    <col min="1" max="1" width="5" style="32" customWidth="1"/>
    <col min="2" max="2" width="8.140625" style="58" customWidth="1"/>
    <col min="3" max="3" width="29" style="10" customWidth="1"/>
    <col min="4" max="4" width="17.7109375" style="10" customWidth="1"/>
    <col min="5" max="5" width="1.7109375" style="10" customWidth="1"/>
    <col min="6" max="6" width="17.7109375" style="10" customWidth="1"/>
    <col min="7" max="7" width="1.7109375" style="10" customWidth="1"/>
    <col min="8" max="8" width="17.7109375" style="10" customWidth="1"/>
    <col min="9" max="9" width="1.7109375" style="10" customWidth="1"/>
    <col min="10" max="10" width="17.7109375" style="10" customWidth="1"/>
    <col min="11" max="11" width="1.7109375" style="10" customWidth="1"/>
    <col min="12" max="12" width="17.7109375" style="10" customWidth="1"/>
    <col min="13" max="13" width="1.7109375" style="10" customWidth="1"/>
    <col min="14" max="14" width="19.28515625" style="10" customWidth="1"/>
    <col min="15" max="15" width="2.7109375" style="163" customWidth="1"/>
    <col min="16" max="16" width="16.5703125" style="10" bestFit="1" customWidth="1"/>
    <col min="17" max="16384" width="9.140625" style="10"/>
  </cols>
  <sheetData>
    <row r="1" spans="1:24">
      <c r="A1" s="359" t="s">
        <v>134</v>
      </c>
      <c r="B1" s="359"/>
      <c r="C1" s="359"/>
      <c r="D1" s="359"/>
      <c r="E1" s="359"/>
      <c r="F1" s="359"/>
      <c r="G1" s="359"/>
      <c r="H1" s="359"/>
      <c r="I1" s="359"/>
      <c r="J1" s="359"/>
      <c r="K1" s="359"/>
      <c r="L1" s="359"/>
      <c r="M1" s="359"/>
      <c r="N1" s="359"/>
    </row>
    <row r="2" spans="1:24">
      <c r="A2" s="359" t="s">
        <v>1147</v>
      </c>
      <c r="B2" s="359"/>
      <c r="C2" s="359"/>
      <c r="D2" s="359"/>
      <c r="E2" s="359"/>
      <c r="F2" s="359"/>
      <c r="G2" s="359"/>
      <c r="H2" s="359"/>
      <c r="I2" s="359"/>
      <c r="J2" s="359"/>
      <c r="K2" s="359"/>
      <c r="L2" s="359"/>
      <c r="M2" s="359"/>
      <c r="N2" s="359"/>
    </row>
    <row r="3" spans="1:24">
      <c r="A3" s="360" t="str">
        <f>+'Summary - Cost - PG 1 (Tot)'!A3:N3</f>
        <v>MARCH 2012</v>
      </c>
      <c r="B3" s="361"/>
      <c r="C3" s="361"/>
      <c r="D3" s="361"/>
      <c r="E3" s="361"/>
      <c r="F3" s="361"/>
      <c r="G3" s="361"/>
      <c r="H3" s="361"/>
      <c r="I3" s="361"/>
      <c r="J3" s="361"/>
      <c r="K3" s="361"/>
      <c r="L3" s="361"/>
      <c r="M3" s="361"/>
      <c r="N3" s="361"/>
    </row>
    <row r="4" spans="1:24">
      <c r="A4" s="31"/>
      <c r="B4" s="57"/>
      <c r="C4" s="9"/>
      <c r="D4" s="9"/>
      <c r="E4" s="9"/>
      <c r="F4" s="9"/>
      <c r="G4" s="9"/>
      <c r="H4" s="9"/>
      <c r="I4" s="9"/>
      <c r="J4" s="9"/>
      <c r="K4" s="9"/>
      <c r="L4" s="9"/>
      <c r="M4" s="9"/>
      <c r="N4" s="9"/>
    </row>
    <row r="5" spans="1:24">
      <c r="A5" s="31"/>
      <c r="B5" s="57"/>
      <c r="C5" s="9"/>
      <c r="D5" s="9"/>
      <c r="E5" s="9"/>
      <c r="F5" s="9"/>
      <c r="G5" s="9"/>
      <c r="H5" s="9"/>
      <c r="I5" s="9"/>
      <c r="J5" s="9"/>
      <c r="K5" s="9"/>
      <c r="L5" s="9"/>
      <c r="M5" s="9"/>
      <c r="N5" s="9"/>
    </row>
    <row r="6" spans="1:24">
      <c r="A6" s="31"/>
      <c r="B6" s="57"/>
      <c r="C6" s="9"/>
      <c r="D6" s="41" t="s">
        <v>25</v>
      </c>
      <c r="E6" s="22"/>
      <c r="F6" s="22"/>
      <c r="G6" s="22"/>
      <c r="H6" s="22"/>
      <c r="I6" s="22"/>
      <c r="J6" s="41" t="s">
        <v>612</v>
      </c>
      <c r="K6" s="22"/>
      <c r="L6" s="22"/>
      <c r="M6" s="22"/>
      <c r="N6" s="84" t="s">
        <v>26</v>
      </c>
    </row>
    <row r="7" spans="1:24" s="12" customFormat="1">
      <c r="A7" s="59"/>
      <c r="D7" s="42" t="s">
        <v>27</v>
      </c>
      <c r="E7" s="23"/>
      <c r="F7" s="42" t="s">
        <v>107</v>
      </c>
      <c r="G7" s="23"/>
      <c r="H7" s="42" t="s">
        <v>108</v>
      </c>
      <c r="I7" s="23"/>
      <c r="J7" s="42" t="s">
        <v>613</v>
      </c>
      <c r="K7" s="23"/>
      <c r="L7" s="43" t="s">
        <v>109</v>
      </c>
      <c r="M7" s="23"/>
      <c r="N7" s="43" t="s">
        <v>27</v>
      </c>
      <c r="O7" s="163"/>
      <c r="P7" s="10"/>
      <c r="Q7" s="10"/>
      <c r="R7" s="10"/>
      <c r="S7" s="10"/>
      <c r="T7" s="10"/>
      <c r="U7" s="10"/>
      <c r="V7" s="10"/>
      <c r="W7" s="10"/>
      <c r="X7" s="10"/>
    </row>
    <row r="8" spans="1:24">
      <c r="A8" s="32">
        <v>101</v>
      </c>
      <c r="B8" s="12" t="s">
        <v>610</v>
      </c>
    </row>
    <row r="9" spans="1:24">
      <c r="B9" s="58" t="s">
        <v>652</v>
      </c>
    </row>
    <row r="10" spans="1:24">
      <c r="C10" s="10" t="s">
        <v>455</v>
      </c>
      <c r="D10" s="24">
        <v>157057082.39000002</v>
      </c>
      <c r="E10" s="24"/>
      <c r="F10" s="24">
        <f>634759.4+1674244.68+850990.97</f>
        <v>3159995.05</v>
      </c>
      <c r="G10" s="24"/>
      <c r="H10" s="24">
        <f>-122833.7-120387.28</f>
        <v>-243220.97999999998</v>
      </c>
      <c r="I10" s="24"/>
      <c r="J10" s="24">
        <v>0</v>
      </c>
      <c r="K10" s="24"/>
      <c r="L10" s="24">
        <f>F10+H10+J10</f>
        <v>2916774.07</v>
      </c>
      <c r="M10" s="24"/>
      <c r="N10" s="24">
        <f>D10+L10</f>
        <v>159973856.46000001</v>
      </c>
      <c r="O10" s="84"/>
    </row>
    <row r="11" spans="1:24">
      <c r="C11" s="10" t="s">
        <v>111</v>
      </c>
      <c r="D11" s="28">
        <v>60891162.829999991</v>
      </c>
      <c r="E11" s="27"/>
      <c r="F11" s="28">
        <f>216668.23+184209.12+65430.63</f>
        <v>466307.98</v>
      </c>
      <c r="G11" s="27"/>
      <c r="H11" s="28">
        <f>0-1193940.58</f>
        <v>-1193940.58</v>
      </c>
      <c r="I11" s="27"/>
      <c r="J11" s="28">
        <v>0</v>
      </c>
      <c r="K11" s="27"/>
      <c r="L11" s="28">
        <f>F11+H11+J11</f>
        <v>-727632.60000000009</v>
      </c>
      <c r="M11" s="27"/>
      <c r="N11" s="28">
        <f>D11+L11</f>
        <v>60163530.229999989</v>
      </c>
      <c r="O11" s="85"/>
    </row>
    <row r="12" spans="1:24">
      <c r="C12" s="11"/>
      <c r="D12" s="27">
        <f>D10+D11</f>
        <v>217948245.22</v>
      </c>
      <c r="E12" s="27"/>
      <c r="F12" s="27">
        <f>F10+F11</f>
        <v>3626303.03</v>
      </c>
      <c r="G12" s="27"/>
      <c r="H12" s="27">
        <f>H10+H11</f>
        <v>-1437161.56</v>
      </c>
      <c r="I12" s="27"/>
      <c r="J12" s="27">
        <f>J10+J11</f>
        <v>0</v>
      </c>
      <c r="K12" s="27"/>
      <c r="L12" s="27">
        <f>L10+L11</f>
        <v>2189141.4699999997</v>
      </c>
      <c r="M12" s="27"/>
      <c r="N12" s="27">
        <f>N10+N11</f>
        <v>220137386.69</v>
      </c>
      <c r="O12" s="85"/>
      <c r="P12" s="72">
        <f>N12*0.71</f>
        <v>156297544.5499</v>
      </c>
    </row>
    <row r="13" spans="1:24">
      <c r="B13" s="12"/>
      <c r="D13" s="27"/>
      <c r="E13" s="27"/>
      <c r="F13" s="27"/>
      <c r="G13" s="27"/>
      <c r="H13" s="27"/>
      <c r="I13" s="27"/>
      <c r="J13" s="27"/>
      <c r="K13" s="27"/>
      <c r="L13" s="27"/>
      <c r="M13" s="27"/>
      <c r="N13" s="27"/>
      <c r="O13" s="85"/>
    </row>
    <row r="14" spans="1:24">
      <c r="B14" s="58" t="s">
        <v>112</v>
      </c>
      <c r="D14" s="27"/>
      <c r="E14" s="27"/>
      <c r="F14" s="27"/>
      <c r="G14" s="27"/>
      <c r="H14" s="27"/>
      <c r="I14" s="27"/>
      <c r="J14" s="27"/>
      <c r="K14" s="27"/>
      <c r="L14" s="27"/>
      <c r="M14" s="27"/>
      <c r="N14" s="27"/>
      <c r="O14" s="85"/>
    </row>
    <row r="15" spans="1:24">
      <c r="C15" s="10" t="s">
        <v>113</v>
      </c>
      <c r="D15" s="27">
        <v>964513175.8499999</v>
      </c>
      <c r="E15" s="27"/>
      <c r="F15" s="27">
        <f>6127891.76-145309.24+5748549.03+8486590.53</f>
        <v>20217722.079999998</v>
      </c>
      <c r="G15" s="27"/>
      <c r="H15" s="27">
        <f>-474584.1-461773.37-861935.39</f>
        <v>-1798292.8599999999</v>
      </c>
      <c r="I15" s="27"/>
      <c r="J15" s="27">
        <f>145309.24-145332.98+21926.88</f>
        <v>21903.139999999981</v>
      </c>
      <c r="K15" s="27"/>
      <c r="L15" s="27">
        <f t="shared" ref="L15:L21" si="0">F15+H15+J15</f>
        <v>18441332.359999999</v>
      </c>
      <c r="M15" s="27"/>
      <c r="N15" s="27">
        <f t="shared" ref="N15:N21" si="1">D15+L15</f>
        <v>982954508.20999992</v>
      </c>
      <c r="O15" s="85"/>
    </row>
    <row r="16" spans="1:24">
      <c r="C16" s="10" t="s">
        <v>114</v>
      </c>
      <c r="D16" s="27">
        <v>15943111.49</v>
      </c>
      <c r="E16" s="27"/>
      <c r="F16" s="27">
        <v>179252.16</v>
      </c>
      <c r="G16" s="27"/>
      <c r="H16" s="27">
        <v>-39209.64</v>
      </c>
      <c r="I16" s="27"/>
      <c r="J16" s="27">
        <v>0</v>
      </c>
      <c r="K16" s="27"/>
      <c r="L16" s="27">
        <f t="shared" si="0"/>
        <v>140042.52000000002</v>
      </c>
      <c r="M16" s="27"/>
      <c r="N16" s="27">
        <f t="shared" si="1"/>
        <v>16083154.01</v>
      </c>
      <c r="O16" s="85"/>
    </row>
    <row r="17" spans="2:15">
      <c r="C17" s="10" t="s">
        <v>115</v>
      </c>
      <c r="D17" s="27">
        <v>42535934.100000001</v>
      </c>
      <c r="E17" s="27"/>
      <c r="F17" s="27">
        <v>16456.36</v>
      </c>
      <c r="G17" s="27"/>
      <c r="H17" s="27">
        <v>-507.91</v>
      </c>
      <c r="I17" s="27"/>
      <c r="J17" s="27">
        <v>0</v>
      </c>
      <c r="K17" s="27"/>
      <c r="L17" s="27">
        <f t="shared" si="0"/>
        <v>15948.45</v>
      </c>
      <c r="M17" s="27"/>
      <c r="N17" s="27">
        <f t="shared" si="1"/>
        <v>42551882.550000004</v>
      </c>
      <c r="O17" s="85"/>
    </row>
    <row r="18" spans="2:15">
      <c r="C18" s="10" t="s">
        <v>116</v>
      </c>
      <c r="D18" s="27">
        <v>2240.29</v>
      </c>
      <c r="E18" s="27"/>
      <c r="F18" s="27">
        <v>0</v>
      </c>
      <c r="G18" s="27"/>
      <c r="H18" s="27">
        <v>0</v>
      </c>
      <c r="I18" s="27"/>
      <c r="J18" s="27">
        <v>0</v>
      </c>
      <c r="K18" s="27"/>
      <c r="L18" s="27">
        <f t="shared" si="0"/>
        <v>0</v>
      </c>
      <c r="M18" s="27"/>
      <c r="N18" s="27">
        <f t="shared" si="1"/>
        <v>2240.29</v>
      </c>
      <c r="O18" s="85"/>
    </row>
    <row r="19" spans="2:15">
      <c r="C19" s="10" t="s">
        <v>117</v>
      </c>
      <c r="D19" s="27">
        <v>234246978.99000001</v>
      </c>
      <c r="E19" s="27"/>
      <c r="F19" s="27">
        <v>3514154.86</v>
      </c>
      <c r="G19" s="27"/>
      <c r="H19" s="27">
        <v>-676874.51</v>
      </c>
      <c r="I19" s="27"/>
      <c r="J19" s="27">
        <v>0</v>
      </c>
      <c r="K19" s="27"/>
      <c r="L19" s="27">
        <f t="shared" si="0"/>
        <v>2837280.3499999996</v>
      </c>
      <c r="M19" s="27"/>
      <c r="N19" s="27">
        <f t="shared" si="1"/>
        <v>237084259.34</v>
      </c>
      <c r="O19" s="85"/>
    </row>
    <row r="20" spans="2:15">
      <c r="C20" s="10" t="s">
        <v>118</v>
      </c>
      <c r="D20" s="27">
        <v>2114510864.7399998</v>
      </c>
      <c r="E20" s="27"/>
      <c r="F20" s="27">
        <f>3493297.31+13380154.91</f>
        <v>16873452.219999999</v>
      </c>
      <c r="G20" s="27"/>
      <c r="H20" s="27">
        <f>-519111.54-567587.85</f>
        <v>-1086699.3899999999</v>
      </c>
      <c r="I20" s="27"/>
      <c r="J20" s="27">
        <f>-592005.19+592005.19</f>
        <v>0</v>
      </c>
      <c r="K20" s="27"/>
      <c r="L20" s="27">
        <f t="shared" si="0"/>
        <v>15786752.829999998</v>
      </c>
      <c r="M20" s="27"/>
      <c r="N20" s="27">
        <f t="shared" si="1"/>
        <v>2130297617.5699997</v>
      </c>
      <c r="O20" s="85"/>
    </row>
    <row r="21" spans="2:15">
      <c r="C21" s="10" t="s">
        <v>119</v>
      </c>
      <c r="D21" s="28">
        <v>254611190.86999997</v>
      </c>
      <c r="E21" s="27"/>
      <c r="F21" s="28">
        <f>1050986.4+4308164.06+308133.57</f>
        <v>5667284.0299999993</v>
      </c>
      <c r="G21" s="27"/>
      <c r="H21" s="28">
        <f>-168683.63-1252713.99-202580.15</f>
        <v>-1623977.77</v>
      </c>
      <c r="I21" s="27"/>
      <c r="J21" s="28">
        <v>0</v>
      </c>
      <c r="K21" s="27"/>
      <c r="L21" s="28">
        <f t="shared" si="0"/>
        <v>4043306.2599999993</v>
      </c>
      <c r="M21" s="27"/>
      <c r="N21" s="28">
        <f t="shared" si="1"/>
        <v>258654497.12999997</v>
      </c>
      <c r="O21" s="85"/>
    </row>
    <row r="22" spans="2:15">
      <c r="C22" s="11"/>
      <c r="D22" s="27">
        <f>SUM(D15:D21)</f>
        <v>3626363496.3299994</v>
      </c>
      <c r="E22" s="27"/>
      <c r="F22" s="27">
        <f>SUM(F15:F21)</f>
        <v>46468321.709999993</v>
      </c>
      <c r="G22" s="27"/>
      <c r="H22" s="27">
        <f>SUM(H15:H21)</f>
        <v>-5225562.08</v>
      </c>
      <c r="I22" s="27"/>
      <c r="J22" s="27">
        <f>SUM(J15:J21)</f>
        <v>21903.139999999981</v>
      </c>
      <c r="K22" s="27"/>
      <c r="L22" s="27">
        <f>SUM(L15:L21)</f>
        <v>41264662.769999996</v>
      </c>
      <c r="M22" s="27"/>
      <c r="N22" s="27">
        <f>SUM(N15:N21)</f>
        <v>3667628159.0999994</v>
      </c>
      <c r="O22" s="85"/>
    </row>
    <row r="23" spans="2:15">
      <c r="B23" s="12"/>
      <c r="D23" s="27"/>
      <c r="E23" s="27"/>
      <c r="F23" s="27"/>
      <c r="G23" s="27"/>
      <c r="H23" s="27"/>
      <c r="I23" s="27"/>
      <c r="J23" s="27"/>
      <c r="K23" s="27"/>
      <c r="L23" s="27"/>
      <c r="M23" s="27"/>
      <c r="N23" s="27"/>
      <c r="O23" s="85"/>
    </row>
    <row r="24" spans="2:15">
      <c r="B24" s="58" t="s">
        <v>120</v>
      </c>
      <c r="D24" s="24"/>
      <c r="E24" s="24"/>
      <c r="F24" s="24"/>
      <c r="G24" s="24"/>
      <c r="H24" s="24"/>
      <c r="I24" s="24"/>
      <c r="J24" s="24"/>
      <c r="K24" s="24"/>
      <c r="L24" s="24"/>
      <c r="M24" s="24"/>
      <c r="N24" s="24"/>
      <c r="O24" s="84"/>
    </row>
    <row r="25" spans="2:15">
      <c r="C25" s="10" t="s">
        <v>121</v>
      </c>
      <c r="D25" s="24">
        <v>592951320.42000008</v>
      </c>
      <c r="E25" s="24"/>
      <c r="F25" s="314">
        <f>2391365.11+397999.6</f>
        <v>2789364.71</v>
      </c>
      <c r="G25" s="24"/>
      <c r="H25" s="24">
        <f>-17640.22-5977.58</f>
        <v>-23617.800000000003</v>
      </c>
      <c r="I25" s="24"/>
      <c r="J25" s="314">
        <f>0-134900.23</f>
        <v>-134900.23000000001</v>
      </c>
      <c r="K25" s="24"/>
      <c r="L25" s="24">
        <f>F25+H25+J25</f>
        <v>2630846.6800000002</v>
      </c>
      <c r="M25" s="24"/>
      <c r="N25" s="24">
        <f>D25+L25</f>
        <v>595582167.10000002</v>
      </c>
      <c r="O25" s="84"/>
    </row>
    <row r="26" spans="2:15">
      <c r="C26" s="10" t="s">
        <v>122</v>
      </c>
      <c r="D26" s="24">
        <v>8204172.4699999988</v>
      </c>
      <c r="E26" s="24"/>
      <c r="F26" s="24">
        <f>478556.74+118974.9</f>
        <v>597531.64</v>
      </c>
      <c r="G26" s="24"/>
      <c r="H26" s="24">
        <v>0</v>
      </c>
      <c r="I26" s="24"/>
      <c r="J26" s="24">
        <v>0</v>
      </c>
      <c r="K26" s="24"/>
      <c r="L26" s="24">
        <f>F26+H26+J26</f>
        <v>597531.64</v>
      </c>
      <c r="M26" s="24"/>
      <c r="N26" s="24">
        <f>D26+L26</f>
        <v>8801704.1099999994</v>
      </c>
      <c r="O26" s="84"/>
    </row>
    <row r="27" spans="2:15">
      <c r="C27" s="10" t="s">
        <v>123</v>
      </c>
      <c r="D27" s="24">
        <v>387.49</v>
      </c>
      <c r="E27" s="24"/>
      <c r="F27" s="24">
        <v>0</v>
      </c>
      <c r="G27" s="24"/>
      <c r="H27" s="24">
        <v>0</v>
      </c>
      <c r="I27" s="24"/>
      <c r="J27" s="24">
        <v>0</v>
      </c>
      <c r="K27" s="24"/>
      <c r="L27" s="24">
        <f>F27+H27+J27</f>
        <v>0</v>
      </c>
      <c r="M27" s="24"/>
      <c r="N27" s="24">
        <f>D27+L27</f>
        <v>387.49</v>
      </c>
      <c r="O27" s="84"/>
    </row>
    <row r="28" spans="2:15">
      <c r="C28" s="10" t="s">
        <v>124</v>
      </c>
      <c r="D28" s="24">
        <v>80580078.390000001</v>
      </c>
      <c r="E28" s="24"/>
      <c r="F28" s="24">
        <f>419144.5+209039.68</f>
        <v>628184.17999999993</v>
      </c>
      <c r="G28" s="24"/>
      <c r="H28" s="24">
        <f>-46029.52-12499.78</f>
        <v>-58529.299999999996</v>
      </c>
      <c r="I28" s="24"/>
      <c r="J28" s="24">
        <v>0</v>
      </c>
      <c r="K28" s="24"/>
      <c r="L28" s="24">
        <f>F28+H28+J28</f>
        <v>569654.87999999989</v>
      </c>
      <c r="M28" s="24"/>
      <c r="N28" s="24">
        <f>D28+L28</f>
        <v>81149733.269999996</v>
      </c>
      <c r="O28" s="84"/>
    </row>
    <row r="29" spans="2:15">
      <c r="C29" s="10" t="s">
        <v>125</v>
      </c>
      <c r="D29" s="28">
        <v>21541957.359999999</v>
      </c>
      <c r="E29" s="24"/>
      <c r="F29" s="28">
        <v>882947.47</v>
      </c>
      <c r="G29" s="24"/>
      <c r="H29" s="28">
        <v>-1389.93</v>
      </c>
      <c r="I29" s="24"/>
      <c r="J29" s="28">
        <v>134900.23000000001</v>
      </c>
      <c r="K29" s="24"/>
      <c r="L29" s="28">
        <f>F29+H29+J29</f>
        <v>1016457.7699999999</v>
      </c>
      <c r="M29" s="24"/>
      <c r="N29" s="28">
        <f>D29+L29</f>
        <v>22558415.129999999</v>
      </c>
      <c r="O29" s="84"/>
    </row>
    <row r="30" spans="2:15">
      <c r="C30" s="11"/>
      <c r="D30" s="27">
        <f>SUM(D25:D29)</f>
        <v>703277916.13000011</v>
      </c>
      <c r="E30" s="27"/>
      <c r="F30" s="27">
        <f>SUM(F25:F29)</f>
        <v>4898028</v>
      </c>
      <c r="G30" s="27"/>
      <c r="H30" s="27">
        <f>SUM(H25:H29)</f>
        <v>-83537.03</v>
      </c>
      <c r="I30" s="27"/>
      <c r="J30" s="27">
        <f>SUM(J25:J29)</f>
        <v>0</v>
      </c>
      <c r="K30" s="27"/>
      <c r="L30" s="27">
        <f>SUM(L25:L29)</f>
        <v>4814490.97</v>
      </c>
      <c r="M30" s="27"/>
      <c r="N30" s="27">
        <f>SUM(N25:N29)</f>
        <v>708092407.10000002</v>
      </c>
      <c r="O30" s="84"/>
    </row>
    <row r="31" spans="2:15">
      <c r="D31" s="24"/>
      <c r="E31" s="24"/>
      <c r="F31" s="24"/>
      <c r="G31" s="24"/>
      <c r="H31" s="24"/>
      <c r="I31" s="24"/>
      <c r="J31" s="24"/>
      <c r="K31" s="24"/>
      <c r="L31" s="24"/>
      <c r="M31" s="24"/>
      <c r="N31" s="24"/>
      <c r="O31" s="84"/>
    </row>
    <row r="32" spans="2:15">
      <c r="C32" s="12" t="s">
        <v>126</v>
      </c>
      <c r="D32" s="25">
        <f>D12+D22+D30</f>
        <v>4547589657.6799994</v>
      </c>
      <c r="E32" s="24"/>
      <c r="F32" s="25">
        <f>F12+F22+F30</f>
        <v>54992652.739999995</v>
      </c>
      <c r="G32" s="24"/>
      <c r="H32" s="25">
        <f>H12+H22+H30</f>
        <v>-6746260.6700000009</v>
      </c>
      <c r="I32" s="24"/>
      <c r="J32" s="25">
        <f>J12+J22+J30</f>
        <v>21903.139999999981</v>
      </c>
      <c r="K32" s="24"/>
      <c r="L32" s="25">
        <f>L12+L22+L30</f>
        <v>48268295.209999993</v>
      </c>
      <c r="M32" s="24"/>
      <c r="N32" s="25">
        <f>N12+N22+N30</f>
        <v>4595857952.8899994</v>
      </c>
      <c r="O32" s="84"/>
    </row>
    <row r="33" spans="1:15">
      <c r="C33" s="12"/>
      <c r="D33" s="27"/>
      <c r="E33" s="24"/>
      <c r="F33" s="27"/>
      <c r="G33" s="24"/>
      <c r="H33" s="27"/>
      <c r="I33" s="24"/>
      <c r="J33" s="27"/>
      <c r="K33" s="24"/>
      <c r="L33" s="27"/>
      <c r="M33" s="24"/>
      <c r="N33" s="27"/>
      <c r="O33" s="84"/>
    </row>
    <row r="34" spans="1:15">
      <c r="D34" s="24"/>
      <c r="E34" s="24"/>
      <c r="F34" s="24"/>
      <c r="G34" s="24"/>
      <c r="H34" s="24"/>
      <c r="I34" s="24"/>
      <c r="J34" s="24"/>
      <c r="K34" s="24"/>
      <c r="L34" s="24"/>
      <c r="M34" s="24"/>
      <c r="N34" s="24"/>
      <c r="O34" s="84"/>
    </row>
    <row r="35" spans="1:15">
      <c r="A35" s="32">
        <v>101.1</v>
      </c>
      <c r="B35" s="12" t="s">
        <v>106</v>
      </c>
      <c r="D35" s="24"/>
      <c r="E35" s="24"/>
      <c r="F35" s="24"/>
      <c r="G35" s="24"/>
      <c r="H35" s="24"/>
      <c r="I35" s="24"/>
      <c r="J35" s="24"/>
      <c r="K35" s="24"/>
      <c r="L35" s="24"/>
      <c r="M35" s="24"/>
      <c r="N35" s="24"/>
      <c r="O35" s="84"/>
    </row>
    <row r="36" spans="1:15">
      <c r="B36" s="58" t="s">
        <v>112</v>
      </c>
      <c r="C36" s="10" t="s">
        <v>135</v>
      </c>
      <c r="D36" s="24"/>
      <c r="E36" s="24"/>
      <c r="F36" s="24"/>
      <c r="G36" s="24"/>
      <c r="H36" s="24"/>
      <c r="I36" s="24"/>
      <c r="J36" s="24"/>
      <c r="K36" s="24"/>
      <c r="L36" s="24"/>
      <c r="M36" s="24"/>
      <c r="N36" s="24"/>
      <c r="O36" s="84"/>
    </row>
    <row r="37" spans="1:15">
      <c r="C37" s="10" t="s">
        <v>118</v>
      </c>
      <c r="D37" s="28">
        <v>0</v>
      </c>
      <c r="E37" s="24"/>
      <c r="F37" s="28">
        <v>0</v>
      </c>
      <c r="G37" s="24"/>
      <c r="H37" s="28">
        <v>0</v>
      </c>
      <c r="I37" s="24"/>
      <c r="J37" s="28">
        <v>0</v>
      </c>
      <c r="K37" s="24"/>
      <c r="L37" s="28">
        <f>F37+H37+J37</f>
        <v>0</v>
      </c>
      <c r="M37" s="24"/>
      <c r="N37" s="28">
        <f>D37+L37</f>
        <v>0</v>
      </c>
      <c r="O37" s="84"/>
    </row>
    <row r="38" spans="1:15">
      <c r="C38" s="11"/>
      <c r="D38" s="27">
        <f>SUM(D37)</f>
        <v>0</v>
      </c>
      <c r="E38" s="27"/>
      <c r="F38" s="27">
        <f>SUM(F37)</f>
        <v>0</v>
      </c>
      <c r="G38" s="27"/>
      <c r="H38" s="27">
        <f>SUM(H37)</f>
        <v>0</v>
      </c>
      <c r="I38" s="27"/>
      <c r="J38" s="27">
        <f>SUM(J37)</f>
        <v>0</v>
      </c>
      <c r="K38" s="27"/>
      <c r="L38" s="27">
        <f>SUM(L37)</f>
        <v>0</v>
      </c>
      <c r="M38" s="27"/>
      <c r="N38" s="27">
        <f>SUM(N37)</f>
        <v>0</v>
      </c>
      <c r="O38" s="84"/>
    </row>
    <row r="39" spans="1:15">
      <c r="D39" s="24"/>
      <c r="E39" s="24"/>
      <c r="F39" s="24"/>
      <c r="G39" s="24"/>
      <c r="H39" s="24"/>
      <c r="I39" s="24"/>
      <c r="J39" s="24"/>
      <c r="K39" s="24"/>
      <c r="L39" s="24"/>
      <c r="M39" s="24"/>
      <c r="N39" s="24"/>
      <c r="O39" s="84"/>
    </row>
    <row r="40" spans="1:15">
      <c r="C40" s="12" t="s">
        <v>127</v>
      </c>
      <c r="D40" s="25">
        <f>D38</f>
        <v>0</v>
      </c>
      <c r="E40" s="24"/>
      <c r="F40" s="25">
        <f>F38</f>
        <v>0</v>
      </c>
      <c r="G40" s="24"/>
      <c r="H40" s="25">
        <f>H38</f>
        <v>0</v>
      </c>
      <c r="I40" s="24"/>
      <c r="J40" s="25">
        <f>J38</f>
        <v>0</v>
      </c>
      <c r="K40" s="24"/>
      <c r="L40" s="25">
        <f>L38</f>
        <v>0</v>
      </c>
      <c r="M40" s="24"/>
      <c r="N40" s="25">
        <f>N38</f>
        <v>0</v>
      </c>
      <c r="O40" s="84"/>
    </row>
    <row r="41" spans="1:15">
      <c r="D41" s="24"/>
      <c r="E41" s="24"/>
      <c r="F41" s="24"/>
      <c r="G41" s="24"/>
      <c r="H41" s="24"/>
      <c r="I41" s="24"/>
      <c r="J41" s="24"/>
      <c r="K41" s="24"/>
      <c r="L41" s="24"/>
      <c r="M41" s="24"/>
      <c r="N41" s="24"/>
      <c r="O41" s="84"/>
    </row>
    <row r="42" spans="1:15">
      <c r="D42" s="24"/>
      <c r="E42" s="24"/>
      <c r="F42" s="24"/>
      <c r="G42" s="24"/>
      <c r="H42" s="24"/>
      <c r="I42" s="24"/>
      <c r="J42" s="24"/>
      <c r="K42" s="24"/>
      <c r="L42" s="24"/>
      <c r="M42" s="24"/>
      <c r="N42" s="24"/>
      <c r="O42" s="84"/>
    </row>
    <row r="43" spans="1:15">
      <c r="A43" s="32">
        <v>102</v>
      </c>
      <c r="B43" s="12" t="s">
        <v>501</v>
      </c>
      <c r="D43" s="24"/>
      <c r="E43" s="24"/>
      <c r="F43" s="24"/>
      <c r="G43" s="24"/>
      <c r="H43" s="24"/>
      <c r="I43" s="24"/>
      <c r="J43" s="24"/>
      <c r="K43" s="24"/>
      <c r="L43" s="24"/>
      <c r="M43" s="24"/>
      <c r="N43" s="24"/>
      <c r="O43" s="84"/>
    </row>
    <row r="44" spans="1:15">
      <c r="B44" s="58" t="s">
        <v>112</v>
      </c>
      <c r="D44" s="24"/>
      <c r="E44" s="24"/>
      <c r="F44" s="24"/>
      <c r="G44" s="24"/>
      <c r="H44" s="24"/>
      <c r="I44" s="24"/>
      <c r="J44" s="24"/>
      <c r="K44" s="24"/>
      <c r="L44" s="24"/>
      <c r="M44" s="24"/>
      <c r="N44" s="24"/>
      <c r="O44" s="84"/>
    </row>
    <row r="45" spans="1:15">
      <c r="C45" s="10" t="s">
        <v>118</v>
      </c>
      <c r="D45" s="28">
        <v>0</v>
      </c>
      <c r="E45" s="27"/>
      <c r="F45" s="28">
        <v>0</v>
      </c>
      <c r="G45" s="27"/>
      <c r="H45" s="28">
        <v>0</v>
      </c>
      <c r="I45" s="27"/>
      <c r="J45" s="28">
        <v>0</v>
      </c>
      <c r="K45" s="27"/>
      <c r="L45" s="28">
        <f>F45+H45+J45</f>
        <v>0</v>
      </c>
      <c r="M45" s="27"/>
      <c r="N45" s="28">
        <f>D45+L45</f>
        <v>0</v>
      </c>
      <c r="O45" s="84"/>
    </row>
    <row r="46" spans="1:15">
      <c r="C46" s="11"/>
      <c r="D46" s="27">
        <f>SUM(D45:D45)</f>
        <v>0</v>
      </c>
      <c r="E46" s="27"/>
      <c r="F46" s="27">
        <f>SUM(F45)</f>
        <v>0</v>
      </c>
      <c r="G46" s="27"/>
      <c r="H46" s="27">
        <f>SUM(H45)</f>
        <v>0</v>
      </c>
      <c r="I46" s="27"/>
      <c r="J46" s="27">
        <f>SUM(J45)</f>
        <v>0</v>
      </c>
      <c r="K46" s="27"/>
      <c r="L46" s="27">
        <f>SUM(L45)</f>
        <v>0</v>
      </c>
      <c r="M46" s="27"/>
      <c r="N46" s="27">
        <f>SUM(N45:N45)</f>
        <v>0</v>
      </c>
      <c r="O46" s="84"/>
    </row>
    <row r="47" spans="1:15">
      <c r="D47" s="24"/>
      <c r="E47" s="24"/>
      <c r="F47" s="24"/>
      <c r="G47" s="24"/>
      <c r="H47" s="24"/>
      <c r="I47" s="24"/>
      <c r="J47" s="24"/>
      <c r="K47" s="24"/>
      <c r="L47" s="24"/>
      <c r="M47" s="24"/>
      <c r="N47" s="24"/>
      <c r="O47" s="84"/>
    </row>
    <row r="48" spans="1:15">
      <c r="C48" s="12" t="s">
        <v>1261</v>
      </c>
      <c r="D48" s="25">
        <f>D46</f>
        <v>0</v>
      </c>
      <c r="E48" s="24"/>
      <c r="F48" s="25">
        <f>F46</f>
        <v>0</v>
      </c>
      <c r="G48" s="24"/>
      <c r="H48" s="25">
        <f>H46</f>
        <v>0</v>
      </c>
      <c r="I48" s="24"/>
      <c r="J48" s="25">
        <f>J46</f>
        <v>0</v>
      </c>
      <c r="K48" s="24"/>
      <c r="L48" s="25">
        <f>L46</f>
        <v>0</v>
      </c>
      <c r="M48" s="24"/>
      <c r="N48" s="25">
        <f>N46</f>
        <v>0</v>
      </c>
      <c r="O48" s="84"/>
    </row>
    <row r="49" spans="1:15">
      <c r="C49" s="12"/>
      <c r="D49" s="27"/>
      <c r="E49" s="24"/>
      <c r="F49" s="27"/>
      <c r="G49" s="24"/>
      <c r="H49" s="27"/>
      <c r="I49" s="24"/>
      <c r="J49" s="27"/>
      <c r="K49" s="24"/>
      <c r="L49" s="27"/>
      <c r="M49" s="24"/>
      <c r="N49" s="27"/>
      <c r="O49" s="84"/>
    </row>
    <row r="50" spans="1:15">
      <c r="C50" s="12"/>
      <c r="D50" s="27"/>
      <c r="E50" s="24"/>
      <c r="F50" s="27"/>
      <c r="G50" s="24"/>
      <c r="H50" s="27"/>
      <c r="I50" s="24"/>
      <c r="J50" s="27"/>
      <c r="K50" s="24"/>
      <c r="L50" s="27"/>
      <c r="M50" s="24"/>
      <c r="N50" s="27">
        <f>+N32+N45</f>
        <v>4595857952.8899994</v>
      </c>
      <c r="O50" s="84"/>
    </row>
    <row r="51" spans="1:15">
      <c r="A51" s="32">
        <v>105</v>
      </c>
      <c r="B51" s="12" t="s">
        <v>611</v>
      </c>
      <c r="D51" s="24"/>
      <c r="E51" s="24"/>
      <c r="F51" s="24"/>
      <c r="G51" s="24"/>
      <c r="H51" s="24"/>
      <c r="I51" s="24"/>
      <c r="J51" s="24"/>
      <c r="K51" s="24"/>
      <c r="L51" s="24"/>
      <c r="M51" s="24"/>
      <c r="N51" s="24"/>
      <c r="O51" s="84"/>
    </row>
    <row r="52" spans="1:15">
      <c r="B52" s="58" t="s">
        <v>112</v>
      </c>
      <c r="D52" s="24"/>
      <c r="E52" s="24"/>
      <c r="F52" s="24"/>
      <c r="G52" s="24"/>
      <c r="H52" s="24"/>
      <c r="I52" s="24"/>
      <c r="J52" s="24"/>
      <c r="K52" s="24"/>
      <c r="L52" s="24"/>
      <c r="M52" s="24"/>
      <c r="N52" s="24"/>
      <c r="O52" s="84"/>
    </row>
    <row r="53" spans="1:15">
      <c r="C53" s="10" t="s">
        <v>113</v>
      </c>
      <c r="D53" s="24">
        <v>649014.48</v>
      </c>
      <c r="E53" s="24"/>
      <c r="F53" s="24">
        <v>0</v>
      </c>
      <c r="G53" s="24"/>
      <c r="H53" s="24">
        <v>0</v>
      </c>
      <c r="I53" s="24"/>
      <c r="J53" s="24">
        <v>-21926.880000000001</v>
      </c>
      <c r="K53" s="24"/>
      <c r="L53" s="27">
        <f>F53+H53+J53</f>
        <v>-21926.880000000001</v>
      </c>
      <c r="M53" s="24"/>
      <c r="N53" s="27">
        <f>D53+L53</f>
        <v>627087.6</v>
      </c>
      <c r="O53" s="84"/>
    </row>
    <row r="54" spans="1:15">
      <c r="C54" s="10" t="s">
        <v>118</v>
      </c>
      <c r="D54" s="28">
        <v>0</v>
      </c>
      <c r="E54" s="27"/>
      <c r="F54" s="28">
        <v>0</v>
      </c>
      <c r="G54" s="27"/>
      <c r="H54" s="28">
        <v>0</v>
      </c>
      <c r="I54" s="27"/>
      <c r="J54" s="28">
        <v>0</v>
      </c>
      <c r="K54" s="27"/>
      <c r="L54" s="28">
        <f>F54+H54+J54</f>
        <v>0</v>
      </c>
      <c r="M54" s="27"/>
      <c r="N54" s="28">
        <f>D54+L54</f>
        <v>0</v>
      </c>
      <c r="O54" s="84"/>
    </row>
    <row r="55" spans="1:15">
      <c r="C55" s="11"/>
      <c r="D55" s="27">
        <f>SUM(D53:D54)</f>
        <v>649014.48</v>
      </c>
      <c r="E55" s="27"/>
      <c r="F55" s="27">
        <f>SUM(F53:F54)</f>
        <v>0</v>
      </c>
      <c r="G55" s="27"/>
      <c r="H55" s="27">
        <f>SUM(H53:H54)</f>
        <v>0</v>
      </c>
      <c r="I55" s="27"/>
      <c r="J55" s="27">
        <f>SUM(J53:J54)</f>
        <v>-21926.880000000001</v>
      </c>
      <c r="K55" s="27"/>
      <c r="L55" s="27">
        <f>SUM(L53:L54)</f>
        <v>-21926.880000000001</v>
      </c>
      <c r="M55" s="27"/>
      <c r="N55" s="27">
        <f>SUM(N53:N54)</f>
        <v>627087.6</v>
      </c>
      <c r="O55" s="84"/>
    </row>
    <row r="56" spans="1:15">
      <c r="D56" s="24"/>
      <c r="E56" s="24"/>
      <c r="F56" s="24"/>
      <c r="G56" s="24"/>
      <c r="H56" s="24"/>
      <c r="I56" s="24"/>
      <c r="J56" s="24"/>
      <c r="K56" s="24"/>
      <c r="L56" s="24"/>
      <c r="M56" s="24"/>
      <c r="N56" s="24"/>
      <c r="O56" s="84"/>
    </row>
    <row r="57" spans="1:15">
      <c r="C57" s="12" t="s">
        <v>128</v>
      </c>
      <c r="D57" s="25">
        <f>D55</f>
        <v>649014.48</v>
      </c>
      <c r="E57" s="24"/>
      <c r="F57" s="25">
        <f>F55</f>
        <v>0</v>
      </c>
      <c r="G57" s="24"/>
      <c r="H57" s="25">
        <f>H55</f>
        <v>0</v>
      </c>
      <c r="I57" s="24"/>
      <c r="J57" s="25">
        <f>J55</f>
        <v>-21926.880000000001</v>
      </c>
      <c r="K57" s="24"/>
      <c r="L57" s="25">
        <f>L55</f>
        <v>-21926.880000000001</v>
      </c>
      <c r="M57" s="24"/>
      <c r="N57" s="25">
        <f>N55</f>
        <v>627087.6</v>
      </c>
      <c r="O57" s="84"/>
    </row>
    <row r="58" spans="1:15">
      <c r="D58" s="24"/>
      <c r="E58" s="24"/>
      <c r="F58" s="24"/>
      <c r="G58" s="24"/>
      <c r="H58" s="24"/>
      <c r="I58" s="24"/>
      <c r="J58" s="24"/>
      <c r="K58" s="24"/>
      <c r="L58" s="24"/>
      <c r="M58" s="24"/>
      <c r="N58" s="24"/>
      <c r="O58" s="84"/>
    </row>
    <row r="59" spans="1:15">
      <c r="D59" s="24"/>
      <c r="E59" s="24"/>
      <c r="F59" s="24"/>
      <c r="G59" s="24"/>
      <c r="H59" s="24"/>
      <c r="I59" s="24"/>
      <c r="J59" s="24"/>
      <c r="K59" s="24"/>
      <c r="L59" s="24"/>
      <c r="M59" s="24"/>
      <c r="N59" s="24"/>
      <c r="O59" s="84"/>
    </row>
    <row r="60" spans="1:15">
      <c r="A60" s="32">
        <v>106</v>
      </c>
      <c r="B60" s="12" t="s">
        <v>450</v>
      </c>
      <c r="D60" s="24"/>
      <c r="E60" s="24"/>
      <c r="F60" s="24"/>
      <c r="G60" s="24"/>
      <c r="H60" s="24"/>
      <c r="I60" s="24"/>
      <c r="J60" s="24"/>
      <c r="K60" s="24"/>
      <c r="L60" s="24"/>
      <c r="M60" s="24"/>
      <c r="N60" s="24"/>
      <c r="O60" s="84"/>
    </row>
    <row r="61" spans="1:15">
      <c r="B61" s="58" t="s">
        <v>652</v>
      </c>
      <c r="D61" s="24"/>
      <c r="E61" s="24"/>
      <c r="F61" s="24"/>
      <c r="G61" s="24"/>
      <c r="H61" s="24"/>
      <c r="I61" s="24"/>
      <c r="J61" s="24"/>
      <c r="K61" s="24"/>
      <c r="L61" s="24"/>
      <c r="M61" s="24"/>
      <c r="N61" s="24"/>
      <c r="O61" s="84"/>
    </row>
    <row r="62" spans="1:15">
      <c r="C62" s="10" t="s">
        <v>455</v>
      </c>
      <c r="D62" s="24">
        <v>2574936.0099999998</v>
      </c>
      <c r="E62" s="24"/>
      <c r="F62" s="24">
        <f>-514311.43-291357.3-545306.29</f>
        <v>-1350975.02</v>
      </c>
      <c r="G62" s="24"/>
      <c r="H62" s="24">
        <v>0</v>
      </c>
      <c r="I62" s="24"/>
      <c r="J62" s="24">
        <v>0</v>
      </c>
      <c r="K62" s="24"/>
      <c r="L62" s="24">
        <f>F62+H62+J62</f>
        <v>-1350975.02</v>
      </c>
      <c r="M62" s="24"/>
      <c r="N62" s="24">
        <f>D62+L62</f>
        <v>1223960.9899999998</v>
      </c>
      <c r="O62" s="84"/>
    </row>
    <row r="63" spans="1:15">
      <c r="C63" s="10" t="s">
        <v>111</v>
      </c>
      <c r="D63" s="28">
        <v>2240884.2599999961</v>
      </c>
      <c r="E63" s="27"/>
      <c r="F63" s="28">
        <f>2704971.69+295797.53+1065914.85</f>
        <v>4066684.07</v>
      </c>
      <c r="G63" s="27"/>
      <c r="H63" s="28">
        <v>0</v>
      </c>
      <c r="I63" s="27"/>
      <c r="J63" s="28">
        <v>0</v>
      </c>
      <c r="K63" s="27"/>
      <c r="L63" s="28">
        <f>F63+H63+J63</f>
        <v>4066684.07</v>
      </c>
      <c r="M63" s="27"/>
      <c r="N63" s="28">
        <f>D63+L63</f>
        <v>6307568.3299999963</v>
      </c>
      <c r="O63" s="85"/>
    </row>
    <row r="64" spans="1:15">
      <c r="C64" s="11"/>
      <c r="D64" s="27">
        <f>D62+D63</f>
        <v>4815820.2699999958</v>
      </c>
      <c r="E64" s="27"/>
      <c r="F64" s="27">
        <f>F62+F63</f>
        <v>2715709.05</v>
      </c>
      <c r="G64" s="27"/>
      <c r="H64" s="27">
        <f>H62+H63</f>
        <v>0</v>
      </c>
      <c r="I64" s="27"/>
      <c r="J64" s="27">
        <f>J62+J63</f>
        <v>0</v>
      </c>
      <c r="K64" s="27"/>
      <c r="L64" s="27">
        <f>L62+L63</f>
        <v>2715709.05</v>
      </c>
      <c r="M64" s="27"/>
      <c r="N64" s="27">
        <f>N62+N63</f>
        <v>7531529.3199999966</v>
      </c>
      <c r="O64" s="85"/>
    </row>
    <row r="65" spans="2:15">
      <c r="B65" s="12"/>
      <c r="D65" s="27"/>
      <c r="E65" s="27"/>
      <c r="F65" s="27"/>
      <c r="G65" s="27"/>
      <c r="H65" s="27"/>
      <c r="I65" s="27"/>
      <c r="J65" s="27"/>
      <c r="K65" s="27"/>
      <c r="L65" s="27"/>
      <c r="M65" s="27"/>
      <c r="N65" s="27"/>
      <c r="O65" s="85"/>
    </row>
    <row r="66" spans="2:15">
      <c r="B66" s="58" t="s">
        <v>112</v>
      </c>
      <c r="D66" s="27"/>
      <c r="E66" s="27"/>
      <c r="F66" s="27"/>
      <c r="G66" s="27"/>
      <c r="H66" s="27"/>
      <c r="I66" s="27"/>
      <c r="J66" s="27"/>
      <c r="K66" s="27"/>
      <c r="L66" s="27"/>
      <c r="M66" s="27"/>
      <c r="N66" s="27"/>
      <c r="O66" s="85"/>
    </row>
    <row r="67" spans="2:15">
      <c r="C67" s="10" t="s">
        <v>113</v>
      </c>
      <c r="D67" s="27">
        <v>23212235.539999999</v>
      </c>
      <c r="E67" s="27"/>
      <c r="F67" s="27">
        <f>18196973.85-1810465.38-4540676.36</f>
        <v>11845832.110000003</v>
      </c>
      <c r="G67" s="27"/>
      <c r="H67" s="27">
        <v>0</v>
      </c>
      <c r="I67" s="27"/>
      <c r="J67" s="27">
        <v>0</v>
      </c>
      <c r="K67" s="27"/>
      <c r="L67" s="27">
        <f t="shared" ref="L67:L73" si="2">F67+H67+J67</f>
        <v>11845832.110000003</v>
      </c>
      <c r="M67" s="27"/>
      <c r="N67" s="27">
        <f t="shared" ref="N67:N73" si="3">D67+L67</f>
        <v>35058067.650000006</v>
      </c>
      <c r="O67" s="85"/>
    </row>
    <row r="68" spans="2:15">
      <c r="C68" s="10" t="s">
        <v>114</v>
      </c>
      <c r="D68" s="27">
        <v>6763.2199999999793</v>
      </c>
      <c r="E68" s="27"/>
      <c r="F68" s="27">
        <v>63825.04</v>
      </c>
      <c r="G68" s="27"/>
      <c r="H68" s="27">
        <v>0</v>
      </c>
      <c r="I68" s="27"/>
      <c r="J68" s="27">
        <v>0</v>
      </c>
      <c r="K68" s="27"/>
      <c r="L68" s="27">
        <f t="shared" si="2"/>
        <v>63825.04</v>
      </c>
      <c r="M68" s="27"/>
      <c r="N68" s="27">
        <f t="shared" si="3"/>
        <v>70588.25999999998</v>
      </c>
      <c r="O68" s="85"/>
    </row>
    <row r="69" spans="2:15">
      <c r="C69" s="10" t="s">
        <v>115</v>
      </c>
      <c r="D69" s="27">
        <v>16456.360000000033</v>
      </c>
      <c r="E69" s="27"/>
      <c r="F69" s="27">
        <v>-16456.36</v>
      </c>
      <c r="G69" s="27"/>
      <c r="H69" s="27">
        <v>0</v>
      </c>
      <c r="I69" s="27"/>
      <c r="J69" s="27">
        <v>0</v>
      </c>
      <c r="K69" s="27"/>
      <c r="L69" s="27">
        <f t="shared" si="2"/>
        <v>-16456.36</v>
      </c>
      <c r="M69" s="27"/>
      <c r="N69" s="27">
        <f t="shared" si="3"/>
        <v>3.2741809263825417E-11</v>
      </c>
      <c r="O69" s="85"/>
    </row>
    <row r="70" spans="2:15">
      <c r="C70" s="10" t="s">
        <v>116</v>
      </c>
      <c r="D70" s="27">
        <v>0</v>
      </c>
      <c r="E70" s="27"/>
      <c r="F70" s="27">
        <v>0</v>
      </c>
      <c r="G70" s="27"/>
      <c r="H70" s="27">
        <v>0</v>
      </c>
      <c r="I70" s="27"/>
      <c r="J70" s="27">
        <v>0</v>
      </c>
      <c r="K70" s="27"/>
      <c r="L70" s="27">
        <f t="shared" si="2"/>
        <v>0</v>
      </c>
      <c r="M70" s="27"/>
      <c r="N70" s="27">
        <f t="shared" si="3"/>
        <v>0</v>
      </c>
      <c r="O70" s="85"/>
    </row>
    <row r="71" spans="2:15">
      <c r="C71" s="10" t="s">
        <v>117</v>
      </c>
      <c r="D71" s="27">
        <v>3535959.74</v>
      </c>
      <c r="E71" s="27"/>
      <c r="F71" s="27">
        <f>153975.46-3513990.29+429269.99</f>
        <v>-2930744.84</v>
      </c>
      <c r="G71" s="27"/>
      <c r="H71" s="27">
        <v>0</v>
      </c>
      <c r="I71" s="27"/>
      <c r="J71" s="27">
        <v>0</v>
      </c>
      <c r="K71" s="27"/>
      <c r="L71" s="27">
        <f t="shared" si="2"/>
        <v>-2930744.84</v>
      </c>
      <c r="M71" s="27"/>
      <c r="N71" s="27">
        <f t="shared" si="3"/>
        <v>605214.90000000037</v>
      </c>
      <c r="O71" s="85"/>
    </row>
    <row r="72" spans="2:15">
      <c r="C72" s="10" t="s">
        <v>118</v>
      </c>
      <c r="D72" s="27">
        <v>41241674.580000028</v>
      </c>
      <c r="E72" s="27"/>
      <c r="F72" s="27">
        <f>2803964.22-3400933.31-10690644.13</f>
        <v>-11287613.220000001</v>
      </c>
      <c r="G72" s="27"/>
      <c r="H72" s="27">
        <v>0</v>
      </c>
      <c r="I72" s="27"/>
      <c r="J72" s="27">
        <v>0</v>
      </c>
      <c r="K72" s="27"/>
      <c r="L72" s="27">
        <f t="shared" si="2"/>
        <v>-11287613.220000001</v>
      </c>
      <c r="M72" s="27"/>
      <c r="N72" s="27">
        <f t="shared" si="3"/>
        <v>29954061.360000029</v>
      </c>
      <c r="O72" s="85"/>
    </row>
    <row r="73" spans="2:15">
      <c r="C73" s="10" t="s">
        <v>119</v>
      </c>
      <c r="D73" s="28">
        <v>37708783.020000003</v>
      </c>
      <c r="E73" s="27"/>
      <c r="F73" s="28">
        <f>2859211.82-1299073.05-7912.84</f>
        <v>1552225.9299999997</v>
      </c>
      <c r="G73" s="27"/>
      <c r="H73" s="28">
        <v>0</v>
      </c>
      <c r="I73" s="27"/>
      <c r="J73" s="28">
        <v>0</v>
      </c>
      <c r="K73" s="27"/>
      <c r="L73" s="28">
        <f t="shared" si="2"/>
        <v>1552225.9299999997</v>
      </c>
      <c r="M73" s="27"/>
      <c r="N73" s="28">
        <f t="shared" si="3"/>
        <v>39261008.950000003</v>
      </c>
      <c r="O73" s="85"/>
    </row>
    <row r="74" spans="2:15">
      <c r="C74" s="11"/>
      <c r="D74" s="27">
        <f>SUM(D67:D73)</f>
        <v>105721872.46000004</v>
      </c>
      <c r="E74" s="27"/>
      <c r="F74" s="27">
        <f>SUM(F67:F73)</f>
        <v>-772931.33999999799</v>
      </c>
      <c r="G74" s="27"/>
      <c r="H74" s="27">
        <f>SUM(H67:H73)</f>
        <v>0</v>
      </c>
      <c r="I74" s="27"/>
      <c r="J74" s="27">
        <f>SUM(J67:J73)</f>
        <v>0</v>
      </c>
      <c r="K74" s="27"/>
      <c r="L74" s="27">
        <f>SUM(L67:L73)</f>
        <v>-772931.33999999799</v>
      </c>
      <c r="M74" s="27"/>
      <c r="N74" s="27">
        <f>SUM(N67:N73)</f>
        <v>104948941.12000003</v>
      </c>
      <c r="O74" s="85"/>
    </row>
    <row r="75" spans="2:15">
      <c r="B75" s="12"/>
      <c r="D75" s="27"/>
      <c r="E75" s="27"/>
      <c r="F75" s="27"/>
      <c r="G75" s="27"/>
      <c r="H75" s="27"/>
      <c r="I75" s="27"/>
      <c r="J75" s="27"/>
      <c r="K75" s="27"/>
      <c r="L75" s="27"/>
      <c r="M75" s="27"/>
      <c r="N75" s="27"/>
      <c r="O75" s="85"/>
    </row>
    <row r="76" spans="2:15">
      <c r="B76" s="58" t="s">
        <v>120</v>
      </c>
      <c r="D76" s="27"/>
      <c r="E76" s="27"/>
      <c r="F76" s="27"/>
      <c r="G76" s="27"/>
      <c r="H76" s="27"/>
      <c r="I76" s="27"/>
      <c r="J76" s="27"/>
      <c r="K76" s="27"/>
      <c r="L76" s="27"/>
      <c r="M76" s="27"/>
      <c r="N76" s="27"/>
      <c r="O76" s="85"/>
    </row>
    <row r="77" spans="2:15">
      <c r="C77" s="10" t="s">
        <v>121</v>
      </c>
      <c r="D77" s="24">
        <v>18865984.479999997</v>
      </c>
      <c r="E77" s="24"/>
      <c r="F77" s="24">
        <f>1142850.82-19310.51+10116533.59+815038.3+19310.51</f>
        <v>12074422.710000001</v>
      </c>
      <c r="G77" s="24"/>
      <c r="H77" s="24">
        <v>0</v>
      </c>
      <c r="I77" s="24"/>
      <c r="J77" s="24">
        <v>0</v>
      </c>
      <c r="K77" s="24"/>
      <c r="L77" s="24">
        <f>F77+H77+J77</f>
        <v>12074422.710000001</v>
      </c>
      <c r="M77" s="24"/>
      <c r="N77" s="24">
        <f>D77+L77</f>
        <v>30940407.189999998</v>
      </c>
      <c r="O77" s="84"/>
    </row>
    <row r="78" spans="2:15">
      <c r="C78" s="10" t="s">
        <v>122</v>
      </c>
      <c r="D78" s="24">
        <v>263073.78000000003</v>
      </c>
      <c r="E78" s="24"/>
      <c r="F78" s="24">
        <f>49134.31-148854.71+15163.49</f>
        <v>-84556.909999999989</v>
      </c>
      <c r="G78" s="24"/>
      <c r="H78" s="24">
        <v>0</v>
      </c>
      <c r="I78" s="24"/>
      <c r="J78" s="24">
        <v>0</v>
      </c>
      <c r="K78" s="24"/>
      <c r="L78" s="24">
        <f>F78+H78+J78</f>
        <v>-84556.909999999989</v>
      </c>
      <c r="M78" s="24"/>
      <c r="N78" s="24">
        <f>D78+L78</f>
        <v>178516.87000000005</v>
      </c>
      <c r="O78" s="84"/>
    </row>
    <row r="79" spans="2:15">
      <c r="C79" s="10" t="s">
        <v>123</v>
      </c>
      <c r="D79" s="24">
        <v>0</v>
      </c>
      <c r="E79" s="24"/>
      <c r="F79" s="24">
        <v>0</v>
      </c>
      <c r="G79" s="24"/>
      <c r="H79" s="24">
        <v>0</v>
      </c>
      <c r="I79" s="24"/>
      <c r="J79" s="24">
        <v>0</v>
      </c>
      <c r="K79" s="24"/>
      <c r="L79" s="24">
        <f>F79+H79+J79</f>
        <v>0</v>
      </c>
      <c r="M79" s="24"/>
      <c r="N79" s="24">
        <f>D79+L79</f>
        <v>0</v>
      </c>
      <c r="O79" s="84"/>
    </row>
    <row r="80" spans="2:15">
      <c r="C80" s="10" t="s">
        <v>124</v>
      </c>
      <c r="D80" s="24">
        <v>514612.99999999988</v>
      </c>
      <c r="E80" s="24"/>
      <c r="F80" s="24">
        <f>5392485.09+19310.51-8493.5+910301.57-19310.51</f>
        <v>6294293.1600000001</v>
      </c>
      <c r="G80" s="24"/>
      <c r="H80" s="24">
        <v>0</v>
      </c>
      <c r="I80" s="24"/>
      <c r="J80" s="24">
        <v>0</v>
      </c>
      <c r="K80" s="24"/>
      <c r="L80" s="24">
        <f>F80+H80+J80</f>
        <v>6294293.1600000001</v>
      </c>
      <c r="M80" s="24"/>
      <c r="N80" s="24">
        <f>D80+L80</f>
        <v>6808906.1600000001</v>
      </c>
      <c r="O80" s="84"/>
    </row>
    <row r="81" spans="1:15">
      <c r="C81" s="10" t="s">
        <v>125</v>
      </c>
      <c r="D81" s="28">
        <v>1459528.0299999996</v>
      </c>
      <c r="E81" s="24"/>
      <c r="F81" s="28">
        <f>2072.08-921177.09+2814.52</f>
        <v>-916290.49</v>
      </c>
      <c r="G81" s="24"/>
      <c r="H81" s="28">
        <v>0</v>
      </c>
      <c r="I81" s="24"/>
      <c r="J81" s="28">
        <v>0</v>
      </c>
      <c r="K81" s="24"/>
      <c r="L81" s="28">
        <f>F81+H81+J81</f>
        <v>-916290.49</v>
      </c>
      <c r="M81" s="24"/>
      <c r="N81" s="28">
        <f>D81+L81</f>
        <v>543237.53999999957</v>
      </c>
      <c r="O81" s="84"/>
    </row>
    <row r="82" spans="1:15">
      <c r="C82" s="11"/>
      <c r="D82" s="27">
        <f>SUM(D77:D81)</f>
        <v>21103199.289999999</v>
      </c>
      <c r="E82" s="27"/>
      <c r="F82" s="27">
        <f>SUM(F77:F81)</f>
        <v>17367868.470000003</v>
      </c>
      <c r="G82" s="27"/>
      <c r="H82" s="27">
        <f>SUM(H77:H81)</f>
        <v>0</v>
      </c>
      <c r="I82" s="27"/>
      <c r="J82" s="27">
        <f>SUM(J77:J81)</f>
        <v>0</v>
      </c>
      <c r="K82" s="27"/>
      <c r="L82" s="27">
        <f>SUM(L77:L81)</f>
        <v>17367868.470000003</v>
      </c>
      <c r="M82" s="27"/>
      <c r="N82" s="27">
        <f>SUM(N77:N81)</f>
        <v>38471067.759999998</v>
      </c>
      <c r="O82" s="84"/>
    </row>
    <row r="83" spans="1:15">
      <c r="D83" s="24"/>
      <c r="E83" s="24"/>
      <c r="F83" s="24"/>
      <c r="G83" s="24"/>
      <c r="H83" s="24"/>
      <c r="I83" s="24"/>
      <c r="J83" s="24"/>
      <c r="K83" s="24"/>
      <c r="L83" s="24"/>
      <c r="M83" s="24"/>
      <c r="N83" s="24"/>
      <c r="O83" s="84"/>
    </row>
    <row r="84" spans="1:15">
      <c r="C84" s="12" t="s">
        <v>136</v>
      </c>
      <c r="D84" s="25">
        <f>D64+D74+D82</f>
        <v>131640892.02000004</v>
      </c>
      <c r="E84" s="24"/>
      <c r="F84" s="25">
        <f>F64+F74+F82</f>
        <v>19310646.180000003</v>
      </c>
      <c r="G84" s="24"/>
      <c r="H84" s="25">
        <f>H64+H74+H82</f>
        <v>0</v>
      </c>
      <c r="I84" s="24"/>
      <c r="J84" s="25">
        <f>J64+J74+J82</f>
        <v>0</v>
      </c>
      <c r="K84" s="24"/>
      <c r="L84" s="25">
        <f>L64+L74+L82</f>
        <v>19310646.180000003</v>
      </c>
      <c r="M84" s="24"/>
      <c r="N84" s="25">
        <f>N64+N74+N82</f>
        <v>150951538.20000002</v>
      </c>
      <c r="O84" s="84"/>
    </row>
    <row r="85" spans="1:15">
      <c r="D85" s="24"/>
      <c r="E85" s="24"/>
      <c r="F85" s="24"/>
      <c r="G85" s="24"/>
      <c r="H85" s="24"/>
      <c r="I85" s="24"/>
      <c r="J85" s="24"/>
      <c r="K85" s="24"/>
      <c r="L85" s="24"/>
      <c r="M85" s="24"/>
      <c r="N85" s="24"/>
      <c r="O85" s="84"/>
    </row>
    <row r="86" spans="1:15">
      <c r="D86" s="24"/>
      <c r="E86" s="24"/>
      <c r="F86" s="24"/>
      <c r="G86" s="24"/>
      <c r="H86" s="24"/>
      <c r="I86" s="24"/>
      <c r="J86" s="24"/>
      <c r="K86" s="24"/>
      <c r="L86" s="24"/>
      <c r="M86" s="24"/>
      <c r="N86" s="24">
        <f>+N32+N84</f>
        <v>4746809491.0899992</v>
      </c>
      <c r="O86" s="84"/>
    </row>
    <row r="87" spans="1:15">
      <c r="A87" s="32">
        <v>117</v>
      </c>
      <c r="B87" s="12" t="s">
        <v>453</v>
      </c>
      <c r="D87" s="24"/>
      <c r="E87" s="24"/>
      <c r="F87" s="24"/>
      <c r="G87" s="24"/>
      <c r="H87" s="24"/>
      <c r="I87" s="24"/>
      <c r="J87" s="24"/>
      <c r="K87" s="24"/>
      <c r="L87" s="24"/>
      <c r="M87" s="24"/>
      <c r="N87" s="24"/>
      <c r="O87" s="84"/>
    </row>
    <row r="88" spans="1:15">
      <c r="B88" s="58" t="s">
        <v>120</v>
      </c>
      <c r="D88" s="24"/>
      <c r="E88" s="24"/>
      <c r="F88" s="24"/>
      <c r="G88" s="24"/>
      <c r="H88" s="24"/>
      <c r="I88" s="24"/>
      <c r="J88" s="24"/>
      <c r="K88" s="24"/>
      <c r="L88" s="24"/>
      <c r="M88" s="24"/>
      <c r="N88" s="24"/>
      <c r="O88" s="84"/>
    </row>
    <row r="89" spans="1:15">
      <c r="C89" s="10" t="s">
        <v>129</v>
      </c>
      <c r="D89" s="28">
        <v>2139990</v>
      </c>
      <c r="E89" s="27"/>
      <c r="F89" s="28">
        <v>0</v>
      </c>
      <c r="G89" s="27"/>
      <c r="H89" s="28">
        <v>0</v>
      </c>
      <c r="I89" s="27"/>
      <c r="J89" s="28">
        <v>0</v>
      </c>
      <c r="K89" s="27"/>
      <c r="L89" s="28">
        <f>F89+H89+J89</f>
        <v>0</v>
      </c>
      <c r="M89" s="27"/>
      <c r="N89" s="28">
        <f>D89+L89</f>
        <v>2139990</v>
      </c>
      <c r="O89" s="84"/>
    </row>
    <row r="90" spans="1:15">
      <c r="C90" s="11"/>
      <c r="D90" s="27">
        <f>SUM(D89)</f>
        <v>2139990</v>
      </c>
      <c r="E90" s="27"/>
      <c r="F90" s="27">
        <f>SUM(F89)</f>
        <v>0</v>
      </c>
      <c r="G90" s="27"/>
      <c r="H90" s="27">
        <f>SUM(H89)</f>
        <v>0</v>
      </c>
      <c r="I90" s="27"/>
      <c r="J90" s="27">
        <f>SUM(J89)</f>
        <v>0</v>
      </c>
      <c r="K90" s="27"/>
      <c r="L90" s="27">
        <f>SUM(L89)</f>
        <v>0</v>
      </c>
      <c r="M90" s="27"/>
      <c r="N90" s="27">
        <f>SUM(N89)</f>
        <v>2139990</v>
      </c>
      <c r="O90" s="84"/>
    </row>
    <row r="91" spans="1:15">
      <c r="D91" s="24"/>
      <c r="E91" s="24"/>
      <c r="F91" s="24"/>
      <c r="G91" s="24"/>
      <c r="H91" s="24"/>
      <c r="I91" s="24"/>
      <c r="J91" s="24"/>
      <c r="K91" s="24"/>
      <c r="L91" s="24"/>
      <c r="M91" s="24"/>
      <c r="N91" s="24"/>
      <c r="O91" s="84"/>
    </row>
    <row r="92" spans="1:15">
      <c r="C92" s="12" t="s">
        <v>130</v>
      </c>
      <c r="D92" s="25">
        <f>D90</f>
        <v>2139990</v>
      </c>
      <c r="E92" s="24"/>
      <c r="F92" s="25">
        <f>F90</f>
        <v>0</v>
      </c>
      <c r="G92" s="24"/>
      <c r="H92" s="25">
        <f>H90</f>
        <v>0</v>
      </c>
      <c r="I92" s="24"/>
      <c r="J92" s="25">
        <f>J90</f>
        <v>0</v>
      </c>
      <c r="K92" s="24"/>
      <c r="L92" s="25">
        <f>L90</f>
        <v>0</v>
      </c>
      <c r="M92" s="24"/>
      <c r="N92" s="25">
        <f>N90</f>
        <v>2139990</v>
      </c>
      <c r="O92" s="84"/>
    </row>
    <row r="93" spans="1:15">
      <c r="D93" s="24"/>
      <c r="E93" s="24"/>
      <c r="F93" s="24"/>
      <c r="G93" s="24"/>
      <c r="H93" s="24"/>
      <c r="I93" s="24"/>
      <c r="J93" s="24"/>
      <c r="K93" s="24"/>
      <c r="L93" s="24"/>
      <c r="M93" s="24"/>
      <c r="N93" s="24"/>
      <c r="O93" s="84"/>
    </row>
    <row r="94" spans="1:15">
      <c r="D94" s="24"/>
      <c r="E94" s="24"/>
      <c r="F94" s="24"/>
      <c r="G94" s="24"/>
      <c r="H94" s="24"/>
      <c r="I94" s="24"/>
      <c r="J94" s="24"/>
      <c r="K94" s="24"/>
      <c r="L94" s="24"/>
      <c r="M94" s="24"/>
      <c r="N94" s="24"/>
      <c r="O94" s="84"/>
    </row>
    <row r="95" spans="1:15">
      <c r="A95" s="32">
        <v>121</v>
      </c>
      <c r="B95" s="12" t="s">
        <v>451</v>
      </c>
      <c r="D95" s="24"/>
      <c r="E95" s="24"/>
      <c r="F95" s="24"/>
      <c r="G95" s="24"/>
      <c r="H95" s="24"/>
      <c r="I95" s="24"/>
      <c r="J95" s="24"/>
      <c r="K95" s="24"/>
      <c r="L95" s="24"/>
      <c r="M95" s="24"/>
      <c r="N95" s="24"/>
      <c r="O95" s="84"/>
    </row>
    <row r="96" spans="1:15">
      <c r="B96" s="58" t="s">
        <v>652</v>
      </c>
      <c r="D96" s="24"/>
      <c r="E96" s="24"/>
      <c r="F96" s="24"/>
      <c r="G96" s="24"/>
      <c r="H96" s="24"/>
      <c r="I96" s="24"/>
      <c r="J96" s="24"/>
      <c r="K96" s="24"/>
      <c r="L96" s="24"/>
      <c r="M96" s="24"/>
      <c r="N96" s="24"/>
      <c r="O96" s="84"/>
    </row>
    <row r="97" spans="1:16">
      <c r="C97" s="10" t="s">
        <v>131</v>
      </c>
      <c r="D97" s="28">
        <v>75239.56</v>
      </c>
      <c r="E97" s="24"/>
      <c r="F97" s="28">
        <v>0</v>
      </c>
      <c r="G97" s="24"/>
      <c r="H97" s="28">
        <v>0</v>
      </c>
      <c r="I97" s="24"/>
      <c r="J97" s="28">
        <v>0</v>
      </c>
      <c r="K97" s="24"/>
      <c r="L97" s="28">
        <f>F97+H97+J97</f>
        <v>0</v>
      </c>
      <c r="M97" s="24"/>
      <c r="N97" s="28">
        <f>D97+L97</f>
        <v>75239.56</v>
      </c>
      <c r="O97" s="84"/>
    </row>
    <row r="98" spans="1:16">
      <c r="C98" s="11"/>
      <c r="D98" s="27">
        <f>SUM(D97)</f>
        <v>75239.56</v>
      </c>
      <c r="E98" s="27"/>
      <c r="F98" s="27">
        <f>SUM(F97)</f>
        <v>0</v>
      </c>
      <c r="G98" s="27"/>
      <c r="H98" s="27">
        <f>SUM(H97)</f>
        <v>0</v>
      </c>
      <c r="I98" s="27"/>
      <c r="J98" s="27">
        <f>SUM(J97)</f>
        <v>0</v>
      </c>
      <c r="K98" s="27"/>
      <c r="L98" s="27">
        <f>SUM(L97)</f>
        <v>0</v>
      </c>
      <c r="M98" s="27"/>
      <c r="N98" s="27">
        <f>SUM(N97)</f>
        <v>75239.56</v>
      </c>
      <c r="O98" s="84"/>
    </row>
    <row r="99" spans="1:16">
      <c r="D99" s="24"/>
      <c r="E99" s="24"/>
      <c r="F99" s="24"/>
      <c r="G99" s="24"/>
      <c r="H99" s="24"/>
      <c r="I99" s="24"/>
      <c r="J99" s="24"/>
      <c r="K99" s="24"/>
      <c r="L99" s="24"/>
      <c r="M99" s="24"/>
      <c r="N99" s="24"/>
      <c r="O99" s="84"/>
    </row>
    <row r="100" spans="1:16">
      <c r="C100" s="12" t="s">
        <v>132</v>
      </c>
      <c r="D100" s="25">
        <f>D98</f>
        <v>75239.56</v>
      </c>
      <c r="E100" s="24"/>
      <c r="F100" s="25">
        <f>F98</f>
        <v>0</v>
      </c>
      <c r="G100" s="24"/>
      <c r="H100" s="25">
        <f>H98</f>
        <v>0</v>
      </c>
      <c r="I100" s="24"/>
      <c r="J100" s="25">
        <f>J98</f>
        <v>0</v>
      </c>
      <c r="K100" s="24"/>
      <c r="L100" s="25">
        <f>L98</f>
        <v>0</v>
      </c>
      <c r="M100" s="24"/>
      <c r="N100" s="25">
        <f>N98</f>
        <v>75239.56</v>
      </c>
      <c r="O100" s="84"/>
    </row>
    <row r="101" spans="1:16">
      <c r="D101" s="24"/>
      <c r="E101" s="24"/>
      <c r="F101" s="24"/>
      <c r="G101" s="24"/>
      <c r="H101" s="24"/>
      <c r="I101" s="24"/>
      <c r="J101" s="24"/>
      <c r="K101" s="24"/>
      <c r="L101" s="24"/>
      <c r="M101" s="24"/>
      <c r="N101" s="24"/>
      <c r="O101" s="84"/>
    </row>
    <row r="102" spans="1:16">
      <c r="D102" s="24"/>
      <c r="E102" s="24"/>
      <c r="F102" s="24"/>
      <c r="G102" s="24"/>
      <c r="H102" s="24"/>
      <c r="I102" s="24"/>
      <c r="J102" s="24"/>
      <c r="K102" s="24"/>
      <c r="L102" s="24"/>
      <c r="M102" s="24"/>
      <c r="N102" s="24"/>
      <c r="O102" s="84"/>
    </row>
    <row r="103" spans="1:16">
      <c r="A103" s="32">
        <v>107</v>
      </c>
      <c r="B103" s="12" t="s">
        <v>452</v>
      </c>
      <c r="D103" s="24"/>
      <c r="E103" s="24"/>
      <c r="F103" s="24"/>
      <c r="G103" s="24"/>
      <c r="H103" s="24"/>
      <c r="I103" s="24"/>
      <c r="J103" s="24"/>
      <c r="K103" s="24"/>
      <c r="L103" s="24"/>
      <c r="M103" s="24"/>
      <c r="N103" s="24"/>
      <c r="O103" s="84"/>
    </row>
    <row r="104" spans="1:16">
      <c r="B104" s="58" t="s">
        <v>133</v>
      </c>
      <c r="D104" s="24"/>
      <c r="E104" s="24"/>
      <c r="F104" s="24"/>
      <c r="G104" s="24"/>
      <c r="H104" s="24"/>
      <c r="I104" s="24"/>
      <c r="J104" s="24"/>
      <c r="K104" s="24"/>
      <c r="L104" s="24"/>
      <c r="M104" s="24"/>
      <c r="N104" s="24"/>
      <c r="O104" s="84"/>
    </row>
    <row r="105" spans="1:16">
      <c r="D105" s="24"/>
      <c r="E105" s="24"/>
      <c r="F105" s="24"/>
      <c r="G105" s="24"/>
      <c r="H105" s="24"/>
      <c r="I105" s="24"/>
      <c r="J105" s="24"/>
      <c r="K105" s="24"/>
      <c r="L105" s="24"/>
      <c r="M105" s="24"/>
      <c r="N105" s="24"/>
      <c r="O105" s="84"/>
    </row>
    <row r="106" spans="1:16">
      <c r="C106" s="10" t="s">
        <v>652</v>
      </c>
      <c r="D106" s="24">
        <v>15083939.33</v>
      </c>
      <c r="E106" s="24"/>
      <c r="F106" s="24">
        <f>10802513.78-D106</f>
        <v>-4281425.5500000007</v>
      </c>
      <c r="G106" s="24"/>
      <c r="H106" s="24">
        <v>0</v>
      </c>
      <c r="I106" s="24"/>
      <c r="J106" s="24">
        <v>0</v>
      </c>
      <c r="K106" s="24"/>
      <c r="L106" s="24">
        <f>F106+H106+J106</f>
        <v>-4281425.5500000007</v>
      </c>
      <c r="M106" s="24"/>
      <c r="N106" s="24">
        <f>D106+L106</f>
        <v>10802513.779999999</v>
      </c>
      <c r="O106" s="84"/>
      <c r="P106" s="72"/>
    </row>
    <row r="107" spans="1:16">
      <c r="C107" s="10" t="s">
        <v>112</v>
      </c>
      <c r="D107" s="24">
        <v>152710828.06999999</v>
      </c>
      <c r="E107" s="24"/>
      <c r="F107" s="24">
        <f>137142288.87-D107</f>
        <v>-15568539.199999988</v>
      </c>
      <c r="G107" s="24"/>
      <c r="H107" s="24">
        <v>0</v>
      </c>
      <c r="I107" s="24"/>
      <c r="J107" s="24">
        <v>0</v>
      </c>
      <c r="K107" s="24"/>
      <c r="L107" s="24">
        <f>F107+H107+J107</f>
        <v>-15568539.199999988</v>
      </c>
      <c r="M107" s="24"/>
      <c r="N107" s="24">
        <f>D107+L107</f>
        <v>137142288.87</v>
      </c>
      <c r="O107" s="84"/>
      <c r="P107" s="72">
        <f>N107+N74+N22</f>
        <v>3909719389.0899997</v>
      </c>
    </row>
    <row r="108" spans="1:16">
      <c r="C108" s="10" t="s">
        <v>120</v>
      </c>
      <c r="D108" s="28">
        <v>47481609.939999998</v>
      </c>
      <c r="E108" s="24"/>
      <c r="F108" s="28">
        <f>36184416.69-D108</f>
        <v>-11297193.25</v>
      </c>
      <c r="G108" s="24"/>
      <c r="H108" s="28">
        <v>0</v>
      </c>
      <c r="I108" s="24"/>
      <c r="J108" s="28">
        <v>0</v>
      </c>
      <c r="K108" s="24"/>
      <c r="L108" s="28">
        <f>F108+H108+J108</f>
        <v>-11297193.25</v>
      </c>
      <c r="M108" s="24"/>
      <c r="N108" s="28">
        <f>D108+L108</f>
        <v>36184416.689999998</v>
      </c>
      <c r="O108" s="84"/>
    </row>
    <row r="109" spans="1:16">
      <c r="C109" s="11"/>
      <c r="D109" s="27">
        <f>SUM(D106:D108)</f>
        <v>215276377.34</v>
      </c>
      <c r="E109" s="27"/>
      <c r="F109" s="27">
        <f>SUM(F106:F108)</f>
        <v>-31147157.999999989</v>
      </c>
      <c r="G109" s="27"/>
      <c r="H109" s="27">
        <f>SUM(H106:H108)</f>
        <v>0</v>
      </c>
      <c r="I109" s="27"/>
      <c r="J109" s="27">
        <f>SUM(J106:J108)</f>
        <v>0</v>
      </c>
      <c r="K109" s="27"/>
      <c r="L109" s="27">
        <f>SUM(L106:L108)</f>
        <v>-31147157.999999989</v>
      </c>
      <c r="M109" s="27"/>
      <c r="N109" s="27">
        <f>SUM(N106:N108)</f>
        <v>184129219.34</v>
      </c>
      <c r="O109" s="84"/>
      <c r="P109" s="72"/>
    </row>
    <row r="110" spans="1:16">
      <c r="C110" s="11"/>
      <c r="D110" s="27"/>
      <c r="E110" s="24"/>
      <c r="F110" s="27"/>
      <c r="G110" s="24"/>
      <c r="H110" s="27"/>
      <c r="I110" s="24"/>
      <c r="J110" s="27"/>
      <c r="K110" s="24"/>
      <c r="L110" s="27"/>
      <c r="M110" s="24"/>
      <c r="N110" s="27"/>
      <c r="O110" s="84"/>
    </row>
    <row r="111" spans="1:16">
      <c r="C111" s="11"/>
      <c r="D111" s="27"/>
      <c r="E111" s="24"/>
      <c r="F111" s="27"/>
      <c r="G111" s="24"/>
      <c r="H111" s="27"/>
      <c r="I111" s="24"/>
      <c r="J111" s="27"/>
      <c r="K111" s="24"/>
      <c r="L111" s="27"/>
      <c r="M111" s="24"/>
      <c r="N111" s="27"/>
      <c r="O111" s="84"/>
    </row>
    <row r="112" spans="1:16">
      <c r="D112" s="24"/>
      <c r="E112" s="24"/>
      <c r="F112" s="24"/>
      <c r="G112" s="24"/>
      <c r="H112" s="24"/>
      <c r="I112" s="24"/>
      <c r="J112" s="24"/>
      <c r="K112" s="24"/>
      <c r="L112" s="24"/>
      <c r="M112" s="24"/>
      <c r="N112" s="24"/>
      <c r="O112" s="84"/>
    </row>
    <row r="113" spans="2:15" ht="13.5" thickBot="1">
      <c r="B113" s="58" t="s">
        <v>408</v>
      </c>
      <c r="D113" s="56">
        <f>D100+D92+D57+D40+D32+D84+D48</f>
        <v>4682094793.7399998</v>
      </c>
      <c r="E113" s="24"/>
      <c r="F113" s="56">
        <f>F100+F92+F57+F40+F32+F84+F48</f>
        <v>74303298.920000002</v>
      </c>
      <c r="G113" s="24"/>
      <c r="H113" s="56">
        <f>H100+H92+H57+H40+H32+H84+H48</f>
        <v>-6746260.6700000009</v>
      </c>
      <c r="I113" s="24"/>
      <c r="J113" s="56">
        <f>J100+J92+J57+J40+J32+J84+J48</f>
        <v>-23.740000000019791</v>
      </c>
      <c r="K113" s="24"/>
      <c r="L113" s="56">
        <f>L100+L92+L57+L40+L32+L84+L48</f>
        <v>67557014.50999999</v>
      </c>
      <c r="M113" s="24"/>
      <c r="N113" s="56">
        <f>N100+N92+N57+N40+N32+N84+N48</f>
        <v>4749651808.249999</v>
      </c>
      <c r="O113" s="84"/>
    </row>
    <row r="114" spans="2:15" ht="13.5" thickTop="1">
      <c r="D114" s="27"/>
      <c r="E114" s="24"/>
      <c r="F114" s="27"/>
      <c r="G114" s="24"/>
      <c r="H114" s="27"/>
      <c r="I114" s="24"/>
      <c r="J114" s="27"/>
      <c r="K114" s="24"/>
      <c r="L114" s="27"/>
      <c r="M114" s="24"/>
      <c r="N114" s="27"/>
      <c r="O114" s="84"/>
    </row>
    <row r="115" spans="2:15">
      <c r="D115" s="24"/>
      <c r="E115" s="24"/>
      <c r="F115" s="24"/>
      <c r="G115" s="24"/>
      <c r="H115" s="24"/>
      <c r="I115" s="24"/>
      <c r="J115" s="24"/>
      <c r="K115" s="24"/>
      <c r="L115" s="24"/>
      <c r="M115" s="24"/>
      <c r="N115" s="24"/>
      <c r="O115" s="84"/>
    </row>
    <row r="116" spans="2:15" ht="13.5" thickBot="1">
      <c r="B116" s="58" t="s">
        <v>409</v>
      </c>
      <c r="D116" s="56">
        <f>D109+D113</f>
        <v>4897371171.0799999</v>
      </c>
      <c r="E116" s="24"/>
      <c r="F116" s="56">
        <f>F109+F113</f>
        <v>43156140.920000017</v>
      </c>
      <c r="G116" s="24"/>
      <c r="H116" s="56">
        <f>H109+H113</f>
        <v>-6746260.6700000009</v>
      </c>
      <c r="I116" s="24"/>
      <c r="J116" s="56">
        <f>J109+J113</f>
        <v>-23.740000000019791</v>
      </c>
      <c r="K116" s="24"/>
      <c r="L116" s="56">
        <f>L109+L113</f>
        <v>36409856.510000005</v>
      </c>
      <c r="M116" s="24"/>
      <c r="N116" s="56">
        <f>D116+L116</f>
        <v>4933781027.5900002</v>
      </c>
      <c r="O116" s="84"/>
    </row>
    <row r="117" spans="2:15" ht="13.5" thickTop="1">
      <c r="D117" s="27"/>
      <c r="E117" s="24"/>
      <c r="F117" s="27"/>
      <c r="G117" s="24"/>
      <c r="H117" s="27"/>
      <c r="I117" s="24"/>
      <c r="J117" s="27"/>
      <c r="K117" s="24"/>
      <c r="L117" s="27"/>
      <c r="M117" s="24"/>
      <c r="N117" s="27"/>
      <c r="O117" s="84"/>
    </row>
    <row r="118" spans="2:15">
      <c r="D118" s="27"/>
      <c r="E118" s="24"/>
      <c r="F118" s="27"/>
      <c r="G118" s="24"/>
      <c r="H118" s="27"/>
      <c r="I118" s="24"/>
      <c r="J118" s="27"/>
      <c r="K118" s="24"/>
      <c r="L118" s="27"/>
      <c r="M118" s="24"/>
      <c r="N118" s="27"/>
      <c r="O118" s="84"/>
    </row>
    <row r="119" spans="2:15" ht="13.5" thickBot="1">
      <c r="B119" s="12" t="s">
        <v>454</v>
      </c>
      <c r="D119" s="56">
        <f>D116-D100</f>
        <v>4897295931.5199995</v>
      </c>
      <c r="E119" s="24"/>
      <c r="F119" s="56">
        <f>F116-F100</f>
        <v>43156140.920000017</v>
      </c>
      <c r="G119" s="24"/>
      <c r="H119" s="56">
        <f>H116-H100</f>
        <v>-6746260.6700000009</v>
      </c>
      <c r="I119" s="24"/>
      <c r="J119" s="56">
        <f>J116-J100</f>
        <v>-23.740000000019791</v>
      </c>
      <c r="K119" s="24"/>
      <c r="L119" s="56">
        <f>L116-L100</f>
        <v>36409856.510000005</v>
      </c>
      <c r="M119" s="24"/>
      <c r="N119" s="56">
        <f>N116-N100</f>
        <v>4933705788.0299997</v>
      </c>
      <c r="O119" s="84"/>
    </row>
    <row r="120" spans="2:15" ht="13.5" thickTop="1">
      <c r="D120" s="27"/>
      <c r="E120" s="24"/>
      <c r="F120" s="27"/>
      <c r="G120" s="24"/>
      <c r="H120" s="27"/>
      <c r="I120" s="24"/>
      <c r="J120" s="27"/>
      <c r="K120" s="24"/>
      <c r="L120" s="27"/>
      <c r="M120" s="24"/>
      <c r="N120" s="27"/>
      <c r="O120" s="84"/>
    </row>
    <row r="121" spans="2:15">
      <c r="D121" s="24"/>
      <c r="E121" s="24"/>
      <c r="F121" s="24"/>
      <c r="G121" s="24"/>
      <c r="H121" s="24"/>
      <c r="I121" s="24"/>
      <c r="J121" s="24"/>
      <c r="K121" s="24"/>
      <c r="L121" s="24"/>
      <c r="M121" s="24"/>
      <c r="N121" s="24"/>
      <c r="O121" s="84"/>
    </row>
    <row r="122" spans="2:15" ht="14.25">
      <c r="C122" s="13"/>
      <c r="D122" s="26"/>
      <c r="E122" s="24"/>
      <c r="F122" s="24"/>
      <c r="G122" s="24"/>
      <c r="H122" s="24"/>
      <c r="I122" s="24"/>
      <c r="J122" s="24"/>
      <c r="K122" s="24"/>
      <c r="L122" s="24"/>
      <c r="M122" s="24"/>
      <c r="N122" s="69"/>
      <c r="O122" s="84"/>
    </row>
    <row r="123" spans="2:15">
      <c r="C123" s="13"/>
      <c r="D123" s="26"/>
      <c r="E123" s="24"/>
      <c r="F123" s="24"/>
      <c r="G123" s="24"/>
      <c r="H123" s="24"/>
      <c r="I123" s="24"/>
      <c r="J123" s="24"/>
      <c r="K123" s="24"/>
      <c r="L123" s="24"/>
      <c r="M123" s="24"/>
      <c r="N123" s="24"/>
      <c r="O123" s="84"/>
    </row>
    <row r="124" spans="2:15">
      <c r="C124" s="13"/>
      <c r="D124" s="26"/>
      <c r="E124" s="24"/>
      <c r="F124" s="24"/>
      <c r="G124" s="24"/>
      <c r="H124" s="24"/>
      <c r="I124" s="24"/>
      <c r="J124" s="24"/>
      <c r="K124" s="24"/>
      <c r="L124" s="24"/>
      <c r="M124" s="24"/>
      <c r="N124" s="24"/>
      <c r="O124" s="84"/>
    </row>
    <row r="125" spans="2:15">
      <c r="D125" s="24"/>
      <c r="E125" s="24"/>
      <c r="F125" s="24"/>
      <c r="G125" s="24"/>
      <c r="H125" s="24"/>
      <c r="I125" s="24"/>
      <c r="J125" s="24"/>
      <c r="K125" s="24"/>
      <c r="L125" s="24"/>
      <c r="M125" s="24"/>
      <c r="N125" s="24"/>
      <c r="O125" s="84"/>
    </row>
    <row r="126" spans="2:15">
      <c r="D126" s="24"/>
      <c r="E126" s="24"/>
      <c r="F126" s="24"/>
      <c r="G126" s="24"/>
      <c r="H126" s="24"/>
      <c r="I126" s="24"/>
      <c r="J126" s="24"/>
      <c r="K126" s="24"/>
      <c r="L126" s="24"/>
      <c r="M126" s="24"/>
      <c r="N126" s="24"/>
      <c r="O126" s="84"/>
    </row>
    <row r="127" spans="2:15">
      <c r="D127" s="24"/>
      <c r="E127" s="24"/>
      <c r="F127" s="24"/>
      <c r="G127" s="24"/>
      <c r="H127" s="24"/>
      <c r="I127" s="24"/>
      <c r="J127" s="24"/>
      <c r="K127" s="24"/>
      <c r="L127" s="24"/>
      <c r="M127" s="24"/>
      <c r="N127" s="24"/>
      <c r="O127" s="84"/>
    </row>
    <row r="128" spans="2:15">
      <c r="D128" s="8"/>
      <c r="E128" s="8"/>
      <c r="F128" s="8"/>
      <c r="G128" s="8"/>
      <c r="H128" s="8"/>
      <c r="I128" s="8"/>
      <c r="J128" s="8"/>
      <c r="K128" s="8"/>
      <c r="L128" s="8"/>
      <c r="M128" s="8"/>
      <c r="N128" s="8"/>
    </row>
    <row r="129" spans="4:14">
      <c r="D129" s="8"/>
      <c r="E129" s="8"/>
      <c r="F129" s="8"/>
      <c r="G129" s="8"/>
      <c r="H129" s="8"/>
      <c r="I129" s="8"/>
      <c r="J129" s="8"/>
      <c r="K129" s="8"/>
      <c r="L129" s="8"/>
      <c r="M129" s="8"/>
      <c r="N129" s="8"/>
    </row>
    <row r="130" spans="4:14">
      <c r="D130" s="8"/>
      <c r="E130" s="8"/>
      <c r="F130" s="8"/>
      <c r="G130" s="8"/>
      <c r="H130" s="8"/>
      <c r="I130" s="8"/>
      <c r="J130" s="8"/>
      <c r="K130" s="8"/>
      <c r="L130" s="8"/>
      <c r="M130" s="8"/>
      <c r="N130" s="8"/>
    </row>
    <row r="131" spans="4:14">
      <c r="D131" s="8"/>
      <c r="E131" s="8"/>
      <c r="F131" s="8"/>
      <c r="G131" s="8"/>
      <c r="H131" s="8"/>
      <c r="I131" s="8"/>
      <c r="J131" s="8"/>
      <c r="K131" s="8"/>
      <c r="L131" s="8"/>
      <c r="M131" s="8"/>
      <c r="N131" s="8"/>
    </row>
  </sheetData>
  <customSheetViews>
    <customSheetView guid="{6B74E52F-9552-408A-8775-25AFF24E6639}" scale="75" showPageBreaks="1" printArea="1" showRuler="0">
      <selection activeCell="H19" sqref="H19"/>
      <rowBreaks count="1" manualBreakCount="1">
        <brk id="57" max="13" man="1"/>
      </rowBreaks>
      <pageMargins left="0.75" right="0.75" top="1" bottom="1" header="0.5" footer="0.5"/>
      <pageSetup scale="58" fitToHeight="2" orientation="landscape" r:id="rId1"/>
      <headerFooter alignWithMargins="0">
        <oddFooter>&amp;L&amp;Z
&amp;F&amp;C&amp;A&amp;R1.&amp;P</oddFooter>
      </headerFooter>
    </customSheetView>
  </customSheetViews>
  <mergeCells count="3">
    <mergeCell ref="A1:N1"/>
    <mergeCell ref="A2:N2"/>
    <mergeCell ref="A3:N3"/>
  </mergeCells>
  <phoneticPr fontId="4" type="noConversion"/>
  <pageMargins left="0.75" right="0.75" top="1" bottom="1" header="0.5" footer="0.5"/>
  <pageSetup scale="58" fitToHeight="2" orientation="landscape" r:id="rId2"/>
  <headerFooter alignWithMargins="0">
    <oddFooter>&amp;L&amp;Z
&amp;F&amp;C&amp;A&amp;R1.&amp;P</oddFooter>
  </headerFooter>
  <rowBreaks count="1" manualBreakCount="1">
    <brk id="64" max="13" man="1"/>
  </rowBreaks>
</worksheet>
</file>

<file path=xl/worksheets/sheet84.xml><?xml version="1.0" encoding="utf-8"?>
<worksheet xmlns="http://schemas.openxmlformats.org/spreadsheetml/2006/main" xmlns:r="http://schemas.openxmlformats.org/officeDocument/2006/relationships">
  <sheetPr codeName="Sheet50">
    <pageSetUpPr fitToPage="1"/>
  </sheetPr>
  <dimension ref="A1:AD309"/>
  <sheetViews>
    <sheetView tabSelected="1" zoomScaleNormal="100" workbookViewId="0">
      <pane xSplit="2" ySplit="8" topLeftCell="R19" activePane="bottomRight" state="frozen"/>
      <selection activeCell="C38" sqref="C38"/>
      <selection pane="topRight" activeCell="C38" sqref="C38"/>
      <selection pane="bottomLeft" activeCell="C38" sqref="C38"/>
      <selection pane="bottomRight" activeCell="X79" sqref="X79"/>
    </sheetView>
  </sheetViews>
  <sheetFormatPr defaultRowHeight="12.75"/>
  <cols>
    <col min="1" max="1" width="8.140625" style="10" customWidth="1"/>
    <col min="2" max="2" width="38.140625" style="10" customWidth="1"/>
    <col min="3" max="3" width="18.7109375" style="10" bestFit="1" customWidth="1"/>
    <col min="4" max="4" width="1.7109375" style="10" customWidth="1"/>
    <col min="5" max="5" width="17.7109375" style="10" customWidth="1"/>
    <col min="6" max="6" width="1.7109375" style="10" customWidth="1"/>
    <col min="7" max="7" width="17.7109375" style="10" customWidth="1"/>
    <col min="8" max="8" width="1.7109375" style="10" customWidth="1"/>
    <col min="9" max="9" width="17.7109375" style="10" customWidth="1"/>
    <col min="10" max="10" width="1.7109375" style="10" customWidth="1"/>
    <col min="11" max="11" width="18.7109375" style="10" bestFit="1" customWidth="1"/>
    <col min="12" max="12" width="1.7109375" style="10" customWidth="1"/>
    <col min="13" max="13" width="17.7109375" style="10" customWidth="1"/>
    <col min="14" max="14" width="1.7109375" style="10" customWidth="1"/>
    <col min="15" max="15" width="17.7109375" style="10" customWidth="1"/>
    <col min="16" max="16" width="1.7109375" style="10" customWidth="1"/>
    <col min="17" max="17" width="17.7109375" style="10" customWidth="1"/>
    <col min="18" max="18" width="1.7109375" style="10" customWidth="1"/>
    <col min="19" max="19" width="17.7109375" style="10" customWidth="1"/>
    <col min="20" max="20" width="1.7109375" style="10" customWidth="1"/>
    <col min="21" max="21" width="19.85546875" style="10" bestFit="1" customWidth="1"/>
    <col min="22" max="22" width="2.7109375" style="10" customWidth="1"/>
    <col min="23" max="23" width="10.85546875" style="10" bestFit="1" customWidth="1"/>
    <col min="24" max="24" width="18.7109375" style="10" bestFit="1" customWidth="1"/>
    <col min="25" max="25" width="18.42578125" style="10" bestFit="1" customWidth="1"/>
    <col min="26" max="26" width="17.5703125" style="10" bestFit="1" customWidth="1"/>
    <col min="27" max="27" width="17.28515625" style="10" bestFit="1" customWidth="1"/>
    <col min="28" max="28" width="24.28515625" style="10" bestFit="1" customWidth="1"/>
    <col min="29" max="29" width="9.140625" style="10"/>
    <col min="30" max="30" width="20" style="10" bestFit="1" customWidth="1"/>
    <col min="31" max="16384" width="9.140625" style="10"/>
  </cols>
  <sheetData>
    <row r="1" spans="1:30">
      <c r="A1" s="359" t="s">
        <v>134</v>
      </c>
      <c r="B1" s="359"/>
      <c r="C1" s="359"/>
      <c r="D1" s="359"/>
      <c r="E1" s="359"/>
      <c r="F1" s="359"/>
      <c r="G1" s="359"/>
      <c r="H1" s="359"/>
      <c r="I1" s="359"/>
      <c r="J1" s="359"/>
      <c r="K1" s="359"/>
      <c r="L1" s="359"/>
      <c r="M1" s="359"/>
      <c r="N1" s="359"/>
      <c r="O1" s="359"/>
      <c r="P1" s="359"/>
      <c r="Q1" s="359"/>
      <c r="R1" s="359"/>
      <c r="S1" s="359"/>
      <c r="T1" s="359"/>
      <c r="U1" s="359"/>
      <c r="V1" s="340"/>
    </row>
    <row r="2" spans="1:30">
      <c r="A2" s="359" t="s">
        <v>1147</v>
      </c>
      <c r="B2" s="359"/>
      <c r="C2" s="359"/>
      <c r="D2" s="359"/>
      <c r="E2" s="359"/>
      <c r="F2" s="359"/>
      <c r="G2" s="359"/>
      <c r="H2" s="359"/>
      <c r="I2" s="359"/>
      <c r="J2" s="359"/>
      <c r="K2" s="359"/>
      <c r="L2" s="359"/>
      <c r="M2" s="359"/>
      <c r="N2" s="359"/>
      <c r="O2" s="359"/>
      <c r="P2" s="359"/>
      <c r="Q2" s="359"/>
      <c r="R2" s="359"/>
      <c r="S2" s="359"/>
      <c r="T2" s="359"/>
      <c r="U2" s="359"/>
      <c r="V2" s="340"/>
    </row>
    <row r="3" spans="1:30">
      <c r="A3" s="361" t="str">
        <f>'Summary - Cost - PG 1 (Fin)'!A3:N3</f>
        <v>MARCH 2012</v>
      </c>
      <c r="B3" s="361"/>
      <c r="C3" s="361"/>
      <c r="D3" s="361"/>
      <c r="E3" s="361"/>
      <c r="F3" s="361"/>
      <c r="G3" s="361"/>
      <c r="H3" s="361"/>
      <c r="I3" s="361"/>
      <c r="J3" s="361"/>
      <c r="K3" s="361"/>
      <c r="L3" s="361"/>
      <c r="M3" s="361"/>
      <c r="N3" s="361"/>
      <c r="O3" s="361"/>
      <c r="P3" s="361"/>
      <c r="Q3" s="361"/>
      <c r="R3" s="361"/>
      <c r="S3" s="361"/>
      <c r="T3" s="361"/>
      <c r="U3" s="361"/>
      <c r="V3" s="341"/>
    </row>
    <row r="4" spans="1:30">
      <c r="A4" s="341"/>
      <c r="B4" s="341"/>
      <c r="C4" s="341"/>
      <c r="D4" s="341"/>
      <c r="E4" s="341"/>
      <c r="F4" s="341"/>
      <c r="G4" s="341"/>
      <c r="H4" s="341"/>
      <c r="I4" s="341"/>
      <c r="J4" s="341"/>
      <c r="K4" s="341"/>
      <c r="L4" s="341"/>
      <c r="M4" s="341"/>
      <c r="N4" s="341"/>
      <c r="O4" s="341"/>
      <c r="P4" s="341"/>
      <c r="Q4" s="341"/>
      <c r="R4" s="341"/>
      <c r="S4" s="341"/>
      <c r="T4" s="341"/>
      <c r="U4" s="341"/>
      <c r="V4" s="341"/>
    </row>
    <row r="6" spans="1:30">
      <c r="C6" s="84" t="s">
        <v>25</v>
      </c>
      <c r="E6" s="24"/>
      <c r="G6" s="24"/>
      <c r="I6" s="84" t="s">
        <v>612</v>
      </c>
      <c r="J6" s="84"/>
      <c r="K6" s="84" t="s">
        <v>1377</v>
      </c>
      <c r="M6" s="84" t="s">
        <v>28</v>
      </c>
      <c r="O6" s="85" t="s">
        <v>37</v>
      </c>
      <c r="Q6" s="84"/>
      <c r="S6" s="84" t="s">
        <v>39</v>
      </c>
      <c r="U6" s="84" t="s">
        <v>26</v>
      </c>
      <c r="V6" s="84"/>
    </row>
    <row r="7" spans="1:30">
      <c r="C7" s="43" t="s">
        <v>27</v>
      </c>
      <c r="E7" s="43" t="s">
        <v>954</v>
      </c>
      <c r="G7" s="43" t="s">
        <v>108</v>
      </c>
      <c r="I7" s="43" t="s">
        <v>613</v>
      </c>
      <c r="J7" s="85"/>
      <c r="K7" s="43" t="s">
        <v>1378</v>
      </c>
      <c r="M7" s="43" t="s">
        <v>29</v>
      </c>
      <c r="O7" s="43" t="s">
        <v>38</v>
      </c>
      <c r="Q7" s="43" t="s">
        <v>955</v>
      </c>
      <c r="S7" s="43" t="s">
        <v>105</v>
      </c>
      <c r="U7" s="43" t="s">
        <v>27</v>
      </c>
      <c r="V7" s="43"/>
    </row>
    <row r="8" spans="1:30">
      <c r="C8" s="85"/>
      <c r="E8" s="85"/>
      <c r="G8" s="85"/>
      <c r="I8" s="85"/>
      <c r="J8" s="85"/>
      <c r="K8" s="85"/>
      <c r="M8" s="85"/>
      <c r="O8" s="85"/>
      <c r="Q8" s="85"/>
      <c r="S8" s="85"/>
      <c r="U8" s="85"/>
      <c r="V8" s="85"/>
    </row>
    <row r="9" spans="1:30">
      <c r="A9" s="12" t="s">
        <v>137</v>
      </c>
      <c r="C9" s="22"/>
      <c r="D9" s="22"/>
      <c r="E9" s="22"/>
      <c r="F9" s="22"/>
      <c r="G9" s="22"/>
      <c r="H9" s="22"/>
      <c r="I9" s="22"/>
      <c r="J9" s="22"/>
      <c r="K9" s="22"/>
      <c r="L9" s="22"/>
      <c r="M9" s="22"/>
      <c r="N9" s="22"/>
      <c r="O9" s="22"/>
      <c r="P9" s="22"/>
      <c r="Q9" s="22"/>
      <c r="R9" s="22"/>
      <c r="S9" s="22"/>
      <c r="T9" s="22"/>
      <c r="U9" s="22"/>
      <c r="V9" s="22"/>
    </row>
    <row r="10" spans="1:30" ht="15">
      <c r="B10" s="10" t="s">
        <v>455</v>
      </c>
      <c r="C10" s="24">
        <v>-77087119.390000001</v>
      </c>
      <c r="D10" s="24"/>
      <c r="E10" s="24">
        <f>-1001870.55-1010054.55-1019833.52</f>
        <v>-3031758.62</v>
      </c>
      <c r="F10" s="24"/>
      <c r="G10" s="24">
        <f>122833.7+120387.28</f>
        <v>243220.97999999998</v>
      </c>
      <c r="H10" s="24"/>
      <c r="I10" s="24">
        <v>0</v>
      </c>
      <c r="J10" s="24"/>
      <c r="K10" s="24">
        <v>0</v>
      </c>
      <c r="L10" s="24"/>
      <c r="M10" s="24">
        <v>0</v>
      </c>
      <c r="N10" s="24"/>
      <c r="O10" s="24">
        <v>0</v>
      </c>
      <c r="P10" s="24"/>
      <c r="Q10" s="24">
        <v>0</v>
      </c>
      <c r="R10" s="24"/>
      <c r="S10" s="24">
        <v>0</v>
      </c>
      <c r="T10" s="24"/>
      <c r="U10" s="24">
        <f t="shared" ref="U10:U31" si="0">S10+Q10+O10+M10+I10+G10+E10+C10</f>
        <v>-79875657.030000001</v>
      </c>
      <c r="V10" s="24"/>
      <c r="Y10" s="346" t="s">
        <v>2045</v>
      </c>
      <c r="Z10" s="347" t="s">
        <v>814</v>
      </c>
      <c r="AA10" s="347" t="s">
        <v>691</v>
      </c>
      <c r="AB10" s="347" t="s">
        <v>2046</v>
      </c>
      <c r="AC10" s="347" t="s">
        <v>810</v>
      </c>
      <c r="AD10" s="347" t="s">
        <v>49</v>
      </c>
    </row>
    <row r="11" spans="1:30">
      <c r="B11" s="10" t="s">
        <v>851</v>
      </c>
      <c r="C11" s="24">
        <v>-2403.5899999999979</v>
      </c>
      <c r="D11" s="24"/>
      <c r="E11" s="24">
        <f>-171.7-171.7-171.7</f>
        <v>-515.09999999999991</v>
      </c>
      <c r="F11" s="24"/>
      <c r="G11" s="24">
        <v>0</v>
      </c>
      <c r="H11" s="24"/>
      <c r="I11" s="24">
        <v>0</v>
      </c>
      <c r="J11" s="24"/>
      <c r="K11" s="24">
        <v>0</v>
      </c>
      <c r="L11" s="24"/>
      <c r="M11" s="24">
        <v>0</v>
      </c>
      <c r="N11" s="24"/>
      <c r="O11" s="24">
        <v>0</v>
      </c>
      <c r="P11" s="24"/>
      <c r="Q11" s="24">
        <v>0</v>
      </c>
      <c r="R11" s="24"/>
      <c r="S11" s="24">
        <v>0</v>
      </c>
      <c r="T11" s="24"/>
      <c r="U11" s="24">
        <f t="shared" si="0"/>
        <v>-2918.6899999999978</v>
      </c>
      <c r="V11" s="24"/>
      <c r="Y11" s="32"/>
    </row>
    <row r="12" spans="1:30">
      <c r="B12" s="10" t="s">
        <v>113</v>
      </c>
      <c r="C12" s="24">
        <v>-287667187.72000003</v>
      </c>
      <c r="D12" s="24"/>
      <c r="E12" s="24">
        <f>-1500857.99-1519196.04-1524784.45</f>
        <v>-4544838.4800000004</v>
      </c>
      <c r="F12" s="24"/>
      <c r="G12" s="24">
        <f>474584.1+461773.37+861935.39</f>
        <v>1798292.8599999999</v>
      </c>
      <c r="H12" s="24"/>
      <c r="I12" s="24">
        <v>0</v>
      </c>
      <c r="J12" s="24"/>
      <c r="K12" s="24">
        <v>0</v>
      </c>
      <c r="L12" s="24"/>
      <c r="M12" s="24">
        <v>0</v>
      </c>
      <c r="N12" s="24"/>
      <c r="O12" s="24">
        <v>0</v>
      </c>
      <c r="P12" s="24"/>
      <c r="Q12" s="24">
        <v>0</v>
      </c>
      <c r="R12" s="24"/>
      <c r="S12" s="24">
        <v>0</v>
      </c>
      <c r="T12" s="24"/>
      <c r="U12" s="24">
        <f t="shared" si="0"/>
        <v>-290413733.34000003</v>
      </c>
      <c r="V12" s="24"/>
      <c r="Y12" s="32"/>
    </row>
    <row r="13" spans="1:30">
      <c r="B13" s="10" t="s">
        <v>852</v>
      </c>
      <c r="C13" s="24">
        <v>-7290.4000000000697</v>
      </c>
      <c r="D13" s="24"/>
      <c r="E13" s="24">
        <f>-726.37-223.55-949.93-949.93</f>
        <v>-2849.7799999999997</v>
      </c>
      <c r="F13" s="24"/>
      <c r="G13" s="24">
        <v>0</v>
      </c>
      <c r="H13" s="24"/>
      <c r="I13" s="24">
        <f>-447.11+223.55</f>
        <v>-223.56</v>
      </c>
      <c r="J13" s="24"/>
      <c r="K13" s="24">
        <v>0</v>
      </c>
      <c r="L13" s="24"/>
      <c r="M13" s="24">
        <v>0</v>
      </c>
      <c r="N13" s="24"/>
      <c r="O13" s="24">
        <v>0</v>
      </c>
      <c r="P13" s="24"/>
      <c r="Q13" s="24">
        <v>0</v>
      </c>
      <c r="R13" s="24"/>
      <c r="S13" s="24">
        <v>0</v>
      </c>
      <c r="T13" s="24"/>
      <c r="U13" s="24">
        <f t="shared" si="0"/>
        <v>-10363.740000000069</v>
      </c>
      <c r="V13" s="24"/>
      <c r="X13" s="12" t="s">
        <v>2047</v>
      </c>
      <c r="Y13" s="348">
        <f>SUM(U15:U20)</f>
        <v>-1154821139.6499999</v>
      </c>
      <c r="Z13" s="24">
        <f>U21+U22</f>
        <v>-121500165.36999999</v>
      </c>
      <c r="AA13" s="24">
        <f>U12+U13</f>
        <v>-290424097.08000004</v>
      </c>
      <c r="AB13" s="24">
        <f>0.71*(U10+U11)+U14</f>
        <v>-68118256.011199996</v>
      </c>
      <c r="AC13" s="24">
        <v>0</v>
      </c>
      <c r="AD13" s="72">
        <f>SUM(Y13:AC13)</f>
        <v>-1634863658.1111999</v>
      </c>
    </row>
    <row r="14" spans="1:30">
      <c r="B14" s="10" t="s">
        <v>114</v>
      </c>
      <c r="C14" s="24">
        <v>-11305192.129999997</v>
      </c>
      <c r="D14" s="24"/>
      <c r="E14" s="24">
        <f>-44957.37-46161.58-47365.81</f>
        <v>-138484.76</v>
      </c>
      <c r="F14" s="24"/>
      <c r="G14" s="24">
        <v>39209.64</v>
      </c>
      <c r="H14" s="24"/>
      <c r="I14" s="24">
        <v>0</v>
      </c>
      <c r="J14" s="24"/>
      <c r="K14" s="24">
        <v>0</v>
      </c>
      <c r="L14" s="24"/>
      <c r="M14" s="24">
        <v>0</v>
      </c>
      <c r="N14" s="24"/>
      <c r="O14" s="24">
        <v>0</v>
      </c>
      <c r="P14" s="24"/>
      <c r="Q14" s="24">
        <v>0</v>
      </c>
      <c r="R14" s="24"/>
      <c r="S14" s="24">
        <v>0</v>
      </c>
      <c r="T14" s="24"/>
      <c r="U14" s="24">
        <f t="shared" si="0"/>
        <v>-11404467.249999996</v>
      </c>
      <c r="V14" s="24"/>
      <c r="X14" s="12" t="s">
        <v>2048</v>
      </c>
      <c r="Y14" s="72">
        <f>U38+U39+U40</f>
        <v>-112938437.36</v>
      </c>
      <c r="Z14" s="72">
        <f>U41</f>
        <v>-25718423.940000001</v>
      </c>
      <c r="AA14" s="72">
        <f>U36</f>
        <v>-148141736.45000002</v>
      </c>
      <c r="AB14" s="72">
        <f>(0.71*U35)+U37</f>
        <v>-488470.44919999997</v>
      </c>
      <c r="AC14" s="24">
        <v>0</v>
      </c>
      <c r="AD14" s="72">
        <f>SUM(Y14:AC14)</f>
        <v>-287287068.19919997</v>
      </c>
    </row>
    <row r="15" spans="1:30">
      <c r="B15" s="10" t="s">
        <v>115</v>
      </c>
      <c r="C15" s="24">
        <v>-10051997.220000001</v>
      </c>
      <c r="D15" s="24"/>
      <c r="E15" s="24">
        <f>-47156.37-47156.36-47156.34</f>
        <v>-141469.07</v>
      </c>
      <c r="F15" s="24"/>
      <c r="G15" s="24">
        <v>507.91</v>
      </c>
      <c r="H15" s="24"/>
      <c r="I15" s="24">
        <v>0</v>
      </c>
      <c r="J15" s="24"/>
      <c r="K15" s="24">
        <v>0</v>
      </c>
      <c r="L15" s="24"/>
      <c r="M15" s="24">
        <v>0</v>
      </c>
      <c r="N15" s="24"/>
      <c r="O15" s="24">
        <v>0</v>
      </c>
      <c r="P15" s="24"/>
      <c r="Q15" s="24">
        <v>0</v>
      </c>
      <c r="R15" s="24"/>
      <c r="S15" s="24">
        <v>0</v>
      </c>
      <c r="T15" s="24"/>
      <c r="U15" s="24">
        <f t="shared" si="0"/>
        <v>-10192958.380000001</v>
      </c>
      <c r="V15" s="24"/>
      <c r="X15" s="12" t="s">
        <v>955</v>
      </c>
      <c r="Y15" s="72">
        <f>U54+U55+U56</f>
        <v>24764275.739999998</v>
      </c>
      <c r="Z15" s="72">
        <f>U57</f>
        <v>6220868.0899999999</v>
      </c>
      <c r="AA15" s="72">
        <f>U52</f>
        <v>18844418.629999999</v>
      </c>
      <c r="AB15" s="72">
        <f>(0.71*U51)+U53</f>
        <v>336829.10149999999</v>
      </c>
      <c r="AC15" s="24">
        <v>0</v>
      </c>
      <c r="AD15" s="72">
        <f>SUM(Y15:AC15)</f>
        <v>50166391.561499991</v>
      </c>
    </row>
    <row r="16" spans="1:30">
      <c r="B16" s="10" t="s">
        <v>853</v>
      </c>
      <c r="C16" s="24">
        <v>-2112.6200000000099</v>
      </c>
      <c r="D16" s="24"/>
      <c r="E16" s="24">
        <f>-145.71-145.71-145.71</f>
        <v>-437.13</v>
      </c>
      <c r="F16" s="24"/>
      <c r="G16" s="24">
        <v>0</v>
      </c>
      <c r="H16" s="24"/>
      <c r="I16" s="24">
        <v>0</v>
      </c>
      <c r="J16" s="24"/>
      <c r="K16" s="24">
        <v>0</v>
      </c>
      <c r="L16" s="24"/>
      <c r="M16" s="24">
        <v>0</v>
      </c>
      <c r="N16" s="24"/>
      <c r="O16" s="24">
        <v>0</v>
      </c>
      <c r="P16" s="24"/>
      <c r="Q16" s="24">
        <v>0</v>
      </c>
      <c r="R16" s="24"/>
      <c r="S16" s="24">
        <v>0</v>
      </c>
      <c r="T16" s="24"/>
      <c r="U16" s="24">
        <f t="shared" si="0"/>
        <v>-2549.75000000001</v>
      </c>
      <c r="V16" s="24"/>
      <c r="X16" s="12" t="s">
        <v>28</v>
      </c>
      <c r="Y16" s="72">
        <f>X73</f>
        <v>6476958.1499999994</v>
      </c>
      <c r="Z16" s="21">
        <f>Y73</f>
        <v>1142141.9499999997</v>
      </c>
      <c r="AA16" s="21">
        <f>Z73</f>
        <v>3522216.6399999964</v>
      </c>
      <c r="AB16" s="72">
        <f>0.71*U73+(U74-X73-Y73-Z73)</f>
        <v>1648348.1127000074</v>
      </c>
      <c r="AC16" s="24">
        <v>0</v>
      </c>
      <c r="AD16" s="72">
        <f>SUM(Y16:AC16)</f>
        <v>12789664.852700004</v>
      </c>
    </row>
    <row r="17" spans="2:30">
      <c r="B17" s="10" t="s">
        <v>117</v>
      </c>
      <c r="C17" s="24">
        <v>-67466740.670000002</v>
      </c>
      <c r="D17" s="24"/>
      <c r="E17" s="24">
        <f>-699057.56-698303.13-697992.11</f>
        <v>-2095352.7999999998</v>
      </c>
      <c r="F17" s="24"/>
      <c r="G17" s="24">
        <v>676874.51</v>
      </c>
      <c r="H17" s="24"/>
      <c r="I17" s="24">
        <v>0</v>
      </c>
      <c r="J17" s="24"/>
      <c r="K17" s="24">
        <v>0</v>
      </c>
      <c r="L17" s="24"/>
      <c r="M17" s="24">
        <v>0</v>
      </c>
      <c r="N17" s="24"/>
      <c r="O17" s="24">
        <v>0</v>
      </c>
      <c r="P17" s="24"/>
      <c r="Q17" s="24">
        <v>0</v>
      </c>
      <c r="R17" s="24"/>
      <c r="S17" s="24">
        <v>0</v>
      </c>
      <c r="T17" s="24"/>
      <c r="U17" s="24">
        <f t="shared" si="0"/>
        <v>-68885218.960000008</v>
      </c>
      <c r="V17" s="24"/>
      <c r="X17" s="12" t="s">
        <v>2049</v>
      </c>
      <c r="AB17" s="72">
        <f>(0.71*U81)+U82</f>
        <v>-14948935.512500001</v>
      </c>
      <c r="AC17" s="24">
        <v>0</v>
      </c>
      <c r="AD17" s="72">
        <f>SUM(Y17:AC17)</f>
        <v>-14948935.512500001</v>
      </c>
    </row>
    <row r="18" spans="2:30">
      <c r="B18" s="10" t="s">
        <v>953</v>
      </c>
      <c r="C18" s="24">
        <v>-1302.8200000001236</v>
      </c>
      <c r="D18" s="24"/>
      <c r="E18" s="24">
        <f>-96.56-96.56-96.56</f>
        <v>-289.68</v>
      </c>
      <c r="F18" s="24"/>
      <c r="G18" s="24">
        <v>0</v>
      </c>
      <c r="H18" s="24"/>
      <c r="I18" s="24">
        <v>0</v>
      </c>
      <c r="J18" s="24"/>
      <c r="K18" s="24">
        <v>0</v>
      </c>
      <c r="L18" s="24"/>
      <c r="M18" s="24">
        <v>0</v>
      </c>
      <c r="N18" s="24"/>
      <c r="O18" s="24">
        <v>0</v>
      </c>
      <c r="P18" s="24"/>
      <c r="Q18" s="24">
        <v>0</v>
      </c>
      <c r="R18" s="24"/>
      <c r="S18" s="24">
        <v>0</v>
      </c>
      <c r="T18" s="24"/>
      <c r="U18" s="24">
        <f>S18+Q18+O18+M18+I18+G18+E18+C18</f>
        <v>-1592.5000000001237</v>
      </c>
      <c r="V18" s="24"/>
      <c r="Y18" s="72">
        <f>SUM(Y13:Y17)</f>
        <v>-1236518343.1199996</v>
      </c>
      <c r="Z18" s="72">
        <f t="shared" ref="Z18:AD18" si="1">SUM(Z13:Z17)</f>
        <v>-139855579.27000001</v>
      </c>
      <c r="AA18" s="72">
        <f t="shared" si="1"/>
        <v>-416199198.26000011</v>
      </c>
      <c r="AB18" s="72">
        <f t="shared" si="1"/>
        <v>-81570484.758699983</v>
      </c>
      <c r="AC18" s="72">
        <f t="shared" si="1"/>
        <v>0</v>
      </c>
      <c r="AD18" s="349">
        <f t="shared" si="1"/>
        <v>-1874143605.4086998</v>
      </c>
    </row>
    <row r="19" spans="2:30">
      <c r="B19" s="10" t="s">
        <v>118</v>
      </c>
      <c r="C19" s="24">
        <v>-1060614162.86</v>
      </c>
      <c r="D19" s="24"/>
      <c r="E19" s="24">
        <f>-4784443.99-4787327.92-4789300.71</f>
        <v>-14361072.620000001</v>
      </c>
      <c r="F19" s="24"/>
      <c r="G19" s="24">
        <f>519111.54+567587.85</f>
        <v>1086699.3899999999</v>
      </c>
      <c r="H19" s="24"/>
      <c r="I19" s="24">
        <v>0</v>
      </c>
      <c r="J19" s="24"/>
      <c r="K19" s="24">
        <v>0</v>
      </c>
      <c r="L19" s="24"/>
      <c r="M19" s="24">
        <v>0</v>
      </c>
      <c r="N19" s="24"/>
      <c r="O19" s="24">
        <v>0</v>
      </c>
      <c r="P19" s="24"/>
      <c r="Q19" s="24">
        <v>0</v>
      </c>
      <c r="R19" s="24"/>
      <c r="S19" s="24">
        <v>0</v>
      </c>
      <c r="T19" s="24"/>
      <c r="U19" s="24">
        <f t="shared" si="0"/>
        <v>-1073888536.0899999</v>
      </c>
      <c r="V19" s="24"/>
    </row>
    <row r="20" spans="2:30" ht="15.75">
      <c r="B20" s="10" t="s">
        <v>949</v>
      </c>
      <c r="C20" s="24">
        <v>-1402047.92</v>
      </c>
      <c r="D20" s="24"/>
      <c r="E20" s="24">
        <f>-155611.3-140129.49-9282.54+6199.18-149411.9</f>
        <v>-448236.04999999993</v>
      </c>
      <c r="F20" s="24"/>
      <c r="G20" s="24">
        <v>0</v>
      </c>
      <c r="H20" s="24"/>
      <c r="I20" s="24">
        <v>0</v>
      </c>
      <c r="J20" s="24"/>
      <c r="K20" s="24">
        <v>0</v>
      </c>
      <c r="L20" s="24"/>
      <c r="M20" s="24">
        <v>0</v>
      </c>
      <c r="N20" s="24"/>
      <c r="O20" s="24">
        <v>0</v>
      </c>
      <c r="P20" s="24"/>
      <c r="Q20" s="24">
        <v>0</v>
      </c>
      <c r="R20" s="24"/>
      <c r="S20" s="24">
        <v>0</v>
      </c>
      <c r="T20" s="24"/>
      <c r="U20" s="24">
        <f t="shared" si="0"/>
        <v>-1850283.9699999997</v>
      </c>
      <c r="V20" s="24"/>
      <c r="AD20" s="350">
        <v>1874143605.4099998</v>
      </c>
    </row>
    <row r="21" spans="2:30">
      <c r="B21" s="10" t="s">
        <v>119</v>
      </c>
      <c r="C21" s="24">
        <v>-121989304.83999999</v>
      </c>
      <c r="D21" s="24"/>
      <c r="E21" s="24">
        <f>-373405.64-377763.85-380726.7</f>
        <v>-1131896.19</v>
      </c>
      <c r="F21" s="24"/>
      <c r="G21" s="24">
        <f>168683.63+1252713.99+202580.15</f>
        <v>1623977.77</v>
      </c>
      <c r="H21" s="24"/>
      <c r="I21" s="24">
        <v>0</v>
      </c>
      <c r="J21" s="24"/>
      <c r="K21" s="24">
        <v>0</v>
      </c>
      <c r="L21" s="24"/>
      <c r="M21" s="24">
        <v>0</v>
      </c>
      <c r="N21" s="24"/>
      <c r="O21" s="24">
        <v>0</v>
      </c>
      <c r="P21" s="24"/>
      <c r="Q21" s="24">
        <v>0</v>
      </c>
      <c r="R21" s="24"/>
      <c r="S21" s="24">
        <v>0</v>
      </c>
      <c r="T21" s="24"/>
      <c r="U21" s="24">
        <f t="shared" si="0"/>
        <v>-121497223.25999999</v>
      </c>
      <c r="V21" s="24"/>
    </row>
    <row r="22" spans="2:30">
      <c r="B22" s="10" t="s">
        <v>950</v>
      </c>
      <c r="C22" s="24">
        <v>-903.27999999999975</v>
      </c>
      <c r="D22" s="24"/>
      <c r="E22" s="24">
        <f>-679.61-679.61-679.61</f>
        <v>-2038.83</v>
      </c>
      <c r="F22" s="24"/>
      <c r="G22" s="24">
        <v>0</v>
      </c>
      <c r="H22" s="24"/>
      <c r="I22" s="24">
        <v>0</v>
      </c>
      <c r="J22" s="24"/>
      <c r="K22" s="24">
        <v>0</v>
      </c>
      <c r="L22" s="24"/>
      <c r="M22" s="24">
        <v>0</v>
      </c>
      <c r="N22" s="24"/>
      <c r="O22" s="24">
        <v>0</v>
      </c>
      <c r="P22" s="24"/>
      <c r="Q22" s="24">
        <v>0</v>
      </c>
      <c r="R22" s="24"/>
      <c r="S22" s="24">
        <v>0</v>
      </c>
      <c r="T22" s="24"/>
      <c r="U22" s="24">
        <f t="shared" si="0"/>
        <v>-2942.1099999999997</v>
      </c>
      <c r="V22" s="24"/>
      <c r="AD22" s="72">
        <f>AD18+AD20</f>
        <v>1.3000965118408203E-3</v>
      </c>
    </row>
    <row r="23" spans="2:30">
      <c r="B23" s="10" t="s">
        <v>121</v>
      </c>
      <c r="C23" s="24">
        <v>-131835425.42</v>
      </c>
      <c r="D23" s="24"/>
      <c r="E23" s="24">
        <f>-1006201.55-1015241.01-1024357.72</f>
        <v>-3045800.2800000003</v>
      </c>
      <c r="F23" s="24"/>
      <c r="G23" s="24">
        <f>17640.22+5977.58</f>
        <v>23617.800000000003</v>
      </c>
      <c r="H23" s="24"/>
      <c r="I23" s="24">
        <v>1037.44</v>
      </c>
      <c r="J23" s="24"/>
      <c r="K23" s="24">
        <v>0</v>
      </c>
      <c r="L23" s="24"/>
      <c r="M23" s="24">
        <v>0</v>
      </c>
      <c r="N23" s="24"/>
      <c r="O23" s="24">
        <v>0</v>
      </c>
      <c r="P23" s="24"/>
      <c r="Q23" s="24">
        <v>0</v>
      </c>
      <c r="R23" s="24"/>
      <c r="S23" s="24">
        <v>0</v>
      </c>
      <c r="T23" s="24"/>
      <c r="U23" s="24">
        <f t="shared" si="0"/>
        <v>-134856570.46000001</v>
      </c>
      <c r="V23" s="24"/>
    </row>
    <row r="24" spans="2:30">
      <c r="B24" s="10" t="s">
        <v>951</v>
      </c>
      <c r="C24" s="24">
        <v>-346237.50999999919</v>
      </c>
      <c r="D24" s="24"/>
      <c r="E24" s="24">
        <f>-24728.63-24728.68-24728.62</f>
        <v>-74185.929999999993</v>
      </c>
      <c r="F24" s="24"/>
      <c r="G24" s="24">
        <v>0</v>
      </c>
      <c r="H24" s="24"/>
      <c r="I24" s="24">
        <v>0</v>
      </c>
      <c r="J24" s="24"/>
      <c r="K24" s="24">
        <v>0</v>
      </c>
      <c r="L24" s="24"/>
      <c r="M24" s="24">
        <v>0</v>
      </c>
      <c r="N24" s="24"/>
      <c r="O24" s="24">
        <v>0</v>
      </c>
      <c r="P24" s="24"/>
      <c r="Q24" s="24">
        <v>0</v>
      </c>
      <c r="R24" s="24"/>
      <c r="S24" s="24">
        <v>0</v>
      </c>
      <c r="T24" s="24"/>
      <c r="U24" s="24">
        <f t="shared" si="0"/>
        <v>-420423.43999999919</v>
      </c>
      <c r="V24" s="24"/>
    </row>
    <row r="25" spans="2:30">
      <c r="B25" s="10" t="s">
        <v>122</v>
      </c>
      <c r="C25" s="24">
        <v>-5044235.87</v>
      </c>
      <c r="D25" s="24"/>
      <c r="E25" s="24">
        <f>-29678.06-30953.4-32577.41</f>
        <v>-93208.87000000001</v>
      </c>
      <c r="F25" s="24"/>
      <c r="G25" s="24">
        <v>0</v>
      </c>
      <c r="H25" s="24"/>
      <c r="I25" s="24">
        <v>0</v>
      </c>
      <c r="J25" s="24"/>
      <c r="K25" s="24">
        <v>0</v>
      </c>
      <c r="L25" s="24"/>
      <c r="M25" s="24">
        <v>0</v>
      </c>
      <c r="N25" s="24"/>
      <c r="O25" s="24">
        <v>0</v>
      </c>
      <c r="P25" s="24"/>
      <c r="Q25" s="24">
        <v>0</v>
      </c>
      <c r="R25" s="24"/>
      <c r="S25" s="24">
        <v>0</v>
      </c>
      <c r="T25" s="24"/>
      <c r="U25" s="24">
        <f t="shared" si="0"/>
        <v>-5137444.74</v>
      </c>
      <c r="V25" s="24"/>
    </row>
    <row r="26" spans="2:30">
      <c r="B26" s="10" t="s">
        <v>124</v>
      </c>
      <c r="C26" s="24">
        <v>-31071784.790000003</v>
      </c>
      <c r="D26" s="24"/>
      <c r="E26" s="24">
        <f>-97383.66-103273.96-104254.34</f>
        <v>-304911.95999999996</v>
      </c>
      <c r="F26" s="24"/>
      <c r="G26" s="24">
        <f>46029.52+12499.78</f>
        <v>58529.299999999996</v>
      </c>
      <c r="H26" s="24"/>
      <c r="I26" s="24">
        <v>0</v>
      </c>
      <c r="J26" s="24"/>
      <c r="K26" s="24">
        <v>0</v>
      </c>
      <c r="L26" s="24"/>
      <c r="M26" s="24">
        <v>0</v>
      </c>
      <c r="N26" s="24"/>
      <c r="O26" s="24">
        <v>0</v>
      </c>
      <c r="P26" s="24"/>
      <c r="Q26" s="24">
        <v>0</v>
      </c>
      <c r="R26" s="24"/>
      <c r="S26" s="24">
        <v>0</v>
      </c>
      <c r="T26" s="24"/>
      <c r="U26" s="24">
        <f t="shared" si="0"/>
        <v>-31318167.450000003</v>
      </c>
      <c r="V26" s="24"/>
    </row>
    <row r="27" spans="2:30">
      <c r="B27" s="10" t="s">
        <v>952</v>
      </c>
      <c r="C27" s="24">
        <v>-257551.23999999993</v>
      </c>
      <c r="D27" s="24"/>
      <c r="E27" s="24">
        <f>-18348.45-18348.47-18348.42</f>
        <v>-55045.34</v>
      </c>
      <c r="F27" s="24"/>
      <c r="G27" s="24">
        <v>0</v>
      </c>
      <c r="H27" s="24"/>
      <c r="I27" s="24">
        <v>0</v>
      </c>
      <c r="J27" s="24"/>
      <c r="K27" s="24">
        <v>0</v>
      </c>
      <c r="L27" s="24"/>
      <c r="M27" s="24">
        <v>0</v>
      </c>
      <c r="N27" s="24"/>
      <c r="O27" s="24">
        <v>0</v>
      </c>
      <c r="P27" s="24"/>
      <c r="Q27" s="24">
        <v>0</v>
      </c>
      <c r="R27" s="24"/>
      <c r="S27" s="24">
        <v>0</v>
      </c>
      <c r="T27" s="24"/>
      <c r="U27" s="24">
        <f t="shared" si="0"/>
        <v>-312596.57999999996</v>
      </c>
      <c r="V27" s="24"/>
    </row>
    <row r="28" spans="2:30">
      <c r="B28" s="10" t="s">
        <v>129</v>
      </c>
      <c r="C28" s="24">
        <v>0</v>
      </c>
      <c r="D28" s="24"/>
      <c r="E28" s="24">
        <v>0</v>
      </c>
      <c r="F28" s="24"/>
      <c r="G28" s="24">
        <v>0</v>
      </c>
      <c r="H28" s="24"/>
      <c r="I28" s="24">
        <v>0</v>
      </c>
      <c r="J28" s="24"/>
      <c r="K28" s="24">
        <v>0</v>
      </c>
      <c r="L28" s="24"/>
      <c r="M28" s="24">
        <v>0</v>
      </c>
      <c r="N28" s="24"/>
      <c r="O28" s="24">
        <v>0</v>
      </c>
      <c r="P28" s="24"/>
      <c r="Q28" s="24">
        <v>0</v>
      </c>
      <c r="R28" s="24"/>
      <c r="S28" s="24">
        <v>0</v>
      </c>
      <c r="T28" s="24"/>
      <c r="U28" s="24">
        <f t="shared" si="0"/>
        <v>0</v>
      </c>
      <c r="V28" s="24"/>
    </row>
    <row r="29" spans="2:30">
      <c r="B29" s="10" t="s">
        <v>125</v>
      </c>
      <c r="C29" s="27">
        <v>-9486356.3800000027</v>
      </c>
      <c r="D29" s="27"/>
      <c r="E29" s="27">
        <f>-5073.74-5068.74-5081.81</f>
        <v>-15224.29</v>
      </c>
      <c r="F29" s="27"/>
      <c r="G29" s="27">
        <v>1389.93</v>
      </c>
      <c r="H29" s="27"/>
      <c r="I29" s="27">
        <v>-1037.44</v>
      </c>
      <c r="J29" s="27"/>
      <c r="K29" s="27">
        <v>0</v>
      </c>
      <c r="L29" s="27"/>
      <c r="M29" s="27">
        <v>0</v>
      </c>
      <c r="N29" s="27"/>
      <c r="O29" s="27">
        <v>0</v>
      </c>
      <c r="P29" s="27"/>
      <c r="Q29" s="27">
        <v>0</v>
      </c>
      <c r="R29" s="27"/>
      <c r="S29" s="27">
        <v>0</v>
      </c>
      <c r="T29" s="27"/>
      <c r="U29" s="27">
        <f t="shared" si="0"/>
        <v>-9501228.1800000034</v>
      </c>
      <c r="V29" s="27"/>
    </row>
    <row r="30" spans="2:30">
      <c r="B30" s="10" t="s">
        <v>1443</v>
      </c>
      <c r="C30" s="27">
        <v>-35270.86</v>
      </c>
      <c r="D30" s="27"/>
      <c r="E30" s="27">
        <f>-8817.73-8817.7-8817.7</f>
        <v>-26453.13</v>
      </c>
      <c r="F30" s="27"/>
      <c r="G30" s="27">
        <v>0</v>
      </c>
      <c r="H30" s="27"/>
      <c r="I30" s="27">
        <v>0</v>
      </c>
      <c r="J30" s="27"/>
      <c r="K30" s="27">
        <v>0</v>
      </c>
      <c r="L30" s="27"/>
      <c r="M30" s="27">
        <v>0</v>
      </c>
      <c r="N30" s="27"/>
      <c r="O30" s="27">
        <v>0</v>
      </c>
      <c r="P30" s="27"/>
      <c r="Q30" s="27">
        <v>0</v>
      </c>
      <c r="R30" s="27"/>
      <c r="S30" s="27">
        <v>0</v>
      </c>
      <c r="T30" s="27"/>
      <c r="U30" s="27">
        <f t="shared" si="0"/>
        <v>-61723.990000000005</v>
      </c>
      <c r="V30" s="27"/>
    </row>
    <row r="31" spans="2:30">
      <c r="B31" s="10" t="s">
        <v>131</v>
      </c>
      <c r="C31" s="28">
        <v>-63360.36</v>
      </c>
      <c r="D31" s="27"/>
      <c r="E31" s="28">
        <v>0</v>
      </c>
      <c r="F31" s="27"/>
      <c r="G31" s="28">
        <v>0</v>
      </c>
      <c r="H31" s="27"/>
      <c r="I31" s="28">
        <v>0</v>
      </c>
      <c r="J31" s="27"/>
      <c r="K31" s="28">
        <v>0</v>
      </c>
      <c r="L31" s="27"/>
      <c r="M31" s="28">
        <v>0</v>
      </c>
      <c r="N31" s="27"/>
      <c r="O31" s="28">
        <v>0</v>
      </c>
      <c r="P31" s="27"/>
      <c r="Q31" s="28">
        <v>0</v>
      </c>
      <c r="R31" s="27"/>
      <c r="S31" s="28">
        <v>0</v>
      </c>
      <c r="T31" s="27"/>
      <c r="U31" s="28">
        <f t="shared" si="0"/>
        <v>-63360.36</v>
      </c>
      <c r="V31" s="27"/>
      <c r="W31" s="72">
        <f>U31*0.29</f>
        <v>-18374.504399999998</v>
      </c>
      <c r="X31" s="72">
        <f>U31*0.71</f>
        <v>-44985.855599999995</v>
      </c>
    </row>
    <row r="32" spans="2:30">
      <c r="B32" s="11"/>
      <c r="C32" s="27">
        <f>SUM(C10:C31)</f>
        <v>-1815737987.8899999</v>
      </c>
      <c r="D32" s="27"/>
      <c r="E32" s="27">
        <f>SUM(E10:E31)</f>
        <v>-29514068.910000004</v>
      </c>
      <c r="F32" s="27"/>
      <c r="G32" s="27">
        <f>SUM(G10:G31)</f>
        <v>5552320.089999998</v>
      </c>
      <c r="H32" s="27"/>
      <c r="I32" s="27">
        <f>SUM(I10:I31)</f>
        <v>-223.55999999999995</v>
      </c>
      <c r="J32" s="27"/>
      <c r="K32" s="27">
        <f>SUM(K10:K31)</f>
        <v>0</v>
      </c>
      <c r="L32" s="27"/>
      <c r="M32" s="27">
        <f>SUM(M10:M31)</f>
        <v>0</v>
      </c>
      <c r="N32" s="27"/>
      <c r="O32" s="27">
        <f>SUM(O10:O31)</f>
        <v>0</v>
      </c>
      <c r="P32" s="27"/>
      <c r="Q32" s="27">
        <f>SUM(Q10:Q31)</f>
        <v>0</v>
      </c>
      <c r="R32" s="27"/>
      <c r="S32" s="27">
        <f>SUM(S10:S31)</f>
        <v>0</v>
      </c>
      <c r="T32" s="27"/>
      <c r="U32" s="27">
        <f>SUM(U10:U31)</f>
        <v>-1839699960.27</v>
      </c>
      <c r="V32" s="27"/>
    </row>
    <row r="33" spans="1:22">
      <c r="C33" s="71"/>
      <c r="D33" s="71"/>
      <c r="E33" s="71"/>
      <c r="F33" s="71"/>
      <c r="G33" s="71"/>
      <c r="H33" s="71"/>
      <c r="I33" s="86"/>
      <c r="J33" s="86"/>
      <c r="K33" s="71"/>
      <c r="L33" s="71"/>
      <c r="M33" s="71"/>
      <c r="N33" s="71"/>
      <c r="O33" s="71"/>
      <c r="P33" s="71"/>
      <c r="Q33" s="71"/>
      <c r="R33" s="71"/>
      <c r="S33" s="71"/>
      <c r="T33" s="71"/>
      <c r="U33" s="71"/>
      <c r="V33" s="71"/>
    </row>
    <row r="34" spans="1:22" ht="15">
      <c r="A34" s="12" t="s">
        <v>653</v>
      </c>
      <c r="C34" s="87"/>
      <c r="D34" s="74"/>
      <c r="E34" s="87"/>
      <c r="F34" s="74"/>
      <c r="G34" s="87"/>
      <c r="H34" s="74"/>
      <c r="I34" s="87"/>
      <c r="J34" s="87"/>
      <c r="K34" s="87"/>
      <c r="L34" s="74"/>
      <c r="M34" s="87"/>
      <c r="N34" s="74"/>
      <c r="O34" s="87"/>
      <c r="P34" s="74"/>
      <c r="Q34" s="87"/>
      <c r="R34" s="74"/>
      <c r="S34" s="87"/>
      <c r="T34" s="74"/>
      <c r="U34" s="87"/>
      <c r="V34" s="87"/>
    </row>
    <row r="35" spans="1:22">
      <c r="B35" s="10" t="s">
        <v>455</v>
      </c>
      <c r="C35" s="27">
        <v>-637762.44000000006</v>
      </c>
      <c r="D35" s="27"/>
      <c r="E35" s="27">
        <f>-24020.41-24100.22-24107.29</f>
        <v>-72227.920000000013</v>
      </c>
      <c r="F35" s="27"/>
      <c r="G35" s="27">
        <v>0</v>
      </c>
      <c r="H35" s="27"/>
      <c r="I35" s="27">
        <v>0</v>
      </c>
      <c r="J35" s="27"/>
      <c r="K35" s="27">
        <v>0</v>
      </c>
      <c r="L35" s="27"/>
      <c r="M35" s="27">
        <v>0</v>
      </c>
      <c r="N35" s="27"/>
      <c r="O35" s="27">
        <f>5901.84+10656</f>
        <v>16557.84</v>
      </c>
      <c r="P35" s="27"/>
      <c r="Q35" s="27">
        <v>0</v>
      </c>
      <c r="R35" s="27"/>
      <c r="S35" s="27">
        <v>0</v>
      </c>
      <c r="T35" s="27"/>
      <c r="U35" s="27">
        <f t="shared" ref="U35:U47" si="2">S35+Q35+O35+M35+I35+G35+E35+C35</f>
        <v>-693432.52</v>
      </c>
      <c r="V35" s="27"/>
    </row>
    <row r="36" spans="1:22">
      <c r="B36" s="10" t="s">
        <v>113</v>
      </c>
      <c r="C36" s="27">
        <v>-148949763.17000002</v>
      </c>
      <c r="D36" s="27"/>
      <c r="E36" s="27">
        <f>-595835.92-603746.28-606153.07</f>
        <v>-1805735.27</v>
      </c>
      <c r="F36" s="27"/>
      <c r="G36" s="27">
        <v>0</v>
      </c>
      <c r="H36" s="27"/>
      <c r="I36" s="27">
        <v>0</v>
      </c>
      <c r="J36" s="27"/>
      <c r="K36" s="27">
        <v>0</v>
      </c>
      <c r="L36" s="27"/>
      <c r="M36" s="27">
        <v>0</v>
      </c>
      <c r="N36" s="27"/>
      <c r="O36" s="27">
        <f>667622.24+321734.18+1624405.57</f>
        <v>2613761.9900000002</v>
      </c>
      <c r="P36" s="27"/>
      <c r="Q36" s="27">
        <v>0</v>
      </c>
      <c r="R36" s="27"/>
      <c r="S36" s="27">
        <v>0</v>
      </c>
      <c r="T36" s="27"/>
      <c r="U36" s="27">
        <f t="shared" si="2"/>
        <v>-148141736.45000002</v>
      </c>
      <c r="V36" s="27"/>
    </row>
    <row r="37" spans="1:22">
      <c r="B37" s="10" t="s">
        <v>114</v>
      </c>
      <c r="C37" s="27">
        <v>3866.64</v>
      </c>
      <c r="D37" s="27"/>
      <c r="E37" s="27">
        <v>0</v>
      </c>
      <c r="F37" s="27"/>
      <c r="G37" s="27">
        <v>0</v>
      </c>
      <c r="H37" s="27"/>
      <c r="I37" s="27">
        <v>0</v>
      </c>
      <c r="J37" s="27"/>
      <c r="K37" s="27">
        <v>0</v>
      </c>
      <c r="L37" s="27"/>
      <c r="M37" s="27">
        <v>0</v>
      </c>
      <c r="N37" s="27"/>
      <c r="O37" s="27">
        <v>0</v>
      </c>
      <c r="P37" s="27"/>
      <c r="Q37" s="27">
        <v>0</v>
      </c>
      <c r="R37" s="27"/>
      <c r="S37" s="27">
        <v>0</v>
      </c>
      <c r="T37" s="27"/>
      <c r="U37" s="27">
        <f t="shared" si="2"/>
        <v>3866.64</v>
      </c>
      <c r="V37" s="27"/>
    </row>
    <row r="38" spans="1:22">
      <c r="B38" s="10" t="s">
        <v>115</v>
      </c>
      <c r="C38" s="27">
        <v>732455.1100000001</v>
      </c>
      <c r="D38" s="27"/>
      <c r="E38" s="27">
        <f>-3579.36-3579.36-3579.36</f>
        <v>-10738.08</v>
      </c>
      <c r="F38" s="27"/>
      <c r="G38" s="27">
        <v>0</v>
      </c>
      <c r="H38" s="27"/>
      <c r="I38" s="27">
        <v>0</v>
      </c>
      <c r="J38" s="27"/>
      <c r="K38" s="27">
        <v>0</v>
      </c>
      <c r="L38" s="27"/>
      <c r="M38" s="27">
        <v>0</v>
      </c>
      <c r="N38" s="27"/>
      <c r="O38" s="27">
        <v>1017.4</v>
      </c>
      <c r="P38" s="27"/>
      <c r="Q38" s="27">
        <v>0</v>
      </c>
      <c r="R38" s="27"/>
      <c r="S38" s="27">
        <v>0</v>
      </c>
      <c r="T38" s="27"/>
      <c r="U38" s="27">
        <f t="shared" si="2"/>
        <v>722734.43</v>
      </c>
      <c r="V38" s="27"/>
    </row>
    <row r="39" spans="1:22">
      <c r="B39" s="10" t="s">
        <v>117</v>
      </c>
      <c r="C39" s="27">
        <v>-2535958.7100000004</v>
      </c>
      <c r="D39" s="27"/>
      <c r="E39" s="27">
        <f>-29974.93-29926.99-29909.44</f>
        <v>-89811.36</v>
      </c>
      <c r="F39" s="27"/>
      <c r="G39" s="27">
        <v>0</v>
      </c>
      <c r="H39" s="27"/>
      <c r="I39" s="27">
        <v>0</v>
      </c>
      <c r="J39" s="27"/>
      <c r="K39" s="27">
        <v>0</v>
      </c>
      <c r="L39" s="27"/>
      <c r="M39" s="27">
        <v>0</v>
      </c>
      <c r="N39" s="27"/>
      <c r="O39" s="27">
        <v>170979.16</v>
      </c>
      <c r="P39" s="27"/>
      <c r="Q39" s="27">
        <v>0</v>
      </c>
      <c r="R39" s="27"/>
      <c r="S39" s="27">
        <v>0</v>
      </c>
      <c r="T39" s="27"/>
      <c r="U39" s="27">
        <f t="shared" si="2"/>
        <v>-2454790.9100000006</v>
      </c>
      <c r="V39" s="27"/>
    </row>
    <row r="40" spans="1:22">
      <c r="B40" s="10" t="s">
        <v>118</v>
      </c>
      <c r="C40" s="27">
        <v>-108291391.5</v>
      </c>
      <c r="D40" s="27"/>
      <c r="E40" s="27">
        <f>-1438702.21+5303.09-1439720.02+5303.09-1440335.88+5303.09</f>
        <v>-4302848.84</v>
      </c>
      <c r="F40" s="27"/>
      <c r="G40" s="27">
        <v>0</v>
      </c>
      <c r="H40" s="27"/>
      <c r="I40" s="27">
        <v>0</v>
      </c>
      <c r="J40" s="27"/>
      <c r="K40" s="27">
        <v>0</v>
      </c>
      <c r="L40" s="27"/>
      <c r="M40" s="27">
        <v>0</v>
      </c>
      <c r="N40" s="27"/>
      <c r="O40" s="27">
        <f>499831.85+888027.61</f>
        <v>1387859.46</v>
      </c>
      <c r="P40" s="27"/>
      <c r="Q40" s="27">
        <v>0</v>
      </c>
      <c r="R40" s="27"/>
      <c r="S40" s="27">
        <v>0</v>
      </c>
      <c r="T40" s="27"/>
      <c r="U40" s="27">
        <f t="shared" si="2"/>
        <v>-111206380.88</v>
      </c>
      <c r="V40" s="27"/>
    </row>
    <row r="41" spans="1:22">
      <c r="B41" s="10" t="s">
        <v>119</v>
      </c>
      <c r="C41" s="27">
        <v>-25759724.870000001</v>
      </c>
      <c r="D41" s="27"/>
      <c r="E41" s="27">
        <f>-120388.15-121161.45-121314.26</f>
        <v>-362863.86</v>
      </c>
      <c r="F41" s="27"/>
      <c r="G41" s="27">
        <v>0</v>
      </c>
      <c r="H41" s="27"/>
      <c r="I41" s="27">
        <v>0</v>
      </c>
      <c r="J41" s="27"/>
      <c r="K41" s="27">
        <v>0</v>
      </c>
      <c r="L41" s="27"/>
      <c r="M41" s="27">
        <v>0</v>
      </c>
      <c r="N41" s="27"/>
      <c r="O41" s="27">
        <f>163887.84+232416.64+7860.31</f>
        <v>404164.79</v>
      </c>
      <c r="P41" s="27"/>
      <c r="Q41" s="27">
        <v>0</v>
      </c>
      <c r="R41" s="27"/>
      <c r="S41" s="27">
        <v>0</v>
      </c>
      <c r="T41" s="27"/>
      <c r="U41" s="27">
        <f t="shared" si="2"/>
        <v>-25718423.940000001</v>
      </c>
      <c r="V41" s="27"/>
    </row>
    <row r="42" spans="1:22">
      <c r="B42" s="10" t="s">
        <v>121</v>
      </c>
      <c r="C42" s="27">
        <v>-62001399.829999998</v>
      </c>
      <c r="D42" s="27"/>
      <c r="E42" s="27">
        <f>-283700.3-286221.12-288726.99</f>
        <v>-858648.40999999992</v>
      </c>
      <c r="F42" s="27"/>
      <c r="G42" s="27">
        <v>0</v>
      </c>
      <c r="H42" s="27"/>
      <c r="I42" s="27">
        <v>300.39</v>
      </c>
      <c r="J42" s="27"/>
      <c r="K42" s="27">
        <v>0</v>
      </c>
      <c r="L42" s="27"/>
      <c r="M42" s="27">
        <v>0</v>
      </c>
      <c r="N42" s="27"/>
      <c r="O42" s="27">
        <f>59719.42+644.31</f>
        <v>60363.729999999996</v>
      </c>
      <c r="P42" s="27"/>
      <c r="Q42" s="27">
        <v>0</v>
      </c>
      <c r="R42" s="27"/>
      <c r="S42" s="27">
        <v>0</v>
      </c>
      <c r="T42" s="27"/>
      <c r="U42" s="27">
        <f t="shared" si="2"/>
        <v>-62799384.119999997</v>
      </c>
      <c r="V42" s="27"/>
    </row>
    <row r="43" spans="1:22">
      <c r="B43" s="10" t="s">
        <v>122</v>
      </c>
      <c r="C43" s="27">
        <v>-0.02</v>
      </c>
      <c r="D43" s="27"/>
      <c r="E43" s="27">
        <v>0</v>
      </c>
      <c r="F43" s="27"/>
      <c r="G43" s="27">
        <v>0</v>
      </c>
      <c r="H43" s="27"/>
      <c r="I43" s="27">
        <v>0</v>
      </c>
      <c r="J43" s="27"/>
      <c r="K43" s="27">
        <v>0</v>
      </c>
      <c r="L43" s="27"/>
      <c r="M43" s="27">
        <v>0</v>
      </c>
      <c r="N43" s="27"/>
      <c r="O43" s="27">
        <v>0</v>
      </c>
      <c r="P43" s="27"/>
      <c r="Q43" s="27">
        <v>0</v>
      </c>
      <c r="R43" s="27"/>
      <c r="S43" s="27">
        <v>0</v>
      </c>
      <c r="T43" s="27"/>
      <c r="U43" s="27">
        <f t="shared" si="2"/>
        <v>-0.02</v>
      </c>
      <c r="V43" s="27"/>
    </row>
    <row r="44" spans="1:22">
      <c r="B44" s="10" t="s">
        <v>124</v>
      </c>
      <c r="C44" s="27">
        <v>262470.53999999992</v>
      </c>
      <c r="D44" s="27"/>
      <c r="E44" s="27">
        <f>-14532.98+1872.77-15471.58+2272.44-15648.62+2270.72</f>
        <v>-39237.25</v>
      </c>
      <c r="F44" s="27"/>
      <c r="G44" s="27">
        <v>0</v>
      </c>
      <c r="H44" s="27"/>
      <c r="I44" s="27">
        <v>0</v>
      </c>
      <c r="J44" s="27"/>
      <c r="K44" s="27">
        <v>0</v>
      </c>
      <c r="L44" s="27"/>
      <c r="M44" s="27">
        <v>0</v>
      </c>
      <c r="N44" s="27"/>
      <c r="O44" s="27">
        <v>0</v>
      </c>
      <c r="P44" s="27"/>
      <c r="Q44" s="27">
        <v>0</v>
      </c>
      <c r="R44" s="27"/>
      <c r="S44" s="27">
        <v>0</v>
      </c>
      <c r="T44" s="27"/>
      <c r="U44" s="27">
        <f t="shared" si="2"/>
        <v>223233.28999999992</v>
      </c>
      <c r="V44" s="27"/>
    </row>
    <row r="45" spans="1:22">
      <c r="B45" s="10" t="s">
        <v>129</v>
      </c>
      <c r="C45" s="27">
        <v>0</v>
      </c>
      <c r="D45" s="27"/>
      <c r="E45" s="27">
        <v>0</v>
      </c>
      <c r="F45" s="27"/>
      <c r="G45" s="27">
        <v>0</v>
      </c>
      <c r="H45" s="27"/>
      <c r="I45" s="27">
        <v>0</v>
      </c>
      <c r="J45" s="27"/>
      <c r="K45" s="27">
        <v>0</v>
      </c>
      <c r="L45" s="27"/>
      <c r="M45" s="27">
        <v>0</v>
      </c>
      <c r="N45" s="27"/>
      <c r="O45" s="27">
        <v>0</v>
      </c>
      <c r="P45" s="27"/>
      <c r="Q45" s="27">
        <v>0</v>
      </c>
      <c r="R45" s="27"/>
      <c r="S45" s="27">
        <v>0</v>
      </c>
      <c r="T45" s="27"/>
      <c r="U45" s="27">
        <f t="shared" si="2"/>
        <v>0</v>
      </c>
      <c r="V45" s="27"/>
    </row>
    <row r="46" spans="1:22">
      <c r="B46" s="10" t="s">
        <v>125</v>
      </c>
      <c r="C46" s="27">
        <v>-2984857.77</v>
      </c>
      <c r="D46" s="27"/>
      <c r="E46" s="27">
        <f>-1256.02-1254.77-1258.04</f>
        <v>-3768.83</v>
      </c>
      <c r="F46" s="27"/>
      <c r="G46" s="27">
        <v>0</v>
      </c>
      <c r="H46" s="27"/>
      <c r="I46" s="27">
        <v>-300.39</v>
      </c>
      <c r="J46" s="27"/>
      <c r="K46" s="27">
        <v>0</v>
      </c>
      <c r="L46" s="27"/>
      <c r="M46" s="27">
        <v>0</v>
      </c>
      <c r="N46" s="27"/>
      <c r="O46" s="27">
        <v>21090.05</v>
      </c>
      <c r="P46" s="27"/>
      <c r="Q46" s="27">
        <v>0</v>
      </c>
      <c r="R46" s="27"/>
      <c r="S46" s="27">
        <v>0</v>
      </c>
      <c r="T46" s="27"/>
      <c r="U46" s="27">
        <f t="shared" si="2"/>
        <v>-2967836.94</v>
      </c>
      <c r="V46" s="27"/>
    </row>
    <row r="47" spans="1:22">
      <c r="B47" s="10" t="s">
        <v>131</v>
      </c>
      <c r="C47" s="28">
        <v>0</v>
      </c>
      <c r="D47" s="27"/>
      <c r="E47" s="28">
        <v>0</v>
      </c>
      <c r="F47" s="27"/>
      <c r="G47" s="28">
        <v>0</v>
      </c>
      <c r="H47" s="27"/>
      <c r="I47" s="28">
        <v>0</v>
      </c>
      <c r="J47" s="27"/>
      <c r="K47" s="28">
        <v>0</v>
      </c>
      <c r="L47" s="27"/>
      <c r="M47" s="28">
        <v>0</v>
      </c>
      <c r="N47" s="27"/>
      <c r="O47" s="28">
        <v>0</v>
      </c>
      <c r="P47" s="27"/>
      <c r="Q47" s="28">
        <v>0</v>
      </c>
      <c r="R47" s="27"/>
      <c r="S47" s="28">
        <v>0</v>
      </c>
      <c r="T47" s="27"/>
      <c r="U47" s="28">
        <f t="shared" si="2"/>
        <v>0</v>
      </c>
      <c r="V47" s="27"/>
    </row>
    <row r="48" spans="1:22">
      <c r="B48" s="11"/>
      <c r="C48" s="27">
        <f>SUM(C35:C47)</f>
        <v>-350162066.01999992</v>
      </c>
      <c r="D48" s="27"/>
      <c r="E48" s="27">
        <f>SUM(E35:E47)</f>
        <v>-7545879.8200000003</v>
      </c>
      <c r="F48" s="27"/>
      <c r="G48" s="27">
        <f>SUM(G35:G47)</f>
        <v>0</v>
      </c>
      <c r="H48" s="27"/>
      <c r="I48" s="27">
        <f>SUM(I35:I47)</f>
        <v>0</v>
      </c>
      <c r="J48" s="27"/>
      <c r="K48" s="27">
        <f>SUM(K35:K47)</f>
        <v>0</v>
      </c>
      <c r="L48" s="27"/>
      <c r="M48" s="27">
        <f>SUM(M35:M47)</f>
        <v>0</v>
      </c>
      <c r="N48" s="27"/>
      <c r="O48" s="27">
        <f>SUM(O35:O47)</f>
        <v>4675794.42</v>
      </c>
      <c r="P48" s="27"/>
      <c r="Q48" s="27">
        <f>SUM(Q35:Q47)</f>
        <v>0</v>
      </c>
      <c r="R48" s="27"/>
      <c r="S48" s="27">
        <f>SUM(S35:S47)</f>
        <v>0</v>
      </c>
      <c r="T48" s="27"/>
      <c r="U48" s="27">
        <f>SUM(U35:U47)</f>
        <v>-353032151.42000002</v>
      </c>
      <c r="V48" s="27"/>
    </row>
    <row r="49" spans="1:22">
      <c r="C49" s="71"/>
      <c r="D49" s="71"/>
      <c r="E49" s="71"/>
      <c r="F49" s="71"/>
      <c r="G49" s="71"/>
      <c r="H49" s="71"/>
      <c r="I49" s="86"/>
      <c r="J49" s="86"/>
      <c r="K49" s="71"/>
      <c r="L49" s="71"/>
      <c r="M49" s="71"/>
      <c r="N49" s="71"/>
      <c r="O49" s="71"/>
      <c r="P49" s="71"/>
      <c r="Q49" s="71"/>
      <c r="R49" s="71"/>
      <c r="S49" s="71"/>
      <c r="T49" s="71"/>
      <c r="U49" s="71"/>
      <c r="V49" s="71"/>
    </row>
    <row r="50" spans="1:22" ht="15">
      <c r="A50" s="12" t="s">
        <v>654</v>
      </c>
      <c r="C50" s="87"/>
      <c r="D50" s="74"/>
      <c r="E50" s="87"/>
      <c r="F50" s="74"/>
      <c r="G50" s="87"/>
      <c r="H50" s="74"/>
      <c r="I50" s="87"/>
      <c r="J50" s="87"/>
      <c r="K50" s="87"/>
      <c r="L50" s="74"/>
      <c r="M50" s="87"/>
      <c r="N50" s="74"/>
      <c r="O50" s="87"/>
      <c r="P50" s="74"/>
      <c r="Q50" s="87"/>
      <c r="R50" s="74"/>
      <c r="S50" s="87"/>
      <c r="T50" s="74"/>
      <c r="U50" s="87"/>
      <c r="V50" s="87"/>
    </row>
    <row r="51" spans="1:22">
      <c r="B51" s="10" t="s">
        <v>455</v>
      </c>
      <c r="C51" s="27">
        <v>278457.83</v>
      </c>
      <c r="D51" s="27"/>
      <c r="E51" s="27">
        <f>31.94+31.94+31.94</f>
        <v>95.820000000000007</v>
      </c>
      <c r="F51" s="27"/>
      <c r="G51" s="27">
        <v>0</v>
      </c>
      <c r="H51" s="27"/>
      <c r="I51" s="27">
        <v>0</v>
      </c>
      <c r="J51" s="27"/>
      <c r="K51" s="27">
        <v>0</v>
      </c>
      <c r="L51" s="27"/>
      <c r="M51" s="27">
        <v>0</v>
      </c>
      <c r="N51" s="27"/>
      <c r="O51" s="27">
        <v>0</v>
      </c>
      <c r="P51" s="27"/>
      <c r="Q51" s="27">
        <v>-3000</v>
      </c>
      <c r="R51" s="27"/>
      <c r="S51" s="27">
        <v>0</v>
      </c>
      <c r="T51" s="27"/>
      <c r="U51" s="27">
        <f t="shared" ref="U51:U63" si="3">S51+Q51+O51+M51+I51+G51+E51+C51</f>
        <v>275553.65000000002</v>
      </c>
      <c r="V51" s="27"/>
    </row>
    <row r="52" spans="1:22">
      <c r="B52" s="10" t="s">
        <v>113</v>
      </c>
      <c r="C52" s="27">
        <v>18531222.48</v>
      </c>
      <c r="D52" s="27"/>
      <c r="E52" s="27">
        <f>121366.96+123264.56+123531.86</f>
        <v>368163.38</v>
      </c>
      <c r="F52" s="27"/>
      <c r="G52" s="27">
        <v>0</v>
      </c>
      <c r="H52" s="27"/>
      <c r="I52" s="27">
        <v>0</v>
      </c>
      <c r="J52" s="27"/>
      <c r="K52" s="27">
        <v>0</v>
      </c>
      <c r="L52" s="27"/>
      <c r="M52" s="27">
        <v>0</v>
      </c>
      <c r="N52" s="27"/>
      <c r="O52" s="27">
        <v>0</v>
      </c>
      <c r="P52" s="27"/>
      <c r="Q52" s="27">
        <f>-31445.83-23521.4</f>
        <v>-54967.23</v>
      </c>
      <c r="R52" s="27"/>
      <c r="S52" s="27">
        <v>0</v>
      </c>
      <c r="T52" s="27"/>
      <c r="U52" s="27">
        <f t="shared" si="3"/>
        <v>18844418.629999999</v>
      </c>
      <c r="V52" s="27"/>
    </row>
    <row r="53" spans="1:22">
      <c r="B53" s="10" t="s">
        <v>114</v>
      </c>
      <c r="C53" s="27">
        <v>140589.22</v>
      </c>
      <c r="D53" s="27"/>
      <c r="E53" s="27">
        <f>187.29+198.93+210.57</f>
        <v>596.79</v>
      </c>
      <c r="F53" s="27"/>
      <c r="G53" s="27">
        <v>0</v>
      </c>
      <c r="H53" s="27"/>
      <c r="I53" s="27">
        <v>0</v>
      </c>
      <c r="J53" s="27"/>
      <c r="K53" s="27">
        <v>0</v>
      </c>
      <c r="L53" s="27"/>
      <c r="M53" s="27">
        <v>0</v>
      </c>
      <c r="N53" s="27"/>
      <c r="O53" s="27">
        <v>0</v>
      </c>
      <c r="P53" s="27"/>
      <c r="Q53" s="27">
        <v>0</v>
      </c>
      <c r="R53" s="27"/>
      <c r="S53" s="27">
        <v>0</v>
      </c>
      <c r="T53" s="27"/>
      <c r="U53" s="27">
        <f t="shared" si="3"/>
        <v>141186.01</v>
      </c>
      <c r="V53" s="27"/>
    </row>
    <row r="54" spans="1:22">
      <c r="B54" s="10" t="s">
        <v>115</v>
      </c>
      <c r="C54" s="27">
        <v>376638.17</v>
      </c>
      <c r="D54" s="27"/>
      <c r="E54" s="27">
        <v>0</v>
      </c>
      <c r="F54" s="27"/>
      <c r="G54" s="27">
        <v>0</v>
      </c>
      <c r="H54" s="27"/>
      <c r="I54" s="27">
        <v>0</v>
      </c>
      <c r="J54" s="27"/>
      <c r="K54" s="27">
        <v>0</v>
      </c>
      <c r="L54" s="27"/>
      <c r="M54" s="27">
        <v>0</v>
      </c>
      <c r="N54" s="27"/>
      <c r="O54" s="27">
        <v>0</v>
      </c>
      <c r="P54" s="27"/>
      <c r="Q54" s="27">
        <v>0</v>
      </c>
      <c r="R54" s="27"/>
      <c r="S54" s="27">
        <v>0</v>
      </c>
      <c r="T54" s="27"/>
      <c r="U54" s="27">
        <f t="shared" si="3"/>
        <v>376638.17</v>
      </c>
      <c r="V54" s="27"/>
    </row>
    <row r="55" spans="1:22">
      <c r="B55" s="10" t="s">
        <v>117</v>
      </c>
      <c r="C55" s="27">
        <v>-18998.669999999998</v>
      </c>
      <c r="D55" s="27"/>
      <c r="E55" s="27">
        <v>0</v>
      </c>
      <c r="F55" s="27"/>
      <c r="G55" s="27">
        <v>0</v>
      </c>
      <c r="H55" s="27"/>
      <c r="I55" s="27">
        <v>0</v>
      </c>
      <c r="J55" s="27"/>
      <c r="K55" s="27">
        <v>0</v>
      </c>
      <c r="L55" s="27"/>
      <c r="M55" s="27">
        <v>0</v>
      </c>
      <c r="N55" s="27"/>
      <c r="O55" s="27">
        <v>0</v>
      </c>
      <c r="P55" s="27"/>
      <c r="Q55" s="27">
        <v>0</v>
      </c>
      <c r="R55" s="27"/>
      <c r="S55" s="27">
        <v>0</v>
      </c>
      <c r="T55" s="27"/>
      <c r="U55" s="27">
        <f t="shared" si="3"/>
        <v>-18998.669999999998</v>
      </c>
      <c r="V55" s="27"/>
    </row>
    <row r="56" spans="1:22">
      <c r="B56" s="10" t="s">
        <v>118</v>
      </c>
      <c r="C56" s="27">
        <v>24020678.649999999</v>
      </c>
      <c r="D56" s="27"/>
      <c r="E56" s="27">
        <f>170696.79-55.74+170799.34-55.74+170854.84-55.74</f>
        <v>512183.75</v>
      </c>
      <c r="F56" s="27"/>
      <c r="G56" s="27">
        <v>0</v>
      </c>
      <c r="H56" s="27"/>
      <c r="I56" s="27">
        <v>0</v>
      </c>
      <c r="J56" s="27"/>
      <c r="K56" s="27">
        <v>0</v>
      </c>
      <c r="L56" s="27"/>
      <c r="M56" s="27">
        <v>0</v>
      </c>
      <c r="N56" s="27"/>
      <c r="O56" s="27">
        <v>0</v>
      </c>
      <c r="P56" s="27"/>
      <c r="Q56" s="27">
        <f>-11875-114351.16</f>
        <v>-126226.16</v>
      </c>
      <c r="R56" s="27"/>
      <c r="S56" s="27">
        <v>0</v>
      </c>
      <c r="T56" s="27"/>
      <c r="U56" s="27">
        <f t="shared" si="3"/>
        <v>24406636.239999998</v>
      </c>
      <c r="V56" s="27"/>
    </row>
    <row r="57" spans="1:22">
      <c r="B57" s="10" t="s">
        <v>119</v>
      </c>
      <c r="C57" s="27">
        <v>6511015.7699999996</v>
      </c>
      <c r="D57" s="27"/>
      <c r="E57" s="27">
        <f>22280.58+22325.53+22352.65</f>
        <v>66958.760000000009</v>
      </c>
      <c r="F57" s="27"/>
      <c r="G57" s="27">
        <v>0</v>
      </c>
      <c r="H57" s="27"/>
      <c r="I57" s="27">
        <v>0</v>
      </c>
      <c r="J57" s="27"/>
      <c r="K57" s="27">
        <v>0</v>
      </c>
      <c r="L57" s="27"/>
      <c r="M57" s="27">
        <v>0</v>
      </c>
      <c r="N57" s="27"/>
      <c r="O57" s="27">
        <v>0</v>
      </c>
      <c r="P57" s="27"/>
      <c r="Q57" s="27">
        <f>-199612.39-157494.05</f>
        <v>-357106.44</v>
      </c>
      <c r="R57" s="27"/>
      <c r="S57" s="27">
        <v>0</v>
      </c>
      <c r="T57" s="27"/>
      <c r="U57" s="27">
        <f t="shared" si="3"/>
        <v>6220868.0899999999</v>
      </c>
      <c r="V57" s="27"/>
    </row>
    <row r="58" spans="1:22">
      <c r="B58" s="10" t="s">
        <v>121</v>
      </c>
      <c r="C58" s="27">
        <v>3791455.11</v>
      </c>
      <c r="D58" s="27"/>
      <c r="E58" s="27">
        <f>16879.52+17170.12+17461.1</f>
        <v>51510.74</v>
      </c>
      <c r="F58" s="27"/>
      <c r="G58" s="27">
        <v>0</v>
      </c>
      <c r="H58" s="27"/>
      <c r="I58" s="27">
        <v>0</v>
      </c>
      <c r="J58" s="27"/>
      <c r="K58" s="27">
        <v>0</v>
      </c>
      <c r="L58" s="27"/>
      <c r="M58" s="27">
        <v>0</v>
      </c>
      <c r="N58" s="27"/>
      <c r="O58" s="27">
        <v>0</v>
      </c>
      <c r="P58" s="27"/>
      <c r="Q58" s="27">
        <v>0</v>
      </c>
      <c r="R58" s="27"/>
      <c r="S58" s="27">
        <v>0</v>
      </c>
      <c r="T58" s="27"/>
      <c r="U58" s="27">
        <f t="shared" si="3"/>
        <v>3842965.85</v>
      </c>
      <c r="V58" s="27"/>
    </row>
    <row r="59" spans="1:22">
      <c r="B59" s="10" t="s">
        <v>122</v>
      </c>
      <c r="C59" s="27">
        <v>228159.61000000002</v>
      </c>
      <c r="D59" s="27"/>
      <c r="E59" s="27">
        <f>240.2+242.49+244.77</f>
        <v>727.46</v>
      </c>
      <c r="F59" s="27"/>
      <c r="G59" s="27">
        <v>0</v>
      </c>
      <c r="H59" s="27"/>
      <c r="I59" s="27">
        <v>0</v>
      </c>
      <c r="J59" s="27"/>
      <c r="K59" s="27">
        <v>0</v>
      </c>
      <c r="L59" s="27"/>
      <c r="M59" s="27">
        <v>0</v>
      </c>
      <c r="N59" s="27"/>
      <c r="O59" s="27">
        <v>0</v>
      </c>
      <c r="P59" s="27"/>
      <c r="Q59" s="27">
        <v>0</v>
      </c>
      <c r="R59" s="27"/>
      <c r="S59" s="27">
        <v>0</v>
      </c>
      <c r="T59" s="27"/>
      <c r="U59" s="27">
        <f t="shared" si="3"/>
        <v>228887.07</v>
      </c>
      <c r="V59" s="27"/>
    </row>
    <row r="60" spans="1:22">
      <c r="B60" s="10" t="s">
        <v>124</v>
      </c>
      <c r="C60" s="27">
        <v>287152.20999999996</v>
      </c>
      <c r="D60" s="27"/>
      <c r="E60" s="27">
        <f>1475.22+1498.88+1508.18</f>
        <v>4482.2800000000007</v>
      </c>
      <c r="F60" s="27"/>
      <c r="G60" s="27">
        <v>0</v>
      </c>
      <c r="H60" s="27"/>
      <c r="I60" s="27">
        <v>0</v>
      </c>
      <c r="J60" s="27"/>
      <c r="K60" s="27">
        <v>0</v>
      </c>
      <c r="L60" s="27"/>
      <c r="M60" s="27">
        <v>0</v>
      </c>
      <c r="N60" s="27"/>
      <c r="O60" s="27">
        <v>0</v>
      </c>
      <c r="P60" s="27"/>
      <c r="Q60" s="27">
        <v>0</v>
      </c>
      <c r="R60" s="27"/>
      <c r="S60" s="27">
        <v>0</v>
      </c>
      <c r="T60" s="27"/>
      <c r="U60" s="27">
        <f t="shared" si="3"/>
        <v>291634.49</v>
      </c>
      <c r="V60" s="27"/>
    </row>
    <row r="61" spans="1:22">
      <c r="B61" s="10" t="s">
        <v>129</v>
      </c>
      <c r="C61" s="27">
        <v>0</v>
      </c>
      <c r="D61" s="27"/>
      <c r="E61" s="27">
        <v>0</v>
      </c>
      <c r="F61" s="27"/>
      <c r="G61" s="27">
        <v>0</v>
      </c>
      <c r="H61" s="27"/>
      <c r="I61" s="27">
        <v>0</v>
      </c>
      <c r="J61" s="27"/>
      <c r="K61" s="27">
        <v>0</v>
      </c>
      <c r="L61" s="27"/>
      <c r="M61" s="27">
        <v>0</v>
      </c>
      <c r="N61" s="27"/>
      <c r="O61" s="27">
        <v>0</v>
      </c>
      <c r="P61" s="27"/>
      <c r="Q61" s="27">
        <v>0</v>
      </c>
      <c r="R61" s="27"/>
      <c r="S61" s="27">
        <v>0</v>
      </c>
      <c r="T61" s="27"/>
      <c r="U61" s="27">
        <f t="shared" si="3"/>
        <v>0</v>
      </c>
      <c r="V61" s="27"/>
    </row>
    <row r="62" spans="1:22">
      <c r="B62" s="10" t="s">
        <v>125</v>
      </c>
      <c r="C62" s="27">
        <v>223309.53000000003</v>
      </c>
      <c r="D62" s="27"/>
      <c r="E62" s="27">
        <f>471.01+470.54+471.77</f>
        <v>1413.32</v>
      </c>
      <c r="F62" s="27"/>
      <c r="G62" s="27">
        <v>0</v>
      </c>
      <c r="H62" s="27"/>
      <c r="I62" s="27">
        <v>0</v>
      </c>
      <c r="J62" s="27"/>
      <c r="K62" s="27">
        <v>0</v>
      </c>
      <c r="L62" s="27"/>
      <c r="M62" s="27">
        <v>0</v>
      </c>
      <c r="N62" s="27"/>
      <c r="O62" s="27">
        <v>0</v>
      </c>
      <c r="P62" s="27"/>
      <c r="Q62" s="27">
        <v>0</v>
      </c>
      <c r="R62" s="27"/>
      <c r="S62" s="27">
        <v>0</v>
      </c>
      <c r="T62" s="27"/>
      <c r="U62" s="27">
        <f t="shared" si="3"/>
        <v>224722.85000000003</v>
      </c>
      <c r="V62" s="27"/>
    </row>
    <row r="63" spans="1:22">
      <c r="B63" s="10" t="s">
        <v>131</v>
      </c>
      <c r="C63" s="28">
        <v>0</v>
      </c>
      <c r="D63" s="27"/>
      <c r="E63" s="28">
        <v>0</v>
      </c>
      <c r="F63" s="27"/>
      <c r="G63" s="28">
        <v>0</v>
      </c>
      <c r="H63" s="27"/>
      <c r="I63" s="28">
        <v>0</v>
      </c>
      <c r="J63" s="27"/>
      <c r="K63" s="28">
        <v>0</v>
      </c>
      <c r="L63" s="27"/>
      <c r="M63" s="28">
        <v>0</v>
      </c>
      <c r="N63" s="27"/>
      <c r="O63" s="28">
        <v>0</v>
      </c>
      <c r="P63" s="27"/>
      <c r="Q63" s="28">
        <v>0</v>
      </c>
      <c r="R63" s="27"/>
      <c r="S63" s="28">
        <v>0</v>
      </c>
      <c r="T63" s="27"/>
      <c r="U63" s="28">
        <f t="shared" si="3"/>
        <v>0</v>
      </c>
      <c r="V63" s="27"/>
    </row>
    <row r="64" spans="1:22">
      <c r="B64" s="11"/>
      <c r="C64" s="27">
        <f>SUM(C51:C63)</f>
        <v>54369679.909999989</v>
      </c>
      <c r="D64" s="27"/>
      <c r="E64" s="27">
        <f>SUM(E51:E63)</f>
        <v>1006132.2999999999</v>
      </c>
      <c r="F64" s="27"/>
      <c r="G64" s="27">
        <f>SUM(G51:G63)</f>
        <v>0</v>
      </c>
      <c r="H64" s="27"/>
      <c r="I64" s="27">
        <f>SUM(I51:I63)</f>
        <v>0</v>
      </c>
      <c r="J64" s="27"/>
      <c r="K64" s="27">
        <f>SUM(K51:K63)</f>
        <v>0</v>
      </c>
      <c r="L64" s="27"/>
      <c r="M64" s="27">
        <f>SUM(M51:M63)</f>
        <v>0</v>
      </c>
      <c r="N64" s="27"/>
      <c r="O64" s="27">
        <f>SUM(O51:O63)</f>
        <v>0</v>
      </c>
      <c r="P64" s="27"/>
      <c r="Q64" s="27">
        <f>SUM(Q51:Q63)</f>
        <v>-541299.83000000007</v>
      </c>
      <c r="R64" s="27"/>
      <c r="S64" s="27">
        <f>SUM(S51:S63)</f>
        <v>0</v>
      </c>
      <c r="T64" s="27"/>
      <c r="U64" s="27">
        <f>SUM(U51:U63)</f>
        <v>54834512.38000001</v>
      </c>
      <c r="V64" s="27"/>
    </row>
    <row r="65" spans="1:27">
      <c r="C65" s="27"/>
      <c r="D65" s="27"/>
      <c r="E65" s="27"/>
      <c r="F65" s="27"/>
      <c r="G65" s="27"/>
      <c r="H65" s="27"/>
      <c r="I65" s="27"/>
      <c r="J65" s="27"/>
      <c r="K65" s="27"/>
      <c r="L65" s="27"/>
      <c r="M65" s="27"/>
      <c r="N65" s="27"/>
      <c r="O65" s="27"/>
      <c r="P65" s="27"/>
      <c r="Q65" s="27"/>
      <c r="R65" s="27"/>
      <c r="S65" s="27"/>
      <c r="T65" s="27"/>
      <c r="U65" s="27"/>
      <c r="V65" s="27"/>
    </row>
    <row r="66" spans="1:27">
      <c r="A66" s="12" t="s">
        <v>655</v>
      </c>
      <c r="C66" s="24"/>
      <c r="D66" s="24"/>
      <c r="E66" s="24"/>
      <c r="F66" s="24"/>
      <c r="G66" s="24"/>
      <c r="H66" s="24"/>
      <c r="I66" s="24"/>
      <c r="J66" s="24"/>
      <c r="K66" s="24"/>
      <c r="L66" s="24"/>
      <c r="M66" s="24"/>
      <c r="N66" s="24"/>
      <c r="O66" s="24"/>
      <c r="P66" s="24"/>
      <c r="Q66" s="24"/>
      <c r="R66" s="24"/>
      <c r="S66" s="24"/>
      <c r="T66" s="24"/>
      <c r="U66" s="24"/>
      <c r="V66" s="24"/>
    </row>
    <row r="67" spans="1:27">
      <c r="B67" s="10" t="s">
        <v>652</v>
      </c>
      <c r="C67" s="24">
        <f>C51+C35+C10+C11+C63+C47+C31</f>
        <v>-77512187.950000003</v>
      </c>
      <c r="D67" s="24"/>
      <c r="E67" s="24">
        <f>E51+E35+E10+E11+E63+E47+E31</f>
        <v>-3104405.8200000003</v>
      </c>
      <c r="F67" s="24"/>
      <c r="G67" s="24">
        <f>G51+G35+G10+G11+G63+G47+G31</f>
        <v>243220.97999999998</v>
      </c>
      <c r="H67" s="24"/>
      <c r="I67" s="24">
        <f>I51+I35+I10+I11+I63+I47+I31</f>
        <v>0</v>
      </c>
      <c r="J67" s="24"/>
      <c r="K67" s="24">
        <f>K51+K35+K10+K11+K63+K47+K31</f>
        <v>0</v>
      </c>
      <c r="L67" s="24"/>
      <c r="M67" s="24">
        <f>M51+M35+M10+M11+M63+M47+M31</f>
        <v>0</v>
      </c>
      <c r="N67" s="24"/>
      <c r="O67" s="24">
        <f>O51+O35+O10+O11+O63+O47+O31</f>
        <v>16557.84</v>
      </c>
      <c r="P67" s="24"/>
      <c r="Q67" s="24">
        <f>Q51+Q35+Q10+Q11+Q63+Q47+Q31</f>
        <v>-3000</v>
      </c>
      <c r="R67" s="24"/>
      <c r="S67" s="24">
        <f>S51+S35+S10+S11+S63+S47+S31</f>
        <v>0</v>
      </c>
      <c r="T67" s="24"/>
      <c r="U67" s="24">
        <f>U51+U35+U10+U11+U63+U47+U31</f>
        <v>-80359814.950000003</v>
      </c>
      <c r="V67" s="24"/>
      <c r="X67" s="118">
        <f>U69+U67*0.29</f>
        <v>-265868278.70550004</v>
      </c>
    </row>
    <row r="68" spans="1:27">
      <c r="B68" s="10" t="s">
        <v>112</v>
      </c>
      <c r="C68" s="27">
        <f>C52+C53+C54+C55+C56+C57+C36+C37+C38+C39+C40+C41+C12+C13+C14+C15+C16+C17+C18+C19+C20+C21+C22</f>
        <v>-1795747613.3600001</v>
      </c>
      <c r="D68" s="27"/>
      <c r="E68" s="27">
        <f>E52+E53+E54+E55+E56+E57+E36+E37+E38+E39+E40+E41+E12+E13+E14+E15+E16+E17+E18+E19+E20+E21+E22</f>
        <v>-28491060.120000001</v>
      </c>
      <c r="F68" s="27"/>
      <c r="G68" s="27">
        <f>G52+G53+G54+G55+G56+G57+G36+G37+G38+G39+G40+G41+G12+G13+G14+G15+G16+G17+G18+G19+G20+G21+G22</f>
        <v>5225562.08</v>
      </c>
      <c r="H68" s="27"/>
      <c r="I68" s="27">
        <f>I52+I53+I54+I55+I56+I57+I36+I37+I38+I39+I40+I41+I12+I13+I14+I15+I16+I17+I18+I19+I20+I21+I22</f>
        <v>-223.56</v>
      </c>
      <c r="J68" s="27"/>
      <c r="K68" s="27">
        <f>K52+K53+K54+K55+K56+K57+K36+K37+K38+K39+K40+K41+K12+K13+K14+K15+K16+K17+K18+K19+K20+K21+K22</f>
        <v>0</v>
      </c>
      <c r="L68" s="27"/>
      <c r="M68" s="27">
        <f>M52+M53+M54+M55+M56+M57+M36+M37+M38+M39+M40+M41+M12+M13+M14+M15+M16+M17+M18+M19+M20+M21+M22</f>
        <v>0</v>
      </c>
      <c r="N68" s="27"/>
      <c r="O68" s="27">
        <f>O52+O53+O54+O55+O56+O57+O36+O37+O38+O39+O40+O41+O12+O13+O14+O15+O16+O17+O18+O19+O20+O21+O22</f>
        <v>4577782.8</v>
      </c>
      <c r="P68" s="27"/>
      <c r="Q68" s="27">
        <f>Q52+Q53+Q54+Q55+Q56+Q57+Q36+Q37+Q38+Q39+Q40+Q41+Q12+Q13+Q14+Q15+Q16+Q17+Q18+Q19+Q20+Q21+Q22</f>
        <v>-538299.83000000007</v>
      </c>
      <c r="R68" s="27"/>
      <c r="S68" s="27">
        <f>S52+S53+S54+S55+S56+S57+S36+S37+S38+S39+S40+S41+S12+S13+S14+S15+S16+S17+S18+S19+S20+S21+S22</f>
        <v>0</v>
      </c>
      <c r="T68" s="27"/>
      <c r="U68" s="27">
        <f>U52+U53+U54+U55+U56+U57+U36+U37+U38+U39+U40+U41+U12+U13+U14+U15+U16+U17+U18+U19+U20+U21+U22</f>
        <v>-1814973851.99</v>
      </c>
      <c r="V68" s="27"/>
    </row>
    <row r="69" spans="1:27">
      <c r="B69" s="10" t="s">
        <v>120</v>
      </c>
      <c r="C69" s="28">
        <f>C58+C59+C60+C61+C62+C42+C43+C44+C45+C46+C23+C24+C25+C26+C27+C28+C29+C30</f>
        <v>-238270572.69000003</v>
      </c>
      <c r="D69" s="27"/>
      <c r="E69" s="28">
        <f>E58+E59+E60+E61+E62+E42+E43+E44+E45+E46+E23+E24+E25+E26+E27+E28+E29+E30</f>
        <v>-4458350.49</v>
      </c>
      <c r="F69" s="27"/>
      <c r="G69" s="28">
        <f>G58+G59+G60+G61+G62+G42+G43+G44+G45+G46+G23+G24+G25+G26+G27+G28+G29+G30</f>
        <v>83537.03</v>
      </c>
      <c r="H69" s="27"/>
      <c r="I69" s="28">
        <f>I58+I59+I60+I61+I62+I42+I43+I44+I45+I46+I23+I24+I25+I26+I27+I28+I29+I30</f>
        <v>0</v>
      </c>
      <c r="J69" s="27"/>
      <c r="K69" s="28">
        <f>K58+K59+K60+K61+K62+K42+K43+K44+K45+K46+K23+K24+K25+K26+K27+K28+K29+K30</f>
        <v>0</v>
      </c>
      <c r="L69" s="27"/>
      <c r="M69" s="28">
        <f>M58+M59+M60+M61+M62+M42+M43+M44+M45+M46+M23+M24+M25+M26+M27+M28+M29+M30</f>
        <v>0</v>
      </c>
      <c r="N69" s="27"/>
      <c r="O69" s="28">
        <f>O58+O59+O60+O61+O62+O42+O43+O44+O45+O46+O23+O24+O25+O26+O27+O28+O29+O30</f>
        <v>81453.78</v>
      </c>
      <c r="P69" s="27"/>
      <c r="Q69" s="28">
        <f>Q58+Q59+Q60+Q61+Q62+Q42+Q43+Q44+Q45+Q46+Q23+Q24+Q25+Q26+Q27+Q28+Q29+Q30</f>
        <v>0</v>
      </c>
      <c r="R69" s="27"/>
      <c r="S69" s="28">
        <f>S58+S59+S60+S61+S62+S42+S43+S44+S45+S46+S23+S24+S25+S26+S27+S28+S29+S30</f>
        <v>0</v>
      </c>
      <c r="T69" s="27"/>
      <c r="U69" s="28">
        <f>U58+U59+U60+U61+U62+U42+U43+U44+U45+U46+U23+U24+U25+U26+U27+U28+U29+U30</f>
        <v>-242563932.37000003</v>
      </c>
      <c r="V69" s="27"/>
      <c r="W69" s="71"/>
      <c r="Z69" s="370"/>
      <c r="AA69" s="72"/>
    </row>
    <row r="70" spans="1:27">
      <c r="B70" s="11"/>
      <c r="C70" s="27">
        <f>SUM(C67:C69)</f>
        <v>-2111530374.0000002</v>
      </c>
      <c r="D70" s="27"/>
      <c r="E70" s="27">
        <f>SUM(E67:E69)</f>
        <v>-36053816.43</v>
      </c>
      <c r="F70" s="27"/>
      <c r="G70" s="27">
        <f>SUM(G67:G69)</f>
        <v>5552320.0900000008</v>
      </c>
      <c r="H70" s="27"/>
      <c r="I70" s="27">
        <f>SUM(I67:I69)</f>
        <v>-223.56</v>
      </c>
      <c r="J70" s="27"/>
      <c r="K70" s="27">
        <f>SUM(K67:K69)</f>
        <v>0</v>
      </c>
      <c r="L70" s="27"/>
      <c r="M70" s="27">
        <f>SUM(M67:M69)</f>
        <v>0</v>
      </c>
      <c r="N70" s="27"/>
      <c r="O70" s="27">
        <f>SUM(O67:O69)</f>
        <v>4675794.42</v>
      </c>
      <c r="P70" s="27"/>
      <c r="Q70" s="27">
        <f>SUM(Q67:Q69)</f>
        <v>-541299.83000000007</v>
      </c>
      <c r="R70" s="27"/>
      <c r="S70" s="27">
        <f>SUM(S67:S69)</f>
        <v>0</v>
      </c>
      <c r="T70" s="27"/>
      <c r="U70" s="27">
        <f>SUM(U67:U69)</f>
        <v>-2137897599.3100002</v>
      </c>
      <c r="V70" s="27"/>
      <c r="W70" s="71"/>
      <c r="X70" s="71"/>
    </row>
    <row r="71" spans="1:27">
      <c r="C71" s="27"/>
      <c r="D71" s="27"/>
      <c r="E71" s="27"/>
      <c r="F71" s="27"/>
      <c r="G71" s="27"/>
      <c r="H71" s="27"/>
      <c r="I71" s="27"/>
      <c r="J71" s="27"/>
      <c r="K71" s="27"/>
      <c r="L71" s="27"/>
      <c r="M71" s="27"/>
      <c r="N71" s="27"/>
      <c r="O71" s="27"/>
      <c r="P71" s="27"/>
      <c r="Q71" s="27"/>
      <c r="R71" s="27"/>
      <c r="S71" s="27"/>
      <c r="T71" s="27"/>
      <c r="U71" s="27"/>
      <c r="V71" s="27"/>
      <c r="W71" s="71"/>
      <c r="X71" s="71"/>
    </row>
    <row r="72" spans="1:27">
      <c r="A72" s="12" t="s">
        <v>656</v>
      </c>
      <c r="C72" s="24"/>
      <c r="D72" s="24"/>
      <c r="E72" s="24"/>
      <c r="F72" s="24"/>
      <c r="G72" s="24"/>
      <c r="H72" s="24"/>
      <c r="I72" s="24"/>
      <c r="J72" s="24"/>
      <c r="K72" s="24"/>
      <c r="L72" s="24"/>
      <c r="M72" s="24"/>
      <c r="N72" s="24"/>
      <c r="O72" s="24"/>
      <c r="P72" s="24"/>
      <c r="Q72" s="24"/>
      <c r="R72" s="24"/>
      <c r="S72" s="24"/>
      <c r="T72" s="24"/>
      <c r="U72" s="24"/>
      <c r="V72" s="24"/>
      <c r="W72" s="71"/>
      <c r="X72" s="71" t="s">
        <v>2050</v>
      </c>
      <c r="Y72" s="10" t="s">
        <v>2051</v>
      </c>
      <c r="Z72" s="10" t="s">
        <v>691</v>
      </c>
    </row>
    <row r="73" spans="1:27">
      <c r="B73" s="10" t="s">
        <v>652</v>
      </c>
      <c r="C73" s="24">
        <v>149762.35</v>
      </c>
      <c r="D73" s="24"/>
      <c r="E73" s="24">
        <v>0</v>
      </c>
      <c r="F73" s="24"/>
      <c r="G73" s="24">
        <v>0</v>
      </c>
      <c r="H73" s="24"/>
      <c r="I73" s="24">
        <v>0</v>
      </c>
      <c r="J73" s="24"/>
      <c r="K73" s="24">
        <v>0</v>
      </c>
      <c r="L73" s="24"/>
      <c r="M73" s="24">
        <f>-5901.84-10656+3000</f>
        <v>-13557.84</v>
      </c>
      <c r="N73" s="24"/>
      <c r="O73" s="24">
        <f>-29284.35+12123.16</f>
        <v>-17161.189999999999</v>
      </c>
      <c r="P73" s="24"/>
      <c r="Q73" s="24">
        <v>-10496.95</v>
      </c>
      <c r="R73" s="24"/>
      <c r="S73" s="24">
        <v>0</v>
      </c>
      <c r="T73" s="24"/>
      <c r="U73" s="24">
        <f>S73+Q73+O73+M73+I73+G73+E73+C73+K73</f>
        <v>108546.37000000001</v>
      </c>
      <c r="V73" s="24"/>
      <c r="W73" s="71"/>
      <c r="X73" s="262">
        <v>6476958.1499999994</v>
      </c>
      <c r="Y73" s="8">
        <v>1142141.9499999997</v>
      </c>
      <c r="Z73" s="8">
        <v>3522216.6399999964</v>
      </c>
      <c r="AA73" s="21">
        <f>SUM(X73:Z73)</f>
        <v>11141316.739999996</v>
      </c>
    </row>
    <row r="74" spans="1:27">
      <c r="B74" s="10" t="s">
        <v>112</v>
      </c>
      <c r="C74" s="24">
        <v>11924715.030000003</v>
      </c>
      <c r="D74" s="24"/>
      <c r="E74" s="24">
        <v>0</v>
      </c>
      <c r="F74" s="24"/>
      <c r="G74" s="24">
        <v>0</v>
      </c>
      <c r="H74" s="24"/>
      <c r="I74" s="24">
        <v>-14615.87</v>
      </c>
      <c r="J74" s="24"/>
      <c r="K74" s="24">
        <v>0</v>
      </c>
      <c r="L74" s="24"/>
      <c r="M74" s="24">
        <f>-831510.08+31445.83-1225979.23+235008.79-2520293.49+271845.21</f>
        <v>-4039482.9699999997</v>
      </c>
      <c r="N74" s="24"/>
      <c r="O74" s="24">
        <f>508108.98-2489.7+854.19+1046763.92+12972.13+1579.19+3643829.53+14967.29</f>
        <v>5226585.53</v>
      </c>
      <c r="P74" s="24"/>
      <c r="Q74" s="24">
        <f>-13165.93-98110.04-190234.09</f>
        <v>-301510.06</v>
      </c>
      <c r="R74" s="24"/>
      <c r="S74" s="24">
        <f>-75896.49-1414.73-5783.51</f>
        <v>-83094.73</v>
      </c>
      <c r="T74" s="24"/>
      <c r="U74" s="24">
        <f>S74+Q74+O74+M74+I74+G74+E74+C74+K74</f>
        <v>12712596.930000003</v>
      </c>
      <c r="V74" s="24"/>
      <c r="W74" s="71"/>
      <c r="X74" s="71"/>
    </row>
    <row r="75" spans="1:27">
      <c r="B75" s="10" t="s">
        <v>120</v>
      </c>
      <c r="C75" s="24">
        <v>1590687.7799999993</v>
      </c>
      <c r="D75" s="24"/>
      <c r="E75" s="24">
        <v>0</v>
      </c>
      <c r="F75" s="24"/>
      <c r="G75" s="24">
        <v>0</v>
      </c>
      <c r="H75" s="24"/>
      <c r="I75" s="24">
        <v>14615.87</v>
      </c>
      <c r="J75" s="24"/>
      <c r="K75" s="24">
        <v>0</v>
      </c>
      <c r="L75" s="24"/>
      <c r="M75" s="24">
        <f>-80809.47-644.31</f>
        <v>-81453.78</v>
      </c>
      <c r="N75" s="24"/>
      <c r="O75" s="24">
        <f>59698.63+2.36+124543.1+8544.56+2218.34+86130.79+6015.01+1957.71-4290.65</f>
        <v>284819.84999999998</v>
      </c>
      <c r="P75" s="24"/>
      <c r="Q75" s="24">
        <f>-398.26-782.83</f>
        <v>-1181.0900000000001</v>
      </c>
      <c r="R75" s="24"/>
      <c r="S75" s="24">
        <v>0</v>
      </c>
      <c r="T75" s="24"/>
      <c r="U75" s="24">
        <f>S75+Q75+O75+M75+I75+G75+E75+C75+K75</f>
        <v>1807488.6299999992</v>
      </c>
      <c r="V75" s="24"/>
      <c r="W75" s="71"/>
      <c r="X75" s="118">
        <f>X67+U75</f>
        <v>-264060790.07550004</v>
      </c>
      <c r="AA75" s="72">
        <f>U74-AA73</f>
        <v>1571280.1900000069</v>
      </c>
    </row>
    <row r="76" spans="1:27">
      <c r="B76" s="11"/>
      <c r="C76" s="25">
        <f>SUM(C73:C75)</f>
        <v>13665165.160000002</v>
      </c>
      <c r="D76" s="24"/>
      <c r="E76" s="25">
        <f>SUM(E73:E75)</f>
        <v>0</v>
      </c>
      <c r="F76" s="24"/>
      <c r="G76" s="25">
        <f>SUM(G73:G75)</f>
        <v>0</v>
      </c>
      <c r="H76" s="24"/>
      <c r="I76" s="25">
        <f>SUM(I73:I75)</f>
        <v>0</v>
      </c>
      <c r="J76" s="27"/>
      <c r="K76" s="25">
        <f>SUM(K73:K75)</f>
        <v>0</v>
      </c>
      <c r="L76" s="24"/>
      <c r="M76" s="25">
        <f>SUM(M73:M75)</f>
        <v>-4134494.5899999994</v>
      </c>
      <c r="N76" s="24"/>
      <c r="O76" s="25">
        <f>SUM(O73:O75)</f>
        <v>5494244.1899999995</v>
      </c>
      <c r="P76" s="24"/>
      <c r="Q76" s="25">
        <f>SUM(Q73:Q75)</f>
        <v>-313188.10000000003</v>
      </c>
      <c r="R76" s="24"/>
      <c r="S76" s="25">
        <f>SUM(S73:S75)</f>
        <v>-83094.73</v>
      </c>
      <c r="T76" s="24"/>
      <c r="U76" s="25">
        <f>SUM(U73:U75)</f>
        <v>14628631.930000002</v>
      </c>
      <c r="V76" s="27"/>
      <c r="W76" s="71"/>
      <c r="X76" s="71"/>
    </row>
    <row r="77" spans="1:27">
      <c r="C77" s="24"/>
      <c r="D77" s="24"/>
      <c r="E77" s="24"/>
      <c r="F77" s="24"/>
      <c r="G77" s="24"/>
      <c r="H77" s="24"/>
      <c r="I77" s="24"/>
      <c r="J77" s="24"/>
      <c r="K77" s="24"/>
      <c r="L77" s="24"/>
      <c r="M77" s="24"/>
      <c r="N77" s="24"/>
      <c r="O77" s="24"/>
      <c r="P77" s="24"/>
      <c r="Q77" s="24"/>
      <c r="R77" s="24"/>
      <c r="S77" s="24"/>
      <c r="T77" s="24"/>
      <c r="U77" s="24"/>
      <c r="V77" s="24"/>
      <c r="W77" s="71"/>
      <c r="X77" s="71"/>
    </row>
    <row r="78" spans="1:27">
      <c r="B78" s="11" t="s">
        <v>657</v>
      </c>
      <c r="C78" s="28">
        <f>C70+C76</f>
        <v>-2097865208.8400002</v>
      </c>
      <c r="D78" s="24"/>
      <c r="E78" s="28">
        <f>E70+E76</f>
        <v>-36053816.43</v>
      </c>
      <c r="F78" s="24"/>
      <c r="G78" s="28">
        <f>G70+G76</f>
        <v>5552320.0900000008</v>
      </c>
      <c r="H78" s="24"/>
      <c r="I78" s="28">
        <f>I70+I76</f>
        <v>-223.56</v>
      </c>
      <c r="J78" s="27"/>
      <c r="K78" s="28">
        <f>K70+K76</f>
        <v>0</v>
      </c>
      <c r="L78" s="24"/>
      <c r="M78" s="28">
        <f>M70+M76</f>
        <v>-4134494.5899999994</v>
      </c>
      <c r="N78" s="24"/>
      <c r="O78" s="28">
        <f>O70+O76</f>
        <v>10170038.609999999</v>
      </c>
      <c r="P78" s="24"/>
      <c r="Q78" s="28">
        <f>Q70+Q76</f>
        <v>-854487.93000000017</v>
      </c>
      <c r="R78" s="24"/>
      <c r="S78" s="28">
        <f>S70+S76</f>
        <v>-83094.73</v>
      </c>
      <c r="T78" s="24"/>
      <c r="U78" s="28">
        <f>U70+U76</f>
        <v>-2123268967.3800001</v>
      </c>
      <c r="V78" s="27"/>
    </row>
    <row r="79" spans="1:27">
      <c r="C79" s="24"/>
      <c r="D79" s="24"/>
      <c r="E79" s="24"/>
      <c r="F79" s="24"/>
      <c r="G79" s="24"/>
      <c r="H79" s="24"/>
      <c r="I79" s="24"/>
      <c r="J79" s="24"/>
      <c r="K79" s="24"/>
      <c r="L79" s="24"/>
      <c r="M79" s="24"/>
      <c r="N79" s="24"/>
      <c r="O79" s="24"/>
      <c r="P79" s="24"/>
      <c r="Q79" s="24"/>
      <c r="R79" s="24"/>
      <c r="S79" s="24"/>
      <c r="T79" s="24"/>
      <c r="U79" s="24"/>
      <c r="V79" s="24"/>
      <c r="X79" s="72">
        <f>X75+(U81+U73-U31)*0.29</f>
        <v>-270116840.36130005</v>
      </c>
      <c r="Y79" s="10">
        <v>270116840</v>
      </c>
      <c r="Z79" s="72"/>
    </row>
    <row r="80" spans="1:27">
      <c r="A80" s="12" t="s">
        <v>658</v>
      </c>
      <c r="C80" s="24"/>
      <c r="D80" s="24"/>
      <c r="E80" s="24"/>
      <c r="F80" s="24"/>
      <c r="G80" s="24"/>
      <c r="H80" s="24"/>
      <c r="I80" s="24"/>
      <c r="J80" s="24"/>
      <c r="K80" s="24"/>
      <c r="L80" s="24"/>
      <c r="M80" s="24"/>
      <c r="N80" s="24"/>
      <c r="O80" s="24"/>
      <c r="P80" s="24"/>
      <c r="Q80" s="24"/>
      <c r="R80" s="24"/>
      <c r="S80" s="24"/>
      <c r="T80" s="24"/>
      <c r="U80" s="24"/>
      <c r="V80" s="24"/>
    </row>
    <row r="81" spans="1:24">
      <c r="B81" s="10" t="s">
        <v>652</v>
      </c>
      <c r="C81" s="24">
        <v>-20071604.030000005</v>
      </c>
      <c r="D81" s="24"/>
      <c r="E81" s="24">
        <f>-705817.58-734402.48-736955.24</f>
        <v>-2177175.2999999998</v>
      </c>
      <c r="F81" s="24"/>
      <c r="G81" s="24">
        <v>1193940.58</v>
      </c>
      <c r="H81" s="24"/>
      <c r="I81" s="24">
        <v>0</v>
      </c>
      <c r="J81" s="24"/>
      <c r="K81" s="24">
        <v>0</v>
      </c>
      <c r="L81" s="24"/>
      <c r="M81" s="24">
        <v>0</v>
      </c>
      <c r="N81" s="24"/>
      <c r="O81" s="24">
        <v>0</v>
      </c>
      <c r="P81" s="24"/>
      <c r="Q81" s="24">
        <v>0</v>
      </c>
      <c r="R81" s="24"/>
      <c r="S81" s="24">
        <v>0</v>
      </c>
      <c r="T81" s="24"/>
      <c r="U81" s="24">
        <f>S81+Q81+O81+M81+I81+G81+E81+C81</f>
        <v>-21054838.750000004</v>
      </c>
      <c r="V81" s="24"/>
      <c r="X81" s="72">
        <f>U81+U67+U51+U35+U10+U11</f>
        <v>-181711108.28999999</v>
      </c>
    </row>
    <row r="82" spans="1:24">
      <c r="B82" s="10" t="s">
        <v>112</v>
      </c>
      <c r="C82" s="24">
        <v>0</v>
      </c>
      <c r="D82" s="24"/>
      <c r="E82" s="24">
        <v>0</v>
      </c>
      <c r="F82" s="24"/>
      <c r="G82" s="24">
        <v>0</v>
      </c>
      <c r="H82" s="24"/>
      <c r="I82" s="24">
        <v>0</v>
      </c>
      <c r="J82" s="24"/>
      <c r="K82" s="24">
        <v>0</v>
      </c>
      <c r="L82" s="24"/>
      <c r="M82" s="24">
        <v>0</v>
      </c>
      <c r="N82" s="24"/>
      <c r="O82" s="24">
        <v>0</v>
      </c>
      <c r="P82" s="24"/>
      <c r="Q82" s="24">
        <v>0</v>
      </c>
      <c r="R82" s="24"/>
      <c r="S82" s="24">
        <v>0</v>
      </c>
      <c r="T82" s="24"/>
      <c r="U82" s="24">
        <f>S82+Q82+O82+M82+I82+G82+E82+C82</f>
        <v>0</v>
      </c>
      <c r="V82" s="24"/>
    </row>
    <row r="83" spans="1:24">
      <c r="B83" s="10" t="s">
        <v>120</v>
      </c>
      <c r="C83" s="28">
        <v>0</v>
      </c>
      <c r="D83" s="24"/>
      <c r="E83" s="28">
        <v>0</v>
      </c>
      <c r="F83" s="24"/>
      <c r="G83" s="28">
        <v>0</v>
      </c>
      <c r="H83" s="24"/>
      <c r="I83" s="28">
        <v>0</v>
      </c>
      <c r="J83" s="27"/>
      <c r="K83" s="28">
        <v>0</v>
      </c>
      <c r="L83" s="24"/>
      <c r="M83" s="28">
        <v>0</v>
      </c>
      <c r="N83" s="24"/>
      <c r="O83" s="28">
        <v>0</v>
      </c>
      <c r="P83" s="24"/>
      <c r="Q83" s="28">
        <v>0</v>
      </c>
      <c r="R83" s="24"/>
      <c r="S83" s="28">
        <v>0</v>
      </c>
      <c r="T83" s="24"/>
      <c r="U83" s="28">
        <f>S83+Q83+O83+M83+I83+G83+E83+C83</f>
        <v>0</v>
      </c>
      <c r="V83" s="27"/>
    </row>
    <row r="84" spans="1:24">
      <c r="B84" s="11" t="s">
        <v>659</v>
      </c>
      <c r="C84" s="27">
        <f>SUM(C81:C83)</f>
        <v>-20071604.030000005</v>
      </c>
      <c r="D84" s="27"/>
      <c r="E84" s="27">
        <f>SUM(E81:E83)</f>
        <v>-2177175.2999999998</v>
      </c>
      <c r="F84" s="27"/>
      <c r="G84" s="27">
        <f>SUM(G81:G83)</f>
        <v>1193940.58</v>
      </c>
      <c r="H84" s="27"/>
      <c r="I84" s="27">
        <f>SUM(I81:I83)</f>
        <v>0</v>
      </c>
      <c r="J84" s="27"/>
      <c r="K84" s="27">
        <f>SUM(K81:K83)</f>
        <v>0</v>
      </c>
      <c r="L84" s="27"/>
      <c r="M84" s="27">
        <f>SUM(M81:M83)</f>
        <v>0</v>
      </c>
      <c r="N84" s="27"/>
      <c r="O84" s="27">
        <f>SUM(O81:O83)</f>
        <v>0</v>
      </c>
      <c r="P84" s="27"/>
      <c r="Q84" s="27">
        <f>SUM(Q81:Q83)</f>
        <v>0</v>
      </c>
      <c r="R84" s="27"/>
      <c r="S84" s="27">
        <f>SUM(S81:S83)</f>
        <v>0</v>
      </c>
      <c r="T84" s="27"/>
      <c r="U84" s="27">
        <f>SUM(U81:U83)</f>
        <v>-21054838.750000004</v>
      </c>
      <c r="V84" s="27"/>
    </row>
    <row r="85" spans="1:24">
      <c r="B85" s="11"/>
      <c r="C85" s="27"/>
      <c r="D85" s="24"/>
      <c r="E85" s="27"/>
      <c r="F85" s="24"/>
      <c r="G85" s="27"/>
      <c r="H85" s="24"/>
      <c r="I85" s="27"/>
      <c r="J85" s="27"/>
      <c r="K85" s="27"/>
      <c r="L85" s="24"/>
      <c r="M85" s="27"/>
      <c r="N85" s="24"/>
      <c r="O85" s="27"/>
      <c r="P85" s="24"/>
      <c r="Q85" s="27"/>
      <c r="R85" s="24"/>
      <c r="S85" s="27"/>
      <c r="T85" s="24"/>
      <c r="U85" s="27"/>
      <c r="V85" s="27"/>
    </row>
    <row r="86" spans="1:24">
      <c r="C86" s="24"/>
      <c r="D86" s="24"/>
      <c r="E86" s="24"/>
      <c r="F86" s="24"/>
      <c r="G86" s="24"/>
      <c r="H86" s="24"/>
      <c r="I86" s="24"/>
      <c r="J86" s="24"/>
      <c r="K86" s="24"/>
      <c r="L86" s="24"/>
      <c r="M86" s="24"/>
      <c r="N86" s="24"/>
      <c r="O86" s="24"/>
      <c r="P86" s="24"/>
      <c r="Q86" s="24"/>
      <c r="R86" s="24"/>
      <c r="S86" s="24"/>
      <c r="T86" s="24"/>
      <c r="U86" s="24"/>
      <c r="V86" s="24"/>
    </row>
    <row r="87" spans="1:24" ht="13.5" thickBot="1">
      <c r="B87" s="11" t="s">
        <v>660</v>
      </c>
      <c r="C87" s="73">
        <f>C78+C84</f>
        <v>-2117936812.8700001</v>
      </c>
      <c r="D87" s="24"/>
      <c r="E87" s="73">
        <f>E78+E84</f>
        <v>-38230991.729999997</v>
      </c>
      <c r="F87" s="24"/>
      <c r="G87" s="73">
        <f>G78+G84</f>
        <v>6746260.6700000009</v>
      </c>
      <c r="H87" s="24"/>
      <c r="I87" s="73">
        <f>I78+I84</f>
        <v>-223.56</v>
      </c>
      <c r="J87" s="27"/>
      <c r="K87" s="73">
        <f>K78+K84</f>
        <v>0</v>
      </c>
      <c r="L87" s="24"/>
      <c r="M87" s="73">
        <f>M78+M84</f>
        <v>-4134494.5899999994</v>
      </c>
      <c r="N87" s="24"/>
      <c r="O87" s="73">
        <f>O78+O84</f>
        <v>10170038.609999999</v>
      </c>
      <c r="P87" s="24"/>
      <c r="Q87" s="73">
        <f>Q78+Q84</f>
        <v>-854487.93000000017</v>
      </c>
      <c r="R87" s="24"/>
      <c r="S87" s="73">
        <f>S78+S84</f>
        <v>-83094.73</v>
      </c>
      <c r="T87" s="24"/>
      <c r="U87" s="73">
        <f>U78+U84</f>
        <v>-2144323806.1300001</v>
      </c>
      <c r="V87" s="27"/>
    </row>
    <row r="88" spans="1:24" ht="13.5" thickTop="1">
      <c r="B88" s="11"/>
      <c r="C88" s="27"/>
      <c r="D88" s="24"/>
      <c r="E88" s="27"/>
      <c r="F88" s="24"/>
      <c r="G88" s="27"/>
      <c r="H88" s="24"/>
      <c r="I88" s="27"/>
      <c r="J88" s="27"/>
      <c r="K88" s="27"/>
      <c r="L88" s="24"/>
      <c r="M88" s="27"/>
      <c r="N88" s="24"/>
      <c r="O88" s="27"/>
      <c r="P88" s="24"/>
      <c r="Q88" s="27"/>
      <c r="R88" s="24"/>
      <c r="S88" s="27"/>
      <c r="T88" s="24"/>
      <c r="U88" s="27"/>
      <c r="V88" s="27"/>
    </row>
    <row r="89" spans="1:24" ht="13.5" thickBot="1">
      <c r="B89" s="11" t="s">
        <v>974</v>
      </c>
      <c r="C89" s="27"/>
      <c r="D89" s="24"/>
      <c r="E89" s="27"/>
      <c r="F89" s="24"/>
      <c r="G89" s="27"/>
      <c r="H89" s="24"/>
      <c r="I89" s="27"/>
      <c r="J89" s="27"/>
      <c r="K89" s="27"/>
      <c r="L89" s="24"/>
      <c r="M89" s="27"/>
      <c r="N89" s="24"/>
      <c r="O89" s="27"/>
      <c r="P89" s="24"/>
      <c r="Q89" s="27"/>
      <c r="R89" s="24"/>
      <c r="S89" s="27"/>
      <c r="T89" s="24"/>
      <c r="U89" s="56">
        <f>U87-U31</f>
        <v>-2144260445.7700002</v>
      </c>
      <c r="V89" s="27"/>
    </row>
    <row r="90" spans="1:24" ht="13.5" thickTop="1">
      <c r="C90" s="24"/>
      <c r="D90" s="24"/>
      <c r="E90" s="24"/>
      <c r="F90" s="24"/>
      <c r="G90" s="24"/>
      <c r="H90" s="24"/>
      <c r="I90" s="24"/>
      <c r="J90" s="24"/>
      <c r="K90" s="24"/>
      <c r="L90" s="24"/>
      <c r="M90" s="24"/>
      <c r="N90" s="24"/>
      <c r="O90" s="24"/>
      <c r="P90" s="24"/>
      <c r="Q90" s="24"/>
      <c r="R90" s="24"/>
      <c r="S90" s="24"/>
      <c r="T90" s="24"/>
      <c r="U90" s="24"/>
      <c r="V90" s="24"/>
    </row>
    <row r="91" spans="1:24">
      <c r="A91" s="12" t="s">
        <v>614</v>
      </c>
      <c r="C91" s="24"/>
      <c r="D91" s="24"/>
      <c r="E91" s="24"/>
      <c r="F91" s="24"/>
      <c r="G91" s="24"/>
      <c r="H91" s="24"/>
      <c r="I91" s="24"/>
      <c r="J91" s="24"/>
      <c r="K91" s="24"/>
      <c r="L91" s="24"/>
      <c r="M91" s="24"/>
      <c r="N91" s="24"/>
      <c r="O91" s="24"/>
      <c r="P91" s="24"/>
      <c r="Q91" s="24"/>
      <c r="R91" s="24"/>
      <c r="S91" s="24"/>
      <c r="T91" s="24"/>
      <c r="U91" s="24"/>
      <c r="V91" s="24"/>
    </row>
    <row r="92" spans="1:24" ht="13.5" thickBot="1">
      <c r="A92" s="12" t="s">
        <v>615</v>
      </c>
      <c r="C92" s="73">
        <f>'Summary - Cost - PG 1 (Fin)'!D119+C87-C31</f>
        <v>2779422479.0099998</v>
      </c>
      <c r="D92" s="24"/>
      <c r="E92" s="24"/>
      <c r="F92" s="24"/>
      <c r="G92" s="24"/>
      <c r="H92" s="24"/>
      <c r="I92" s="24"/>
      <c r="J92" s="24"/>
      <c r="K92" s="24"/>
      <c r="L92" s="24"/>
      <c r="M92" s="24"/>
      <c r="N92" s="24"/>
      <c r="O92" s="24"/>
      <c r="P92" s="24"/>
      <c r="Q92" s="24"/>
      <c r="R92" s="24"/>
      <c r="S92" s="24"/>
      <c r="T92" s="24"/>
      <c r="U92" s="73">
        <f>'Summary - Cost - PG 1 (Fin)'!N119+'Summary - Reserve - PG 2 (Fin)'!U87-U31</f>
        <v>2789445342.2599998</v>
      </c>
      <c r="V92" s="27"/>
    </row>
    <row r="93" spans="1:24" ht="13.5" thickTop="1">
      <c r="C93" s="24"/>
      <c r="D93" s="24"/>
      <c r="E93" s="24"/>
      <c r="F93" s="24"/>
      <c r="G93" s="24"/>
      <c r="H93" s="24"/>
      <c r="I93" s="24"/>
      <c r="J93" s="24"/>
      <c r="K93" s="24"/>
      <c r="L93" s="24"/>
      <c r="N93" s="24"/>
      <c r="O93" s="24"/>
      <c r="P93" s="24"/>
      <c r="Q93" s="24"/>
      <c r="R93" s="24"/>
      <c r="S93" s="24"/>
      <c r="T93" s="24"/>
      <c r="U93" s="24"/>
      <c r="V93" s="24"/>
    </row>
    <row r="94" spans="1:24">
      <c r="F94" s="24"/>
      <c r="G94" s="24"/>
      <c r="H94" s="24"/>
      <c r="I94" s="24"/>
      <c r="J94" s="24"/>
      <c r="N94" s="315"/>
      <c r="O94" s="315"/>
      <c r="P94" s="315"/>
      <c r="Q94" s="315"/>
      <c r="R94" s="315"/>
      <c r="S94" s="315"/>
      <c r="T94" s="315"/>
      <c r="U94" s="315"/>
      <c r="V94" s="316"/>
    </row>
    <row r="95" spans="1:24">
      <c r="C95" s="21"/>
      <c r="D95" s="21"/>
      <c r="E95" s="21"/>
      <c r="F95" s="21"/>
      <c r="G95" s="21"/>
      <c r="H95" s="21"/>
      <c r="I95" s="21"/>
      <c r="J95" s="21"/>
      <c r="K95" s="21"/>
      <c r="L95" s="21"/>
      <c r="M95" s="21"/>
      <c r="N95" s="21"/>
      <c r="O95" s="21"/>
      <c r="P95" s="21"/>
      <c r="Q95" s="21"/>
      <c r="R95" s="21"/>
      <c r="S95" s="21"/>
      <c r="T95" s="21"/>
      <c r="U95" s="21"/>
      <c r="V95" s="21"/>
    </row>
    <row r="96" spans="1:24">
      <c r="C96" s="21"/>
      <c r="D96" s="21"/>
      <c r="E96" s="21"/>
      <c r="F96" s="21"/>
      <c r="G96" s="21"/>
      <c r="H96" s="21"/>
      <c r="I96" s="21"/>
      <c r="J96" s="21"/>
      <c r="K96" s="21"/>
      <c r="L96" s="21"/>
      <c r="M96" s="21"/>
      <c r="N96" s="21"/>
      <c r="O96" s="21"/>
      <c r="P96" s="21"/>
      <c r="Q96" s="21"/>
      <c r="R96" s="21"/>
      <c r="S96" s="21"/>
      <c r="T96" s="21"/>
      <c r="U96" s="21"/>
      <c r="V96" s="21"/>
    </row>
    <row r="97" spans="3:22">
      <c r="C97" s="21"/>
      <c r="D97" s="21"/>
      <c r="E97" s="21"/>
      <c r="F97" s="21"/>
      <c r="G97" s="21"/>
      <c r="H97" s="21"/>
      <c r="I97" s="21"/>
      <c r="J97" s="21"/>
      <c r="K97" s="21"/>
      <c r="L97" s="21"/>
      <c r="M97" s="21"/>
      <c r="N97" s="21"/>
      <c r="O97" s="21"/>
      <c r="P97" s="21"/>
      <c r="Q97" s="21"/>
      <c r="R97" s="21"/>
      <c r="S97" s="21"/>
      <c r="T97" s="21"/>
      <c r="U97" s="21"/>
      <c r="V97" s="21"/>
    </row>
    <row r="98" spans="3:22">
      <c r="C98" s="21"/>
      <c r="D98" s="21"/>
      <c r="E98" s="21"/>
      <c r="F98" s="21"/>
      <c r="G98" s="21"/>
      <c r="H98" s="21"/>
      <c r="I98" s="21"/>
      <c r="J98" s="21"/>
      <c r="K98" s="21"/>
      <c r="L98" s="21"/>
      <c r="M98" s="21"/>
      <c r="N98" s="21"/>
      <c r="O98" s="21"/>
      <c r="P98" s="21"/>
      <c r="Q98" s="21"/>
      <c r="R98" s="21"/>
      <c r="S98" s="21"/>
      <c r="T98" s="21"/>
      <c r="U98" s="21"/>
      <c r="V98" s="21"/>
    </row>
    <row r="99" spans="3:22">
      <c r="C99" s="21"/>
      <c r="D99" s="21"/>
      <c r="E99" s="21"/>
      <c r="F99" s="21"/>
      <c r="G99" s="21"/>
      <c r="H99" s="21"/>
      <c r="I99" s="21"/>
      <c r="J99" s="21"/>
      <c r="K99" s="21"/>
      <c r="L99" s="21"/>
      <c r="M99" s="21"/>
      <c r="N99" s="21"/>
      <c r="O99" s="21"/>
      <c r="P99" s="21"/>
      <c r="Q99" s="21"/>
      <c r="R99" s="21"/>
      <c r="S99" s="21"/>
      <c r="T99" s="21"/>
      <c r="U99" s="21"/>
      <c r="V99" s="21"/>
    </row>
    <row r="100" spans="3:22">
      <c r="C100" s="21"/>
      <c r="D100" s="21"/>
      <c r="E100" s="21"/>
      <c r="F100" s="21"/>
      <c r="G100" s="21"/>
      <c r="H100" s="21"/>
      <c r="I100" s="21"/>
      <c r="J100" s="21"/>
      <c r="K100" s="21"/>
      <c r="L100" s="21"/>
      <c r="M100" s="21"/>
      <c r="N100" s="21"/>
      <c r="O100" s="21"/>
      <c r="P100" s="21"/>
      <c r="Q100" s="21"/>
      <c r="R100" s="21"/>
      <c r="S100" s="21"/>
      <c r="T100" s="21"/>
      <c r="U100" s="21"/>
      <c r="V100" s="21"/>
    </row>
    <row r="101" spans="3:22">
      <c r="C101" s="21"/>
      <c r="D101" s="21"/>
      <c r="E101" s="21"/>
      <c r="F101" s="21"/>
      <c r="G101" s="21"/>
      <c r="H101" s="21"/>
      <c r="I101" s="21"/>
      <c r="J101" s="21"/>
      <c r="K101" s="21"/>
      <c r="L101" s="21"/>
      <c r="M101" s="21"/>
      <c r="N101" s="21"/>
      <c r="O101" s="21"/>
      <c r="P101" s="21"/>
      <c r="Q101" s="21"/>
      <c r="R101" s="21"/>
      <c r="S101" s="21"/>
      <c r="T101" s="21"/>
      <c r="U101" s="21"/>
      <c r="V101" s="21"/>
    </row>
    <row r="102" spans="3:22">
      <c r="C102" s="21"/>
      <c r="D102" s="21"/>
      <c r="E102" s="21"/>
      <c r="F102" s="21"/>
      <c r="G102" s="21"/>
      <c r="H102" s="21"/>
      <c r="I102" s="21"/>
      <c r="J102" s="21"/>
      <c r="K102" s="21"/>
      <c r="L102" s="21"/>
      <c r="M102" s="21"/>
      <c r="N102" s="21"/>
      <c r="O102" s="21"/>
      <c r="P102" s="21"/>
      <c r="Q102" s="21"/>
      <c r="R102" s="21"/>
      <c r="S102" s="21"/>
      <c r="T102" s="21"/>
      <c r="U102" s="21"/>
      <c r="V102" s="21"/>
    </row>
    <row r="103" spans="3:22">
      <c r="C103" s="21"/>
      <c r="D103" s="21"/>
      <c r="E103" s="21"/>
      <c r="F103" s="21"/>
      <c r="G103" s="21"/>
      <c r="H103" s="21"/>
      <c r="I103" s="21"/>
      <c r="J103" s="21"/>
      <c r="K103" s="21"/>
      <c r="L103" s="21"/>
      <c r="M103" s="21"/>
      <c r="N103" s="21"/>
      <c r="O103" s="21"/>
      <c r="P103" s="21"/>
      <c r="Q103" s="21"/>
      <c r="R103" s="21"/>
      <c r="S103" s="21"/>
      <c r="T103" s="21"/>
      <c r="U103" s="21"/>
      <c r="V103" s="21"/>
    </row>
    <row r="104" spans="3:22">
      <c r="C104" s="21"/>
      <c r="D104" s="21"/>
      <c r="E104" s="21"/>
      <c r="F104" s="21"/>
      <c r="G104" s="21"/>
      <c r="H104" s="21"/>
      <c r="I104" s="21"/>
      <c r="J104" s="21"/>
      <c r="K104" s="21"/>
      <c r="L104" s="21"/>
      <c r="M104" s="21"/>
      <c r="N104" s="21"/>
      <c r="O104" s="21"/>
      <c r="P104" s="21"/>
      <c r="Q104" s="21"/>
      <c r="R104" s="21"/>
      <c r="S104" s="21"/>
      <c r="T104" s="21"/>
      <c r="U104" s="21"/>
      <c r="V104" s="21"/>
    </row>
    <row r="105" spans="3:22">
      <c r="C105" s="21"/>
      <c r="D105" s="21"/>
      <c r="E105" s="21"/>
      <c r="F105" s="21"/>
      <c r="G105" s="21"/>
      <c r="H105" s="21"/>
      <c r="I105" s="21"/>
      <c r="J105" s="21"/>
      <c r="K105" s="21"/>
      <c r="L105" s="21"/>
      <c r="M105" s="21"/>
      <c r="N105" s="21"/>
      <c r="O105" s="21"/>
      <c r="P105" s="21"/>
      <c r="Q105" s="21"/>
      <c r="R105" s="21"/>
      <c r="S105" s="21"/>
      <c r="T105" s="21"/>
      <c r="U105" s="21"/>
      <c r="V105" s="21"/>
    </row>
    <row r="106" spans="3:22">
      <c r="C106" s="21"/>
      <c r="D106" s="21"/>
      <c r="E106" s="21"/>
      <c r="F106" s="21"/>
      <c r="G106" s="21"/>
      <c r="H106" s="21"/>
      <c r="I106" s="21"/>
      <c r="J106" s="21"/>
      <c r="K106" s="21"/>
      <c r="L106" s="21"/>
      <c r="M106" s="21"/>
      <c r="N106" s="21"/>
      <c r="O106" s="21"/>
      <c r="P106" s="21"/>
      <c r="Q106" s="21"/>
      <c r="R106" s="21"/>
      <c r="S106" s="21"/>
      <c r="T106" s="21"/>
      <c r="U106" s="21"/>
      <c r="V106" s="21"/>
    </row>
    <row r="107" spans="3:22">
      <c r="C107" s="21"/>
      <c r="D107" s="21"/>
      <c r="E107" s="21"/>
      <c r="F107" s="21"/>
      <c r="G107" s="21"/>
      <c r="H107" s="21"/>
      <c r="I107" s="21"/>
      <c r="J107" s="21"/>
      <c r="K107" s="21"/>
      <c r="L107" s="21"/>
      <c r="M107" s="21"/>
      <c r="N107" s="21"/>
      <c r="O107" s="21"/>
      <c r="P107" s="21"/>
      <c r="Q107" s="21"/>
      <c r="R107" s="21"/>
      <c r="S107" s="21"/>
      <c r="T107" s="21"/>
      <c r="U107" s="21"/>
      <c r="V107" s="21"/>
    </row>
    <row r="108" spans="3:22">
      <c r="C108" s="21"/>
      <c r="D108" s="21"/>
      <c r="E108" s="21"/>
      <c r="F108" s="21"/>
      <c r="G108" s="21"/>
      <c r="H108" s="21"/>
      <c r="I108" s="21"/>
      <c r="J108" s="21"/>
      <c r="K108" s="21"/>
      <c r="L108" s="21"/>
      <c r="M108" s="21"/>
      <c r="N108" s="21"/>
      <c r="O108" s="21"/>
      <c r="P108" s="21"/>
      <c r="Q108" s="21"/>
      <c r="R108" s="21"/>
      <c r="S108" s="21"/>
      <c r="T108" s="21"/>
      <c r="U108" s="21"/>
      <c r="V108" s="21"/>
    </row>
    <row r="109" spans="3:22">
      <c r="C109" s="21"/>
      <c r="D109" s="21"/>
      <c r="E109" s="21"/>
      <c r="F109" s="21"/>
      <c r="G109" s="21"/>
      <c r="H109" s="21"/>
      <c r="I109" s="21"/>
      <c r="J109" s="21"/>
      <c r="K109" s="21"/>
      <c r="L109" s="21"/>
      <c r="M109" s="21"/>
      <c r="N109" s="21"/>
      <c r="O109" s="21"/>
      <c r="P109" s="21"/>
      <c r="Q109" s="21"/>
      <c r="R109" s="21"/>
      <c r="S109" s="21"/>
      <c r="T109" s="21"/>
      <c r="U109" s="21"/>
      <c r="V109" s="21"/>
    </row>
    <row r="110" spans="3:22">
      <c r="C110" s="21"/>
      <c r="D110" s="21"/>
      <c r="E110" s="21"/>
      <c r="F110" s="21"/>
      <c r="G110" s="21"/>
      <c r="H110" s="21"/>
      <c r="I110" s="21"/>
      <c r="J110" s="21"/>
      <c r="K110" s="21"/>
      <c r="L110" s="21"/>
      <c r="M110" s="21"/>
      <c r="N110" s="21"/>
      <c r="O110" s="21"/>
      <c r="P110" s="21"/>
      <c r="Q110" s="21"/>
      <c r="R110" s="21"/>
      <c r="S110" s="21"/>
      <c r="T110" s="21"/>
      <c r="U110" s="21"/>
      <c r="V110" s="21"/>
    </row>
    <row r="111" spans="3:22">
      <c r="C111" s="21"/>
      <c r="D111" s="21"/>
      <c r="E111" s="21"/>
      <c r="F111" s="21"/>
      <c r="G111" s="21"/>
      <c r="H111" s="21"/>
      <c r="I111" s="21"/>
      <c r="J111" s="21"/>
      <c r="K111" s="21"/>
      <c r="L111" s="21"/>
      <c r="M111" s="21"/>
      <c r="N111" s="21"/>
      <c r="O111" s="21"/>
      <c r="P111" s="21"/>
      <c r="Q111" s="21"/>
      <c r="R111" s="21"/>
      <c r="S111" s="21"/>
      <c r="T111" s="21"/>
      <c r="U111" s="21"/>
      <c r="V111" s="21"/>
    </row>
    <row r="112" spans="3:22">
      <c r="C112" s="21"/>
      <c r="D112" s="21"/>
      <c r="E112" s="21"/>
      <c r="F112" s="21"/>
      <c r="G112" s="21"/>
      <c r="H112" s="21"/>
      <c r="I112" s="21"/>
      <c r="J112" s="21"/>
      <c r="K112" s="21"/>
      <c r="L112" s="21"/>
      <c r="M112" s="21"/>
      <c r="N112" s="21"/>
      <c r="O112" s="21"/>
      <c r="P112" s="21"/>
      <c r="Q112" s="21"/>
      <c r="R112" s="21"/>
      <c r="S112" s="21"/>
      <c r="T112" s="21"/>
      <c r="U112" s="21"/>
      <c r="V112" s="21"/>
    </row>
    <row r="113" spans="3:22">
      <c r="C113" s="21"/>
      <c r="D113" s="21"/>
      <c r="E113" s="21"/>
      <c r="F113" s="21"/>
      <c r="G113" s="21"/>
      <c r="H113" s="21"/>
      <c r="I113" s="21"/>
      <c r="J113" s="21"/>
      <c r="K113" s="21"/>
      <c r="L113" s="21"/>
      <c r="M113" s="21"/>
      <c r="N113" s="21"/>
      <c r="O113" s="21"/>
      <c r="P113" s="21"/>
      <c r="Q113" s="21"/>
      <c r="R113" s="21"/>
      <c r="S113" s="21"/>
      <c r="T113" s="21"/>
      <c r="U113" s="21"/>
      <c r="V113" s="21"/>
    </row>
    <row r="114" spans="3:22">
      <c r="C114" s="21"/>
      <c r="D114" s="21"/>
      <c r="E114" s="21"/>
      <c r="F114" s="21"/>
      <c r="G114" s="21"/>
      <c r="H114" s="21"/>
      <c r="I114" s="21"/>
      <c r="J114" s="21"/>
      <c r="K114" s="21"/>
      <c r="L114" s="21"/>
      <c r="M114" s="21"/>
      <c r="N114" s="21"/>
      <c r="O114" s="21"/>
      <c r="P114" s="21"/>
      <c r="Q114" s="21"/>
      <c r="R114" s="21"/>
      <c r="S114" s="21"/>
      <c r="T114" s="21"/>
      <c r="U114" s="21"/>
      <c r="V114" s="21"/>
    </row>
    <row r="115" spans="3:22">
      <c r="C115" s="21"/>
      <c r="D115" s="21"/>
      <c r="E115" s="21"/>
      <c r="F115" s="21"/>
      <c r="G115" s="21"/>
      <c r="H115" s="21"/>
      <c r="I115" s="21"/>
      <c r="J115" s="21"/>
      <c r="K115" s="21"/>
      <c r="L115" s="21"/>
      <c r="M115" s="21"/>
      <c r="N115" s="21"/>
      <c r="O115" s="21"/>
      <c r="P115" s="21"/>
      <c r="Q115" s="21"/>
      <c r="R115" s="21"/>
      <c r="S115" s="21"/>
      <c r="T115" s="21"/>
      <c r="U115" s="21"/>
      <c r="V115" s="21"/>
    </row>
    <row r="116" spans="3:22">
      <c r="C116" s="21"/>
      <c r="D116" s="21"/>
      <c r="E116" s="21"/>
      <c r="F116" s="21"/>
      <c r="G116" s="21"/>
      <c r="H116" s="21"/>
      <c r="I116" s="21"/>
      <c r="J116" s="21"/>
      <c r="K116" s="21"/>
      <c r="L116" s="21"/>
      <c r="M116" s="21"/>
      <c r="N116" s="21"/>
      <c r="O116" s="21"/>
      <c r="P116" s="21"/>
      <c r="Q116" s="21"/>
      <c r="R116" s="21"/>
      <c r="S116" s="21"/>
      <c r="T116" s="21"/>
      <c r="U116" s="21"/>
      <c r="V116" s="21"/>
    </row>
    <row r="117" spans="3:22">
      <c r="C117" s="21"/>
      <c r="D117" s="21"/>
      <c r="E117" s="21"/>
      <c r="F117" s="21"/>
      <c r="G117" s="21"/>
      <c r="H117" s="21"/>
      <c r="I117" s="21"/>
      <c r="J117" s="21"/>
      <c r="K117" s="21"/>
      <c r="L117" s="21"/>
      <c r="M117" s="21"/>
      <c r="N117" s="21"/>
      <c r="O117" s="21"/>
      <c r="P117" s="21"/>
      <c r="Q117" s="21"/>
      <c r="R117" s="21"/>
      <c r="S117" s="21"/>
      <c r="T117" s="21"/>
      <c r="U117" s="21"/>
      <c r="V117" s="21"/>
    </row>
    <row r="118" spans="3:22">
      <c r="C118" s="21"/>
      <c r="D118" s="21"/>
      <c r="E118" s="21"/>
      <c r="F118" s="21"/>
      <c r="G118" s="21"/>
      <c r="H118" s="21"/>
      <c r="I118" s="21"/>
      <c r="J118" s="21"/>
      <c r="K118" s="21"/>
      <c r="L118" s="21"/>
      <c r="M118" s="21"/>
      <c r="N118" s="21"/>
      <c r="O118" s="21"/>
      <c r="P118" s="21"/>
      <c r="Q118" s="21"/>
      <c r="R118" s="21"/>
      <c r="S118" s="21"/>
      <c r="T118" s="21"/>
      <c r="U118" s="21"/>
      <c r="V118" s="21"/>
    </row>
    <row r="119" spans="3:22">
      <c r="C119" s="21"/>
      <c r="D119" s="21"/>
      <c r="E119" s="21"/>
      <c r="F119" s="21"/>
      <c r="G119" s="21"/>
      <c r="H119" s="21"/>
      <c r="I119" s="21"/>
      <c r="J119" s="21"/>
      <c r="K119" s="21"/>
      <c r="L119" s="21"/>
      <c r="M119" s="21"/>
      <c r="N119" s="21"/>
      <c r="O119" s="21"/>
      <c r="P119" s="21"/>
      <c r="Q119" s="21"/>
      <c r="R119" s="21"/>
      <c r="S119" s="21"/>
      <c r="T119" s="21"/>
      <c r="U119" s="21"/>
      <c r="V119" s="21"/>
    </row>
    <row r="120" spans="3:22">
      <c r="C120" s="21"/>
      <c r="D120" s="21"/>
      <c r="E120" s="21"/>
      <c r="F120" s="21"/>
      <c r="G120" s="21"/>
      <c r="H120" s="21"/>
      <c r="I120" s="21"/>
      <c r="J120" s="21"/>
      <c r="K120" s="21"/>
      <c r="L120" s="21"/>
      <c r="M120" s="21"/>
      <c r="N120" s="21"/>
      <c r="O120" s="21"/>
      <c r="P120" s="21"/>
      <c r="Q120" s="21"/>
      <c r="R120" s="21"/>
      <c r="S120" s="21"/>
      <c r="T120" s="21"/>
      <c r="U120" s="21"/>
      <c r="V120" s="21"/>
    </row>
    <row r="121" spans="3:22">
      <c r="C121" s="21"/>
      <c r="D121" s="21"/>
      <c r="E121" s="21"/>
      <c r="F121" s="21"/>
      <c r="G121" s="21"/>
      <c r="H121" s="21"/>
      <c r="I121" s="21"/>
      <c r="J121" s="21"/>
      <c r="K121" s="21"/>
      <c r="L121" s="21"/>
      <c r="M121" s="21"/>
      <c r="N121" s="21"/>
      <c r="O121" s="21"/>
      <c r="P121" s="21"/>
      <c r="Q121" s="21"/>
      <c r="R121" s="21"/>
      <c r="S121" s="21"/>
      <c r="T121" s="21"/>
      <c r="U121" s="21"/>
      <c r="V121" s="21"/>
    </row>
    <row r="122" spans="3:22">
      <c r="C122" s="21"/>
      <c r="D122" s="21"/>
      <c r="E122" s="21"/>
      <c r="F122" s="21"/>
      <c r="G122" s="21"/>
      <c r="H122" s="21"/>
      <c r="I122" s="21"/>
      <c r="J122" s="21"/>
      <c r="K122" s="21"/>
      <c r="L122" s="21"/>
      <c r="M122" s="21"/>
      <c r="N122" s="21"/>
      <c r="O122" s="21"/>
      <c r="P122" s="21"/>
      <c r="Q122" s="21"/>
      <c r="R122" s="21"/>
      <c r="S122" s="21"/>
      <c r="T122" s="21"/>
      <c r="U122" s="21"/>
      <c r="V122" s="21"/>
    </row>
    <row r="123" spans="3:22">
      <c r="C123" s="21"/>
      <c r="D123" s="21"/>
      <c r="E123" s="21"/>
      <c r="F123" s="21"/>
      <c r="G123" s="21"/>
      <c r="H123" s="21"/>
      <c r="I123" s="21"/>
      <c r="J123" s="21"/>
      <c r="K123" s="21"/>
      <c r="L123" s="21"/>
      <c r="M123" s="21"/>
      <c r="N123" s="21"/>
      <c r="O123" s="21"/>
      <c r="P123" s="21"/>
      <c r="Q123" s="21"/>
      <c r="R123" s="21"/>
      <c r="S123" s="21"/>
      <c r="T123" s="21"/>
      <c r="U123" s="21"/>
      <c r="V123" s="21"/>
    </row>
    <row r="124" spans="3:22">
      <c r="C124" s="21"/>
      <c r="D124" s="21"/>
      <c r="E124" s="21"/>
      <c r="F124" s="21"/>
      <c r="G124" s="21"/>
      <c r="H124" s="21"/>
      <c r="I124" s="21"/>
      <c r="J124" s="21"/>
      <c r="K124" s="21"/>
      <c r="L124" s="21"/>
      <c r="M124" s="21"/>
      <c r="N124" s="21"/>
      <c r="O124" s="21"/>
      <c r="P124" s="21"/>
      <c r="Q124" s="21"/>
      <c r="R124" s="21"/>
      <c r="S124" s="21"/>
      <c r="T124" s="21"/>
      <c r="U124" s="21"/>
      <c r="V124" s="21"/>
    </row>
    <row r="125" spans="3:22">
      <c r="C125" s="21"/>
      <c r="D125" s="21"/>
      <c r="E125" s="21"/>
      <c r="F125" s="21"/>
      <c r="G125" s="21"/>
      <c r="H125" s="21"/>
      <c r="I125" s="21"/>
      <c r="J125" s="21"/>
      <c r="K125" s="21"/>
      <c r="L125" s="21"/>
      <c r="M125" s="21"/>
      <c r="N125" s="21"/>
      <c r="O125" s="21"/>
      <c r="P125" s="21"/>
      <c r="Q125" s="21"/>
      <c r="R125" s="21"/>
      <c r="S125" s="21"/>
      <c r="T125" s="21"/>
      <c r="U125" s="21"/>
      <c r="V125" s="21"/>
    </row>
    <row r="126" spans="3:22">
      <c r="C126" s="21"/>
      <c r="D126" s="21"/>
      <c r="E126" s="21"/>
      <c r="F126" s="21"/>
      <c r="G126" s="21"/>
      <c r="H126" s="21"/>
      <c r="I126" s="21"/>
      <c r="J126" s="21"/>
      <c r="K126" s="21"/>
      <c r="L126" s="21"/>
      <c r="M126" s="21"/>
      <c r="N126" s="21"/>
      <c r="O126" s="21"/>
      <c r="P126" s="21"/>
      <c r="Q126" s="21"/>
      <c r="R126" s="21"/>
      <c r="S126" s="21"/>
      <c r="T126" s="21"/>
      <c r="U126" s="21"/>
      <c r="V126" s="21"/>
    </row>
    <row r="127" spans="3:22">
      <c r="C127" s="21"/>
      <c r="D127" s="21"/>
      <c r="E127" s="21"/>
      <c r="F127" s="21"/>
      <c r="G127" s="21"/>
      <c r="H127" s="21"/>
      <c r="I127" s="21"/>
      <c r="J127" s="21"/>
      <c r="K127" s="21"/>
      <c r="L127" s="21"/>
      <c r="M127" s="21"/>
      <c r="N127" s="21"/>
      <c r="O127" s="21"/>
      <c r="P127" s="21"/>
      <c r="Q127" s="21"/>
      <c r="R127" s="21"/>
      <c r="S127" s="21"/>
      <c r="T127" s="21"/>
      <c r="U127" s="21"/>
      <c r="V127" s="21"/>
    </row>
    <row r="128" spans="3:22">
      <c r="C128" s="21"/>
      <c r="D128" s="21"/>
      <c r="E128" s="21"/>
      <c r="F128" s="21"/>
      <c r="G128" s="21"/>
      <c r="H128" s="21"/>
      <c r="I128" s="21"/>
      <c r="J128" s="21"/>
      <c r="K128" s="21"/>
      <c r="L128" s="21"/>
      <c r="M128" s="21"/>
      <c r="N128" s="21"/>
      <c r="O128" s="21"/>
      <c r="P128" s="21"/>
      <c r="Q128" s="21"/>
      <c r="R128" s="21"/>
      <c r="S128" s="21"/>
      <c r="T128" s="21"/>
      <c r="U128" s="21"/>
      <c r="V128" s="21"/>
    </row>
    <row r="129" spans="3:22">
      <c r="C129" s="21"/>
      <c r="D129" s="21"/>
      <c r="E129" s="21"/>
      <c r="F129" s="21"/>
      <c r="G129" s="21"/>
      <c r="H129" s="21"/>
      <c r="I129" s="21"/>
      <c r="J129" s="21"/>
      <c r="K129" s="21"/>
      <c r="L129" s="21"/>
      <c r="M129" s="21"/>
      <c r="N129" s="21"/>
      <c r="O129" s="21"/>
      <c r="P129" s="21"/>
      <c r="Q129" s="21"/>
      <c r="R129" s="21"/>
      <c r="S129" s="21"/>
      <c r="T129" s="21"/>
      <c r="U129" s="21"/>
      <c r="V129" s="21"/>
    </row>
    <row r="130" spans="3:22">
      <c r="C130" s="21"/>
      <c r="D130" s="21"/>
      <c r="E130" s="21"/>
      <c r="F130" s="21"/>
      <c r="G130" s="21"/>
      <c r="H130" s="21"/>
      <c r="I130" s="21"/>
      <c r="J130" s="21"/>
      <c r="K130" s="21"/>
      <c r="L130" s="21"/>
      <c r="M130" s="21"/>
      <c r="N130" s="21"/>
      <c r="O130" s="21"/>
      <c r="P130" s="21"/>
      <c r="Q130" s="21"/>
      <c r="R130" s="21"/>
      <c r="S130" s="21"/>
      <c r="T130" s="21"/>
      <c r="U130" s="21"/>
      <c r="V130" s="21"/>
    </row>
    <row r="131" spans="3:22">
      <c r="C131" s="21"/>
      <c r="D131" s="21"/>
      <c r="E131" s="21"/>
      <c r="F131" s="21"/>
      <c r="G131" s="21"/>
      <c r="H131" s="21"/>
      <c r="I131" s="21"/>
      <c r="J131" s="21"/>
      <c r="K131" s="21"/>
      <c r="L131" s="21"/>
      <c r="M131" s="21"/>
      <c r="N131" s="21"/>
      <c r="O131" s="21"/>
      <c r="P131" s="21"/>
      <c r="Q131" s="21"/>
      <c r="R131" s="21"/>
      <c r="S131" s="21"/>
      <c r="T131" s="21"/>
      <c r="U131" s="21"/>
      <c r="V131" s="21"/>
    </row>
    <row r="132" spans="3:22">
      <c r="C132" s="21"/>
      <c r="D132" s="21"/>
      <c r="E132" s="21"/>
      <c r="F132" s="21"/>
      <c r="G132" s="21"/>
      <c r="H132" s="21"/>
      <c r="I132" s="21"/>
      <c r="J132" s="21"/>
      <c r="K132" s="21"/>
      <c r="L132" s="21"/>
      <c r="M132" s="21"/>
      <c r="N132" s="21"/>
      <c r="O132" s="21"/>
      <c r="P132" s="21"/>
      <c r="Q132" s="21"/>
      <c r="R132" s="21"/>
      <c r="S132" s="21"/>
      <c r="T132" s="21"/>
      <c r="U132" s="21"/>
      <c r="V132" s="21"/>
    </row>
    <row r="133" spans="3:22">
      <c r="C133" s="21"/>
      <c r="D133" s="21"/>
      <c r="E133" s="21"/>
      <c r="F133" s="21"/>
      <c r="G133" s="21"/>
      <c r="H133" s="21"/>
      <c r="I133" s="21"/>
      <c r="J133" s="21"/>
      <c r="K133" s="21"/>
      <c r="L133" s="21"/>
      <c r="M133" s="21"/>
      <c r="N133" s="21"/>
      <c r="O133" s="21"/>
      <c r="P133" s="21"/>
      <c r="Q133" s="21"/>
      <c r="R133" s="21"/>
      <c r="S133" s="21"/>
      <c r="T133" s="21"/>
      <c r="U133" s="21"/>
      <c r="V133" s="21"/>
    </row>
    <row r="134" spans="3:22">
      <c r="C134" s="21"/>
      <c r="D134" s="21"/>
      <c r="E134" s="21"/>
      <c r="F134" s="21"/>
      <c r="G134" s="21"/>
      <c r="H134" s="21"/>
      <c r="I134" s="21"/>
      <c r="J134" s="21"/>
      <c r="K134" s="21"/>
      <c r="L134" s="21"/>
      <c r="M134" s="21"/>
      <c r="N134" s="21"/>
      <c r="O134" s="21"/>
      <c r="P134" s="21"/>
      <c r="Q134" s="21"/>
      <c r="R134" s="21"/>
      <c r="S134" s="21"/>
      <c r="T134" s="21"/>
      <c r="U134" s="21"/>
      <c r="V134" s="21"/>
    </row>
    <row r="135" spans="3:22">
      <c r="C135" s="21"/>
      <c r="D135" s="21"/>
      <c r="E135" s="21"/>
      <c r="F135" s="21"/>
      <c r="G135" s="21"/>
      <c r="H135" s="21"/>
      <c r="I135" s="21"/>
      <c r="J135" s="21"/>
      <c r="K135" s="21"/>
      <c r="L135" s="21"/>
      <c r="M135" s="21"/>
      <c r="N135" s="21"/>
      <c r="O135" s="21"/>
      <c r="P135" s="21"/>
      <c r="Q135" s="21"/>
      <c r="R135" s="21"/>
      <c r="S135" s="21"/>
      <c r="T135" s="21"/>
      <c r="U135" s="21"/>
      <c r="V135" s="21"/>
    </row>
    <row r="136" spans="3:22">
      <c r="C136" s="21"/>
      <c r="D136" s="21"/>
      <c r="E136" s="21"/>
      <c r="F136" s="21"/>
      <c r="G136" s="21"/>
      <c r="H136" s="21"/>
      <c r="I136" s="21"/>
      <c r="J136" s="21"/>
      <c r="K136" s="21"/>
      <c r="L136" s="21"/>
      <c r="M136" s="21"/>
      <c r="N136" s="21"/>
      <c r="O136" s="21"/>
      <c r="P136" s="21"/>
      <c r="Q136" s="21"/>
      <c r="R136" s="21"/>
      <c r="S136" s="21"/>
      <c r="T136" s="21"/>
      <c r="U136" s="21"/>
      <c r="V136" s="21"/>
    </row>
    <row r="137" spans="3:22">
      <c r="C137" s="21"/>
      <c r="D137" s="21"/>
      <c r="E137" s="21"/>
      <c r="F137" s="21"/>
      <c r="G137" s="21"/>
      <c r="H137" s="21"/>
      <c r="I137" s="21"/>
      <c r="J137" s="21"/>
      <c r="K137" s="21"/>
      <c r="L137" s="21"/>
      <c r="M137" s="21"/>
      <c r="N137" s="21"/>
      <c r="O137" s="21"/>
      <c r="P137" s="21"/>
      <c r="Q137" s="21"/>
      <c r="R137" s="21"/>
      <c r="S137" s="21"/>
      <c r="T137" s="21"/>
      <c r="U137" s="21"/>
      <c r="V137" s="21"/>
    </row>
    <row r="138" spans="3:22">
      <c r="C138" s="21"/>
      <c r="D138" s="21"/>
      <c r="E138" s="21"/>
      <c r="F138" s="21"/>
      <c r="G138" s="21"/>
      <c r="H138" s="21"/>
      <c r="I138" s="21"/>
      <c r="J138" s="21"/>
      <c r="K138" s="21"/>
      <c r="L138" s="21"/>
      <c r="M138" s="21"/>
      <c r="N138" s="21"/>
      <c r="O138" s="21"/>
      <c r="P138" s="21"/>
      <c r="Q138" s="21"/>
      <c r="R138" s="21"/>
      <c r="S138" s="21"/>
      <c r="T138" s="21"/>
      <c r="U138" s="21"/>
      <c r="V138" s="21"/>
    </row>
    <row r="139" spans="3:22">
      <c r="C139" s="21"/>
      <c r="D139" s="21"/>
      <c r="E139" s="21"/>
      <c r="F139" s="21"/>
      <c r="G139" s="21"/>
      <c r="H139" s="21"/>
      <c r="I139" s="21"/>
      <c r="J139" s="21"/>
      <c r="K139" s="21"/>
      <c r="L139" s="21"/>
      <c r="M139" s="21"/>
      <c r="N139" s="21"/>
      <c r="O139" s="21"/>
      <c r="P139" s="21"/>
      <c r="Q139" s="21"/>
      <c r="R139" s="21"/>
      <c r="S139" s="21"/>
      <c r="T139" s="21"/>
      <c r="U139" s="21"/>
      <c r="V139" s="21"/>
    </row>
    <row r="140" spans="3:22">
      <c r="C140" s="21"/>
      <c r="D140" s="21"/>
      <c r="E140" s="21"/>
      <c r="F140" s="21"/>
      <c r="G140" s="21"/>
      <c r="H140" s="21"/>
      <c r="I140" s="21"/>
      <c r="J140" s="21"/>
      <c r="K140" s="21"/>
      <c r="L140" s="21"/>
      <c r="M140" s="21"/>
      <c r="N140" s="21"/>
      <c r="O140" s="21"/>
      <c r="P140" s="21"/>
      <c r="Q140" s="21"/>
      <c r="R140" s="21"/>
      <c r="S140" s="21"/>
      <c r="T140" s="21"/>
      <c r="U140" s="21"/>
      <c r="V140" s="21"/>
    </row>
    <row r="141" spans="3:22">
      <c r="C141" s="21"/>
      <c r="D141" s="21"/>
      <c r="E141" s="21"/>
      <c r="F141" s="21"/>
      <c r="G141" s="21"/>
      <c r="H141" s="21"/>
      <c r="I141" s="21"/>
      <c r="J141" s="21"/>
      <c r="K141" s="21"/>
      <c r="L141" s="21"/>
      <c r="M141" s="21"/>
      <c r="N141" s="21"/>
      <c r="O141" s="21"/>
      <c r="P141" s="21"/>
      <c r="Q141" s="21"/>
      <c r="R141" s="21"/>
      <c r="S141" s="21"/>
      <c r="T141" s="21"/>
      <c r="U141" s="21"/>
      <c r="V141" s="21"/>
    </row>
    <row r="142" spans="3:22">
      <c r="C142" s="21"/>
      <c r="D142" s="21"/>
      <c r="E142" s="21"/>
      <c r="F142" s="21"/>
      <c r="G142" s="21"/>
      <c r="H142" s="21"/>
      <c r="I142" s="21"/>
      <c r="J142" s="21"/>
      <c r="K142" s="21"/>
      <c r="L142" s="21"/>
      <c r="M142" s="21"/>
      <c r="N142" s="21"/>
      <c r="O142" s="21"/>
      <c r="P142" s="21"/>
      <c r="Q142" s="21"/>
      <c r="R142" s="21"/>
      <c r="S142" s="21"/>
      <c r="T142" s="21"/>
      <c r="U142" s="21"/>
      <c r="V142" s="21"/>
    </row>
    <row r="143" spans="3:22">
      <c r="C143" s="21"/>
      <c r="D143" s="21"/>
      <c r="E143" s="21"/>
      <c r="F143" s="21"/>
      <c r="G143" s="21"/>
      <c r="H143" s="21"/>
      <c r="I143" s="21"/>
      <c r="J143" s="21"/>
      <c r="K143" s="21"/>
      <c r="L143" s="21"/>
      <c r="M143" s="21"/>
      <c r="N143" s="21"/>
      <c r="O143" s="21"/>
      <c r="P143" s="21"/>
      <c r="Q143" s="21"/>
      <c r="R143" s="21"/>
      <c r="S143" s="21"/>
      <c r="T143" s="21"/>
      <c r="U143" s="21"/>
      <c r="V143" s="21"/>
    </row>
    <row r="144" spans="3:22">
      <c r="C144" s="21"/>
      <c r="D144" s="21"/>
      <c r="E144" s="21"/>
      <c r="F144" s="21"/>
      <c r="G144" s="21"/>
      <c r="H144" s="21"/>
      <c r="I144" s="21"/>
      <c r="J144" s="21"/>
      <c r="K144" s="21"/>
      <c r="L144" s="21"/>
      <c r="M144" s="21"/>
      <c r="N144" s="21"/>
      <c r="O144" s="21"/>
      <c r="P144" s="21"/>
      <c r="Q144" s="21"/>
      <c r="R144" s="21"/>
      <c r="S144" s="21"/>
      <c r="T144" s="21"/>
      <c r="U144" s="21"/>
      <c r="V144" s="21"/>
    </row>
    <row r="145" spans="3:22">
      <c r="C145" s="21"/>
      <c r="D145" s="21"/>
      <c r="E145" s="21"/>
      <c r="F145" s="21"/>
      <c r="G145" s="21"/>
      <c r="H145" s="21"/>
      <c r="I145" s="21"/>
      <c r="J145" s="21"/>
      <c r="K145" s="21"/>
      <c r="L145" s="21"/>
      <c r="M145" s="21"/>
      <c r="N145" s="21"/>
      <c r="O145" s="21"/>
      <c r="P145" s="21"/>
      <c r="Q145" s="21"/>
      <c r="R145" s="21"/>
      <c r="S145" s="21"/>
      <c r="T145" s="21"/>
      <c r="U145" s="21"/>
      <c r="V145" s="21"/>
    </row>
    <row r="146" spans="3:22">
      <c r="C146" s="21"/>
      <c r="D146" s="21"/>
      <c r="E146" s="21"/>
      <c r="F146" s="21"/>
      <c r="G146" s="21"/>
      <c r="H146" s="21"/>
      <c r="I146" s="21"/>
      <c r="J146" s="21"/>
      <c r="K146" s="21"/>
      <c r="L146" s="21"/>
      <c r="M146" s="21"/>
      <c r="N146" s="21"/>
      <c r="O146" s="21"/>
      <c r="P146" s="21"/>
      <c r="Q146" s="21"/>
      <c r="R146" s="21"/>
      <c r="S146" s="21"/>
      <c r="T146" s="21"/>
      <c r="U146" s="21"/>
      <c r="V146" s="21"/>
    </row>
    <row r="147" spans="3:22">
      <c r="C147" s="21"/>
      <c r="D147" s="21"/>
      <c r="E147" s="21"/>
      <c r="F147" s="21"/>
      <c r="G147" s="21"/>
      <c r="H147" s="21"/>
      <c r="I147" s="21"/>
      <c r="J147" s="21"/>
      <c r="K147" s="21"/>
      <c r="L147" s="21"/>
      <c r="M147" s="21"/>
      <c r="N147" s="21"/>
      <c r="O147" s="21"/>
      <c r="P147" s="21"/>
      <c r="Q147" s="21"/>
      <c r="R147" s="21"/>
      <c r="S147" s="21"/>
      <c r="T147" s="21"/>
      <c r="U147" s="21"/>
      <c r="V147" s="21"/>
    </row>
    <row r="148" spans="3:22">
      <c r="C148" s="21"/>
      <c r="D148" s="21"/>
      <c r="E148" s="21"/>
      <c r="F148" s="21"/>
      <c r="G148" s="21"/>
      <c r="H148" s="21"/>
      <c r="I148" s="21"/>
      <c r="J148" s="21"/>
      <c r="K148" s="21"/>
      <c r="L148" s="21"/>
      <c r="M148" s="21"/>
      <c r="N148" s="21"/>
      <c r="O148" s="21"/>
      <c r="P148" s="21"/>
      <c r="Q148" s="21"/>
      <c r="R148" s="21"/>
      <c r="S148" s="21"/>
      <c r="T148" s="21"/>
      <c r="U148" s="21"/>
      <c r="V148" s="21"/>
    </row>
    <row r="149" spans="3:22">
      <c r="C149" s="21"/>
      <c r="D149" s="21"/>
      <c r="E149" s="21"/>
      <c r="F149" s="21"/>
      <c r="G149" s="21"/>
      <c r="H149" s="21"/>
      <c r="I149" s="21"/>
      <c r="J149" s="21"/>
      <c r="K149" s="21"/>
      <c r="L149" s="21"/>
      <c r="M149" s="21"/>
      <c r="N149" s="21"/>
      <c r="O149" s="21"/>
      <c r="P149" s="21"/>
      <c r="Q149" s="21"/>
      <c r="R149" s="21"/>
      <c r="S149" s="21"/>
      <c r="T149" s="21"/>
      <c r="U149" s="21"/>
      <c r="V149" s="21"/>
    </row>
    <row r="150" spans="3:22">
      <c r="C150" s="21"/>
      <c r="D150" s="21"/>
      <c r="E150" s="21"/>
      <c r="F150" s="21"/>
      <c r="G150" s="21"/>
      <c r="H150" s="21"/>
      <c r="I150" s="21"/>
      <c r="J150" s="21"/>
      <c r="K150" s="21"/>
      <c r="L150" s="21"/>
      <c r="M150" s="21"/>
      <c r="N150" s="21"/>
      <c r="O150" s="21"/>
      <c r="P150" s="21"/>
      <c r="Q150" s="21"/>
      <c r="R150" s="21"/>
      <c r="S150" s="21"/>
      <c r="T150" s="21"/>
      <c r="U150" s="21"/>
      <c r="V150" s="21"/>
    </row>
    <row r="151" spans="3:22">
      <c r="C151" s="21"/>
      <c r="D151" s="21"/>
      <c r="E151" s="21"/>
      <c r="F151" s="21"/>
      <c r="G151" s="21"/>
      <c r="H151" s="21"/>
      <c r="I151" s="21"/>
      <c r="J151" s="21"/>
      <c r="K151" s="21"/>
      <c r="L151" s="21"/>
      <c r="M151" s="21"/>
      <c r="N151" s="21"/>
      <c r="O151" s="21"/>
      <c r="P151" s="21"/>
      <c r="Q151" s="21"/>
      <c r="R151" s="21"/>
      <c r="S151" s="21"/>
      <c r="T151" s="21"/>
      <c r="U151" s="21"/>
      <c r="V151" s="21"/>
    </row>
    <row r="152" spans="3:22">
      <c r="C152" s="21"/>
      <c r="D152" s="21"/>
      <c r="E152" s="21"/>
      <c r="F152" s="21"/>
      <c r="G152" s="21"/>
      <c r="H152" s="21"/>
      <c r="I152" s="21"/>
      <c r="J152" s="21"/>
      <c r="K152" s="21"/>
      <c r="L152" s="21"/>
      <c r="M152" s="21"/>
      <c r="N152" s="21"/>
      <c r="O152" s="21"/>
      <c r="P152" s="21"/>
      <c r="Q152" s="21"/>
      <c r="R152" s="21"/>
      <c r="S152" s="21"/>
      <c r="T152" s="21"/>
      <c r="U152" s="21"/>
      <c r="V152" s="21"/>
    </row>
    <row r="153" spans="3:22">
      <c r="C153" s="21"/>
      <c r="D153" s="21"/>
      <c r="E153" s="21"/>
      <c r="F153" s="21"/>
      <c r="G153" s="21"/>
      <c r="H153" s="21"/>
      <c r="I153" s="21"/>
      <c r="J153" s="21"/>
      <c r="K153" s="21"/>
      <c r="L153" s="21"/>
      <c r="M153" s="21"/>
      <c r="N153" s="21"/>
      <c r="O153" s="21"/>
      <c r="P153" s="21"/>
      <c r="Q153" s="21"/>
      <c r="R153" s="21"/>
      <c r="S153" s="21"/>
      <c r="T153" s="21"/>
      <c r="U153" s="21"/>
      <c r="V153" s="21"/>
    </row>
    <row r="154" spans="3:22">
      <c r="C154" s="21"/>
      <c r="D154" s="21"/>
      <c r="E154" s="21"/>
      <c r="F154" s="21"/>
      <c r="G154" s="21"/>
      <c r="H154" s="21"/>
      <c r="I154" s="21"/>
      <c r="J154" s="21"/>
      <c r="K154" s="21"/>
      <c r="L154" s="21"/>
      <c r="M154" s="21"/>
      <c r="N154" s="21"/>
      <c r="O154" s="21"/>
      <c r="P154" s="21"/>
      <c r="Q154" s="21"/>
      <c r="R154" s="21"/>
      <c r="S154" s="21"/>
      <c r="T154" s="21"/>
      <c r="U154" s="21"/>
      <c r="V154" s="21"/>
    </row>
    <row r="155" spans="3:22">
      <c r="C155" s="21"/>
      <c r="D155" s="21"/>
      <c r="E155" s="21"/>
      <c r="F155" s="21"/>
      <c r="G155" s="21"/>
      <c r="H155" s="21"/>
      <c r="I155" s="21"/>
      <c r="J155" s="21"/>
      <c r="K155" s="21"/>
      <c r="L155" s="21"/>
      <c r="M155" s="21"/>
      <c r="N155" s="21"/>
      <c r="O155" s="21"/>
      <c r="P155" s="21"/>
      <c r="Q155" s="21"/>
      <c r="R155" s="21"/>
      <c r="S155" s="21"/>
      <c r="T155" s="21"/>
      <c r="U155" s="21"/>
      <c r="V155" s="21"/>
    </row>
    <row r="156" spans="3:22">
      <c r="C156" s="21"/>
      <c r="D156" s="21"/>
      <c r="E156" s="21"/>
      <c r="F156" s="21"/>
      <c r="G156" s="21"/>
      <c r="H156" s="21"/>
      <c r="I156" s="21"/>
      <c r="J156" s="21"/>
      <c r="K156" s="21"/>
      <c r="L156" s="21"/>
      <c r="M156" s="21"/>
      <c r="N156" s="21"/>
      <c r="O156" s="21"/>
      <c r="P156" s="21"/>
      <c r="Q156" s="21"/>
      <c r="R156" s="21"/>
      <c r="S156" s="21"/>
      <c r="T156" s="21"/>
      <c r="U156" s="21"/>
      <c r="V156" s="21"/>
    </row>
    <row r="157" spans="3:22">
      <c r="C157" s="21"/>
      <c r="D157" s="21"/>
      <c r="E157" s="21"/>
      <c r="F157" s="21"/>
      <c r="G157" s="21"/>
      <c r="H157" s="21"/>
      <c r="I157" s="21"/>
      <c r="J157" s="21"/>
      <c r="K157" s="21"/>
      <c r="L157" s="21"/>
      <c r="M157" s="21"/>
      <c r="N157" s="21"/>
      <c r="O157" s="21"/>
      <c r="P157" s="21"/>
      <c r="Q157" s="21"/>
      <c r="R157" s="21"/>
      <c r="S157" s="21"/>
      <c r="T157" s="21"/>
      <c r="U157" s="21"/>
      <c r="V157" s="21"/>
    </row>
    <row r="158" spans="3:22">
      <c r="C158" s="21"/>
      <c r="D158" s="21"/>
      <c r="E158" s="21"/>
      <c r="F158" s="21"/>
      <c r="G158" s="21"/>
      <c r="H158" s="21"/>
      <c r="I158" s="21"/>
      <c r="J158" s="21"/>
      <c r="K158" s="21"/>
      <c r="L158" s="21"/>
      <c r="M158" s="21"/>
      <c r="N158" s="21"/>
      <c r="O158" s="21"/>
      <c r="P158" s="21"/>
      <c r="Q158" s="21"/>
      <c r="R158" s="21"/>
      <c r="S158" s="21"/>
      <c r="T158" s="21"/>
      <c r="U158" s="21"/>
      <c r="V158" s="21"/>
    </row>
    <row r="159" spans="3:22">
      <c r="C159" s="21"/>
      <c r="D159" s="21"/>
      <c r="E159" s="21"/>
      <c r="F159" s="21"/>
      <c r="G159" s="21"/>
      <c r="H159" s="21"/>
      <c r="I159" s="21"/>
      <c r="J159" s="21"/>
      <c r="K159" s="21"/>
      <c r="L159" s="21"/>
      <c r="M159" s="21"/>
      <c r="N159" s="21"/>
      <c r="O159" s="21"/>
      <c r="P159" s="21"/>
      <c r="Q159" s="21"/>
      <c r="R159" s="21"/>
      <c r="S159" s="21"/>
      <c r="T159" s="21"/>
      <c r="U159" s="21"/>
      <c r="V159" s="21"/>
    </row>
    <row r="160" spans="3:22">
      <c r="C160" s="21"/>
      <c r="D160" s="21"/>
      <c r="E160" s="21"/>
      <c r="F160" s="21"/>
      <c r="G160" s="21"/>
      <c r="H160" s="21"/>
      <c r="I160" s="21"/>
      <c r="J160" s="21"/>
      <c r="K160" s="21"/>
      <c r="L160" s="21"/>
      <c r="M160" s="21"/>
      <c r="N160" s="21"/>
      <c r="O160" s="21"/>
      <c r="P160" s="21"/>
      <c r="Q160" s="21"/>
      <c r="R160" s="21"/>
      <c r="S160" s="21"/>
      <c r="T160" s="21"/>
      <c r="U160" s="21"/>
      <c r="V160" s="21"/>
    </row>
    <row r="161" spans="3:22">
      <c r="C161" s="21"/>
      <c r="D161" s="21"/>
      <c r="E161" s="21"/>
      <c r="F161" s="21"/>
      <c r="G161" s="21"/>
      <c r="H161" s="21"/>
      <c r="I161" s="21"/>
      <c r="J161" s="21"/>
      <c r="K161" s="21"/>
      <c r="L161" s="21"/>
      <c r="M161" s="21"/>
      <c r="N161" s="21"/>
      <c r="O161" s="21"/>
      <c r="P161" s="21"/>
      <c r="Q161" s="21"/>
      <c r="R161" s="21"/>
      <c r="S161" s="21"/>
      <c r="T161" s="21"/>
      <c r="U161" s="21"/>
      <c r="V161" s="21"/>
    </row>
    <row r="162" spans="3:22">
      <c r="C162" s="21"/>
      <c r="D162" s="21"/>
      <c r="E162" s="21"/>
      <c r="F162" s="21"/>
      <c r="G162" s="21"/>
      <c r="H162" s="21"/>
      <c r="I162" s="21"/>
      <c r="J162" s="21"/>
      <c r="K162" s="21"/>
      <c r="L162" s="21"/>
      <c r="M162" s="21"/>
      <c r="N162" s="21"/>
      <c r="O162" s="21"/>
      <c r="P162" s="21"/>
      <c r="Q162" s="21"/>
      <c r="R162" s="21"/>
      <c r="S162" s="21"/>
      <c r="T162" s="21"/>
      <c r="U162" s="21"/>
      <c r="V162" s="21"/>
    </row>
    <row r="163" spans="3:22">
      <c r="C163" s="21"/>
      <c r="D163" s="21"/>
      <c r="E163" s="21"/>
      <c r="F163" s="21"/>
      <c r="G163" s="21"/>
      <c r="H163" s="21"/>
      <c r="I163" s="21"/>
      <c r="J163" s="21"/>
      <c r="K163" s="21"/>
      <c r="L163" s="21"/>
      <c r="M163" s="21"/>
      <c r="N163" s="21"/>
      <c r="O163" s="21"/>
      <c r="P163" s="21"/>
      <c r="Q163" s="21"/>
      <c r="R163" s="21"/>
      <c r="S163" s="21"/>
      <c r="T163" s="21"/>
      <c r="U163" s="21"/>
      <c r="V163" s="21"/>
    </row>
    <row r="164" spans="3:22">
      <c r="C164" s="21"/>
      <c r="D164" s="21"/>
      <c r="E164" s="21"/>
      <c r="F164" s="21"/>
      <c r="G164" s="21"/>
      <c r="H164" s="21"/>
      <c r="I164" s="21"/>
      <c r="J164" s="21"/>
      <c r="K164" s="21"/>
      <c r="L164" s="21"/>
      <c r="M164" s="21"/>
      <c r="N164" s="21"/>
      <c r="O164" s="21"/>
      <c r="P164" s="21"/>
      <c r="Q164" s="21"/>
      <c r="R164" s="21"/>
      <c r="S164" s="21"/>
      <c r="T164" s="21"/>
      <c r="U164" s="21"/>
      <c r="V164" s="21"/>
    </row>
    <row r="165" spans="3:22">
      <c r="C165" s="21"/>
      <c r="D165" s="21"/>
      <c r="E165" s="21"/>
      <c r="F165" s="21"/>
      <c r="G165" s="21"/>
      <c r="H165" s="21"/>
      <c r="I165" s="21"/>
      <c r="J165" s="21"/>
      <c r="K165" s="21"/>
      <c r="L165" s="21"/>
      <c r="M165" s="21"/>
      <c r="N165" s="21"/>
      <c r="O165" s="21"/>
      <c r="P165" s="21"/>
      <c r="Q165" s="21"/>
      <c r="R165" s="21"/>
      <c r="S165" s="21"/>
      <c r="T165" s="21"/>
      <c r="U165" s="21"/>
      <c r="V165" s="21"/>
    </row>
    <row r="166" spans="3:22">
      <c r="C166" s="21"/>
      <c r="D166" s="21"/>
      <c r="E166" s="21"/>
      <c r="F166" s="21"/>
      <c r="G166" s="21"/>
      <c r="H166" s="21"/>
      <c r="I166" s="21"/>
      <c r="J166" s="21"/>
      <c r="K166" s="21"/>
      <c r="L166" s="21"/>
      <c r="M166" s="21"/>
      <c r="N166" s="21"/>
      <c r="O166" s="21"/>
      <c r="P166" s="21"/>
      <c r="Q166" s="21"/>
      <c r="R166" s="21"/>
      <c r="S166" s="21"/>
      <c r="T166" s="21"/>
      <c r="U166" s="21"/>
      <c r="V166" s="21"/>
    </row>
    <row r="167" spans="3:22">
      <c r="C167" s="21"/>
      <c r="D167" s="21"/>
      <c r="E167" s="21"/>
      <c r="F167" s="21"/>
      <c r="G167" s="21"/>
      <c r="H167" s="21"/>
      <c r="I167" s="21"/>
      <c r="J167" s="21"/>
      <c r="K167" s="21"/>
      <c r="L167" s="21"/>
      <c r="M167" s="21"/>
      <c r="N167" s="21"/>
      <c r="O167" s="21"/>
      <c r="P167" s="21"/>
      <c r="Q167" s="21"/>
      <c r="R167" s="21"/>
      <c r="S167" s="21"/>
      <c r="T167" s="21"/>
      <c r="U167" s="21"/>
      <c r="V167" s="21"/>
    </row>
    <row r="168" spans="3:22">
      <c r="C168" s="21"/>
      <c r="D168" s="21"/>
      <c r="E168" s="21"/>
      <c r="F168" s="21"/>
      <c r="G168" s="21"/>
      <c r="H168" s="21"/>
      <c r="I168" s="21"/>
      <c r="J168" s="21"/>
      <c r="K168" s="21"/>
      <c r="L168" s="21"/>
      <c r="M168" s="21"/>
      <c r="N168" s="21"/>
      <c r="O168" s="21"/>
      <c r="P168" s="21"/>
      <c r="Q168" s="21"/>
      <c r="R168" s="21"/>
      <c r="S168" s="21"/>
      <c r="T168" s="21"/>
      <c r="U168" s="21"/>
      <c r="V168" s="21"/>
    </row>
    <row r="169" spans="3:22">
      <c r="C169" s="21"/>
      <c r="D169" s="21"/>
      <c r="E169" s="21"/>
      <c r="F169" s="21"/>
      <c r="G169" s="21"/>
      <c r="H169" s="21"/>
      <c r="I169" s="21"/>
      <c r="J169" s="21"/>
      <c r="K169" s="21"/>
      <c r="L169" s="21"/>
      <c r="M169" s="21"/>
      <c r="N169" s="21"/>
      <c r="O169" s="21"/>
      <c r="P169" s="21"/>
      <c r="Q169" s="21"/>
      <c r="R169" s="21"/>
      <c r="S169" s="21"/>
      <c r="T169" s="21"/>
      <c r="U169" s="21"/>
      <c r="V169" s="21"/>
    </row>
    <row r="170" spans="3:22">
      <c r="C170" s="21"/>
      <c r="D170" s="21"/>
      <c r="E170" s="21"/>
      <c r="F170" s="21"/>
      <c r="G170" s="21"/>
      <c r="H170" s="21"/>
      <c r="I170" s="21"/>
      <c r="J170" s="21"/>
      <c r="K170" s="21"/>
      <c r="L170" s="21"/>
      <c r="M170" s="21"/>
      <c r="N170" s="21"/>
      <c r="O170" s="21"/>
      <c r="P170" s="21"/>
      <c r="Q170" s="21"/>
      <c r="R170" s="21"/>
      <c r="S170" s="21"/>
      <c r="T170" s="21"/>
      <c r="U170" s="21"/>
      <c r="V170" s="21"/>
    </row>
    <row r="171" spans="3:22">
      <c r="C171" s="21"/>
      <c r="D171" s="21"/>
      <c r="E171" s="21"/>
      <c r="F171" s="21"/>
      <c r="G171" s="21"/>
      <c r="H171" s="21"/>
      <c r="I171" s="21"/>
      <c r="J171" s="21"/>
      <c r="K171" s="21"/>
      <c r="L171" s="21"/>
      <c r="M171" s="21"/>
      <c r="N171" s="21"/>
      <c r="O171" s="21"/>
      <c r="P171" s="21"/>
      <c r="Q171" s="21"/>
      <c r="R171" s="21"/>
      <c r="S171" s="21"/>
      <c r="T171" s="21"/>
      <c r="U171" s="21"/>
      <c r="V171" s="21"/>
    </row>
    <row r="172" spans="3:22">
      <c r="C172" s="21"/>
      <c r="D172" s="21"/>
      <c r="E172" s="21"/>
      <c r="F172" s="21"/>
      <c r="G172" s="21"/>
      <c r="H172" s="21"/>
      <c r="I172" s="21"/>
      <c r="J172" s="21"/>
      <c r="K172" s="21"/>
      <c r="L172" s="21"/>
      <c r="M172" s="21"/>
      <c r="N172" s="21"/>
      <c r="O172" s="21"/>
      <c r="P172" s="21"/>
      <c r="Q172" s="21"/>
      <c r="R172" s="21"/>
      <c r="S172" s="21"/>
      <c r="T172" s="21"/>
      <c r="U172" s="21"/>
      <c r="V172" s="21"/>
    </row>
    <row r="173" spans="3:22">
      <c r="C173" s="21"/>
      <c r="D173" s="21"/>
      <c r="E173" s="21"/>
      <c r="F173" s="21"/>
      <c r="G173" s="21"/>
      <c r="H173" s="21"/>
      <c r="I173" s="21"/>
      <c r="J173" s="21"/>
      <c r="K173" s="21"/>
      <c r="L173" s="21"/>
      <c r="M173" s="21"/>
      <c r="N173" s="21"/>
      <c r="O173" s="21"/>
      <c r="P173" s="21"/>
      <c r="Q173" s="21"/>
      <c r="R173" s="21"/>
      <c r="S173" s="21"/>
      <c r="T173" s="21"/>
      <c r="U173" s="21"/>
      <c r="V173" s="21"/>
    </row>
    <row r="174" spans="3:22">
      <c r="C174" s="21"/>
      <c r="D174" s="21"/>
      <c r="E174" s="21"/>
      <c r="F174" s="21"/>
      <c r="G174" s="21"/>
      <c r="H174" s="21"/>
      <c r="I174" s="21"/>
      <c r="J174" s="21"/>
      <c r="K174" s="21"/>
      <c r="L174" s="21"/>
      <c r="M174" s="21"/>
      <c r="N174" s="21"/>
      <c r="O174" s="21"/>
      <c r="P174" s="21"/>
      <c r="Q174" s="21"/>
      <c r="R174" s="21"/>
      <c r="S174" s="21"/>
      <c r="T174" s="21"/>
      <c r="U174" s="21"/>
      <c r="V174" s="21"/>
    </row>
    <row r="175" spans="3:22">
      <c r="C175" s="21"/>
      <c r="D175" s="21"/>
      <c r="E175" s="21"/>
      <c r="F175" s="21"/>
      <c r="G175" s="21"/>
      <c r="H175" s="21"/>
      <c r="I175" s="21"/>
      <c r="J175" s="21"/>
      <c r="K175" s="21"/>
      <c r="L175" s="21"/>
      <c r="M175" s="21"/>
      <c r="N175" s="21"/>
      <c r="O175" s="21"/>
      <c r="P175" s="21"/>
      <c r="Q175" s="21"/>
      <c r="R175" s="21"/>
      <c r="S175" s="21"/>
      <c r="T175" s="21"/>
      <c r="U175" s="21"/>
      <c r="V175" s="21"/>
    </row>
    <row r="176" spans="3:22">
      <c r="C176" s="21"/>
      <c r="D176" s="21"/>
      <c r="E176" s="21"/>
      <c r="F176" s="21"/>
      <c r="G176" s="21"/>
      <c r="H176" s="21"/>
      <c r="I176" s="21"/>
      <c r="J176" s="21"/>
      <c r="K176" s="21"/>
      <c r="L176" s="21"/>
      <c r="M176" s="21"/>
      <c r="N176" s="21"/>
      <c r="O176" s="21"/>
      <c r="P176" s="21"/>
      <c r="Q176" s="21"/>
      <c r="R176" s="21"/>
      <c r="S176" s="21"/>
      <c r="T176" s="21"/>
      <c r="U176" s="21"/>
      <c r="V176" s="21"/>
    </row>
    <row r="177" spans="3:22">
      <c r="C177" s="21"/>
      <c r="D177" s="21"/>
      <c r="E177" s="21"/>
      <c r="F177" s="21"/>
      <c r="G177" s="21"/>
      <c r="H177" s="21"/>
      <c r="I177" s="21"/>
      <c r="J177" s="21"/>
      <c r="K177" s="21"/>
      <c r="L177" s="21"/>
      <c r="M177" s="21"/>
      <c r="N177" s="21"/>
      <c r="O177" s="21"/>
      <c r="P177" s="21"/>
      <c r="Q177" s="21"/>
      <c r="R177" s="21"/>
      <c r="S177" s="21"/>
      <c r="T177" s="21"/>
      <c r="U177" s="21"/>
      <c r="V177" s="21"/>
    </row>
    <row r="178" spans="3:22">
      <c r="C178" s="21"/>
      <c r="D178" s="21"/>
      <c r="E178" s="21"/>
      <c r="F178" s="21"/>
      <c r="G178" s="21"/>
      <c r="H178" s="21"/>
      <c r="I178" s="21"/>
      <c r="J178" s="21"/>
      <c r="K178" s="21"/>
      <c r="L178" s="21"/>
      <c r="M178" s="21"/>
      <c r="N178" s="21"/>
      <c r="O178" s="21"/>
      <c r="P178" s="21"/>
      <c r="Q178" s="21"/>
      <c r="R178" s="21"/>
      <c r="S178" s="21"/>
      <c r="T178" s="21"/>
      <c r="U178" s="21"/>
      <c r="V178" s="21"/>
    </row>
    <row r="179" spans="3:22">
      <c r="C179" s="21"/>
      <c r="D179" s="21"/>
      <c r="E179" s="21"/>
      <c r="F179" s="21"/>
      <c r="G179" s="21"/>
      <c r="H179" s="21"/>
      <c r="I179" s="21"/>
      <c r="J179" s="21"/>
      <c r="K179" s="21"/>
      <c r="L179" s="21"/>
      <c r="M179" s="21"/>
      <c r="N179" s="21"/>
      <c r="O179" s="21"/>
      <c r="P179" s="21"/>
      <c r="Q179" s="21"/>
      <c r="R179" s="21"/>
      <c r="S179" s="21"/>
      <c r="T179" s="21"/>
      <c r="U179" s="21"/>
      <c r="V179" s="21"/>
    </row>
    <row r="180" spans="3:22">
      <c r="C180" s="21"/>
      <c r="D180" s="21"/>
      <c r="E180" s="21"/>
      <c r="F180" s="21"/>
      <c r="G180" s="21"/>
      <c r="H180" s="21"/>
      <c r="I180" s="21"/>
      <c r="J180" s="21"/>
      <c r="K180" s="21"/>
      <c r="L180" s="21"/>
      <c r="M180" s="21"/>
      <c r="N180" s="21"/>
      <c r="O180" s="21"/>
      <c r="P180" s="21"/>
      <c r="Q180" s="21"/>
      <c r="R180" s="21"/>
      <c r="S180" s="21"/>
      <c r="T180" s="21"/>
      <c r="U180" s="21"/>
      <c r="V180" s="21"/>
    </row>
    <row r="181" spans="3:22">
      <c r="C181" s="21"/>
      <c r="D181" s="21"/>
      <c r="E181" s="21"/>
      <c r="F181" s="21"/>
      <c r="G181" s="21"/>
      <c r="H181" s="21"/>
      <c r="I181" s="21"/>
      <c r="J181" s="21"/>
      <c r="K181" s="21"/>
      <c r="L181" s="21"/>
      <c r="M181" s="21"/>
      <c r="N181" s="21"/>
      <c r="O181" s="21"/>
      <c r="P181" s="21"/>
      <c r="Q181" s="21"/>
      <c r="R181" s="21"/>
      <c r="S181" s="21"/>
      <c r="T181" s="21"/>
      <c r="U181" s="21"/>
      <c r="V181" s="21"/>
    </row>
    <row r="182" spans="3:22">
      <c r="C182" s="21"/>
      <c r="D182" s="21"/>
      <c r="E182" s="21"/>
      <c r="F182" s="21"/>
      <c r="G182" s="21"/>
      <c r="H182" s="21"/>
      <c r="I182" s="21"/>
      <c r="J182" s="21"/>
      <c r="K182" s="21"/>
      <c r="L182" s="21"/>
      <c r="M182" s="21"/>
      <c r="N182" s="21"/>
      <c r="O182" s="21"/>
      <c r="P182" s="21"/>
      <c r="Q182" s="21"/>
      <c r="R182" s="21"/>
      <c r="S182" s="21"/>
      <c r="T182" s="21"/>
      <c r="U182" s="21"/>
      <c r="V182" s="21"/>
    </row>
    <row r="183" spans="3:22">
      <c r="C183" s="21"/>
      <c r="D183" s="21"/>
      <c r="E183" s="21"/>
      <c r="F183" s="21"/>
      <c r="G183" s="21"/>
      <c r="H183" s="21"/>
      <c r="I183" s="21"/>
      <c r="J183" s="21"/>
      <c r="K183" s="21"/>
      <c r="L183" s="21"/>
      <c r="M183" s="21"/>
      <c r="N183" s="21"/>
      <c r="O183" s="21"/>
      <c r="P183" s="21"/>
      <c r="Q183" s="21"/>
      <c r="R183" s="21"/>
      <c r="S183" s="21"/>
      <c r="T183" s="21"/>
      <c r="U183" s="21"/>
      <c r="V183" s="21"/>
    </row>
    <row r="184" spans="3:22">
      <c r="C184" s="21"/>
      <c r="D184" s="21"/>
      <c r="E184" s="21"/>
      <c r="F184" s="21"/>
      <c r="G184" s="21"/>
      <c r="H184" s="21"/>
      <c r="I184" s="21"/>
      <c r="J184" s="21"/>
      <c r="K184" s="21"/>
      <c r="L184" s="21"/>
      <c r="M184" s="21"/>
      <c r="N184" s="21"/>
      <c r="O184" s="21"/>
      <c r="P184" s="21"/>
      <c r="Q184" s="21"/>
      <c r="R184" s="21"/>
      <c r="S184" s="21"/>
      <c r="T184" s="21"/>
      <c r="U184" s="21"/>
      <c r="V184" s="21"/>
    </row>
    <row r="185" spans="3:22">
      <c r="C185" s="21"/>
      <c r="D185" s="21"/>
      <c r="E185" s="21"/>
      <c r="F185" s="21"/>
      <c r="G185" s="21"/>
      <c r="H185" s="21"/>
      <c r="I185" s="21"/>
      <c r="J185" s="21"/>
      <c r="K185" s="21"/>
      <c r="L185" s="21"/>
      <c r="M185" s="21"/>
      <c r="N185" s="21"/>
      <c r="O185" s="21"/>
      <c r="P185" s="21"/>
      <c r="Q185" s="21"/>
      <c r="R185" s="21"/>
      <c r="S185" s="21"/>
      <c r="T185" s="21"/>
      <c r="U185" s="21"/>
      <c r="V185" s="21"/>
    </row>
    <row r="186" spans="3:22">
      <c r="C186" s="21"/>
      <c r="D186" s="21"/>
      <c r="E186" s="21"/>
      <c r="F186" s="21"/>
      <c r="G186" s="21"/>
      <c r="H186" s="21"/>
      <c r="I186" s="21"/>
      <c r="J186" s="21"/>
      <c r="K186" s="21"/>
      <c r="L186" s="21"/>
      <c r="M186" s="21"/>
      <c r="N186" s="21"/>
      <c r="O186" s="21"/>
      <c r="P186" s="21"/>
      <c r="Q186" s="21"/>
      <c r="R186" s="21"/>
      <c r="S186" s="21"/>
      <c r="T186" s="21"/>
      <c r="U186" s="21"/>
      <c r="V186" s="21"/>
    </row>
    <row r="187" spans="3:22">
      <c r="C187" s="21"/>
      <c r="D187" s="21"/>
      <c r="E187" s="21"/>
      <c r="F187" s="21"/>
      <c r="G187" s="21"/>
      <c r="H187" s="21"/>
      <c r="I187" s="21"/>
      <c r="J187" s="21"/>
      <c r="K187" s="21"/>
      <c r="L187" s="21"/>
      <c r="M187" s="21"/>
      <c r="N187" s="21"/>
      <c r="O187" s="21"/>
      <c r="P187" s="21"/>
      <c r="Q187" s="21"/>
      <c r="R187" s="21"/>
      <c r="S187" s="21"/>
      <c r="T187" s="21"/>
      <c r="U187" s="21"/>
      <c r="V187" s="21"/>
    </row>
    <row r="188" spans="3:22">
      <c r="C188" s="21"/>
      <c r="D188" s="21"/>
      <c r="E188" s="21"/>
      <c r="F188" s="21"/>
      <c r="G188" s="21"/>
      <c r="H188" s="21"/>
      <c r="I188" s="21"/>
      <c r="J188" s="21"/>
      <c r="K188" s="21"/>
      <c r="L188" s="21"/>
      <c r="M188" s="21"/>
      <c r="N188" s="21"/>
      <c r="O188" s="21"/>
      <c r="P188" s="21"/>
      <c r="Q188" s="21"/>
      <c r="R188" s="21"/>
      <c r="S188" s="21"/>
      <c r="T188" s="21"/>
      <c r="U188" s="21"/>
      <c r="V188" s="21"/>
    </row>
    <row r="189" spans="3:22">
      <c r="C189" s="21"/>
      <c r="D189" s="21"/>
      <c r="E189" s="21"/>
      <c r="F189" s="21"/>
      <c r="G189" s="21"/>
      <c r="H189" s="21"/>
      <c r="I189" s="21"/>
      <c r="J189" s="21"/>
      <c r="K189" s="21"/>
      <c r="L189" s="21"/>
      <c r="M189" s="21"/>
      <c r="N189" s="21"/>
      <c r="O189" s="21"/>
      <c r="P189" s="21"/>
      <c r="Q189" s="21"/>
      <c r="R189" s="21"/>
      <c r="S189" s="21"/>
      <c r="T189" s="21"/>
      <c r="U189" s="21"/>
      <c r="V189" s="21"/>
    </row>
    <row r="190" spans="3:22">
      <c r="C190" s="21"/>
      <c r="D190" s="21"/>
      <c r="E190" s="21"/>
      <c r="F190" s="21"/>
      <c r="G190" s="21"/>
      <c r="H190" s="21"/>
      <c r="I190" s="21"/>
      <c r="J190" s="21"/>
      <c r="K190" s="21"/>
      <c r="L190" s="21"/>
      <c r="M190" s="21"/>
      <c r="N190" s="21"/>
      <c r="O190" s="21"/>
      <c r="P190" s="21"/>
      <c r="Q190" s="21"/>
      <c r="R190" s="21"/>
      <c r="S190" s="21"/>
      <c r="T190" s="21"/>
      <c r="U190" s="21"/>
      <c r="V190" s="21"/>
    </row>
    <row r="191" spans="3:22">
      <c r="C191" s="21"/>
      <c r="D191" s="21"/>
      <c r="E191" s="21"/>
      <c r="F191" s="21"/>
      <c r="G191" s="21"/>
      <c r="H191" s="21"/>
      <c r="I191" s="21"/>
      <c r="J191" s="21"/>
      <c r="K191" s="21"/>
      <c r="L191" s="21"/>
      <c r="M191" s="21"/>
      <c r="N191" s="21"/>
      <c r="O191" s="21"/>
      <c r="P191" s="21"/>
      <c r="Q191" s="21"/>
      <c r="R191" s="21"/>
      <c r="S191" s="21"/>
      <c r="T191" s="21"/>
      <c r="U191" s="21"/>
      <c r="V191" s="21"/>
    </row>
    <row r="192" spans="3:22">
      <c r="C192" s="21"/>
      <c r="D192" s="21"/>
      <c r="E192" s="21"/>
      <c r="F192" s="21"/>
      <c r="G192" s="21"/>
      <c r="H192" s="21"/>
      <c r="I192" s="21"/>
      <c r="J192" s="21"/>
      <c r="K192" s="21"/>
      <c r="L192" s="21"/>
      <c r="M192" s="21"/>
      <c r="N192" s="21"/>
      <c r="O192" s="21"/>
      <c r="P192" s="21"/>
      <c r="Q192" s="21"/>
      <c r="R192" s="21"/>
      <c r="S192" s="21"/>
      <c r="T192" s="21"/>
      <c r="U192" s="21"/>
      <c r="V192" s="21"/>
    </row>
    <row r="193" spans="3:22">
      <c r="C193" s="21"/>
      <c r="D193" s="21"/>
      <c r="E193" s="21"/>
      <c r="F193" s="21"/>
      <c r="G193" s="21"/>
      <c r="H193" s="21"/>
      <c r="I193" s="21"/>
      <c r="J193" s="21"/>
      <c r="K193" s="21"/>
      <c r="L193" s="21"/>
      <c r="M193" s="21"/>
      <c r="N193" s="21"/>
      <c r="O193" s="21"/>
      <c r="P193" s="21"/>
      <c r="Q193" s="21"/>
      <c r="R193" s="21"/>
      <c r="S193" s="21"/>
      <c r="T193" s="21"/>
      <c r="U193" s="21"/>
      <c r="V193" s="21"/>
    </row>
    <row r="194" spans="3:22">
      <c r="C194" s="21"/>
      <c r="D194" s="21"/>
      <c r="E194" s="21"/>
      <c r="F194" s="21"/>
      <c r="G194" s="21"/>
      <c r="H194" s="21"/>
      <c r="I194" s="21"/>
      <c r="J194" s="21"/>
      <c r="K194" s="21"/>
      <c r="L194" s="21"/>
      <c r="M194" s="21"/>
      <c r="N194" s="21"/>
      <c r="O194" s="21"/>
      <c r="P194" s="21"/>
      <c r="Q194" s="21"/>
      <c r="R194" s="21"/>
      <c r="S194" s="21"/>
      <c r="T194" s="21"/>
      <c r="U194" s="21"/>
      <c r="V194" s="21"/>
    </row>
    <row r="195" spans="3:22">
      <c r="C195" s="21"/>
      <c r="D195" s="21"/>
      <c r="E195" s="21"/>
      <c r="F195" s="21"/>
      <c r="G195" s="21"/>
      <c r="H195" s="21"/>
      <c r="I195" s="21"/>
      <c r="J195" s="21"/>
      <c r="K195" s="21"/>
      <c r="L195" s="21"/>
      <c r="M195" s="21"/>
      <c r="N195" s="21"/>
      <c r="O195" s="21"/>
      <c r="P195" s="21"/>
      <c r="Q195" s="21"/>
      <c r="R195" s="21"/>
      <c r="S195" s="21"/>
      <c r="T195" s="21"/>
      <c r="U195" s="21"/>
      <c r="V195" s="21"/>
    </row>
    <row r="196" spans="3:22">
      <c r="C196" s="21"/>
      <c r="D196" s="21"/>
      <c r="E196" s="21"/>
      <c r="F196" s="21"/>
      <c r="G196" s="21"/>
      <c r="H196" s="21"/>
      <c r="I196" s="21"/>
      <c r="J196" s="21"/>
      <c r="K196" s="21"/>
      <c r="L196" s="21"/>
      <c r="M196" s="21"/>
      <c r="N196" s="21"/>
      <c r="O196" s="21"/>
      <c r="P196" s="21"/>
      <c r="Q196" s="21"/>
      <c r="R196" s="21"/>
      <c r="S196" s="21"/>
      <c r="T196" s="21"/>
      <c r="U196" s="21"/>
      <c r="V196" s="21"/>
    </row>
    <row r="197" spans="3:22">
      <c r="C197" s="21"/>
      <c r="D197" s="21"/>
      <c r="E197" s="21"/>
      <c r="F197" s="21"/>
      <c r="G197" s="21"/>
      <c r="H197" s="21"/>
      <c r="I197" s="21"/>
      <c r="J197" s="21"/>
      <c r="K197" s="21"/>
      <c r="L197" s="21"/>
      <c r="M197" s="21"/>
      <c r="N197" s="21"/>
      <c r="O197" s="21"/>
      <c r="P197" s="21"/>
      <c r="Q197" s="21"/>
      <c r="R197" s="21"/>
      <c r="S197" s="21"/>
      <c r="T197" s="21"/>
      <c r="U197" s="21"/>
      <c r="V197" s="21"/>
    </row>
    <row r="198" spans="3:22">
      <c r="C198" s="21"/>
      <c r="D198" s="21"/>
      <c r="E198" s="21"/>
      <c r="F198" s="21"/>
      <c r="G198" s="21"/>
      <c r="H198" s="21"/>
      <c r="I198" s="21"/>
      <c r="J198" s="21"/>
      <c r="K198" s="21"/>
      <c r="L198" s="21"/>
      <c r="M198" s="21"/>
      <c r="N198" s="21"/>
      <c r="O198" s="21"/>
      <c r="P198" s="21"/>
      <c r="Q198" s="21"/>
      <c r="R198" s="21"/>
      <c r="S198" s="21"/>
      <c r="T198" s="21"/>
      <c r="U198" s="21"/>
      <c r="V198" s="21"/>
    </row>
    <row r="199" spans="3:22">
      <c r="C199" s="21"/>
      <c r="D199" s="21"/>
      <c r="E199" s="21"/>
      <c r="F199" s="21"/>
      <c r="G199" s="21"/>
      <c r="H199" s="21"/>
      <c r="I199" s="21"/>
      <c r="J199" s="21"/>
      <c r="K199" s="21"/>
      <c r="L199" s="21"/>
      <c r="M199" s="21"/>
      <c r="N199" s="21"/>
      <c r="O199" s="21"/>
      <c r="P199" s="21"/>
      <c r="Q199" s="21"/>
      <c r="R199" s="21"/>
      <c r="S199" s="21"/>
      <c r="T199" s="21"/>
      <c r="U199" s="21"/>
      <c r="V199" s="21"/>
    </row>
    <row r="200" spans="3:22">
      <c r="C200" s="21"/>
      <c r="D200" s="21"/>
      <c r="E200" s="21"/>
      <c r="F200" s="21"/>
      <c r="G200" s="21"/>
      <c r="H200" s="21"/>
      <c r="I200" s="21"/>
      <c r="J200" s="21"/>
      <c r="K200" s="21"/>
      <c r="L200" s="21"/>
      <c r="M200" s="21"/>
      <c r="N200" s="21"/>
      <c r="O200" s="21"/>
      <c r="P200" s="21"/>
      <c r="Q200" s="21"/>
      <c r="R200" s="21"/>
      <c r="S200" s="21"/>
      <c r="T200" s="21"/>
      <c r="U200" s="21"/>
      <c r="V200" s="21"/>
    </row>
    <row r="201" spans="3:22">
      <c r="C201" s="21"/>
      <c r="D201" s="21"/>
      <c r="E201" s="21"/>
      <c r="F201" s="21"/>
      <c r="G201" s="21"/>
      <c r="H201" s="21"/>
      <c r="I201" s="21"/>
      <c r="J201" s="21"/>
      <c r="K201" s="21"/>
      <c r="L201" s="21"/>
      <c r="M201" s="21"/>
      <c r="N201" s="21"/>
      <c r="O201" s="21"/>
      <c r="P201" s="21"/>
      <c r="Q201" s="21"/>
      <c r="R201" s="21"/>
      <c r="S201" s="21"/>
      <c r="T201" s="21"/>
      <c r="U201" s="21"/>
      <c r="V201" s="21"/>
    </row>
    <row r="202" spans="3:22">
      <c r="C202" s="21"/>
      <c r="D202" s="21"/>
      <c r="E202" s="21"/>
      <c r="F202" s="21"/>
      <c r="G202" s="21"/>
      <c r="H202" s="21"/>
      <c r="I202" s="21"/>
      <c r="J202" s="21"/>
      <c r="K202" s="21"/>
      <c r="L202" s="21"/>
      <c r="M202" s="21"/>
      <c r="N202" s="21"/>
      <c r="O202" s="21"/>
      <c r="P202" s="21"/>
      <c r="Q202" s="21"/>
      <c r="R202" s="21"/>
      <c r="S202" s="21"/>
      <c r="T202" s="21"/>
      <c r="U202" s="21"/>
      <c r="V202" s="21"/>
    </row>
    <row r="203" spans="3:22">
      <c r="C203" s="21"/>
      <c r="D203" s="21"/>
      <c r="E203" s="21"/>
      <c r="F203" s="21"/>
      <c r="G203" s="21"/>
      <c r="H203" s="21"/>
      <c r="I203" s="21"/>
      <c r="J203" s="21"/>
      <c r="K203" s="21"/>
      <c r="L203" s="21"/>
      <c r="M203" s="21"/>
      <c r="N203" s="21"/>
      <c r="O203" s="21"/>
      <c r="P203" s="21"/>
      <c r="Q203" s="21"/>
      <c r="R203" s="21"/>
      <c r="S203" s="21"/>
      <c r="T203" s="21"/>
      <c r="U203" s="21"/>
      <c r="V203" s="21"/>
    </row>
    <row r="204" spans="3:22">
      <c r="C204" s="21"/>
      <c r="D204" s="21"/>
      <c r="E204" s="21"/>
      <c r="F204" s="21"/>
      <c r="G204" s="21"/>
      <c r="H204" s="21"/>
      <c r="I204" s="21"/>
      <c r="J204" s="21"/>
      <c r="K204" s="21"/>
      <c r="L204" s="21"/>
      <c r="M204" s="21"/>
      <c r="N204" s="21"/>
      <c r="O204" s="21"/>
      <c r="P204" s="21"/>
      <c r="Q204" s="21"/>
      <c r="R204" s="21"/>
      <c r="S204" s="21"/>
      <c r="T204" s="21"/>
      <c r="U204" s="21"/>
      <c r="V204" s="21"/>
    </row>
    <row r="205" spans="3:22">
      <c r="C205" s="21"/>
      <c r="D205" s="21"/>
      <c r="E205" s="21"/>
      <c r="F205" s="21"/>
      <c r="G205" s="21"/>
      <c r="H205" s="21"/>
      <c r="I205" s="21"/>
      <c r="J205" s="21"/>
      <c r="K205" s="21"/>
      <c r="L205" s="21"/>
      <c r="M205" s="21"/>
      <c r="N205" s="21"/>
      <c r="O205" s="21"/>
      <c r="P205" s="21"/>
      <c r="Q205" s="21"/>
      <c r="R205" s="21"/>
      <c r="S205" s="21"/>
      <c r="T205" s="21"/>
      <c r="U205" s="21"/>
      <c r="V205" s="21"/>
    </row>
    <row r="206" spans="3:22">
      <c r="C206" s="21"/>
      <c r="D206" s="21"/>
      <c r="E206" s="21"/>
      <c r="F206" s="21"/>
      <c r="G206" s="21"/>
      <c r="H206" s="21"/>
      <c r="I206" s="21"/>
      <c r="J206" s="21"/>
      <c r="K206" s="21"/>
      <c r="L206" s="21"/>
      <c r="M206" s="21"/>
      <c r="N206" s="21"/>
      <c r="O206" s="21"/>
      <c r="P206" s="21"/>
      <c r="Q206" s="21"/>
      <c r="R206" s="21"/>
      <c r="S206" s="21"/>
      <c r="T206" s="21"/>
      <c r="U206" s="21"/>
      <c r="V206" s="21"/>
    </row>
    <row r="207" spans="3:22">
      <c r="C207" s="21"/>
      <c r="D207" s="21"/>
      <c r="E207" s="21"/>
      <c r="F207" s="21"/>
      <c r="G207" s="21"/>
      <c r="H207" s="21"/>
      <c r="I207" s="21"/>
      <c r="J207" s="21"/>
      <c r="K207" s="21"/>
      <c r="L207" s="21"/>
      <c r="M207" s="21"/>
      <c r="N207" s="21"/>
      <c r="O207" s="21"/>
      <c r="P207" s="21"/>
      <c r="Q207" s="21"/>
      <c r="R207" s="21"/>
      <c r="S207" s="21"/>
      <c r="T207" s="21"/>
      <c r="U207" s="21"/>
      <c r="V207" s="21"/>
    </row>
    <row r="208" spans="3:22">
      <c r="C208" s="21"/>
      <c r="D208" s="21"/>
      <c r="E208" s="21"/>
      <c r="F208" s="21"/>
      <c r="G208" s="21"/>
      <c r="H208" s="21"/>
      <c r="I208" s="21"/>
      <c r="J208" s="21"/>
      <c r="K208" s="21"/>
      <c r="L208" s="21"/>
      <c r="M208" s="21"/>
      <c r="N208" s="21"/>
      <c r="O208" s="21"/>
      <c r="P208" s="21"/>
      <c r="Q208" s="21"/>
      <c r="R208" s="21"/>
      <c r="S208" s="21"/>
      <c r="T208" s="21"/>
      <c r="U208" s="21"/>
      <c r="V208" s="21"/>
    </row>
    <row r="209" spans="3:22">
      <c r="C209" s="21"/>
      <c r="D209" s="21"/>
      <c r="E209" s="21"/>
      <c r="F209" s="21"/>
      <c r="G209" s="21"/>
      <c r="H209" s="21"/>
      <c r="I209" s="21"/>
      <c r="J209" s="21"/>
      <c r="K209" s="21"/>
      <c r="L209" s="21"/>
      <c r="M209" s="21"/>
      <c r="N209" s="21"/>
      <c r="O209" s="21"/>
      <c r="P209" s="21"/>
      <c r="Q209" s="21"/>
      <c r="R209" s="21"/>
      <c r="S209" s="21"/>
      <c r="T209" s="21"/>
      <c r="U209" s="21"/>
      <c r="V209" s="21"/>
    </row>
    <row r="210" spans="3:22">
      <c r="C210" s="21"/>
      <c r="D210" s="21"/>
      <c r="E210" s="21"/>
      <c r="F210" s="21"/>
      <c r="G210" s="21"/>
      <c r="H210" s="21"/>
      <c r="I210" s="21"/>
      <c r="J210" s="21"/>
      <c r="K210" s="21"/>
      <c r="L210" s="21"/>
      <c r="M210" s="21"/>
      <c r="N210" s="21"/>
      <c r="O210" s="21"/>
      <c r="P210" s="21"/>
      <c r="Q210" s="21"/>
      <c r="R210" s="21"/>
      <c r="S210" s="21"/>
      <c r="T210" s="21"/>
      <c r="U210" s="21"/>
      <c r="V210" s="21"/>
    </row>
    <row r="211" spans="3:22">
      <c r="C211" s="21"/>
      <c r="D211" s="21"/>
      <c r="E211" s="21"/>
      <c r="F211" s="21"/>
      <c r="G211" s="21"/>
      <c r="H211" s="21"/>
      <c r="I211" s="21"/>
      <c r="J211" s="21"/>
      <c r="K211" s="21"/>
      <c r="L211" s="21"/>
      <c r="M211" s="21"/>
      <c r="N211" s="21"/>
      <c r="O211" s="21"/>
      <c r="P211" s="21"/>
      <c r="Q211" s="21"/>
      <c r="R211" s="21"/>
      <c r="S211" s="21"/>
      <c r="T211" s="21"/>
      <c r="U211" s="21"/>
      <c r="V211" s="21"/>
    </row>
    <row r="212" spans="3:22">
      <c r="C212" s="21"/>
      <c r="D212" s="21"/>
      <c r="E212" s="21"/>
      <c r="F212" s="21"/>
      <c r="G212" s="21"/>
      <c r="H212" s="21"/>
      <c r="I212" s="21"/>
      <c r="J212" s="21"/>
      <c r="K212" s="21"/>
      <c r="L212" s="21"/>
      <c r="M212" s="21"/>
      <c r="N212" s="21"/>
      <c r="O212" s="21"/>
      <c r="P212" s="21"/>
      <c r="Q212" s="21"/>
      <c r="R212" s="21"/>
      <c r="S212" s="21"/>
      <c r="T212" s="21"/>
      <c r="U212" s="21"/>
      <c r="V212" s="21"/>
    </row>
    <row r="213" spans="3:22">
      <c r="C213" s="21"/>
      <c r="D213" s="21"/>
      <c r="E213" s="21"/>
      <c r="F213" s="21"/>
      <c r="G213" s="21"/>
      <c r="H213" s="21"/>
      <c r="I213" s="21"/>
      <c r="J213" s="21"/>
      <c r="K213" s="21"/>
      <c r="L213" s="21"/>
      <c r="M213" s="21"/>
      <c r="N213" s="21"/>
      <c r="O213" s="21"/>
      <c r="P213" s="21"/>
      <c r="Q213" s="21"/>
      <c r="R213" s="21"/>
      <c r="S213" s="21"/>
      <c r="T213" s="21"/>
      <c r="U213" s="21"/>
      <c r="V213" s="21"/>
    </row>
    <row r="214" spans="3:22">
      <c r="C214" s="21"/>
      <c r="D214" s="21"/>
      <c r="E214" s="21"/>
      <c r="F214" s="21"/>
      <c r="G214" s="21"/>
      <c r="H214" s="21"/>
      <c r="I214" s="21"/>
      <c r="J214" s="21"/>
      <c r="K214" s="21"/>
      <c r="L214" s="21"/>
      <c r="M214" s="21"/>
      <c r="N214" s="21"/>
      <c r="O214" s="21"/>
      <c r="P214" s="21"/>
      <c r="Q214" s="21"/>
      <c r="R214" s="21"/>
      <c r="S214" s="21"/>
      <c r="T214" s="21"/>
      <c r="U214" s="21"/>
      <c r="V214" s="21"/>
    </row>
    <row r="215" spans="3:22">
      <c r="C215" s="21"/>
      <c r="D215" s="21"/>
      <c r="E215" s="21"/>
      <c r="F215" s="21"/>
      <c r="G215" s="21"/>
      <c r="H215" s="21"/>
      <c r="I215" s="21"/>
      <c r="J215" s="21"/>
      <c r="K215" s="21"/>
      <c r="L215" s="21"/>
      <c r="M215" s="21"/>
      <c r="N215" s="21"/>
      <c r="O215" s="21"/>
      <c r="P215" s="21"/>
      <c r="Q215" s="21"/>
      <c r="R215" s="21"/>
      <c r="S215" s="21"/>
      <c r="T215" s="21"/>
      <c r="U215" s="21"/>
      <c r="V215" s="21"/>
    </row>
    <row r="216" spans="3:22">
      <c r="C216" s="21"/>
      <c r="D216" s="21"/>
      <c r="E216" s="21"/>
      <c r="F216" s="21"/>
      <c r="G216" s="21"/>
      <c r="H216" s="21"/>
      <c r="I216" s="21"/>
      <c r="J216" s="21"/>
      <c r="K216" s="21"/>
      <c r="L216" s="21"/>
      <c r="M216" s="21"/>
      <c r="N216" s="21"/>
      <c r="O216" s="21"/>
      <c r="P216" s="21"/>
      <c r="Q216" s="21"/>
      <c r="R216" s="21"/>
      <c r="S216" s="21"/>
      <c r="T216" s="21"/>
      <c r="U216" s="21"/>
      <c r="V216" s="21"/>
    </row>
    <row r="217" spans="3:22">
      <c r="C217" s="21"/>
      <c r="D217" s="21"/>
      <c r="E217" s="21"/>
      <c r="F217" s="21"/>
      <c r="G217" s="21"/>
      <c r="H217" s="21"/>
      <c r="I217" s="21"/>
      <c r="J217" s="21"/>
      <c r="K217" s="21"/>
      <c r="L217" s="21"/>
      <c r="M217" s="21"/>
      <c r="N217" s="21"/>
      <c r="O217" s="21"/>
      <c r="P217" s="21"/>
      <c r="Q217" s="21"/>
      <c r="R217" s="21"/>
      <c r="S217" s="21"/>
      <c r="T217" s="21"/>
      <c r="U217" s="21"/>
      <c r="V217" s="21"/>
    </row>
    <row r="218" spans="3:22">
      <c r="C218" s="21"/>
      <c r="D218" s="21"/>
      <c r="E218" s="21"/>
      <c r="F218" s="21"/>
      <c r="G218" s="21"/>
      <c r="H218" s="21"/>
      <c r="I218" s="21"/>
      <c r="J218" s="21"/>
      <c r="K218" s="21"/>
      <c r="L218" s="21"/>
      <c r="M218" s="21"/>
      <c r="N218" s="21"/>
      <c r="O218" s="21"/>
      <c r="P218" s="21"/>
      <c r="Q218" s="21"/>
      <c r="R218" s="21"/>
      <c r="S218" s="21"/>
      <c r="T218" s="21"/>
      <c r="U218" s="21"/>
      <c r="V218" s="21"/>
    </row>
    <row r="219" spans="3:22">
      <c r="C219" s="21"/>
      <c r="D219" s="21"/>
      <c r="E219" s="21"/>
      <c r="F219" s="21"/>
      <c r="G219" s="21"/>
      <c r="H219" s="21"/>
      <c r="I219" s="21"/>
      <c r="J219" s="21"/>
      <c r="K219" s="21"/>
      <c r="L219" s="21"/>
      <c r="M219" s="21"/>
      <c r="N219" s="21"/>
      <c r="O219" s="21"/>
      <c r="P219" s="21"/>
      <c r="Q219" s="21"/>
      <c r="R219" s="21"/>
      <c r="S219" s="21"/>
      <c r="T219" s="21"/>
      <c r="U219" s="21"/>
      <c r="V219" s="21"/>
    </row>
    <row r="220" spans="3:22">
      <c r="C220" s="21"/>
      <c r="D220" s="21"/>
      <c r="E220" s="21"/>
      <c r="F220" s="21"/>
      <c r="G220" s="21"/>
      <c r="H220" s="21"/>
      <c r="I220" s="21"/>
      <c r="J220" s="21"/>
      <c r="K220" s="21"/>
      <c r="L220" s="21"/>
      <c r="M220" s="21"/>
      <c r="N220" s="21"/>
      <c r="O220" s="21"/>
      <c r="P220" s="21"/>
      <c r="Q220" s="21"/>
      <c r="R220" s="21"/>
      <c r="S220" s="21"/>
      <c r="T220" s="21"/>
      <c r="U220" s="21"/>
      <c r="V220" s="21"/>
    </row>
    <row r="221" spans="3:22">
      <c r="C221" s="21"/>
      <c r="D221" s="21"/>
      <c r="E221" s="21"/>
      <c r="F221" s="21"/>
      <c r="G221" s="21"/>
      <c r="H221" s="21"/>
      <c r="I221" s="21"/>
      <c r="J221" s="21"/>
      <c r="K221" s="21"/>
      <c r="L221" s="21"/>
      <c r="M221" s="21"/>
      <c r="N221" s="21"/>
      <c r="O221" s="21"/>
      <c r="P221" s="21"/>
      <c r="Q221" s="21"/>
      <c r="R221" s="21"/>
      <c r="S221" s="21"/>
      <c r="T221" s="21"/>
      <c r="U221" s="21"/>
      <c r="V221" s="21"/>
    </row>
    <row r="222" spans="3:22">
      <c r="C222" s="21"/>
      <c r="D222" s="21"/>
      <c r="E222" s="21"/>
      <c r="F222" s="21"/>
      <c r="G222" s="21"/>
      <c r="H222" s="21"/>
      <c r="I222" s="21"/>
      <c r="J222" s="21"/>
      <c r="K222" s="21"/>
      <c r="L222" s="21"/>
      <c r="M222" s="21"/>
      <c r="N222" s="21"/>
      <c r="O222" s="21"/>
      <c r="P222" s="21"/>
      <c r="Q222" s="21"/>
      <c r="R222" s="21"/>
      <c r="S222" s="21"/>
      <c r="T222" s="21"/>
      <c r="U222" s="21"/>
      <c r="V222" s="21"/>
    </row>
    <row r="223" spans="3:22">
      <c r="C223" s="21"/>
      <c r="D223" s="21"/>
      <c r="E223" s="21"/>
      <c r="F223" s="21"/>
      <c r="G223" s="21"/>
      <c r="H223" s="21"/>
      <c r="I223" s="21"/>
      <c r="J223" s="21"/>
      <c r="K223" s="21"/>
      <c r="L223" s="21"/>
      <c r="M223" s="21"/>
      <c r="N223" s="21"/>
      <c r="O223" s="21"/>
      <c r="P223" s="21"/>
      <c r="Q223" s="21"/>
      <c r="R223" s="21"/>
      <c r="S223" s="21"/>
      <c r="T223" s="21"/>
      <c r="U223" s="21"/>
      <c r="V223" s="21"/>
    </row>
    <row r="224" spans="3:22">
      <c r="C224" s="21"/>
      <c r="D224" s="21"/>
      <c r="E224" s="21"/>
      <c r="F224" s="21"/>
      <c r="G224" s="21"/>
      <c r="H224" s="21"/>
      <c r="I224" s="21"/>
      <c r="J224" s="21"/>
      <c r="K224" s="21"/>
      <c r="L224" s="21"/>
      <c r="M224" s="21"/>
      <c r="N224" s="21"/>
      <c r="O224" s="21"/>
      <c r="P224" s="21"/>
      <c r="Q224" s="21"/>
      <c r="R224" s="21"/>
      <c r="S224" s="21"/>
      <c r="T224" s="21"/>
      <c r="U224" s="21"/>
      <c r="V224" s="21"/>
    </row>
    <row r="225" spans="3:22">
      <c r="C225" s="21"/>
      <c r="D225" s="21"/>
      <c r="E225" s="21"/>
      <c r="F225" s="21"/>
      <c r="G225" s="21"/>
      <c r="H225" s="21"/>
      <c r="I225" s="21"/>
      <c r="J225" s="21"/>
      <c r="K225" s="21"/>
      <c r="L225" s="21"/>
      <c r="M225" s="21"/>
      <c r="N225" s="21"/>
      <c r="O225" s="21"/>
      <c r="P225" s="21"/>
      <c r="Q225" s="21"/>
      <c r="R225" s="21"/>
      <c r="S225" s="21"/>
      <c r="T225" s="21"/>
      <c r="U225" s="21"/>
      <c r="V225" s="21"/>
    </row>
    <row r="226" spans="3:22">
      <c r="C226" s="21"/>
      <c r="D226" s="21"/>
      <c r="E226" s="21"/>
      <c r="F226" s="21"/>
      <c r="G226" s="21"/>
      <c r="H226" s="21"/>
      <c r="I226" s="21"/>
      <c r="J226" s="21"/>
      <c r="K226" s="21"/>
      <c r="L226" s="21"/>
      <c r="M226" s="21"/>
      <c r="N226" s="21"/>
      <c r="O226" s="21"/>
      <c r="P226" s="21"/>
      <c r="Q226" s="21"/>
      <c r="R226" s="21"/>
      <c r="S226" s="21"/>
      <c r="T226" s="21"/>
      <c r="U226" s="21"/>
      <c r="V226" s="21"/>
    </row>
    <row r="227" spans="3:22">
      <c r="C227" s="21"/>
      <c r="D227" s="21"/>
      <c r="E227" s="21"/>
      <c r="F227" s="21"/>
      <c r="G227" s="21"/>
      <c r="H227" s="21"/>
      <c r="I227" s="21"/>
      <c r="J227" s="21"/>
      <c r="K227" s="21"/>
      <c r="L227" s="21"/>
      <c r="M227" s="21"/>
      <c r="N227" s="21"/>
      <c r="O227" s="21"/>
      <c r="P227" s="21"/>
      <c r="Q227" s="21"/>
      <c r="R227" s="21"/>
      <c r="S227" s="21"/>
      <c r="T227" s="21"/>
      <c r="U227" s="21"/>
      <c r="V227" s="21"/>
    </row>
    <row r="228" spans="3:22">
      <c r="C228" s="21"/>
      <c r="D228" s="21"/>
      <c r="E228" s="21"/>
      <c r="F228" s="21"/>
      <c r="G228" s="21"/>
      <c r="H228" s="21"/>
      <c r="I228" s="21"/>
      <c r="J228" s="21"/>
      <c r="K228" s="21"/>
      <c r="L228" s="21"/>
      <c r="M228" s="21"/>
      <c r="N228" s="21"/>
      <c r="O228" s="21"/>
      <c r="P228" s="21"/>
      <c r="Q228" s="21"/>
      <c r="R228" s="21"/>
      <c r="S228" s="21"/>
      <c r="T228" s="21"/>
      <c r="U228" s="21"/>
      <c r="V228" s="21"/>
    </row>
    <row r="229" spans="3:22">
      <c r="C229" s="21"/>
      <c r="D229" s="21"/>
      <c r="E229" s="21"/>
      <c r="F229" s="21"/>
      <c r="G229" s="21"/>
      <c r="H229" s="21"/>
      <c r="I229" s="21"/>
      <c r="J229" s="21"/>
      <c r="K229" s="21"/>
      <c r="L229" s="21"/>
      <c r="M229" s="21"/>
      <c r="N229" s="21"/>
      <c r="O229" s="21"/>
      <c r="P229" s="21"/>
      <c r="Q229" s="21"/>
      <c r="R229" s="21"/>
      <c r="S229" s="21"/>
      <c r="T229" s="21"/>
      <c r="U229" s="21"/>
      <c r="V229" s="21"/>
    </row>
    <row r="230" spans="3:22">
      <c r="C230" s="21"/>
      <c r="D230" s="21"/>
      <c r="E230" s="21"/>
      <c r="F230" s="21"/>
      <c r="G230" s="21"/>
      <c r="H230" s="21"/>
      <c r="I230" s="21"/>
      <c r="J230" s="21"/>
      <c r="K230" s="21"/>
      <c r="L230" s="21"/>
      <c r="M230" s="21"/>
      <c r="N230" s="21"/>
      <c r="O230" s="21"/>
      <c r="P230" s="21"/>
      <c r="Q230" s="21"/>
      <c r="R230" s="21"/>
      <c r="S230" s="21"/>
      <c r="T230" s="21"/>
      <c r="U230" s="21"/>
      <c r="V230" s="21"/>
    </row>
    <row r="231" spans="3:22">
      <c r="C231" s="21"/>
      <c r="D231" s="21"/>
      <c r="E231" s="21"/>
      <c r="F231" s="21"/>
      <c r="G231" s="21"/>
      <c r="H231" s="21"/>
      <c r="I231" s="21"/>
      <c r="J231" s="21"/>
      <c r="K231" s="21"/>
      <c r="L231" s="21"/>
      <c r="M231" s="21"/>
      <c r="N231" s="21"/>
      <c r="O231" s="21"/>
      <c r="P231" s="21"/>
      <c r="Q231" s="21"/>
      <c r="R231" s="21"/>
      <c r="S231" s="21"/>
      <c r="T231" s="21"/>
      <c r="U231" s="21"/>
      <c r="V231" s="21"/>
    </row>
    <row r="232" spans="3:22">
      <c r="C232" s="21"/>
      <c r="D232" s="21"/>
      <c r="E232" s="21"/>
      <c r="F232" s="21"/>
      <c r="G232" s="21"/>
      <c r="H232" s="21"/>
      <c r="I232" s="21"/>
      <c r="J232" s="21"/>
      <c r="K232" s="21"/>
      <c r="L232" s="21"/>
      <c r="M232" s="21"/>
      <c r="N232" s="21"/>
      <c r="O232" s="21"/>
      <c r="P232" s="21"/>
      <c r="Q232" s="21"/>
      <c r="R232" s="21"/>
      <c r="S232" s="21"/>
      <c r="T232" s="21"/>
      <c r="U232" s="21"/>
      <c r="V232" s="21"/>
    </row>
    <row r="233" spans="3:22">
      <c r="C233" s="21"/>
      <c r="D233" s="21"/>
      <c r="E233" s="21"/>
      <c r="F233" s="21"/>
      <c r="G233" s="21"/>
      <c r="H233" s="21"/>
      <c r="I233" s="21"/>
      <c r="J233" s="21"/>
      <c r="K233" s="21"/>
      <c r="L233" s="21"/>
      <c r="M233" s="21"/>
      <c r="N233" s="21"/>
      <c r="O233" s="21"/>
      <c r="P233" s="21"/>
      <c r="Q233" s="21"/>
      <c r="R233" s="21"/>
      <c r="S233" s="21"/>
      <c r="T233" s="21"/>
      <c r="U233" s="21"/>
      <c r="V233" s="21"/>
    </row>
    <row r="234" spans="3:22">
      <c r="C234" s="21"/>
      <c r="D234" s="21"/>
      <c r="E234" s="21"/>
      <c r="F234" s="21"/>
      <c r="G234" s="21"/>
      <c r="H234" s="21"/>
      <c r="I234" s="21"/>
      <c r="J234" s="21"/>
      <c r="K234" s="21"/>
      <c r="L234" s="21"/>
      <c r="M234" s="21"/>
      <c r="N234" s="21"/>
      <c r="O234" s="21"/>
      <c r="P234" s="21"/>
      <c r="Q234" s="21"/>
      <c r="R234" s="21"/>
      <c r="S234" s="21"/>
      <c r="T234" s="21"/>
      <c r="U234" s="21"/>
      <c r="V234" s="21"/>
    </row>
    <row r="235" spans="3:22">
      <c r="C235" s="21"/>
      <c r="D235" s="21"/>
      <c r="E235" s="21"/>
      <c r="F235" s="21"/>
      <c r="G235" s="21"/>
      <c r="H235" s="21"/>
      <c r="I235" s="21"/>
      <c r="J235" s="21"/>
      <c r="K235" s="21"/>
      <c r="L235" s="21"/>
      <c r="M235" s="21"/>
      <c r="N235" s="21"/>
      <c r="O235" s="21"/>
      <c r="P235" s="21"/>
      <c r="Q235" s="21"/>
      <c r="R235" s="21"/>
      <c r="S235" s="21"/>
      <c r="T235" s="21"/>
      <c r="U235" s="21"/>
      <c r="V235" s="21"/>
    </row>
    <row r="236" spans="3:22">
      <c r="C236" s="21"/>
      <c r="D236" s="21"/>
      <c r="E236" s="21"/>
      <c r="F236" s="21"/>
      <c r="G236" s="21"/>
      <c r="H236" s="21"/>
      <c r="I236" s="21"/>
      <c r="J236" s="21"/>
      <c r="K236" s="21"/>
      <c r="L236" s="21"/>
      <c r="M236" s="21"/>
      <c r="N236" s="21"/>
      <c r="O236" s="21"/>
      <c r="P236" s="21"/>
      <c r="Q236" s="21"/>
      <c r="R236" s="21"/>
      <c r="S236" s="21"/>
      <c r="T236" s="21"/>
      <c r="U236" s="21"/>
      <c r="V236" s="21"/>
    </row>
    <row r="237" spans="3:22">
      <c r="C237" s="21"/>
      <c r="D237" s="21"/>
      <c r="E237" s="21"/>
      <c r="F237" s="21"/>
      <c r="G237" s="21"/>
      <c r="H237" s="21"/>
      <c r="I237" s="21"/>
      <c r="J237" s="21"/>
      <c r="K237" s="21"/>
      <c r="L237" s="21"/>
      <c r="M237" s="21"/>
      <c r="N237" s="21"/>
      <c r="O237" s="21"/>
      <c r="P237" s="21"/>
      <c r="Q237" s="21"/>
      <c r="R237" s="21"/>
      <c r="S237" s="21"/>
      <c r="T237" s="21"/>
      <c r="U237" s="21"/>
      <c r="V237" s="21"/>
    </row>
    <row r="238" spans="3:22">
      <c r="C238" s="21"/>
      <c r="D238" s="21"/>
      <c r="E238" s="21"/>
      <c r="F238" s="21"/>
      <c r="G238" s="21"/>
      <c r="H238" s="21"/>
      <c r="I238" s="21"/>
      <c r="J238" s="21"/>
      <c r="K238" s="21"/>
      <c r="L238" s="21"/>
      <c r="M238" s="21"/>
      <c r="N238" s="21"/>
      <c r="O238" s="21"/>
      <c r="P238" s="21"/>
      <c r="Q238" s="21"/>
      <c r="R238" s="21"/>
      <c r="S238" s="21"/>
      <c r="T238" s="21"/>
      <c r="U238" s="21"/>
      <c r="V238" s="21"/>
    </row>
    <row r="239" spans="3:22">
      <c r="C239" s="21"/>
      <c r="D239" s="21"/>
      <c r="E239" s="21"/>
      <c r="F239" s="21"/>
      <c r="G239" s="21"/>
      <c r="H239" s="21"/>
      <c r="I239" s="21"/>
      <c r="J239" s="21"/>
      <c r="K239" s="21"/>
      <c r="L239" s="21"/>
      <c r="M239" s="21"/>
      <c r="N239" s="21"/>
      <c r="O239" s="21"/>
      <c r="P239" s="21"/>
      <c r="Q239" s="21"/>
      <c r="R239" s="21"/>
      <c r="S239" s="21"/>
      <c r="T239" s="21"/>
      <c r="U239" s="21"/>
      <c r="V239" s="21"/>
    </row>
    <row r="240" spans="3:22">
      <c r="C240" s="21"/>
      <c r="D240" s="21"/>
      <c r="E240" s="21"/>
      <c r="F240" s="21"/>
      <c r="G240" s="21"/>
      <c r="H240" s="21"/>
      <c r="I240" s="21"/>
      <c r="J240" s="21"/>
      <c r="K240" s="21"/>
      <c r="L240" s="21"/>
      <c r="M240" s="21"/>
      <c r="N240" s="21"/>
      <c r="O240" s="21"/>
      <c r="P240" s="21"/>
      <c r="Q240" s="21"/>
      <c r="R240" s="21"/>
      <c r="S240" s="21"/>
      <c r="T240" s="21"/>
      <c r="U240" s="21"/>
      <c r="V240" s="21"/>
    </row>
    <row r="241" spans="3:22">
      <c r="C241" s="21"/>
      <c r="D241" s="21"/>
      <c r="E241" s="21"/>
      <c r="F241" s="21"/>
      <c r="G241" s="21"/>
      <c r="H241" s="21"/>
      <c r="I241" s="21"/>
      <c r="J241" s="21"/>
      <c r="K241" s="21"/>
      <c r="L241" s="21"/>
      <c r="M241" s="21"/>
      <c r="N241" s="21"/>
      <c r="O241" s="21"/>
      <c r="P241" s="21"/>
      <c r="Q241" s="21"/>
      <c r="R241" s="21"/>
      <c r="S241" s="21"/>
      <c r="T241" s="21"/>
      <c r="U241" s="21"/>
      <c r="V241" s="21"/>
    </row>
    <row r="242" spans="3:22">
      <c r="C242" s="21"/>
      <c r="D242" s="21"/>
      <c r="E242" s="21"/>
      <c r="F242" s="21"/>
      <c r="G242" s="21"/>
      <c r="H242" s="21"/>
      <c r="I242" s="21"/>
      <c r="J242" s="21"/>
      <c r="K242" s="21"/>
      <c r="L242" s="21"/>
      <c r="M242" s="21"/>
      <c r="N242" s="21"/>
      <c r="O242" s="21"/>
      <c r="P242" s="21"/>
      <c r="Q242" s="21"/>
      <c r="R242" s="21"/>
      <c r="S242" s="21"/>
      <c r="T242" s="21"/>
      <c r="U242" s="21"/>
      <c r="V242" s="21"/>
    </row>
    <row r="243" spans="3:22">
      <c r="C243" s="21"/>
      <c r="D243" s="21"/>
      <c r="E243" s="21"/>
      <c r="F243" s="21"/>
      <c r="G243" s="21"/>
      <c r="H243" s="21"/>
      <c r="I243" s="21"/>
      <c r="J243" s="21"/>
      <c r="K243" s="21"/>
      <c r="L243" s="21"/>
      <c r="M243" s="21"/>
      <c r="N243" s="21"/>
      <c r="O243" s="21"/>
      <c r="P243" s="21"/>
      <c r="Q243" s="21"/>
      <c r="R243" s="21"/>
      <c r="S243" s="21"/>
      <c r="T243" s="21"/>
      <c r="U243" s="21"/>
      <c r="V243" s="21"/>
    </row>
    <row r="244" spans="3:22">
      <c r="C244" s="21"/>
      <c r="D244" s="21"/>
      <c r="E244" s="21"/>
      <c r="F244" s="21"/>
      <c r="G244" s="21"/>
      <c r="H244" s="21"/>
      <c r="I244" s="21"/>
      <c r="J244" s="21"/>
      <c r="K244" s="21"/>
      <c r="L244" s="21"/>
      <c r="M244" s="21"/>
      <c r="N244" s="21"/>
      <c r="O244" s="21"/>
      <c r="P244" s="21"/>
      <c r="Q244" s="21"/>
      <c r="R244" s="21"/>
      <c r="S244" s="21"/>
      <c r="T244" s="21"/>
      <c r="U244" s="21"/>
      <c r="V244" s="21"/>
    </row>
    <row r="245" spans="3:22">
      <c r="C245" s="21"/>
      <c r="D245" s="21"/>
      <c r="E245" s="21"/>
      <c r="F245" s="21"/>
      <c r="G245" s="21"/>
      <c r="H245" s="21"/>
      <c r="I245" s="21"/>
      <c r="J245" s="21"/>
      <c r="K245" s="21"/>
      <c r="L245" s="21"/>
      <c r="M245" s="21"/>
      <c r="N245" s="21"/>
      <c r="O245" s="21"/>
      <c r="P245" s="21"/>
      <c r="Q245" s="21"/>
      <c r="R245" s="21"/>
      <c r="S245" s="21"/>
      <c r="T245" s="21"/>
      <c r="U245" s="21"/>
      <c r="V245" s="21"/>
    </row>
    <row r="246" spans="3:22">
      <c r="C246" s="21"/>
      <c r="D246" s="21"/>
      <c r="E246" s="21"/>
      <c r="F246" s="21"/>
      <c r="G246" s="21"/>
      <c r="H246" s="21"/>
      <c r="I246" s="21"/>
      <c r="J246" s="21"/>
      <c r="K246" s="21"/>
      <c r="L246" s="21"/>
      <c r="M246" s="21"/>
      <c r="N246" s="21"/>
      <c r="O246" s="21"/>
      <c r="P246" s="21"/>
      <c r="Q246" s="21"/>
      <c r="R246" s="21"/>
      <c r="S246" s="21"/>
      <c r="T246" s="21"/>
      <c r="U246" s="21"/>
      <c r="V246" s="21"/>
    </row>
    <row r="247" spans="3:22">
      <c r="C247" s="21"/>
      <c r="D247" s="21"/>
      <c r="E247" s="21"/>
      <c r="F247" s="21"/>
      <c r="G247" s="21"/>
      <c r="H247" s="21"/>
      <c r="I247" s="21"/>
      <c r="J247" s="21"/>
      <c r="K247" s="21"/>
      <c r="L247" s="21"/>
      <c r="M247" s="21"/>
      <c r="N247" s="21"/>
      <c r="O247" s="21"/>
      <c r="P247" s="21"/>
      <c r="Q247" s="21"/>
      <c r="R247" s="21"/>
      <c r="S247" s="21"/>
      <c r="T247" s="21"/>
      <c r="U247" s="21"/>
      <c r="V247" s="21"/>
    </row>
    <row r="248" spans="3:22">
      <c r="C248" s="21"/>
      <c r="D248" s="21"/>
      <c r="E248" s="21"/>
      <c r="F248" s="21"/>
      <c r="G248" s="21"/>
      <c r="H248" s="21"/>
      <c r="I248" s="21"/>
      <c r="J248" s="21"/>
      <c r="K248" s="21"/>
      <c r="L248" s="21"/>
      <c r="M248" s="21"/>
      <c r="N248" s="21"/>
      <c r="O248" s="21"/>
      <c r="P248" s="21"/>
      <c r="Q248" s="21"/>
      <c r="R248" s="21"/>
      <c r="S248" s="21"/>
      <c r="T248" s="21"/>
      <c r="U248" s="21"/>
      <c r="V248" s="21"/>
    </row>
    <row r="249" spans="3:22">
      <c r="C249" s="21"/>
      <c r="D249" s="21"/>
      <c r="E249" s="21"/>
      <c r="F249" s="21"/>
      <c r="G249" s="21"/>
      <c r="H249" s="21"/>
      <c r="I249" s="21"/>
      <c r="J249" s="21"/>
      <c r="K249" s="21"/>
      <c r="L249" s="21"/>
      <c r="M249" s="21"/>
      <c r="N249" s="21"/>
      <c r="O249" s="21"/>
      <c r="P249" s="21"/>
      <c r="Q249" s="21"/>
      <c r="R249" s="21"/>
      <c r="S249" s="21"/>
      <c r="T249" s="21"/>
      <c r="U249" s="21"/>
      <c r="V249" s="21"/>
    </row>
    <row r="250" spans="3:22">
      <c r="C250" s="21"/>
      <c r="D250" s="21"/>
      <c r="E250" s="21"/>
      <c r="F250" s="21"/>
      <c r="G250" s="21"/>
      <c r="H250" s="21"/>
      <c r="I250" s="21"/>
      <c r="J250" s="21"/>
      <c r="K250" s="21"/>
      <c r="L250" s="21"/>
      <c r="M250" s="21"/>
      <c r="N250" s="21"/>
      <c r="O250" s="21"/>
      <c r="P250" s="21"/>
      <c r="Q250" s="21"/>
      <c r="R250" s="21"/>
      <c r="S250" s="21"/>
      <c r="T250" s="21"/>
      <c r="U250" s="21"/>
      <c r="V250" s="21"/>
    </row>
    <row r="251" spans="3:22">
      <c r="C251" s="21"/>
      <c r="D251" s="21"/>
      <c r="E251" s="21"/>
      <c r="F251" s="21"/>
      <c r="G251" s="21"/>
      <c r="H251" s="21"/>
      <c r="I251" s="21"/>
      <c r="J251" s="21"/>
      <c r="K251" s="21"/>
      <c r="L251" s="21"/>
      <c r="M251" s="21"/>
      <c r="N251" s="21"/>
      <c r="O251" s="21"/>
      <c r="P251" s="21"/>
      <c r="Q251" s="21"/>
      <c r="R251" s="21"/>
      <c r="S251" s="21"/>
      <c r="T251" s="21"/>
      <c r="U251" s="21"/>
      <c r="V251" s="21"/>
    </row>
    <row r="252" spans="3:22">
      <c r="C252" s="21"/>
      <c r="D252" s="21"/>
      <c r="E252" s="21"/>
      <c r="F252" s="21"/>
      <c r="G252" s="21"/>
      <c r="H252" s="21"/>
      <c r="I252" s="21"/>
      <c r="J252" s="21"/>
      <c r="K252" s="21"/>
      <c r="L252" s="21"/>
      <c r="M252" s="21"/>
      <c r="N252" s="21"/>
      <c r="O252" s="21"/>
      <c r="P252" s="21"/>
      <c r="Q252" s="21"/>
      <c r="R252" s="21"/>
      <c r="S252" s="21"/>
      <c r="T252" s="21"/>
      <c r="U252" s="21"/>
      <c r="V252" s="21"/>
    </row>
    <row r="253" spans="3:22">
      <c r="C253" s="21"/>
      <c r="D253" s="21"/>
      <c r="E253" s="21"/>
      <c r="F253" s="21"/>
      <c r="G253" s="21"/>
      <c r="H253" s="21"/>
      <c r="I253" s="21"/>
      <c r="J253" s="21"/>
      <c r="K253" s="21"/>
      <c r="L253" s="21"/>
      <c r="M253" s="21"/>
      <c r="N253" s="21"/>
      <c r="O253" s="21"/>
      <c r="P253" s="21"/>
      <c r="Q253" s="21"/>
      <c r="R253" s="21"/>
      <c r="S253" s="21"/>
      <c r="T253" s="21"/>
      <c r="U253" s="21"/>
      <c r="V253" s="21"/>
    </row>
    <row r="254" spans="3:22">
      <c r="C254" s="21"/>
      <c r="D254" s="21"/>
      <c r="E254" s="21"/>
      <c r="F254" s="21"/>
      <c r="G254" s="21"/>
      <c r="H254" s="21"/>
      <c r="I254" s="21"/>
      <c r="J254" s="21"/>
      <c r="K254" s="21"/>
      <c r="L254" s="21"/>
      <c r="M254" s="21"/>
      <c r="N254" s="21"/>
      <c r="O254" s="21"/>
      <c r="P254" s="21"/>
      <c r="Q254" s="21"/>
      <c r="R254" s="21"/>
      <c r="S254" s="21"/>
      <c r="T254" s="21"/>
      <c r="U254" s="21"/>
      <c r="V254" s="21"/>
    </row>
    <row r="255" spans="3:22">
      <c r="C255" s="21"/>
      <c r="D255" s="21"/>
      <c r="E255" s="21"/>
      <c r="F255" s="21"/>
      <c r="G255" s="21"/>
      <c r="H255" s="21"/>
      <c r="I255" s="21"/>
      <c r="J255" s="21"/>
      <c r="K255" s="21"/>
      <c r="L255" s="21"/>
      <c r="M255" s="21"/>
      <c r="N255" s="21"/>
      <c r="O255" s="21"/>
      <c r="P255" s="21"/>
      <c r="Q255" s="21"/>
      <c r="R255" s="21"/>
      <c r="S255" s="21"/>
      <c r="T255" s="21"/>
      <c r="U255" s="21"/>
      <c r="V255" s="21"/>
    </row>
    <row r="256" spans="3:22">
      <c r="C256" s="21"/>
      <c r="D256" s="21"/>
      <c r="E256" s="21"/>
      <c r="F256" s="21"/>
      <c r="G256" s="21"/>
      <c r="H256" s="21"/>
      <c r="I256" s="21"/>
      <c r="J256" s="21"/>
      <c r="K256" s="21"/>
      <c r="L256" s="21"/>
      <c r="M256" s="21"/>
      <c r="N256" s="21"/>
      <c r="O256" s="21"/>
      <c r="P256" s="21"/>
      <c r="Q256" s="21"/>
      <c r="R256" s="21"/>
      <c r="S256" s="21"/>
      <c r="T256" s="21"/>
      <c r="U256" s="21"/>
      <c r="V256" s="21"/>
    </row>
    <row r="257" spans="3:22">
      <c r="C257" s="21"/>
      <c r="D257" s="21"/>
      <c r="E257" s="21"/>
      <c r="F257" s="21"/>
      <c r="G257" s="21"/>
      <c r="H257" s="21"/>
      <c r="I257" s="21"/>
      <c r="J257" s="21"/>
      <c r="K257" s="21"/>
      <c r="L257" s="21"/>
      <c r="M257" s="21"/>
      <c r="N257" s="21"/>
      <c r="O257" s="21"/>
      <c r="P257" s="21"/>
      <c r="Q257" s="21"/>
      <c r="R257" s="21"/>
      <c r="S257" s="21"/>
      <c r="T257" s="21"/>
      <c r="U257" s="21"/>
      <c r="V257" s="21"/>
    </row>
    <row r="258" spans="3:22">
      <c r="C258" s="21"/>
      <c r="D258" s="21"/>
      <c r="E258" s="21"/>
      <c r="F258" s="21"/>
      <c r="G258" s="21"/>
      <c r="H258" s="21"/>
      <c r="I258" s="21"/>
      <c r="J258" s="21"/>
      <c r="K258" s="21"/>
      <c r="L258" s="21"/>
      <c r="M258" s="21"/>
      <c r="N258" s="21"/>
      <c r="O258" s="21"/>
      <c r="P258" s="21"/>
      <c r="Q258" s="21"/>
      <c r="R258" s="21"/>
      <c r="S258" s="21"/>
      <c r="T258" s="21"/>
      <c r="U258" s="21"/>
      <c r="V258" s="21"/>
    </row>
    <row r="259" spans="3:22">
      <c r="C259" s="21"/>
      <c r="D259" s="21"/>
      <c r="E259" s="21"/>
      <c r="F259" s="21"/>
      <c r="G259" s="21"/>
      <c r="H259" s="21"/>
      <c r="I259" s="21"/>
      <c r="J259" s="21"/>
      <c r="K259" s="21"/>
      <c r="L259" s="21"/>
      <c r="M259" s="21"/>
      <c r="N259" s="21"/>
      <c r="O259" s="21"/>
      <c r="P259" s="21"/>
      <c r="Q259" s="21"/>
      <c r="R259" s="21"/>
      <c r="S259" s="21"/>
      <c r="T259" s="21"/>
      <c r="U259" s="21"/>
      <c r="V259" s="21"/>
    </row>
    <row r="260" spans="3:22">
      <c r="C260" s="21"/>
      <c r="D260" s="21"/>
      <c r="E260" s="21"/>
      <c r="F260" s="21"/>
      <c r="G260" s="21"/>
      <c r="H260" s="21"/>
      <c r="I260" s="21"/>
      <c r="J260" s="21"/>
      <c r="K260" s="21"/>
      <c r="L260" s="21"/>
      <c r="M260" s="21"/>
      <c r="N260" s="21"/>
      <c r="O260" s="21"/>
      <c r="P260" s="21"/>
      <c r="Q260" s="21"/>
      <c r="R260" s="21"/>
      <c r="S260" s="21"/>
      <c r="T260" s="21"/>
      <c r="U260" s="21"/>
      <c r="V260" s="21"/>
    </row>
    <row r="261" spans="3:22">
      <c r="C261" s="21"/>
      <c r="D261" s="21"/>
      <c r="E261" s="21"/>
      <c r="F261" s="21"/>
      <c r="G261" s="21"/>
      <c r="H261" s="21"/>
      <c r="I261" s="21"/>
      <c r="J261" s="21"/>
      <c r="K261" s="21"/>
      <c r="L261" s="21"/>
      <c r="M261" s="21"/>
      <c r="N261" s="21"/>
      <c r="O261" s="21"/>
      <c r="P261" s="21"/>
      <c r="Q261" s="21"/>
      <c r="R261" s="21"/>
      <c r="S261" s="21"/>
      <c r="T261" s="21"/>
      <c r="U261" s="21"/>
      <c r="V261" s="21"/>
    </row>
    <row r="262" spans="3:22">
      <c r="C262" s="21"/>
      <c r="D262" s="21"/>
      <c r="E262" s="21"/>
      <c r="F262" s="21"/>
      <c r="G262" s="21"/>
      <c r="H262" s="21"/>
      <c r="I262" s="21"/>
      <c r="J262" s="21"/>
      <c r="K262" s="21"/>
      <c r="L262" s="21"/>
      <c r="M262" s="21"/>
      <c r="N262" s="21"/>
      <c r="O262" s="21"/>
      <c r="P262" s="21"/>
      <c r="Q262" s="21"/>
      <c r="R262" s="21"/>
      <c r="S262" s="21"/>
      <c r="T262" s="21"/>
      <c r="U262" s="21"/>
      <c r="V262" s="21"/>
    </row>
    <row r="263" spans="3:22">
      <c r="C263" s="21"/>
      <c r="D263" s="21"/>
      <c r="E263" s="21"/>
      <c r="F263" s="21"/>
      <c r="G263" s="21"/>
      <c r="H263" s="21"/>
      <c r="I263" s="21"/>
      <c r="J263" s="21"/>
      <c r="K263" s="21"/>
      <c r="L263" s="21"/>
      <c r="M263" s="21"/>
      <c r="N263" s="21"/>
      <c r="O263" s="21"/>
      <c r="P263" s="21"/>
      <c r="Q263" s="21"/>
      <c r="R263" s="21"/>
      <c r="S263" s="21"/>
      <c r="T263" s="21"/>
      <c r="U263" s="21"/>
      <c r="V263" s="21"/>
    </row>
    <row r="264" spans="3:22">
      <c r="C264" s="21"/>
      <c r="D264" s="21"/>
      <c r="E264" s="21"/>
      <c r="F264" s="21"/>
      <c r="G264" s="21"/>
      <c r="H264" s="21"/>
      <c r="I264" s="21"/>
      <c r="J264" s="21"/>
      <c r="K264" s="21"/>
      <c r="L264" s="21"/>
      <c r="M264" s="21"/>
      <c r="N264" s="21"/>
      <c r="O264" s="21"/>
      <c r="P264" s="21"/>
      <c r="Q264" s="21"/>
      <c r="R264" s="21"/>
      <c r="S264" s="21"/>
      <c r="T264" s="21"/>
      <c r="U264" s="21"/>
      <c r="V264" s="21"/>
    </row>
    <row r="265" spans="3:22">
      <c r="C265" s="21"/>
      <c r="D265" s="21"/>
      <c r="E265" s="21"/>
      <c r="F265" s="21"/>
      <c r="G265" s="21"/>
      <c r="H265" s="21"/>
      <c r="I265" s="21"/>
      <c r="J265" s="21"/>
      <c r="K265" s="21"/>
      <c r="L265" s="21"/>
      <c r="M265" s="21"/>
      <c r="N265" s="21"/>
      <c r="O265" s="21"/>
      <c r="P265" s="21"/>
      <c r="Q265" s="21"/>
      <c r="R265" s="21"/>
      <c r="S265" s="21"/>
      <c r="T265" s="21"/>
      <c r="U265" s="21"/>
      <c r="V265" s="21"/>
    </row>
    <row r="266" spans="3:22">
      <c r="C266" s="21"/>
      <c r="D266" s="21"/>
      <c r="E266" s="21"/>
      <c r="F266" s="21"/>
      <c r="G266" s="21"/>
      <c r="H266" s="21"/>
      <c r="I266" s="21"/>
      <c r="J266" s="21"/>
      <c r="K266" s="21"/>
      <c r="L266" s="21"/>
      <c r="M266" s="21"/>
      <c r="N266" s="21"/>
      <c r="O266" s="21"/>
      <c r="P266" s="21"/>
      <c r="Q266" s="21"/>
      <c r="R266" s="21"/>
      <c r="S266" s="21"/>
      <c r="T266" s="21"/>
      <c r="U266" s="21"/>
      <c r="V266" s="21"/>
    </row>
    <row r="267" spans="3:22">
      <c r="C267" s="21"/>
      <c r="D267" s="21"/>
      <c r="E267" s="21"/>
      <c r="F267" s="21"/>
      <c r="G267" s="21"/>
      <c r="H267" s="21"/>
      <c r="I267" s="21"/>
      <c r="J267" s="21"/>
      <c r="K267" s="21"/>
      <c r="L267" s="21"/>
      <c r="M267" s="21"/>
      <c r="N267" s="21"/>
      <c r="O267" s="21"/>
      <c r="P267" s="21"/>
      <c r="Q267" s="21"/>
      <c r="R267" s="21"/>
      <c r="S267" s="21"/>
      <c r="T267" s="21"/>
      <c r="U267" s="21"/>
      <c r="V267" s="21"/>
    </row>
    <row r="268" spans="3:22">
      <c r="C268" s="21"/>
      <c r="D268" s="21"/>
      <c r="E268" s="21"/>
      <c r="F268" s="21"/>
      <c r="G268" s="21"/>
      <c r="H268" s="21"/>
      <c r="I268" s="21"/>
      <c r="J268" s="21"/>
      <c r="K268" s="21"/>
      <c r="L268" s="21"/>
      <c r="M268" s="21"/>
      <c r="N268" s="21"/>
      <c r="O268" s="21"/>
      <c r="P268" s="21"/>
      <c r="Q268" s="21"/>
      <c r="R268" s="21"/>
      <c r="S268" s="21"/>
      <c r="T268" s="21"/>
      <c r="U268" s="21"/>
      <c r="V268" s="21"/>
    </row>
    <row r="269" spans="3:22">
      <c r="C269" s="21"/>
      <c r="D269" s="21"/>
      <c r="E269" s="21"/>
      <c r="F269" s="21"/>
      <c r="G269" s="21"/>
      <c r="H269" s="21"/>
      <c r="I269" s="21"/>
      <c r="J269" s="21"/>
      <c r="K269" s="21"/>
      <c r="L269" s="21"/>
      <c r="M269" s="21"/>
      <c r="N269" s="21"/>
      <c r="O269" s="21"/>
      <c r="P269" s="21"/>
      <c r="Q269" s="21"/>
      <c r="R269" s="21"/>
      <c r="S269" s="21"/>
      <c r="T269" s="21"/>
      <c r="U269" s="21"/>
      <c r="V269" s="21"/>
    </row>
    <row r="270" spans="3:22">
      <c r="C270" s="21"/>
      <c r="D270" s="21"/>
      <c r="E270" s="21"/>
      <c r="F270" s="21"/>
      <c r="G270" s="21"/>
      <c r="H270" s="21"/>
      <c r="I270" s="21"/>
      <c r="J270" s="21"/>
      <c r="K270" s="21"/>
      <c r="L270" s="21"/>
      <c r="M270" s="21"/>
      <c r="N270" s="21"/>
      <c r="O270" s="21"/>
      <c r="P270" s="21"/>
      <c r="Q270" s="21"/>
      <c r="R270" s="21"/>
      <c r="S270" s="21"/>
      <c r="T270" s="21"/>
      <c r="U270" s="21"/>
      <c r="V270" s="21"/>
    </row>
    <row r="271" spans="3:22">
      <c r="C271" s="21"/>
      <c r="D271" s="21"/>
      <c r="E271" s="21"/>
      <c r="F271" s="21"/>
      <c r="G271" s="21"/>
      <c r="H271" s="21"/>
      <c r="I271" s="21"/>
      <c r="J271" s="21"/>
      <c r="K271" s="21"/>
      <c r="L271" s="21"/>
      <c r="M271" s="21"/>
      <c r="N271" s="21"/>
      <c r="O271" s="21"/>
      <c r="P271" s="21"/>
      <c r="Q271" s="21"/>
      <c r="R271" s="21"/>
      <c r="S271" s="21"/>
      <c r="T271" s="21"/>
      <c r="U271" s="21"/>
      <c r="V271" s="21"/>
    </row>
    <row r="272" spans="3:22">
      <c r="C272" s="21"/>
      <c r="D272" s="21"/>
      <c r="E272" s="21"/>
      <c r="F272" s="21"/>
      <c r="G272" s="21"/>
      <c r="H272" s="21"/>
      <c r="I272" s="21"/>
      <c r="J272" s="21"/>
      <c r="K272" s="21"/>
      <c r="L272" s="21"/>
      <c r="M272" s="21"/>
      <c r="N272" s="21"/>
      <c r="O272" s="21"/>
      <c r="P272" s="21"/>
      <c r="Q272" s="21"/>
      <c r="R272" s="21"/>
      <c r="S272" s="21"/>
      <c r="T272" s="21"/>
      <c r="U272" s="21"/>
      <c r="V272" s="21"/>
    </row>
    <row r="273" spans="3:22">
      <c r="C273" s="21"/>
      <c r="D273" s="21"/>
      <c r="E273" s="21"/>
      <c r="F273" s="21"/>
      <c r="G273" s="21"/>
      <c r="H273" s="21"/>
      <c r="I273" s="21"/>
      <c r="J273" s="21"/>
      <c r="K273" s="21"/>
      <c r="L273" s="21"/>
      <c r="M273" s="21"/>
      <c r="N273" s="21"/>
      <c r="O273" s="21"/>
      <c r="P273" s="21"/>
      <c r="Q273" s="21"/>
      <c r="R273" s="21"/>
      <c r="S273" s="21"/>
      <c r="T273" s="21"/>
      <c r="U273" s="21"/>
      <c r="V273" s="21"/>
    </row>
    <row r="274" spans="3:22">
      <c r="C274" s="21"/>
      <c r="D274" s="21"/>
      <c r="E274" s="21"/>
      <c r="F274" s="21"/>
      <c r="G274" s="21"/>
      <c r="H274" s="21"/>
      <c r="I274" s="21"/>
      <c r="J274" s="21"/>
      <c r="K274" s="21"/>
      <c r="L274" s="21"/>
      <c r="M274" s="21"/>
      <c r="N274" s="21"/>
      <c r="O274" s="21"/>
      <c r="P274" s="21"/>
      <c r="Q274" s="21"/>
      <c r="R274" s="21"/>
      <c r="S274" s="21"/>
      <c r="T274" s="21"/>
      <c r="U274" s="21"/>
      <c r="V274" s="21"/>
    </row>
    <row r="275" spans="3:22">
      <c r="C275" s="21"/>
      <c r="D275" s="21"/>
      <c r="E275" s="21"/>
      <c r="F275" s="21"/>
      <c r="G275" s="21"/>
      <c r="H275" s="21"/>
      <c r="I275" s="21"/>
      <c r="J275" s="21"/>
      <c r="K275" s="21"/>
      <c r="L275" s="21"/>
      <c r="M275" s="21"/>
      <c r="N275" s="21"/>
      <c r="O275" s="21"/>
      <c r="P275" s="21"/>
      <c r="Q275" s="21"/>
      <c r="R275" s="21"/>
      <c r="S275" s="21"/>
      <c r="T275" s="21"/>
      <c r="U275" s="21"/>
      <c r="V275" s="21"/>
    </row>
    <row r="276" spans="3:22">
      <c r="C276" s="21"/>
      <c r="D276" s="21"/>
      <c r="E276" s="21"/>
      <c r="F276" s="21"/>
      <c r="G276" s="21"/>
      <c r="H276" s="21"/>
      <c r="I276" s="21"/>
      <c r="J276" s="21"/>
      <c r="K276" s="21"/>
      <c r="L276" s="21"/>
      <c r="M276" s="21"/>
      <c r="N276" s="21"/>
      <c r="O276" s="21"/>
      <c r="P276" s="21"/>
      <c r="Q276" s="21"/>
      <c r="R276" s="21"/>
      <c r="S276" s="21"/>
      <c r="T276" s="21"/>
      <c r="U276" s="21"/>
      <c r="V276" s="21"/>
    </row>
    <row r="277" spans="3:22">
      <c r="C277" s="21"/>
      <c r="D277" s="21"/>
      <c r="E277" s="21"/>
      <c r="F277" s="21"/>
      <c r="G277" s="21"/>
      <c r="H277" s="21"/>
      <c r="I277" s="21"/>
      <c r="J277" s="21"/>
      <c r="K277" s="21"/>
      <c r="L277" s="21"/>
      <c r="M277" s="21"/>
      <c r="N277" s="21"/>
      <c r="O277" s="21"/>
      <c r="P277" s="21"/>
      <c r="Q277" s="21"/>
      <c r="R277" s="21"/>
      <c r="S277" s="21"/>
      <c r="T277" s="21"/>
      <c r="U277" s="21"/>
      <c r="V277" s="21"/>
    </row>
    <row r="278" spans="3:22">
      <c r="C278" s="21"/>
      <c r="D278" s="21"/>
      <c r="E278" s="21"/>
      <c r="F278" s="21"/>
      <c r="G278" s="21"/>
      <c r="H278" s="21"/>
      <c r="I278" s="21"/>
      <c r="J278" s="21"/>
      <c r="K278" s="21"/>
      <c r="L278" s="21"/>
      <c r="M278" s="21"/>
      <c r="N278" s="21"/>
      <c r="O278" s="21"/>
      <c r="P278" s="21"/>
      <c r="Q278" s="21"/>
      <c r="R278" s="21"/>
      <c r="S278" s="21"/>
      <c r="T278" s="21"/>
      <c r="U278" s="21"/>
      <c r="V278" s="21"/>
    </row>
    <row r="279" spans="3:22">
      <c r="C279" s="21"/>
      <c r="D279" s="21"/>
      <c r="E279" s="21"/>
      <c r="F279" s="21"/>
      <c r="G279" s="21"/>
      <c r="H279" s="21"/>
      <c r="I279" s="21"/>
      <c r="J279" s="21"/>
      <c r="K279" s="21"/>
      <c r="L279" s="21"/>
      <c r="M279" s="21"/>
      <c r="N279" s="21"/>
      <c r="O279" s="21"/>
      <c r="P279" s="21"/>
      <c r="Q279" s="21"/>
      <c r="R279" s="21"/>
      <c r="S279" s="21"/>
      <c r="T279" s="21"/>
      <c r="U279" s="21"/>
      <c r="V279" s="21"/>
    </row>
    <row r="280" spans="3:22">
      <c r="C280" s="21"/>
      <c r="D280" s="21"/>
      <c r="E280" s="21"/>
      <c r="F280" s="21"/>
      <c r="G280" s="21"/>
      <c r="H280" s="21"/>
      <c r="I280" s="21"/>
      <c r="J280" s="21"/>
      <c r="K280" s="21"/>
      <c r="L280" s="21"/>
      <c r="M280" s="21"/>
      <c r="N280" s="21"/>
      <c r="O280" s="21"/>
      <c r="P280" s="21"/>
      <c r="Q280" s="21"/>
      <c r="R280" s="21"/>
      <c r="S280" s="21"/>
      <c r="T280" s="21"/>
      <c r="U280" s="21"/>
      <c r="V280" s="21"/>
    </row>
    <row r="281" spans="3:22">
      <c r="C281" s="21"/>
      <c r="D281" s="21"/>
      <c r="E281" s="21"/>
      <c r="F281" s="21"/>
      <c r="G281" s="21"/>
      <c r="H281" s="21"/>
      <c r="I281" s="21"/>
      <c r="J281" s="21"/>
      <c r="K281" s="21"/>
      <c r="L281" s="21"/>
      <c r="M281" s="21"/>
      <c r="N281" s="21"/>
      <c r="O281" s="21"/>
      <c r="P281" s="21"/>
      <c r="Q281" s="21"/>
      <c r="R281" s="21"/>
      <c r="S281" s="21"/>
      <c r="T281" s="21"/>
      <c r="U281" s="21"/>
      <c r="V281" s="21"/>
    </row>
    <row r="282" spans="3:22">
      <c r="C282" s="21"/>
      <c r="D282" s="21"/>
      <c r="E282" s="21"/>
      <c r="F282" s="21"/>
      <c r="G282" s="21"/>
      <c r="H282" s="21"/>
      <c r="I282" s="21"/>
      <c r="J282" s="21"/>
      <c r="K282" s="21"/>
      <c r="L282" s="21"/>
      <c r="M282" s="21"/>
      <c r="N282" s="21"/>
      <c r="O282" s="21"/>
      <c r="P282" s="21"/>
      <c r="Q282" s="21"/>
      <c r="R282" s="21"/>
      <c r="S282" s="21"/>
      <c r="T282" s="21"/>
      <c r="U282" s="21"/>
      <c r="V282" s="21"/>
    </row>
    <row r="283" spans="3:22">
      <c r="C283" s="21"/>
      <c r="D283" s="21"/>
      <c r="E283" s="21"/>
      <c r="F283" s="21"/>
      <c r="G283" s="21"/>
      <c r="H283" s="21"/>
      <c r="I283" s="21"/>
      <c r="J283" s="21"/>
      <c r="K283" s="21"/>
      <c r="L283" s="21"/>
      <c r="M283" s="21"/>
      <c r="N283" s="21"/>
      <c r="O283" s="21"/>
      <c r="P283" s="21"/>
      <c r="Q283" s="21"/>
      <c r="R283" s="21"/>
      <c r="S283" s="21"/>
      <c r="T283" s="21"/>
      <c r="U283" s="21"/>
      <c r="V283" s="21"/>
    </row>
    <row r="284" spans="3:22">
      <c r="C284" s="21"/>
      <c r="D284" s="21"/>
      <c r="E284" s="21"/>
      <c r="F284" s="21"/>
      <c r="G284" s="21"/>
      <c r="H284" s="21"/>
      <c r="I284" s="21"/>
      <c r="J284" s="21"/>
      <c r="K284" s="21"/>
      <c r="L284" s="21"/>
      <c r="M284" s="21"/>
      <c r="N284" s="21"/>
      <c r="O284" s="21"/>
      <c r="P284" s="21"/>
      <c r="Q284" s="21"/>
      <c r="R284" s="21"/>
      <c r="S284" s="21"/>
      <c r="T284" s="21"/>
      <c r="U284" s="21"/>
      <c r="V284" s="21"/>
    </row>
    <row r="285" spans="3:22">
      <c r="C285" s="21"/>
      <c r="D285" s="21"/>
      <c r="E285" s="21"/>
      <c r="F285" s="21"/>
      <c r="G285" s="21"/>
      <c r="H285" s="21"/>
      <c r="I285" s="21"/>
      <c r="J285" s="21"/>
      <c r="K285" s="21"/>
      <c r="L285" s="21"/>
      <c r="M285" s="21"/>
      <c r="N285" s="21"/>
      <c r="O285" s="21"/>
      <c r="P285" s="21"/>
      <c r="Q285" s="21"/>
      <c r="R285" s="21"/>
      <c r="S285" s="21"/>
      <c r="T285" s="21"/>
      <c r="U285" s="21"/>
      <c r="V285" s="21"/>
    </row>
    <row r="286" spans="3:22">
      <c r="C286" s="21"/>
      <c r="D286" s="21"/>
      <c r="E286" s="21"/>
      <c r="F286" s="21"/>
      <c r="G286" s="21"/>
      <c r="H286" s="21"/>
      <c r="I286" s="21"/>
      <c r="J286" s="21"/>
      <c r="K286" s="21"/>
      <c r="L286" s="21"/>
      <c r="M286" s="21"/>
      <c r="N286" s="21"/>
      <c r="O286" s="21"/>
      <c r="P286" s="21"/>
      <c r="Q286" s="21"/>
      <c r="R286" s="21"/>
      <c r="S286" s="21"/>
      <c r="T286" s="21"/>
      <c r="U286" s="21"/>
      <c r="V286" s="21"/>
    </row>
    <row r="287" spans="3:22">
      <c r="C287" s="21"/>
      <c r="D287" s="21"/>
      <c r="E287" s="21"/>
      <c r="F287" s="21"/>
      <c r="G287" s="21"/>
      <c r="H287" s="21"/>
      <c r="I287" s="21"/>
      <c r="J287" s="21"/>
      <c r="K287" s="21"/>
      <c r="L287" s="21"/>
      <c r="M287" s="21"/>
      <c r="N287" s="21"/>
      <c r="O287" s="21"/>
      <c r="P287" s="21"/>
      <c r="Q287" s="21"/>
      <c r="R287" s="21"/>
      <c r="S287" s="21"/>
      <c r="T287" s="21"/>
      <c r="U287" s="21"/>
      <c r="V287" s="21"/>
    </row>
    <row r="288" spans="3:22">
      <c r="C288" s="21"/>
      <c r="D288" s="21"/>
      <c r="E288" s="21"/>
      <c r="F288" s="21"/>
      <c r="G288" s="21"/>
      <c r="H288" s="21"/>
      <c r="I288" s="21"/>
      <c r="J288" s="21"/>
      <c r="K288" s="21"/>
      <c r="L288" s="21"/>
      <c r="M288" s="21"/>
      <c r="N288" s="21"/>
      <c r="O288" s="21"/>
      <c r="P288" s="21"/>
      <c r="Q288" s="21"/>
      <c r="R288" s="21"/>
      <c r="S288" s="21"/>
      <c r="T288" s="21"/>
      <c r="U288" s="21"/>
      <c r="V288" s="21"/>
    </row>
    <row r="289" spans="3:22">
      <c r="C289" s="21"/>
      <c r="D289" s="21"/>
      <c r="E289" s="21"/>
      <c r="F289" s="21"/>
      <c r="G289" s="21"/>
      <c r="H289" s="21"/>
      <c r="I289" s="21"/>
      <c r="J289" s="21"/>
      <c r="K289" s="21"/>
      <c r="L289" s="21"/>
      <c r="M289" s="21"/>
      <c r="N289" s="21"/>
      <c r="O289" s="21"/>
      <c r="P289" s="21"/>
      <c r="Q289" s="21"/>
      <c r="R289" s="21"/>
      <c r="S289" s="21"/>
      <c r="T289" s="21"/>
      <c r="U289" s="21"/>
      <c r="V289" s="21"/>
    </row>
    <row r="290" spans="3:22">
      <c r="C290" s="21"/>
      <c r="D290" s="21"/>
      <c r="E290" s="21"/>
      <c r="F290" s="21"/>
      <c r="G290" s="21"/>
      <c r="H290" s="21"/>
      <c r="I290" s="21"/>
      <c r="J290" s="21"/>
      <c r="K290" s="21"/>
      <c r="L290" s="21"/>
      <c r="M290" s="21"/>
      <c r="N290" s="21"/>
      <c r="O290" s="21"/>
      <c r="P290" s="21"/>
      <c r="Q290" s="21"/>
      <c r="R290" s="21"/>
      <c r="S290" s="21"/>
      <c r="T290" s="21"/>
      <c r="U290" s="21"/>
      <c r="V290" s="21"/>
    </row>
    <row r="291" spans="3:22">
      <c r="C291" s="21"/>
      <c r="D291" s="21"/>
      <c r="E291" s="21"/>
      <c r="F291" s="21"/>
      <c r="G291" s="21"/>
      <c r="H291" s="21"/>
      <c r="I291" s="21"/>
      <c r="J291" s="21"/>
      <c r="K291" s="21"/>
      <c r="L291" s="21"/>
      <c r="M291" s="21"/>
      <c r="N291" s="21"/>
      <c r="O291" s="21"/>
      <c r="P291" s="21"/>
      <c r="Q291" s="21"/>
      <c r="R291" s="21"/>
      <c r="S291" s="21"/>
      <c r="T291" s="21"/>
      <c r="U291" s="21"/>
      <c r="V291" s="21"/>
    </row>
    <row r="292" spans="3:22">
      <c r="C292" s="21"/>
      <c r="D292" s="21"/>
      <c r="E292" s="21"/>
      <c r="F292" s="21"/>
      <c r="G292" s="21"/>
      <c r="H292" s="21"/>
      <c r="I292" s="21"/>
      <c r="J292" s="21"/>
      <c r="K292" s="21"/>
      <c r="L292" s="21"/>
      <c r="M292" s="21"/>
      <c r="N292" s="21"/>
      <c r="O292" s="21"/>
      <c r="P292" s="21"/>
      <c r="Q292" s="21"/>
      <c r="R292" s="21"/>
      <c r="S292" s="21"/>
      <c r="T292" s="21"/>
      <c r="U292" s="21"/>
      <c r="V292" s="21"/>
    </row>
    <row r="293" spans="3:22">
      <c r="C293" s="21"/>
      <c r="D293" s="21"/>
      <c r="E293" s="21"/>
      <c r="F293" s="21"/>
      <c r="G293" s="21"/>
      <c r="H293" s="21"/>
      <c r="I293" s="21"/>
      <c r="J293" s="21"/>
      <c r="K293" s="21"/>
      <c r="L293" s="21"/>
      <c r="M293" s="21"/>
      <c r="N293" s="21"/>
      <c r="O293" s="21"/>
      <c r="P293" s="21"/>
      <c r="Q293" s="21"/>
      <c r="R293" s="21"/>
      <c r="S293" s="21"/>
      <c r="T293" s="21"/>
      <c r="U293" s="21"/>
      <c r="V293" s="21"/>
    </row>
    <row r="294" spans="3:22">
      <c r="C294" s="21"/>
      <c r="D294" s="21"/>
      <c r="E294" s="21"/>
      <c r="F294" s="21"/>
      <c r="G294" s="21"/>
      <c r="H294" s="21"/>
      <c r="I294" s="21"/>
      <c r="J294" s="21"/>
      <c r="K294" s="21"/>
      <c r="L294" s="21"/>
      <c r="M294" s="21"/>
      <c r="N294" s="21"/>
      <c r="O294" s="21"/>
      <c r="P294" s="21"/>
      <c r="Q294" s="21"/>
      <c r="R294" s="21"/>
      <c r="S294" s="21"/>
      <c r="T294" s="21"/>
      <c r="U294" s="21"/>
      <c r="V294" s="21"/>
    </row>
    <row r="295" spans="3:22">
      <c r="C295" s="21"/>
      <c r="D295" s="21"/>
      <c r="E295" s="21"/>
      <c r="F295" s="21"/>
      <c r="G295" s="21"/>
      <c r="H295" s="21"/>
      <c r="I295" s="21"/>
      <c r="J295" s="21"/>
      <c r="K295" s="21"/>
      <c r="L295" s="21"/>
      <c r="M295" s="21"/>
      <c r="N295" s="21"/>
      <c r="O295" s="21"/>
      <c r="P295" s="21"/>
      <c r="Q295" s="21"/>
      <c r="R295" s="21"/>
      <c r="S295" s="21"/>
      <c r="T295" s="21"/>
      <c r="U295" s="21"/>
      <c r="V295" s="21"/>
    </row>
    <row r="296" spans="3:22">
      <c r="C296" s="21"/>
      <c r="D296" s="21"/>
      <c r="E296" s="21"/>
      <c r="F296" s="21"/>
      <c r="G296" s="21"/>
      <c r="H296" s="21"/>
      <c r="I296" s="21"/>
      <c r="J296" s="21"/>
      <c r="K296" s="21"/>
      <c r="L296" s="21"/>
      <c r="M296" s="21"/>
      <c r="N296" s="21"/>
      <c r="O296" s="21"/>
      <c r="P296" s="21"/>
      <c r="Q296" s="21"/>
      <c r="R296" s="21"/>
      <c r="S296" s="21"/>
      <c r="T296" s="21"/>
      <c r="U296" s="21"/>
      <c r="V296" s="21"/>
    </row>
    <row r="297" spans="3:22">
      <c r="C297" s="21"/>
      <c r="D297" s="21"/>
      <c r="E297" s="21"/>
      <c r="F297" s="21"/>
      <c r="G297" s="21"/>
      <c r="H297" s="21"/>
      <c r="I297" s="21"/>
      <c r="J297" s="21"/>
      <c r="K297" s="21"/>
      <c r="L297" s="21"/>
      <c r="M297" s="21"/>
      <c r="N297" s="21"/>
      <c r="O297" s="21"/>
      <c r="P297" s="21"/>
      <c r="Q297" s="21"/>
      <c r="R297" s="21"/>
      <c r="S297" s="21"/>
      <c r="T297" s="21"/>
      <c r="U297" s="21"/>
      <c r="V297" s="21"/>
    </row>
    <row r="298" spans="3:22">
      <c r="C298" s="21"/>
      <c r="D298" s="21"/>
      <c r="E298" s="21"/>
      <c r="F298" s="21"/>
      <c r="G298" s="21"/>
      <c r="H298" s="21"/>
      <c r="I298" s="21"/>
      <c r="J298" s="21"/>
      <c r="K298" s="21"/>
      <c r="L298" s="21"/>
      <c r="M298" s="21"/>
      <c r="N298" s="21"/>
      <c r="O298" s="21"/>
      <c r="P298" s="21"/>
      <c r="Q298" s="21"/>
      <c r="R298" s="21"/>
      <c r="S298" s="21"/>
      <c r="T298" s="21"/>
      <c r="U298" s="21"/>
      <c r="V298" s="21"/>
    </row>
    <row r="299" spans="3:22">
      <c r="C299" s="21"/>
      <c r="D299" s="21"/>
      <c r="E299" s="21"/>
      <c r="F299" s="21"/>
      <c r="G299" s="21"/>
      <c r="H299" s="21"/>
      <c r="I299" s="21"/>
      <c r="J299" s="21"/>
      <c r="K299" s="21"/>
      <c r="L299" s="21"/>
      <c r="M299" s="21"/>
      <c r="N299" s="21"/>
      <c r="O299" s="21"/>
      <c r="P299" s="21"/>
      <c r="Q299" s="21"/>
      <c r="R299" s="21"/>
      <c r="S299" s="21"/>
      <c r="T299" s="21"/>
      <c r="U299" s="21"/>
      <c r="V299" s="21"/>
    </row>
    <row r="300" spans="3:22">
      <c r="C300" s="21"/>
      <c r="D300" s="21"/>
      <c r="E300" s="21"/>
      <c r="F300" s="21"/>
      <c r="G300" s="21"/>
      <c r="H300" s="21"/>
      <c r="I300" s="21"/>
      <c r="J300" s="21"/>
      <c r="K300" s="21"/>
      <c r="L300" s="21"/>
      <c r="M300" s="21"/>
      <c r="N300" s="21"/>
      <c r="O300" s="21"/>
      <c r="P300" s="21"/>
      <c r="Q300" s="21"/>
      <c r="R300" s="21"/>
      <c r="S300" s="21"/>
      <c r="T300" s="21"/>
      <c r="U300" s="21"/>
      <c r="V300" s="21"/>
    </row>
    <row r="301" spans="3:22">
      <c r="C301" s="21"/>
      <c r="D301" s="21"/>
      <c r="E301" s="21"/>
      <c r="F301" s="21"/>
      <c r="G301" s="21"/>
      <c r="H301" s="21"/>
      <c r="I301" s="21"/>
      <c r="J301" s="21"/>
      <c r="K301" s="21"/>
      <c r="L301" s="21"/>
      <c r="M301" s="21"/>
      <c r="N301" s="21"/>
      <c r="O301" s="21"/>
      <c r="P301" s="21"/>
      <c r="Q301" s="21"/>
      <c r="R301" s="21"/>
      <c r="S301" s="21"/>
      <c r="T301" s="21"/>
      <c r="U301" s="21"/>
      <c r="V301" s="21"/>
    </row>
    <row r="302" spans="3:22">
      <c r="C302" s="21"/>
      <c r="D302" s="21"/>
      <c r="E302" s="21"/>
      <c r="F302" s="21"/>
      <c r="G302" s="21"/>
      <c r="H302" s="21"/>
      <c r="I302" s="21"/>
      <c r="J302" s="21"/>
      <c r="K302" s="21"/>
      <c r="L302" s="21"/>
      <c r="M302" s="21"/>
      <c r="N302" s="21"/>
      <c r="O302" s="21"/>
      <c r="P302" s="21"/>
      <c r="Q302" s="21"/>
      <c r="R302" s="21"/>
      <c r="S302" s="21"/>
      <c r="T302" s="21"/>
      <c r="U302" s="21"/>
      <c r="V302" s="21"/>
    </row>
    <row r="303" spans="3:22">
      <c r="C303" s="21"/>
      <c r="D303" s="21"/>
      <c r="E303" s="21"/>
      <c r="F303" s="21"/>
      <c r="G303" s="21"/>
      <c r="H303" s="21"/>
      <c r="I303" s="21"/>
      <c r="J303" s="21"/>
      <c r="K303" s="21"/>
      <c r="L303" s="21"/>
      <c r="M303" s="21"/>
      <c r="N303" s="21"/>
      <c r="O303" s="21"/>
      <c r="P303" s="21"/>
      <c r="Q303" s="21"/>
      <c r="R303" s="21"/>
      <c r="S303" s="21"/>
      <c r="T303" s="21"/>
      <c r="U303" s="21"/>
      <c r="V303" s="21"/>
    </row>
    <row r="304" spans="3:22">
      <c r="C304" s="21"/>
      <c r="D304" s="21"/>
      <c r="E304" s="21"/>
      <c r="F304" s="21"/>
      <c r="G304" s="21"/>
      <c r="H304" s="21"/>
      <c r="I304" s="21"/>
      <c r="J304" s="21"/>
      <c r="K304" s="21"/>
      <c r="L304" s="21"/>
      <c r="M304" s="21"/>
      <c r="N304" s="21"/>
      <c r="O304" s="21"/>
      <c r="P304" s="21"/>
      <c r="Q304" s="21"/>
      <c r="R304" s="21"/>
      <c r="S304" s="21"/>
      <c r="T304" s="21"/>
      <c r="U304" s="21"/>
      <c r="V304" s="21"/>
    </row>
    <row r="305" spans="3:22">
      <c r="C305" s="21"/>
      <c r="D305" s="21"/>
      <c r="E305" s="21"/>
      <c r="F305" s="21"/>
      <c r="G305" s="21"/>
      <c r="H305" s="21"/>
      <c r="I305" s="21"/>
      <c r="J305" s="21"/>
      <c r="K305" s="21"/>
      <c r="L305" s="21"/>
      <c r="M305" s="21"/>
      <c r="N305" s="21"/>
      <c r="O305" s="21"/>
      <c r="P305" s="21"/>
      <c r="Q305" s="21"/>
      <c r="R305" s="21"/>
      <c r="S305" s="21"/>
      <c r="T305" s="21"/>
      <c r="U305" s="21"/>
      <c r="V305" s="21"/>
    </row>
    <row r="306" spans="3:22">
      <c r="C306" s="21"/>
      <c r="D306" s="21"/>
      <c r="E306" s="21"/>
      <c r="F306" s="21"/>
      <c r="G306" s="21"/>
      <c r="H306" s="21"/>
      <c r="I306" s="21"/>
      <c r="J306" s="21"/>
      <c r="K306" s="21"/>
      <c r="L306" s="21"/>
      <c r="M306" s="21"/>
      <c r="N306" s="21"/>
      <c r="O306" s="21"/>
      <c r="P306" s="21"/>
      <c r="Q306" s="21"/>
      <c r="R306" s="21"/>
      <c r="S306" s="21"/>
      <c r="T306" s="21"/>
      <c r="U306" s="21"/>
      <c r="V306" s="21"/>
    </row>
    <row r="307" spans="3:22">
      <c r="C307" s="21"/>
      <c r="D307" s="21"/>
      <c r="E307" s="21"/>
      <c r="F307" s="21"/>
      <c r="G307" s="21"/>
      <c r="H307" s="21"/>
      <c r="I307" s="21"/>
      <c r="J307" s="21"/>
      <c r="K307" s="21"/>
      <c r="L307" s="21"/>
      <c r="M307" s="21"/>
      <c r="N307" s="21"/>
      <c r="O307" s="21"/>
      <c r="P307" s="21"/>
      <c r="Q307" s="21"/>
      <c r="R307" s="21"/>
      <c r="S307" s="21"/>
      <c r="T307" s="21"/>
      <c r="U307" s="21"/>
      <c r="V307" s="21"/>
    </row>
    <row r="308" spans="3:22">
      <c r="C308" s="21"/>
      <c r="D308" s="21"/>
      <c r="E308" s="21"/>
      <c r="F308" s="21"/>
      <c r="G308" s="21"/>
      <c r="H308" s="21"/>
      <c r="I308" s="21"/>
      <c r="J308" s="21"/>
      <c r="K308" s="21"/>
      <c r="L308" s="21"/>
      <c r="M308" s="21"/>
      <c r="N308" s="21"/>
      <c r="O308" s="21"/>
      <c r="P308" s="21"/>
      <c r="Q308" s="21"/>
      <c r="R308" s="21"/>
      <c r="S308" s="21"/>
      <c r="T308" s="21"/>
      <c r="U308" s="21"/>
      <c r="V308" s="21"/>
    </row>
    <row r="309" spans="3:22">
      <c r="C309" s="21"/>
      <c r="D309" s="21"/>
      <c r="E309" s="21"/>
      <c r="F309" s="21"/>
      <c r="G309" s="21"/>
      <c r="H309" s="21"/>
      <c r="I309" s="21"/>
      <c r="J309" s="21"/>
      <c r="K309" s="21"/>
      <c r="L309" s="21"/>
      <c r="M309" s="21"/>
      <c r="N309" s="21"/>
      <c r="O309" s="21"/>
      <c r="P309" s="21"/>
      <c r="Q309" s="21"/>
      <c r="R309" s="21"/>
      <c r="S309" s="21"/>
      <c r="T309" s="21"/>
      <c r="U309" s="21"/>
      <c r="V309" s="21"/>
    </row>
  </sheetData>
  <customSheetViews>
    <customSheetView guid="{6B74E52F-9552-408A-8775-25AFF24E6639}" scale="75" showPageBreaks="1" fitToPage="1" showRuler="0" topLeftCell="H58">
      <selection activeCell="I72" sqref="I72"/>
      <rowBreaks count="2" manualBreakCount="2">
        <brk id="48" max="16383" man="1"/>
        <brk id="125" max="16383" man="1"/>
      </rowBreaks>
      <pageMargins left="0.75" right="0.75" top="1" bottom="1" header="0.5" footer="0.5"/>
      <pageSetup scale="44" fitToHeight="0" orientation="landscape" r:id="rId1"/>
      <headerFooter alignWithMargins="0">
        <oddFooter>&amp;L&amp;Z
&amp;F&amp;C&amp;A&amp;R2.&amp;P</oddFooter>
      </headerFooter>
    </customSheetView>
  </customSheetViews>
  <mergeCells count="3">
    <mergeCell ref="A1:U1"/>
    <mergeCell ref="A2:U2"/>
    <mergeCell ref="A3:U3"/>
  </mergeCells>
  <phoneticPr fontId="4" type="noConversion"/>
  <pageMargins left="0.75" right="0.75" top="1" bottom="1" header="0.5" footer="0.5"/>
  <pageSetup scale="50" fitToHeight="0" orientation="landscape" r:id="rId2"/>
  <headerFooter alignWithMargins="0">
    <oddFooter>&amp;L&amp;Z
&amp;F&amp;C&amp;A&amp;R2.&amp;P</oddFooter>
  </headerFooter>
  <rowBreaks count="2" manualBreakCount="2">
    <brk id="49" max="16383" man="1"/>
    <brk id="107" max="16383" man="1"/>
  </rowBreaks>
</worksheet>
</file>

<file path=xl/worksheets/sheet85.xml><?xml version="1.0" encoding="utf-8"?>
<worksheet xmlns="http://schemas.openxmlformats.org/spreadsheetml/2006/main" xmlns:r="http://schemas.openxmlformats.org/officeDocument/2006/relationships">
  <sheetPr codeName="Sheet83">
    <pageSetUpPr fitToPage="1"/>
  </sheetPr>
  <dimension ref="A1:V37"/>
  <sheetViews>
    <sheetView topLeftCell="D1" workbookViewId="0">
      <selection activeCell="X39" sqref="X39"/>
    </sheetView>
  </sheetViews>
  <sheetFormatPr defaultRowHeight="12.75"/>
  <cols>
    <col min="3" max="3" width="14" bestFit="1" customWidth="1"/>
    <col min="4" max="4" width="1.85546875" customWidth="1"/>
    <col min="6" max="6" width="1.85546875" customWidth="1"/>
    <col min="7" max="7" width="13.140625" bestFit="1" customWidth="1"/>
    <col min="8" max="8" width="2" customWidth="1"/>
    <col min="9" max="9" width="13.28515625" customWidth="1"/>
    <col min="10" max="10" width="1.7109375" customWidth="1"/>
    <col min="11" max="11" width="13.28515625" customWidth="1"/>
    <col min="12" max="12" width="1.7109375" customWidth="1"/>
    <col min="13" max="13" width="14.28515625" bestFit="1" customWidth="1"/>
    <col min="14" max="14" width="2.140625" customWidth="1"/>
    <col min="15" max="15" width="14" bestFit="1" customWidth="1"/>
    <col min="16" max="16" width="2" customWidth="1"/>
    <col min="17" max="17" width="11.85546875" bestFit="1" customWidth="1"/>
    <col min="18" max="18" width="1.7109375" customWidth="1"/>
    <col min="19" max="19" width="11.85546875" bestFit="1" customWidth="1"/>
    <col min="20" max="20" width="1.7109375" customWidth="1"/>
    <col min="21" max="22" width="14" bestFit="1" customWidth="1"/>
  </cols>
  <sheetData>
    <row r="1" spans="1:22" s="10" customFormat="1">
      <c r="A1" s="359" t="s">
        <v>134</v>
      </c>
      <c r="B1" s="359"/>
      <c r="C1" s="359"/>
      <c r="D1" s="359"/>
      <c r="E1" s="359"/>
      <c r="F1" s="359"/>
      <c r="G1" s="359"/>
      <c r="H1" s="359"/>
      <c r="I1" s="359"/>
      <c r="J1" s="359"/>
      <c r="K1" s="359"/>
      <c r="L1" s="359"/>
      <c r="M1" s="359"/>
      <c r="N1" s="359"/>
      <c r="O1" s="359"/>
      <c r="P1" s="359"/>
      <c r="Q1" s="359"/>
      <c r="R1" s="359"/>
      <c r="S1" s="359"/>
      <c r="T1" s="359"/>
      <c r="U1" s="359"/>
    </row>
    <row r="2" spans="1:22" s="10" customFormat="1">
      <c r="A2" s="359" t="s">
        <v>1209</v>
      </c>
      <c r="B2" s="359"/>
      <c r="C2" s="359"/>
      <c r="D2" s="359"/>
      <c r="E2" s="359"/>
      <c r="F2" s="359"/>
      <c r="G2" s="359"/>
      <c r="H2" s="359"/>
      <c r="I2" s="359"/>
      <c r="J2" s="359"/>
      <c r="K2" s="359"/>
      <c r="L2" s="359"/>
      <c r="M2" s="359"/>
      <c r="N2" s="359"/>
      <c r="O2" s="359"/>
      <c r="P2" s="359"/>
      <c r="Q2" s="359"/>
      <c r="R2" s="359"/>
      <c r="S2" s="359"/>
      <c r="T2" s="359"/>
      <c r="U2" s="359"/>
    </row>
    <row r="3" spans="1:22" s="10" customFormat="1">
      <c r="A3" s="361" t="str">
        <f>'Summary - Cost - PG 1 (Fin)'!A3:N3</f>
        <v>MARCH 2012</v>
      </c>
      <c r="B3" s="361"/>
      <c r="C3" s="361"/>
      <c r="D3" s="361"/>
      <c r="E3" s="361"/>
      <c r="F3" s="361"/>
      <c r="G3" s="361"/>
      <c r="H3" s="361"/>
      <c r="I3" s="361"/>
      <c r="J3" s="361"/>
      <c r="K3" s="361"/>
      <c r="L3" s="361"/>
      <c r="M3" s="361"/>
      <c r="N3" s="361"/>
      <c r="O3" s="361"/>
      <c r="P3" s="361"/>
      <c r="Q3" s="361"/>
      <c r="R3" s="361"/>
      <c r="S3" s="361"/>
      <c r="T3" s="361"/>
      <c r="U3" s="361"/>
    </row>
    <row r="4" spans="1:22" s="10" customFormat="1">
      <c r="A4" s="169"/>
      <c r="B4" s="169"/>
      <c r="C4" s="169"/>
      <c r="D4" s="169"/>
      <c r="E4" s="169"/>
      <c r="F4" s="169"/>
      <c r="G4" s="169"/>
      <c r="H4" s="169"/>
      <c r="I4" s="169"/>
      <c r="J4" s="298"/>
      <c r="K4" s="298"/>
      <c r="L4" s="169"/>
      <c r="M4" s="169"/>
      <c r="N4" s="169"/>
      <c r="O4" s="169"/>
      <c r="P4" s="169"/>
      <c r="Q4" s="169"/>
      <c r="R4" s="169"/>
      <c r="S4" s="169"/>
      <c r="T4" s="169"/>
      <c r="U4" s="169"/>
    </row>
    <row r="5" spans="1:22" s="10" customFormat="1"/>
    <row r="6" spans="1:22" s="10" customFormat="1">
      <c r="C6" s="84" t="s">
        <v>25</v>
      </c>
      <c r="E6" s="24"/>
      <c r="G6" s="24"/>
      <c r="I6" s="84" t="s">
        <v>612</v>
      </c>
      <c r="J6" s="84"/>
      <c r="K6" s="84" t="s">
        <v>1377</v>
      </c>
      <c r="M6" s="84" t="s">
        <v>28</v>
      </c>
      <c r="O6" s="85" t="s">
        <v>37</v>
      </c>
      <c r="Q6" s="84"/>
      <c r="S6" s="84" t="s">
        <v>39</v>
      </c>
      <c r="U6" s="84" t="s">
        <v>26</v>
      </c>
    </row>
    <row r="7" spans="1:22" s="10" customFormat="1">
      <c r="C7" s="43" t="s">
        <v>27</v>
      </c>
      <c r="E7" s="43" t="s">
        <v>954</v>
      </c>
      <c r="G7" s="43" t="s">
        <v>108</v>
      </c>
      <c r="I7" s="43" t="s">
        <v>613</v>
      </c>
      <c r="J7" s="85"/>
      <c r="K7" s="43" t="s">
        <v>1378</v>
      </c>
      <c r="M7" s="43" t="s">
        <v>29</v>
      </c>
      <c r="O7" s="43" t="s">
        <v>38</v>
      </c>
      <c r="Q7" s="43" t="s">
        <v>955</v>
      </c>
      <c r="S7" s="43" t="s">
        <v>105</v>
      </c>
      <c r="U7" s="43" t="s">
        <v>27</v>
      </c>
    </row>
    <row r="10" spans="1:22" s="10" customFormat="1">
      <c r="A10" s="12" t="s">
        <v>656</v>
      </c>
      <c r="C10" s="24"/>
      <c r="D10" s="24"/>
      <c r="E10" s="24"/>
      <c r="F10" s="24"/>
      <c r="G10" s="24"/>
      <c r="H10" s="24"/>
      <c r="I10" s="24"/>
      <c r="J10" s="24"/>
      <c r="K10" s="24"/>
      <c r="L10" s="24"/>
      <c r="M10" s="24"/>
      <c r="N10" s="24"/>
      <c r="O10" s="24"/>
      <c r="P10" s="24"/>
      <c r="Q10" s="24"/>
      <c r="R10" s="24"/>
      <c r="S10" s="24"/>
      <c r="T10" s="24"/>
      <c r="U10" s="24"/>
      <c r="V10" s="71"/>
    </row>
    <row r="11" spans="1:22" s="10" customFormat="1">
      <c r="B11" s="10" t="s">
        <v>652</v>
      </c>
      <c r="C11" s="24">
        <f>'Summary - Reserve - PG 2 (Fin)'!C73</f>
        <v>149762.35</v>
      </c>
      <c r="D11" s="24"/>
      <c r="E11" s="24">
        <v>0</v>
      </c>
      <c r="F11" s="24"/>
      <c r="G11" s="24">
        <v>0</v>
      </c>
      <c r="H11" s="24"/>
      <c r="I11" s="24">
        <f>'Summary - Reserve - PG 2 (Fin)'!I73</f>
        <v>0</v>
      </c>
      <c r="J11" s="24"/>
      <c r="K11" s="24">
        <f>'Summary - Reserve - PG 2 (Fin)'!K73</f>
        <v>0</v>
      </c>
      <c r="L11" s="24"/>
      <c r="M11" s="24">
        <f>'Summary - Reserve - PG 2 (Fin)'!M73</f>
        <v>-13557.84</v>
      </c>
      <c r="N11" s="24"/>
      <c r="O11" s="24">
        <f>'Summary - Reserve - PG 2 (Fin)'!O73</f>
        <v>-17161.189999999999</v>
      </c>
      <c r="P11" s="24"/>
      <c r="Q11" s="24">
        <f>'Summary - Reserve - PG 2 (Fin)'!Q73</f>
        <v>-10496.95</v>
      </c>
      <c r="R11" s="24"/>
      <c r="S11" s="24">
        <f>'Summary - Reserve - PG 2 (Fin)'!S73</f>
        <v>0</v>
      </c>
      <c r="T11" s="24"/>
      <c r="U11" s="24">
        <f>S11+Q11+O11+M11+I11+G11+E11+C11+K11</f>
        <v>108546.37000000001</v>
      </c>
      <c r="V11" s="71"/>
    </row>
    <row r="12" spans="1:22" s="10" customFormat="1">
      <c r="B12" s="10" t="s">
        <v>112</v>
      </c>
      <c r="C12" s="24">
        <f>'Summary - Reserve - PG 2 (Fin)'!C74</f>
        <v>11924715.030000003</v>
      </c>
      <c r="D12" s="24"/>
      <c r="E12" s="24">
        <v>0</v>
      </c>
      <c r="F12" s="24"/>
      <c r="G12" s="24">
        <v>0</v>
      </c>
      <c r="H12" s="24"/>
      <c r="I12" s="24">
        <f>'Summary - Reserve - PG 2 (Fin)'!I74</f>
        <v>-14615.87</v>
      </c>
      <c r="J12" s="24"/>
      <c r="K12" s="24">
        <f>'Summary - Reserve - PG 2 (Fin)'!K74</f>
        <v>0</v>
      </c>
      <c r="L12" s="24"/>
      <c r="M12" s="24">
        <f>'Summary - Reserve - PG 2 (Fin)'!M74</f>
        <v>-4039482.9699999997</v>
      </c>
      <c r="N12" s="24"/>
      <c r="O12" s="24">
        <f>'Summary - Reserve - PG 2 (Fin)'!O74</f>
        <v>5226585.53</v>
      </c>
      <c r="P12" s="24"/>
      <c r="Q12" s="24">
        <f>'Summary - Reserve - PG 2 (Fin)'!Q74</f>
        <v>-301510.06</v>
      </c>
      <c r="R12" s="24"/>
      <c r="S12" s="24">
        <f>'Summary - Reserve - PG 2 (Fin)'!S74</f>
        <v>-83094.73</v>
      </c>
      <c r="T12" s="24"/>
      <c r="U12" s="24">
        <f>S12+Q12+O12+M12+I12+G12+E12+C12+K12</f>
        <v>12712596.930000003</v>
      </c>
      <c r="V12" s="71"/>
    </row>
    <row r="13" spans="1:22" s="10" customFormat="1">
      <c r="B13" s="10" t="s">
        <v>120</v>
      </c>
      <c r="C13" s="24">
        <f>'Summary - Reserve - PG 2 (Fin)'!C75</f>
        <v>1590687.7799999993</v>
      </c>
      <c r="D13" s="24"/>
      <c r="E13" s="24">
        <v>0</v>
      </c>
      <c r="F13" s="24"/>
      <c r="G13" s="24">
        <v>0</v>
      </c>
      <c r="H13" s="24"/>
      <c r="I13" s="24">
        <f>'Summary - Reserve - PG 2 (Fin)'!I75</f>
        <v>14615.87</v>
      </c>
      <c r="J13" s="24"/>
      <c r="K13" s="24">
        <f>'Summary - Reserve - PG 2 (Fin)'!K75</f>
        <v>0</v>
      </c>
      <c r="L13" s="24"/>
      <c r="M13" s="24">
        <f>'Summary - Reserve - PG 2 (Fin)'!M75</f>
        <v>-81453.78</v>
      </c>
      <c r="N13" s="24"/>
      <c r="O13" s="24">
        <f>'Summary - Reserve - PG 2 (Fin)'!O75</f>
        <v>284819.84999999998</v>
      </c>
      <c r="P13" s="24"/>
      <c r="Q13" s="24">
        <f>'Summary - Reserve - PG 2 (Fin)'!Q75</f>
        <v>-1181.0900000000001</v>
      </c>
      <c r="R13" s="24"/>
      <c r="S13" s="24">
        <f>'Summary - Reserve - PG 2 (Fin)'!S75</f>
        <v>0</v>
      </c>
      <c r="T13" s="24"/>
      <c r="U13" s="24">
        <f>S13+Q13+O13+M13+I13+G13+E13+C13+K13</f>
        <v>1807488.6299999992</v>
      </c>
      <c r="V13" s="71"/>
    </row>
    <row r="14" spans="1:22" s="10" customFormat="1">
      <c r="B14" s="11"/>
      <c r="C14" s="25">
        <f>SUM(C11:C13)</f>
        <v>13665165.160000002</v>
      </c>
      <c r="D14" s="24"/>
      <c r="E14" s="25">
        <f>SUM(E11:E13)</f>
        <v>0</v>
      </c>
      <c r="F14" s="24"/>
      <c r="G14" s="25">
        <f>SUM(G11:G13)</f>
        <v>0</v>
      </c>
      <c r="H14" s="24"/>
      <c r="I14" s="25">
        <f>SUM(I11:I13)</f>
        <v>0</v>
      </c>
      <c r="J14" s="27"/>
      <c r="K14" s="25">
        <f>SUM(K11:K13)</f>
        <v>0</v>
      </c>
      <c r="L14" s="24"/>
      <c r="M14" s="25">
        <f>SUM(M11:M13)</f>
        <v>-4134494.5899999994</v>
      </c>
      <c r="N14" s="24"/>
      <c r="O14" s="25">
        <f>SUM(O11:O13)</f>
        <v>5494244.1899999995</v>
      </c>
      <c r="P14" s="24"/>
      <c r="Q14" s="25">
        <f>SUM(Q11:Q13)</f>
        <v>-313188.10000000003</v>
      </c>
      <c r="R14" s="24"/>
      <c r="S14" s="25">
        <f>SUM(S11:S13)</f>
        <v>-83094.73</v>
      </c>
      <c r="T14" s="24"/>
      <c r="U14" s="25">
        <f>SUM(U11:U13)</f>
        <v>14628631.930000002</v>
      </c>
      <c r="V14" s="71"/>
    </row>
    <row r="16" spans="1:22">
      <c r="A16" s="3" t="s">
        <v>1094</v>
      </c>
    </row>
    <row r="17" spans="1:22">
      <c r="B17" t="s">
        <v>652</v>
      </c>
      <c r="C17" s="24">
        <v>0</v>
      </c>
      <c r="U17" s="24">
        <f>S17+Q17+O17+M17+I17+G17+E17+C17+K17</f>
        <v>0</v>
      </c>
    </row>
    <row r="18" spans="1:22">
      <c r="B18" t="s">
        <v>112</v>
      </c>
      <c r="C18" s="24">
        <v>0</v>
      </c>
      <c r="U18" s="24">
        <f>S18+Q18+O18+M18+I18+G18+E18+C18+K18</f>
        <v>0</v>
      </c>
    </row>
    <row r="19" spans="1:22">
      <c r="B19" t="s">
        <v>120</v>
      </c>
      <c r="C19" s="24">
        <v>0</v>
      </c>
      <c r="U19" s="24">
        <f>S19+Q19+O19+M19+I19+G19+E19+C19+K19</f>
        <v>0</v>
      </c>
    </row>
    <row r="20" spans="1:22">
      <c r="C20" s="25">
        <f>SUM(C17:C19)</f>
        <v>0</v>
      </c>
      <c r="E20" s="25">
        <f>SUM(E17:E19)</f>
        <v>0</v>
      </c>
      <c r="G20" s="25">
        <f>SUM(G17:G19)</f>
        <v>0</v>
      </c>
      <c r="I20" s="25">
        <f>SUM(I17:I19)</f>
        <v>0</v>
      </c>
      <c r="J20" s="27"/>
      <c r="K20" s="25">
        <f>SUM(K17:K19)</f>
        <v>0</v>
      </c>
      <c r="M20" s="25">
        <f>SUM(M17:M19)</f>
        <v>0</v>
      </c>
      <c r="O20" s="25">
        <f>SUM(O17:O19)</f>
        <v>0</v>
      </c>
      <c r="Q20" s="25">
        <f>SUM(Q17:Q19)</f>
        <v>0</v>
      </c>
      <c r="S20" s="25">
        <f>SUM(S17:S19)</f>
        <v>0</v>
      </c>
      <c r="U20" s="25">
        <f>SUM(U17:U19)</f>
        <v>0</v>
      </c>
    </row>
    <row r="21" spans="1:22">
      <c r="A21" s="3" t="s">
        <v>1095</v>
      </c>
    </row>
    <row r="22" spans="1:22">
      <c r="B22" t="s">
        <v>652</v>
      </c>
      <c r="C22" s="24">
        <v>0</v>
      </c>
      <c r="E22" s="24">
        <v>0</v>
      </c>
      <c r="G22" s="24">
        <v>0</v>
      </c>
      <c r="I22" s="24">
        <v>0</v>
      </c>
      <c r="J22" s="24"/>
      <c r="K22" s="24">
        <v>0</v>
      </c>
      <c r="M22" s="24">
        <v>0</v>
      </c>
      <c r="O22" s="24">
        <v>0</v>
      </c>
      <c r="Q22" s="24">
        <v>0</v>
      </c>
      <c r="S22" s="24">
        <v>0</v>
      </c>
      <c r="U22" s="24">
        <f>S22+Q22+O22+M22+I22+G22+E22+C22+K22</f>
        <v>0</v>
      </c>
    </row>
    <row r="23" spans="1:22">
      <c r="B23" t="s">
        <v>112</v>
      </c>
      <c r="C23" s="24">
        <v>1543397.0899999994</v>
      </c>
      <c r="E23" s="24">
        <v>0</v>
      </c>
      <c r="G23" s="24">
        <v>0</v>
      </c>
      <c r="I23" s="24">
        <v>0</v>
      </c>
      <c r="J23" s="24"/>
      <c r="K23" s="24">
        <v>0</v>
      </c>
      <c r="M23" s="24">
        <v>0</v>
      </c>
      <c r="O23" s="24">
        <f>-2489.7+854.19+12972.13+1579.19+14967.29</f>
        <v>27883.1</v>
      </c>
      <c r="Q23" s="24">
        <v>0</v>
      </c>
      <c r="S23" s="24">
        <v>0</v>
      </c>
      <c r="U23" s="24">
        <f>S23+Q23+O23+M23+I23+G23+E23+C23+K23</f>
        <v>1571280.1899999995</v>
      </c>
    </row>
    <row r="24" spans="1:22">
      <c r="B24" t="s">
        <v>120</v>
      </c>
      <c r="C24" s="24">
        <v>206491.79999999958</v>
      </c>
      <c r="E24" s="24">
        <v>0</v>
      </c>
      <c r="G24" s="24">
        <v>0</v>
      </c>
      <c r="I24" s="24">
        <v>0</v>
      </c>
      <c r="J24" s="24"/>
      <c r="K24" s="24">
        <v>0</v>
      </c>
      <c r="M24" s="24">
        <v>0</v>
      </c>
      <c r="O24" s="24">
        <f>2.36+8544.56+2218.34+6015.01+1957.71-4290.65</f>
        <v>14447.33</v>
      </c>
      <c r="Q24" s="24">
        <v>0</v>
      </c>
      <c r="S24" s="24">
        <v>0</v>
      </c>
      <c r="U24" s="24">
        <f>S24+Q24+O24+M24+I24+G24+E24+C24+K24</f>
        <v>220939.12999999957</v>
      </c>
    </row>
    <row r="25" spans="1:22">
      <c r="C25" s="25">
        <v>2905548.76</v>
      </c>
      <c r="E25" s="25">
        <f>SUM(E22:E24)</f>
        <v>0</v>
      </c>
      <c r="G25" s="25">
        <f>SUM(G22:G24)</f>
        <v>0</v>
      </c>
      <c r="I25" s="25">
        <f>SUM(I22:I24)</f>
        <v>0</v>
      </c>
      <c r="J25" s="27"/>
      <c r="K25" s="25">
        <f>SUM(K22:K24)</f>
        <v>0</v>
      </c>
      <c r="M25" s="25">
        <f>SUM(M22:M24)</f>
        <v>0</v>
      </c>
      <c r="O25" s="25">
        <f>SUM(O22:O24)</f>
        <v>42330.43</v>
      </c>
      <c r="Q25" s="25">
        <f>SUM(Q22:Q24)</f>
        <v>0</v>
      </c>
      <c r="S25" s="25">
        <f>SUM(S22:S24)</f>
        <v>0</v>
      </c>
      <c r="U25" s="25">
        <f>SUM(U22:U24)</f>
        <v>1792219.3199999991</v>
      </c>
    </row>
    <row r="26" spans="1:22">
      <c r="A26" s="3" t="s">
        <v>1096</v>
      </c>
    </row>
    <row r="27" spans="1:22">
      <c r="B27" t="s">
        <v>652</v>
      </c>
      <c r="C27" s="181">
        <v>149762.34999999995</v>
      </c>
      <c r="E27" s="24">
        <v>0</v>
      </c>
      <c r="G27" s="24">
        <v>0</v>
      </c>
      <c r="I27" s="24">
        <v>0</v>
      </c>
      <c r="J27" s="24"/>
      <c r="K27" s="24">
        <v>0</v>
      </c>
      <c r="L27" s="24"/>
      <c r="M27" s="24">
        <f>-5901.84-10656+3000</f>
        <v>-13557.84</v>
      </c>
      <c r="N27" s="24"/>
      <c r="O27" s="24">
        <f>-29284.35+12123.16</f>
        <v>-17161.189999999999</v>
      </c>
      <c r="P27" s="24"/>
      <c r="Q27" s="24">
        <v>-10496.95</v>
      </c>
      <c r="R27" s="24"/>
      <c r="S27" s="24">
        <v>0</v>
      </c>
      <c r="U27" s="24">
        <f>S27+Q27+O27+M27+I27+G27+E27+C27+K27</f>
        <v>108546.36999999995</v>
      </c>
    </row>
    <row r="28" spans="1:22">
      <c r="B28" t="s">
        <v>112</v>
      </c>
      <c r="C28" s="181">
        <v>10381317.940000001</v>
      </c>
      <c r="E28" s="24">
        <v>0</v>
      </c>
      <c r="G28" s="24">
        <v>0</v>
      </c>
      <c r="I28" s="24">
        <v>-14615.87</v>
      </c>
      <c r="J28" s="24"/>
      <c r="K28" s="24">
        <v>0</v>
      </c>
      <c r="L28" s="24"/>
      <c r="M28" s="24">
        <f>-831510.08+31445.83-1225979.23+235008.79-2520293.49+271845.21</f>
        <v>-4039482.9699999997</v>
      </c>
      <c r="N28" s="24"/>
      <c r="O28" s="24">
        <f>508108.98+1046763.92+3643829.53</f>
        <v>5198702.43</v>
      </c>
      <c r="P28" s="24"/>
      <c r="Q28" s="24">
        <f>-13165.93-98110.04-190234.09</f>
        <v>-301510.06</v>
      </c>
      <c r="R28" s="24"/>
      <c r="S28" s="24">
        <f>-75896.49-1414.73-5783.51</f>
        <v>-83094.73</v>
      </c>
      <c r="U28" s="24">
        <f>S28+Q28+O28+M28+I28+G28+E28+C28+K28</f>
        <v>11141316.740000002</v>
      </c>
      <c r="V28" s="89"/>
    </row>
    <row r="29" spans="1:22">
      <c r="B29" t="s">
        <v>120</v>
      </c>
      <c r="C29" s="181">
        <v>1384195.9800000004</v>
      </c>
      <c r="E29" s="24">
        <v>0</v>
      </c>
      <c r="G29" s="24">
        <v>0</v>
      </c>
      <c r="I29" s="24">
        <v>14615.87</v>
      </c>
      <c r="J29" s="24"/>
      <c r="K29" s="24">
        <v>0</v>
      </c>
      <c r="L29" s="24"/>
      <c r="M29" s="24">
        <f>-80809.47-644.31</f>
        <v>-81453.78</v>
      </c>
      <c r="N29" s="24"/>
      <c r="O29" s="24">
        <f>59698.63+124543.1+86130.79</f>
        <v>270372.52</v>
      </c>
      <c r="P29" s="24"/>
      <c r="Q29" s="24">
        <f>-398.26-782.83</f>
        <v>-1181.0900000000001</v>
      </c>
      <c r="R29" s="24"/>
      <c r="S29" s="24">
        <v>0</v>
      </c>
      <c r="U29" s="24">
        <f>S29+Q29+O29+M29+I29+G29+E29+C29+K29</f>
        <v>1586549.5000000005</v>
      </c>
    </row>
    <row r="30" spans="1:22">
      <c r="C30" s="25">
        <v>9564212.0900000017</v>
      </c>
      <c r="E30" s="25">
        <f>SUM(E27:E29)</f>
        <v>0</v>
      </c>
      <c r="G30" s="25">
        <f>SUM(G27:G29)</f>
        <v>0</v>
      </c>
      <c r="I30" s="25">
        <f>SUM(I27:I29)</f>
        <v>0</v>
      </c>
      <c r="J30" s="27"/>
      <c r="K30" s="25">
        <f>SUM(K27:K29)</f>
        <v>0</v>
      </c>
      <c r="M30" s="25">
        <f>SUM(M27:M29)</f>
        <v>-4134494.5899999994</v>
      </c>
      <c r="O30" s="25">
        <f>SUM(O27:O29)</f>
        <v>5451913.7599999998</v>
      </c>
      <c r="Q30" s="25">
        <f>SUM(Q27:Q29)</f>
        <v>-313188.10000000003</v>
      </c>
      <c r="S30" s="25">
        <f>SUM(S27:S29)</f>
        <v>-83094.73</v>
      </c>
      <c r="U30" s="25">
        <f>SUM(U27:U29)</f>
        <v>12836412.610000001</v>
      </c>
    </row>
    <row r="31" spans="1:22">
      <c r="A31" s="3" t="s">
        <v>1097</v>
      </c>
    </row>
    <row r="32" spans="1:22">
      <c r="B32" t="s">
        <v>652</v>
      </c>
      <c r="C32" s="24">
        <f>+C17+C22+C27</f>
        <v>149762.34999999995</v>
      </c>
      <c r="E32" s="24">
        <f>+E17+E22+E27</f>
        <v>0</v>
      </c>
      <c r="G32" s="24">
        <f>+G17+G22+G27</f>
        <v>0</v>
      </c>
      <c r="I32" s="24">
        <f>+I17+I22+I27</f>
        <v>0</v>
      </c>
      <c r="J32" s="24"/>
      <c r="K32" s="24">
        <f>+K17+K22+K27</f>
        <v>0</v>
      </c>
      <c r="M32" s="24">
        <f>+M17+M22+M27</f>
        <v>-13557.84</v>
      </c>
      <c r="O32" s="24">
        <f>+O17+O22+O27</f>
        <v>-17161.189999999999</v>
      </c>
      <c r="Q32" s="24">
        <f>+Q17+Q22+Q27</f>
        <v>-10496.95</v>
      </c>
      <c r="S32" s="24">
        <f>+S17+S22+S27</f>
        <v>0</v>
      </c>
      <c r="U32" s="24">
        <f>S32+Q32+O32+M32+I32+G32+E32+C32+K32</f>
        <v>108546.36999999995</v>
      </c>
    </row>
    <row r="33" spans="2:21">
      <c r="B33" t="s">
        <v>112</v>
      </c>
      <c r="C33" s="24">
        <f>+C18+C23+C28</f>
        <v>11924715.030000001</v>
      </c>
      <c r="E33" s="24">
        <f>+E18+E23+E28</f>
        <v>0</v>
      </c>
      <c r="G33" s="24">
        <f>+G18+G23+G28</f>
        <v>0</v>
      </c>
      <c r="I33" s="24">
        <f>+I18+I23+I28</f>
        <v>-14615.87</v>
      </c>
      <c r="J33" s="24"/>
      <c r="K33" s="24">
        <f>+K18+K23+K28</f>
        <v>0</v>
      </c>
      <c r="M33" s="24">
        <f>+M18+M23+M28</f>
        <v>-4039482.9699999997</v>
      </c>
      <c r="O33" s="24">
        <f>+O18+O23+O28</f>
        <v>5226585.5299999993</v>
      </c>
      <c r="Q33" s="24">
        <f>+Q18+Q23+Q28</f>
        <v>-301510.06</v>
      </c>
      <c r="S33" s="24">
        <f>+S18+S23+S28</f>
        <v>-83094.73</v>
      </c>
      <c r="U33" s="24">
        <f>S33+Q33+O33+M33+I33+G33+E33+C33+K33</f>
        <v>12712596.930000002</v>
      </c>
    </row>
    <row r="34" spans="2:21">
      <c r="B34" t="s">
        <v>120</v>
      </c>
      <c r="C34" s="24">
        <f>+C19+C24+C29</f>
        <v>1590687.78</v>
      </c>
      <c r="E34" s="24">
        <f>+E19+E24+E29</f>
        <v>0</v>
      </c>
      <c r="G34" s="24">
        <f>+G19+G24+G29</f>
        <v>0</v>
      </c>
      <c r="I34" s="24">
        <f>+I19+I24+I29</f>
        <v>14615.87</v>
      </c>
      <c r="J34" s="24"/>
      <c r="K34" s="24">
        <f>+K19+K24+K29</f>
        <v>0</v>
      </c>
      <c r="M34" s="24">
        <f>+M19+M24+M29</f>
        <v>-81453.78</v>
      </c>
      <c r="O34" s="24">
        <f>+O19+O24+O29</f>
        <v>284819.85000000003</v>
      </c>
      <c r="Q34" s="24">
        <f>+Q19+Q24+Q29</f>
        <v>-1181.0900000000001</v>
      </c>
      <c r="S34" s="24">
        <f>+S19+S24+S29</f>
        <v>0</v>
      </c>
      <c r="U34" s="24">
        <f>S34+Q34+O34+M34+I34+G34+E34+C34+K34</f>
        <v>1807488.6300000001</v>
      </c>
    </row>
    <row r="35" spans="2:21">
      <c r="C35" s="25">
        <f>SUM(C32:C34)</f>
        <v>13665165.16</v>
      </c>
      <c r="E35" s="25">
        <f>SUM(E32:E34)</f>
        <v>0</v>
      </c>
      <c r="G35" s="25">
        <f>SUM(G32:G34)</f>
        <v>0</v>
      </c>
      <c r="I35" s="25">
        <f>SUM(I32:I34)</f>
        <v>0</v>
      </c>
      <c r="J35" s="27"/>
      <c r="K35" s="25">
        <f>SUM(K32:K34)</f>
        <v>0</v>
      </c>
      <c r="M35" s="25">
        <f>SUM(M32:M34)</f>
        <v>-4134494.5899999994</v>
      </c>
      <c r="O35" s="25">
        <f>SUM(O32:O34)</f>
        <v>5494244.1899999985</v>
      </c>
      <c r="Q35" s="25">
        <f>SUM(Q32:Q34)</f>
        <v>-313188.10000000003</v>
      </c>
      <c r="S35" s="25">
        <f>SUM(S32:S34)</f>
        <v>-83094.73</v>
      </c>
      <c r="U35" s="25">
        <f>SUM(U32:U34)</f>
        <v>14628631.930000002</v>
      </c>
    </row>
    <row r="37" spans="2:21">
      <c r="S37" t="s">
        <v>1104</v>
      </c>
      <c r="U37" s="89">
        <f>U14-U35</f>
        <v>0</v>
      </c>
    </row>
  </sheetData>
  <mergeCells count="3">
    <mergeCell ref="A1:U1"/>
    <mergeCell ref="A2:U2"/>
    <mergeCell ref="A3:U3"/>
  </mergeCells>
  <pageMargins left="0.7" right="0.7" top="0.75" bottom="0.75" header="0.3" footer="0.3"/>
  <pageSetup scale="76" orientation="landscape" r:id="rId1"/>
  <headerFooter>
    <oddFooter>&amp;L&amp;Z
&amp;F&amp;C&amp;A&amp;R2A.&amp;P</oddFooter>
  </headerFooter>
</worksheet>
</file>

<file path=xl/worksheets/sheet86.xml><?xml version="1.0" encoding="utf-8"?>
<worksheet xmlns="http://schemas.openxmlformats.org/spreadsheetml/2006/main" xmlns:r="http://schemas.openxmlformats.org/officeDocument/2006/relationships">
  <sheetPr codeName="Sheet85">
    <pageSetUpPr fitToPage="1"/>
  </sheetPr>
  <dimension ref="A1:AR297"/>
  <sheetViews>
    <sheetView zoomScale="70" zoomScaleNormal="70" workbookViewId="0">
      <pane xSplit="3" ySplit="8" topLeftCell="D9" activePane="bottomRight" state="frozen"/>
      <selection activeCell="C38" sqref="C38"/>
      <selection pane="topRight" activeCell="C38" sqref="C38"/>
      <selection pane="bottomLeft" activeCell="C38" sqref="C38"/>
      <selection pane="bottomRight" activeCell="D9" sqref="D9"/>
    </sheetView>
  </sheetViews>
  <sheetFormatPr defaultRowHeight="12.75" outlineLevelRow="3" outlineLevelCol="1"/>
  <cols>
    <col min="1" max="1" width="5" style="230" customWidth="1"/>
    <col min="2" max="2" width="8.140625" style="12" customWidth="1"/>
    <col min="3" max="3" width="29" style="184" customWidth="1"/>
    <col min="4" max="4" width="19.7109375" style="184" bestFit="1" customWidth="1"/>
    <col min="5" max="5" width="1.7109375" style="184" customWidth="1"/>
    <col min="6" max="6" width="17.7109375" style="184" customWidth="1" outlineLevel="1"/>
    <col min="7" max="7" width="1.7109375" style="184" customWidth="1" outlineLevel="1"/>
    <col min="8" max="8" width="17.7109375" style="184" customWidth="1" outlineLevel="1"/>
    <col min="9" max="9" width="1.7109375" style="184" customWidth="1" outlineLevel="1"/>
    <col min="10" max="10" width="17.7109375" style="184" customWidth="1" outlineLevel="1"/>
    <col min="11" max="11" width="1.7109375" style="184" customWidth="1" outlineLevel="1"/>
    <col min="12" max="12" width="17.7109375" style="184" customWidth="1" outlineLevel="1"/>
    <col min="13" max="13" width="1.7109375" style="184" customWidth="1" outlineLevel="1"/>
    <col min="14" max="14" width="17.7109375" style="184" customWidth="1" outlineLevel="1"/>
    <col min="15" max="15" width="1.7109375" style="184" customWidth="1" outlineLevel="1"/>
    <col min="16" max="16" width="17.7109375" style="184" customWidth="1" outlineLevel="1"/>
    <col min="17" max="17" width="1.7109375" style="184" customWidth="1" outlineLevel="1"/>
    <col min="18" max="18" width="17.7109375" style="184" customWidth="1" outlineLevel="1"/>
    <col min="19" max="19" width="1.7109375" style="184" customWidth="1" outlineLevel="1"/>
    <col min="20" max="20" width="19.28515625" style="184" customWidth="1"/>
    <col min="21" max="21" width="1.7109375" style="184" customWidth="1"/>
    <col min="22" max="22" width="16.85546875" style="195" bestFit="1" customWidth="1"/>
    <col min="23" max="24" width="16.85546875" style="257" customWidth="1"/>
    <col min="25" max="25" width="17.28515625" style="184" bestFit="1" customWidth="1"/>
    <col min="26" max="26" width="16.140625" style="184" bestFit="1" customWidth="1"/>
    <col min="27" max="32" width="16.140625" style="184" customWidth="1"/>
    <col min="33" max="33" width="15.7109375" style="184" bestFit="1" customWidth="1"/>
    <col min="34" max="34" width="14.42578125" style="184" customWidth="1"/>
    <col min="35" max="35" width="15" style="184" bestFit="1" customWidth="1"/>
    <col min="36" max="36" width="16.140625" style="184" bestFit="1" customWidth="1"/>
    <col min="37" max="37" width="1.7109375" style="184" customWidth="1"/>
    <col min="38" max="39" width="15.85546875" style="184" bestFit="1" customWidth="1"/>
    <col min="40" max="16384" width="9.140625" style="184"/>
  </cols>
  <sheetData>
    <row r="1" spans="1:44">
      <c r="A1" s="359" t="s">
        <v>134</v>
      </c>
      <c r="B1" s="359"/>
      <c r="C1" s="359"/>
      <c r="D1" s="359"/>
      <c r="E1" s="359"/>
      <c r="F1" s="359"/>
      <c r="G1" s="359"/>
      <c r="H1" s="359"/>
      <c r="I1" s="359"/>
      <c r="J1" s="359"/>
      <c r="K1" s="359"/>
      <c r="L1" s="359"/>
      <c r="M1" s="359"/>
      <c r="N1" s="359"/>
      <c r="O1" s="359"/>
      <c r="P1" s="359"/>
      <c r="Q1" s="359"/>
      <c r="R1" s="359"/>
      <c r="S1" s="359"/>
      <c r="T1" s="359"/>
      <c r="U1" s="359"/>
      <c r="V1" s="359"/>
      <c r="W1" s="359"/>
      <c r="X1" s="359"/>
      <c r="Y1" s="359"/>
      <c r="Z1" s="359"/>
      <c r="AA1" s="359"/>
      <c r="AB1" s="359"/>
      <c r="AC1" s="359"/>
      <c r="AD1" s="359"/>
      <c r="AE1" s="359"/>
      <c r="AF1" s="359"/>
      <c r="AG1" s="359"/>
      <c r="AH1" s="359"/>
      <c r="AI1" s="359"/>
      <c r="AJ1" s="359"/>
      <c r="AK1" s="359"/>
      <c r="AL1" s="359"/>
      <c r="AM1" s="359"/>
    </row>
    <row r="2" spans="1:44">
      <c r="A2" s="359" t="s">
        <v>1210</v>
      </c>
      <c r="B2" s="359"/>
      <c r="C2" s="359"/>
      <c r="D2" s="359"/>
      <c r="E2" s="359"/>
      <c r="F2" s="359"/>
      <c r="G2" s="359"/>
      <c r="H2" s="359"/>
      <c r="I2" s="359"/>
      <c r="J2" s="359"/>
      <c r="K2" s="359"/>
      <c r="L2" s="359"/>
      <c r="M2" s="359"/>
      <c r="N2" s="359"/>
      <c r="O2" s="359"/>
      <c r="P2" s="359"/>
      <c r="Q2" s="359"/>
      <c r="R2" s="359"/>
      <c r="S2" s="359"/>
      <c r="T2" s="359"/>
      <c r="U2" s="359"/>
      <c r="V2" s="359"/>
      <c r="W2" s="359"/>
      <c r="X2" s="359"/>
      <c r="Y2" s="359"/>
      <c r="Z2" s="359"/>
      <c r="AA2" s="359"/>
      <c r="AB2" s="359"/>
      <c r="AC2" s="359"/>
      <c r="AD2" s="359"/>
      <c r="AE2" s="359"/>
      <c r="AF2" s="359"/>
      <c r="AG2" s="359"/>
      <c r="AH2" s="359"/>
      <c r="AI2" s="359"/>
      <c r="AJ2" s="359"/>
      <c r="AK2" s="359"/>
      <c r="AL2" s="359"/>
      <c r="AM2" s="359"/>
    </row>
    <row r="3" spans="1:44">
      <c r="A3" s="360" t="str">
        <f>+'Summary - Cost - PG 1 (Fin)'!A3:N3</f>
        <v>MARCH 2012</v>
      </c>
      <c r="B3" s="360"/>
      <c r="C3" s="360"/>
      <c r="D3" s="360"/>
      <c r="E3" s="360"/>
      <c r="F3" s="360"/>
      <c r="G3" s="360"/>
      <c r="H3" s="360"/>
      <c r="I3" s="360"/>
      <c r="J3" s="360"/>
      <c r="K3" s="360"/>
      <c r="L3" s="360"/>
      <c r="M3" s="360"/>
      <c r="N3" s="360"/>
      <c r="O3" s="360"/>
      <c r="P3" s="360"/>
      <c r="Q3" s="360"/>
      <c r="R3" s="360"/>
      <c r="S3" s="360"/>
      <c r="T3" s="360"/>
      <c r="U3" s="360"/>
      <c r="V3" s="360"/>
      <c r="W3" s="360"/>
      <c r="X3" s="360"/>
      <c r="Y3" s="360"/>
      <c r="Z3" s="360"/>
      <c r="AA3" s="360"/>
      <c r="AB3" s="360"/>
      <c r="AC3" s="360"/>
      <c r="AD3" s="360"/>
      <c r="AE3" s="360"/>
      <c r="AF3" s="360"/>
      <c r="AG3" s="360"/>
      <c r="AH3" s="360"/>
      <c r="AI3" s="360"/>
      <c r="AJ3" s="360"/>
      <c r="AK3" s="360"/>
      <c r="AL3" s="360"/>
      <c r="AM3" s="360"/>
    </row>
    <row r="4" spans="1:44">
      <c r="A4" s="193"/>
      <c r="B4" s="189"/>
      <c r="C4" s="194"/>
      <c r="D4" s="194"/>
      <c r="E4" s="194"/>
      <c r="F4" s="194"/>
      <c r="G4" s="194"/>
      <c r="H4" s="194"/>
      <c r="I4" s="194"/>
      <c r="J4" s="194"/>
      <c r="K4" s="194"/>
      <c r="L4" s="194"/>
      <c r="M4" s="194"/>
      <c r="N4" s="194"/>
      <c r="O4" s="194"/>
      <c r="P4" s="194"/>
      <c r="Q4" s="194"/>
      <c r="R4" s="194"/>
      <c r="S4" s="194"/>
      <c r="T4" s="194"/>
      <c r="U4" s="194"/>
    </row>
    <row r="5" spans="1:44">
      <c r="A5" s="193"/>
      <c r="B5" s="189"/>
      <c r="C5" s="194"/>
      <c r="D5" s="194"/>
      <c r="E5" s="194"/>
      <c r="F5" s="194"/>
      <c r="G5" s="194"/>
      <c r="H5" s="194"/>
      <c r="I5" s="194"/>
      <c r="J5" s="194"/>
      <c r="K5" s="194"/>
      <c r="L5" s="194"/>
      <c r="M5" s="194"/>
      <c r="N5" s="194"/>
      <c r="O5" s="194"/>
      <c r="P5" s="194"/>
      <c r="Q5" s="194"/>
      <c r="R5" s="194"/>
      <c r="S5" s="194"/>
      <c r="T5" s="194"/>
      <c r="U5" s="194"/>
    </row>
    <row r="6" spans="1:44">
      <c r="A6" s="193"/>
      <c r="B6" s="189"/>
      <c r="C6" s="194"/>
      <c r="D6" s="41"/>
      <c r="E6" s="196"/>
      <c r="F6" s="196"/>
      <c r="G6" s="196"/>
      <c r="H6" s="196"/>
      <c r="I6" s="196"/>
      <c r="J6" s="41"/>
      <c r="K6" s="196"/>
      <c r="L6" s="196"/>
      <c r="M6" s="196"/>
      <c r="N6" s="196"/>
      <c r="O6" s="196"/>
      <c r="P6" s="196"/>
      <c r="Q6" s="196"/>
      <c r="R6" s="196"/>
      <c r="S6" s="196"/>
      <c r="T6" s="84"/>
      <c r="U6" s="197"/>
      <c r="V6" s="362" t="s">
        <v>1110</v>
      </c>
      <c r="W6" s="362"/>
      <c r="X6" s="362"/>
      <c r="Y6" s="362"/>
      <c r="Z6" s="362"/>
      <c r="AA6" s="362"/>
      <c r="AB6" s="362"/>
      <c r="AC6" s="362"/>
      <c r="AD6" s="362"/>
      <c r="AE6" s="362"/>
      <c r="AF6" s="362"/>
      <c r="AG6" s="362"/>
      <c r="AH6" s="362"/>
      <c r="AI6" s="363" t="s">
        <v>1111</v>
      </c>
      <c r="AJ6" s="364"/>
      <c r="AK6" s="199"/>
    </row>
    <row r="7" spans="1:44" s="12" customFormat="1" ht="38.25">
      <c r="A7" s="59"/>
      <c r="D7" s="42" t="s">
        <v>448</v>
      </c>
      <c r="E7" s="23"/>
      <c r="F7" s="42"/>
      <c r="G7" s="23"/>
      <c r="H7" s="42"/>
      <c r="I7" s="23"/>
      <c r="J7" s="42"/>
      <c r="K7" s="23"/>
      <c r="L7" s="43"/>
      <c r="M7" s="85"/>
      <c r="N7" s="85"/>
      <c r="O7" s="85"/>
      <c r="P7" s="85"/>
      <c r="Q7" s="85"/>
      <c r="R7" s="85"/>
      <c r="S7" s="23"/>
      <c r="T7" s="43" t="s">
        <v>110</v>
      </c>
      <c r="U7" s="200"/>
      <c r="V7" s="201" t="s">
        <v>1247</v>
      </c>
      <c r="W7" s="201" t="s">
        <v>1248</v>
      </c>
      <c r="X7" s="201" t="s">
        <v>1249</v>
      </c>
      <c r="Y7" s="201" t="s">
        <v>1113</v>
      </c>
      <c r="Z7" s="202" t="s">
        <v>108</v>
      </c>
      <c r="AA7" s="202" t="s">
        <v>1241</v>
      </c>
      <c r="AB7" s="202" t="s">
        <v>1250</v>
      </c>
      <c r="AC7" s="202" t="s">
        <v>1254</v>
      </c>
      <c r="AD7" s="202" t="s">
        <v>1251</v>
      </c>
      <c r="AE7" s="202" t="s">
        <v>1252</v>
      </c>
      <c r="AF7" s="202" t="s">
        <v>1242</v>
      </c>
      <c r="AG7" s="202" t="s">
        <v>1243</v>
      </c>
      <c r="AH7" s="202" t="s">
        <v>1115</v>
      </c>
      <c r="AI7" s="203" t="s">
        <v>28</v>
      </c>
      <c r="AJ7" s="204" t="s">
        <v>1116</v>
      </c>
      <c r="AK7" s="205"/>
      <c r="AL7" s="202" t="s">
        <v>1117</v>
      </c>
      <c r="AM7" s="202" t="s">
        <v>47</v>
      </c>
      <c r="AN7" s="184"/>
      <c r="AO7" s="184"/>
      <c r="AP7" s="184"/>
      <c r="AQ7" s="184"/>
      <c r="AR7" s="184"/>
    </row>
    <row r="8" spans="1:44" s="12" customFormat="1">
      <c r="A8" s="59"/>
      <c r="D8" s="54"/>
      <c r="E8" s="23"/>
      <c r="F8" s="54"/>
      <c r="G8" s="23"/>
      <c r="H8" s="54"/>
      <c r="I8" s="23"/>
      <c r="J8" s="54"/>
      <c r="K8" s="23"/>
      <c r="L8" s="85"/>
      <c r="M8" s="85"/>
      <c r="N8" s="85"/>
      <c r="O8" s="85"/>
      <c r="P8" s="85"/>
      <c r="Q8" s="85"/>
      <c r="R8" s="85"/>
      <c r="S8" s="23"/>
      <c r="T8" s="85"/>
      <c r="U8" s="200"/>
      <c r="V8" s="195"/>
      <c r="W8" s="257"/>
      <c r="X8" s="257"/>
      <c r="Y8" s="184"/>
      <c r="Z8" s="184"/>
      <c r="AA8" s="184"/>
      <c r="AB8" s="184"/>
      <c r="AC8" s="184"/>
      <c r="AD8" s="184"/>
      <c r="AE8" s="184"/>
      <c r="AF8" s="184"/>
      <c r="AG8" s="184"/>
      <c r="AH8" s="184"/>
      <c r="AI8" s="206"/>
      <c r="AJ8" s="207"/>
      <c r="AK8" s="199"/>
      <c r="AL8" s="184"/>
      <c r="AM8" s="184"/>
      <c r="AN8" s="184"/>
      <c r="AO8" s="184"/>
      <c r="AP8" s="184"/>
      <c r="AQ8" s="184"/>
      <c r="AR8" s="184"/>
    </row>
    <row r="9" spans="1:44" s="12" customFormat="1">
      <c r="A9" s="208" t="s">
        <v>1118</v>
      </c>
      <c r="D9" s="54"/>
      <c r="E9" s="23"/>
      <c r="F9" s="54"/>
      <c r="G9" s="23"/>
      <c r="H9" s="54"/>
      <c r="I9" s="23"/>
      <c r="J9" s="54"/>
      <c r="K9" s="23"/>
      <c r="L9" s="85"/>
      <c r="M9" s="85"/>
      <c r="N9" s="85"/>
      <c r="O9" s="85"/>
      <c r="P9" s="85"/>
      <c r="Q9" s="85"/>
      <c r="R9" s="85"/>
      <c r="S9" s="23"/>
      <c r="T9" s="85"/>
      <c r="U9" s="200"/>
      <c r="V9" s="184"/>
      <c r="W9" s="184"/>
      <c r="X9" s="184"/>
      <c r="Z9" s="184"/>
      <c r="AA9" s="184"/>
      <c r="AB9" s="184"/>
      <c r="AC9" s="184"/>
      <c r="AD9" s="184"/>
      <c r="AE9" s="184"/>
      <c r="AF9" s="184"/>
      <c r="AG9" s="184"/>
      <c r="AH9" s="184"/>
      <c r="AI9" s="206"/>
      <c r="AJ9" s="207"/>
      <c r="AK9" s="199"/>
      <c r="AL9" s="184"/>
      <c r="AM9" s="184"/>
      <c r="AN9" s="184"/>
      <c r="AO9" s="184"/>
      <c r="AP9" s="184"/>
      <c r="AQ9" s="184"/>
      <c r="AR9" s="184"/>
    </row>
    <row r="10" spans="1:44" s="12" customFormat="1">
      <c r="A10" s="59"/>
      <c r="B10" s="209" t="s">
        <v>1119</v>
      </c>
      <c r="D10" s="188">
        <v>4190578884.7999992</v>
      </c>
      <c r="E10" s="23"/>
      <c r="F10" s="54"/>
      <c r="G10" s="23"/>
      <c r="H10" s="54"/>
      <c r="I10" s="23"/>
      <c r="J10" s="54"/>
      <c r="K10" s="23"/>
      <c r="L10" s="85"/>
      <c r="M10" s="85"/>
      <c r="N10" s="85"/>
      <c r="O10" s="85"/>
      <c r="P10" s="85"/>
      <c r="Q10" s="85"/>
      <c r="R10" s="85"/>
      <c r="S10" s="23"/>
      <c r="T10" s="188">
        <v>4354588210.04</v>
      </c>
      <c r="U10" s="210"/>
      <c r="V10" s="211">
        <f t="shared" ref="V10:AJ10" si="0">+V129</f>
        <v>0</v>
      </c>
      <c r="W10" s="211"/>
      <c r="X10" s="211"/>
      <c r="Y10" s="211">
        <f t="shared" si="0"/>
        <v>74293198.920000002</v>
      </c>
      <c r="Z10" s="211">
        <f t="shared" si="0"/>
        <v>-6746260.6700000009</v>
      </c>
      <c r="AA10" s="211">
        <f t="shared" ref="AA10:AF10" si="1">+AA129</f>
        <v>-23.74</v>
      </c>
      <c r="AB10" s="211"/>
      <c r="AC10" s="211"/>
      <c r="AD10" s="211"/>
      <c r="AE10" s="211"/>
      <c r="AF10" s="211" t="e">
        <f t="shared" si="1"/>
        <v>#REF!</v>
      </c>
      <c r="AG10" s="211" t="e">
        <f t="shared" si="0"/>
        <v>#REF!</v>
      </c>
      <c r="AH10" s="211">
        <f t="shared" si="0"/>
        <v>0</v>
      </c>
      <c r="AI10" s="212">
        <f t="shared" si="0"/>
        <v>0</v>
      </c>
      <c r="AJ10" s="213">
        <f t="shared" si="0"/>
        <v>0</v>
      </c>
      <c r="AK10" s="214"/>
      <c r="AL10" s="211" t="e">
        <f t="shared" ref="AL10:AL15" si="2">SUM(V10:AJ10)</f>
        <v>#REF!</v>
      </c>
      <c r="AM10" s="211" t="e">
        <f t="shared" ref="AM10:AM15" si="3">+T10-D10-AL10</f>
        <v>#REF!</v>
      </c>
      <c r="AN10" s="184"/>
      <c r="AO10" s="184"/>
      <c r="AP10" s="184"/>
      <c r="AQ10" s="184"/>
      <c r="AR10" s="184"/>
    </row>
    <row r="11" spans="1:44" s="12" customFormat="1">
      <c r="A11" s="59"/>
      <c r="B11" s="209" t="s">
        <v>1120</v>
      </c>
      <c r="D11" s="188">
        <v>75239.56</v>
      </c>
      <c r="E11" s="23"/>
      <c r="F11" s="54"/>
      <c r="G11" s="23"/>
      <c r="H11" s="54"/>
      <c r="I11" s="23"/>
      <c r="J11" s="54"/>
      <c r="K11" s="23"/>
      <c r="L11" s="85"/>
      <c r="M11" s="85"/>
      <c r="N11" s="85"/>
      <c r="O11" s="85"/>
      <c r="P11" s="85"/>
      <c r="Q11" s="85"/>
      <c r="R11" s="85"/>
      <c r="S11" s="23"/>
      <c r="T11" s="188">
        <v>75239.56</v>
      </c>
      <c r="U11" s="210"/>
      <c r="V11" s="211">
        <f t="shared" ref="V11:AJ11" si="4">+V139</f>
        <v>0</v>
      </c>
      <c r="W11" s="211"/>
      <c r="X11" s="211"/>
      <c r="Y11" s="211">
        <f t="shared" si="4"/>
        <v>0</v>
      </c>
      <c r="Z11" s="211">
        <f t="shared" si="4"/>
        <v>0</v>
      </c>
      <c r="AA11" s="211">
        <f t="shared" ref="AA11:AF11" si="5">+AA139</f>
        <v>0</v>
      </c>
      <c r="AB11" s="211"/>
      <c r="AC11" s="211"/>
      <c r="AD11" s="211"/>
      <c r="AE11" s="211"/>
      <c r="AF11" s="211">
        <f t="shared" si="5"/>
        <v>0</v>
      </c>
      <c r="AG11" s="211">
        <f t="shared" si="4"/>
        <v>0</v>
      </c>
      <c r="AH11" s="211">
        <f t="shared" si="4"/>
        <v>0</v>
      </c>
      <c r="AI11" s="212">
        <f t="shared" si="4"/>
        <v>0</v>
      </c>
      <c r="AJ11" s="213">
        <f t="shared" si="4"/>
        <v>0</v>
      </c>
      <c r="AK11" s="214"/>
      <c r="AL11" s="211">
        <f t="shared" si="2"/>
        <v>0</v>
      </c>
      <c r="AM11" s="211">
        <f t="shared" si="3"/>
        <v>0</v>
      </c>
      <c r="AN11" s="184"/>
      <c r="AO11" s="184"/>
      <c r="AP11" s="184"/>
      <c r="AQ11" s="184"/>
      <c r="AR11" s="184"/>
    </row>
    <row r="12" spans="1:44" s="12" customFormat="1">
      <c r="A12" s="59"/>
      <c r="B12" s="209" t="s">
        <v>1121</v>
      </c>
      <c r="D12" s="188">
        <v>-1705246989.4000001</v>
      </c>
      <c r="E12" s="23"/>
      <c r="F12" s="54"/>
      <c r="G12" s="23"/>
      <c r="H12" s="54"/>
      <c r="I12" s="23"/>
      <c r="J12" s="54"/>
      <c r="K12" s="23"/>
      <c r="L12" s="85"/>
      <c r="M12" s="85"/>
      <c r="N12" s="85"/>
      <c r="O12" s="85"/>
      <c r="P12" s="85"/>
      <c r="Q12" s="85"/>
      <c r="R12" s="85"/>
      <c r="S12" s="23"/>
      <c r="T12" s="188">
        <f>-1771546835.76-63360.36</f>
        <v>-1771610196.1199999</v>
      </c>
      <c r="U12" s="210"/>
      <c r="V12" s="211">
        <f t="shared" ref="V12:AJ12" si="6">+V236</f>
        <v>-30419790.010000005</v>
      </c>
      <c r="W12" s="211">
        <f>-295460.88-690164.94</f>
        <v>-985625.82</v>
      </c>
      <c r="X12" s="211"/>
      <c r="Y12" s="211">
        <f t="shared" si="6"/>
        <v>0</v>
      </c>
      <c r="Z12" s="211">
        <f t="shared" si="6"/>
        <v>6746260.6699999981</v>
      </c>
      <c r="AA12" s="211">
        <f t="shared" ref="AA12:AF12" si="7">+AA236</f>
        <v>0</v>
      </c>
      <c r="AB12" s="211"/>
      <c r="AC12" s="211"/>
      <c r="AD12" s="211"/>
      <c r="AE12" s="211"/>
      <c r="AF12" s="211" t="e">
        <f t="shared" si="7"/>
        <v>#REF!</v>
      </c>
      <c r="AG12" s="211" t="e">
        <f t="shared" si="6"/>
        <v>#REF!</v>
      </c>
      <c r="AH12" s="211">
        <f t="shared" si="6"/>
        <v>2613995.02</v>
      </c>
      <c r="AI12" s="212">
        <f t="shared" si="6"/>
        <v>0</v>
      </c>
      <c r="AJ12" s="213">
        <f t="shared" si="6"/>
        <v>0</v>
      </c>
      <c r="AK12" s="214"/>
      <c r="AL12" s="211" t="e">
        <f t="shared" si="2"/>
        <v>#REF!</v>
      </c>
      <c r="AM12" s="211" t="e">
        <f t="shared" si="3"/>
        <v>#REF!</v>
      </c>
      <c r="AN12" s="184"/>
      <c r="AO12" s="184"/>
      <c r="AP12" s="184"/>
      <c r="AQ12" s="184"/>
      <c r="AR12" s="184"/>
    </row>
    <row r="13" spans="1:44" s="12" customFormat="1">
      <c r="A13" s="59"/>
      <c r="B13" s="209" t="s">
        <v>1122</v>
      </c>
      <c r="D13" s="188">
        <v>342126537.57999998</v>
      </c>
      <c r="E13" s="23"/>
      <c r="F13" s="54"/>
      <c r="G13" s="23"/>
      <c r="H13" s="54"/>
      <c r="I13" s="23"/>
      <c r="J13" s="54"/>
      <c r="K13" s="23"/>
      <c r="L13" s="85"/>
      <c r="M13" s="85"/>
      <c r="N13" s="85"/>
      <c r="O13" s="85"/>
      <c r="P13" s="85"/>
      <c r="Q13" s="85"/>
      <c r="R13" s="85"/>
      <c r="S13" s="23"/>
      <c r="T13" s="188">
        <v>385323918.94</v>
      </c>
      <c r="U13" s="210"/>
      <c r="V13" s="211">
        <f t="shared" ref="V13:AJ13" si="8">+V150</f>
        <v>0</v>
      </c>
      <c r="W13" s="211"/>
      <c r="X13" s="211"/>
      <c r="Y13" s="211">
        <f t="shared" si="8"/>
        <v>-74303298.920000002</v>
      </c>
      <c r="Z13" s="211">
        <f t="shared" si="8"/>
        <v>0</v>
      </c>
      <c r="AA13" s="211">
        <f t="shared" ref="AA13:AF13" si="9">+AA150</f>
        <v>0</v>
      </c>
      <c r="AB13" s="211"/>
      <c r="AC13" s="211"/>
      <c r="AD13" s="211"/>
      <c r="AE13" s="211"/>
      <c r="AF13" s="211">
        <f t="shared" si="9"/>
        <v>0</v>
      </c>
      <c r="AG13" s="211">
        <f t="shared" si="8"/>
        <v>0</v>
      </c>
      <c r="AH13" s="211">
        <f t="shared" si="8"/>
        <v>0</v>
      </c>
      <c r="AI13" s="212">
        <f t="shared" si="8"/>
        <v>0</v>
      </c>
      <c r="AJ13" s="213">
        <f t="shared" si="8"/>
        <v>43156140.920000017</v>
      </c>
      <c r="AK13" s="214"/>
      <c r="AL13" s="211">
        <f t="shared" si="2"/>
        <v>-31147157.999999985</v>
      </c>
      <c r="AM13" s="211">
        <f t="shared" si="3"/>
        <v>74344539.359999999</v>
      </c>
      <c r="AN13" s="184"/>
      <c r="AO13" s="184"/>
      <c r="AP13" s="184"/>
      <c r="AQ13" s="184"/>
      <c r="AR13" s="184"/>
    </row>
    <row r="14" spans="1:44" s="12" customFormat="1">
      <c r="A14" s="59"/>
      <c r="B14" s="215" t="s">
        <v>1123</v>
      </c>
      <c r="D14" s="188">
        <v>6237590.7199999997</v>
      </c>
      <c r="E14" s="23"/>
      <c r="F14" s="54"/>
      <c r="G14" s="23"/>
      <c r="H14" s="54"/>
      <c r="I14" s="23"/>
      <c r="J14" s="54"/>
      <c r="K14" s="23"/>
      <c r="L14" s="85"/>
      <c r="M14" s="85"/>
      <c r="N14" s="85"/>
      <c r="O14" s="85"/>
      <c r="P14" s="85"/>
      <c r="Q14" s="85"/>
      <c r="R14" s="85"/>
      <c r="S14" s="23"/>
      <c r="T14" s="188">
        <v>5900972.0800000001</v>
      </c>
      <c r="U14" s="210"/>
      <c r="V14" s="211">
        <f t="shared" ref="V14:AJ14" si="10">+V179</f>
        <v>-102921.15000000001</v>
      </c>
      <c r="W14" s="211"/>
      <c r="X14" s="211"/>
      <c r="Y14" s="211">
        <f t="shared" si="10"/>
        <v>10100</v>
      </c>
      <c r="Z14" s="211">
        <f t="shared" si="10"/>
        <v>0</v>
      </c>
      <c r="AA14" s="211">
        <f t="shared" ref="AA14:AF14" si="11">+AA179</f>
        <v>0</v>
      </c>
      <c r="AB14" s="211"/>
      <c r="AC14" s="211"/>
      <c r="AD14" s="211"/>
      <c r="AE14" s="211"/>
      <c r="AF14" s="211">
        <f t="shared" si="11"/>
        <v>0</v>
      </c>
      <c r="AG14" s="211">
        <f t="shared" si="10"/>
        <v>0</v>
      </c>
      <c r="AH14" s="211">
        <f t="shared" si="10"/>
        <v>0</v>
      </c>
      <c r="AI14" s="212">
        <f t="shared" si="10"/>
        <v>0</v>
      </c>
      <c r="AJ14" s="213">
        <f t="shared" si="10"/>
        <v>0</v>
      </c>
      <c r="AK14" s="214"/>
      <c r="AL14" s="211">
        <f t="shared" si="2"/>
        <v>-92821.150000000009</v>
      </c>
      <c r="AM14" s="211">
        <f t="shared" si="3"/>
        <v>-243797.48999999964</v>
      </c>
      <c r="AN14" s="184"/>
      <c r="AO14" s="184"/>
      <c r="AP14" s="184"/>
      <c r="AQ14" s="184"/>
      <c r="AR14" s="184"/>
    </row>
    <row r="15" spans="1:44" s="12" customFormat="1">
      <c r="A15" s="59"/>
      <c r="B15" s="209" t="s">
        <v>1124</v>
      </c>
      <c r="D15" s="188">
        <v>-255657569.68000001</v>
      </c>
      <c r="E15" s="23"/>
      <c r="F15" s="54"/>
      <c r="G15" s="23"/>
      <c r="H15" s="54"/>
      <c r="I15" s="23"/>
      <c r="J15" s="54"/>
      <c r="K15" s="23"/>
      <c r="L15" s="85"/>
      <c r="M15" s="85"/>
      <c r="N15" s="85"/>
      <c r="O15" s="85"/>
      <c r="P15" s="85"/>
      <c r="Q15" s="85"/>
      <c r="R15" s="85"/>
      <c r="S15" s="23"/>
      <c r="T15" s="188">
        <v>-271431949.38999999</v>
      </c>
      <c r="U15" s="210"/>
      <c r="V15" s="211">
        <f t="shared" ref="V15:AJ15" si="12">+V291</f>
        <v>-6539747.5200000005</v>
      </c>
      <c r="W15" s="211"/>
      <c r="X15" s="211"/>
      <c r="Y15" s="211">
        <f t="shared" si="12"/>
        <v>0</v>
      </c>
      <c r="Z15" s="211">
        <f t="shared" si="12"/>
        <v>0</v>
      </c>
      <c r="AA15" s="211">
        <f t="shared" ref="AA15:AF15" si="13">+AA291</f>
        <v>0</v>
      </c>
      <c r="AB15" s="211"/>
      <c r="AC15" s="211"/>
      <c r="AD15" s="211"/>
      <c r="AE15" s="211"/>
      <c r="AF15" s="211" t="e">
        <f t="shared" si="13"/>
        <v>#REF!</v>
      </c>
      <c r="AG15" s="211" t="e">
        <f t="shared" si="12"/>
        <v>#REF!</v>
      </c>
      <c r="AH15" s="211">
        <f t="shared" si="12"/>
        <v>-2770449.1199999996</v>
      </c>
      <c r="AI15" s="212">
        <f t="shared" si="12"/>
        <v>3884790.8799999994</v>
      </c>
      <c r="AJ15" s="213">
        <f t="shared" si="12"/>
        <v>0</v>
      </c>
      <c r="AK15" s="214"/>
      <c r="AL15" s="211" t="e">
        <f t="shared" si="2"/>
        <v>#REF!</v>
      </c>
      <c r="AM15" s="211" t="e">
        <f t="shared" si="3"/>
        <v>#REF!</v>
      </c>
      <c r="AN15" s="184"/>
      <c r="AO15" s="184"/>
      <c r="AP15" s="184"/>
      <c r="AQ15" s="184"/>
      <c r="AR15" s="184"/>
    </row>
    <row r="16" spans="1:44" s="12" customFormat="1">
      <c r="A16" s="59"/>
      <c r="B16" s="209" t="s">
        <v>1245</v>
      </c>
      <c r="D16" s="188">
        <v>29599412.989999998</v>
      </c>
      <c r="E16" s="23"/>
      <c r="F16" s="54"/>
      <c r="G16" s="23"/>
      <c r="H16" s="54"/>
      <c r="I16" s="23"/>
      <c r="J16" s="54"/>
      <c r="K16" s="23"/>
      <c r="L16" s="85"/>
      <c r="M16" s="85"/>
      <c r="N16" s="85"/>
      <c r="O16" s="85"/>
      <c r="P16" s="85"/>
      <c r="Q16" s="85"/>
      <c r="R16" s="85"/>
      <c r="S16" s="23"/>
      <c r="T16" s="188">
        <v>6839111.2699999996</v>
      </c>
      <c r="U16" s="210"/>
      <c r="V16" s="211"/>
      <c r="W16" s="211">
        <f>-W12</f>
        <v>985625.82</v>
      </c>
      <c r="X16" s="211">
        <v>2121259.8199999998</v>
      </c>
      <c r="Y16" s="211"/>
      <c r="Z16" s="211"/>
      <c r="AA16" s="211"/>
      <c r="AB16" s="211">
        <v>-21886.35</v>
      </c>
      <c r="AC16" s="211">
        <f>-34082208.66+4671.77</f>
        <v>-34077536.889999993</v>
      </c>
      <c r="AD16" s="211">
        <v>1162845.81</v>
      </c>
      <c r="AE16" s="211">
        <v>7069390.0700000003</v>
      </c>
      <c r="AF16" s="211"/>
      <c r="AG16" s="211"/>
      <c r="AH16" s="211"/>
      <c r="AI16" s="212"/>
      <c r="AJ16" s="213"/>
      <c r="AK16" s="214"/>
      <c r="AL16" s="211">
        <f t="shared" ref="AL16:AL18" si="14">SUM(V16:AJ16)</f>
        <v>-22760301.719999995</v>
      </c>
      <c r="AM16" s="211">
        <f t="shared" ref="AM16:AM18" si="15">+T16-D16-AL16</f>
        <v>0</v>
      </c>
      <c r="AN16" s="184"/>
      <c r="AO16" s="184"/>
      <c r="AP16" s="184"/>
      <c r="AQ16" s="184"/>
      <c r="AR16" s="184"/>
    </row>
    <row r="17" spans="1:44" s="12" customFormat="1">
      <c r="A17" s="59"/>
      <c r="B17" s="209" t="s">
        <v>1256</v>
      </c>
      <c r="D17" s="188">
        <v>0</v>
      </c>
      <c r="E17" s="23"/>
      <c r="F17" s="54"/>
      <c r="G17" s="23"/>
      <c r="H17" s="54"/>
      <c r="I17" s="23"/>
      <c r="J17" s="54"/>
      <c r="K17" s="23"/>
      <c r="L17" s="85"/>
      <c r="M17" s="85"/>
      <c r="N17" s="85"/>
      <c r="O17" s="85"/>
      <c r="P17" s="85"/>
      <c r="Q17" s="85"/>
      <c r="R17" s="85"/>
      <c r="S17" s="23"/>
      <c r="T17" s="188">
        <f>-210000-591642</f>
        <v>-801642</v>
      </c>
      <c r="U17" s="210"/>
      <c r="V17" s="211"/>
      <c r="W17" s="211"/>
      <c r="X17" s="211"/>
      <c r="Y17" s="211"/>
      <c r="Z17" s="211"/>
      <c r="AA17" s="211"/>
      <c r="AB17" s="211"/>
      <c r="AC17" s="211"/>
      <c r="AD17" s="211"/>
      <c r="AE17" s="211"/>
      <c r="AF17" s="211"/>
      <c r="AG17" s="211">
        <v>-801642</v>
      </c>
      <c r="AH17" s="211"/>
      <c r="AI17" s="212"/>
      <c r="AJ17" s="213"/>
      <c r="AK17" s="214"/>
      <c r="AL17" s="211">
        <f t="shared" si="14"/>
        <v>-801642</v>
      </c>
      <c r="AM17" s="211">
        <f t="shared" si="15"/>
        <v>0</v>
      </c>
      <c r="AN17" s="184"/>
      <c r="AO17" s="184"/>
      <c r="AP17" s="184"/>
      <c r="AQ17" s="184"/>
      <c r="AR17" s="184"/>
    </row>
    <row r="18" spans="1:44" s="12" customFormat="1">
      <c r="A18" s="59"/>
      <c r="B18" s="209" t="s">
        <v>1246</v>
      </c>
      <c r="D18" s="188">
        <v>-31351250.859999999</v>
      </c>
      <c r="E18" s="23"/>
      <c r="F18" s="54"/>
      <c r="G18" s="23"/>
      <c r="H18" s="54"/>
      <c r="I18" s="23"/>
      <c r="J18" s="54"/>
      <c r="K18" s="23"/>
      <c r="L18" s="85"/>
      <c r="M18" s="85"/>
      <c r="N18" s="85"/>
      <c r="O18" s="85"/>
      <c r="P18" s="85"/>
      <c r="Q18" s="85"/>
      <c r="R18" s="85"/>
      <c r="S18" s="23"/>
      <c r="T18" s="188">
        <f>-48943598.15</f>
        <v>-48943598.149999999</v>
      </c>
      <c r="U18" s="210"/>
      <c r="V18" s="211"/>
      <c r="W18" s="211"/>
      <c r="X18" s="211">
        <f>-X16</f>
        <v>-2121259.8199999998</v>
      </c>
      <c r="Y18" s="211"/>
      <c r="Z18" s="211"/>
      <c r="AA18" s="211"/>
      <c r="AB18" s="211">
        <v>21886.35</v>
      </c>
      <c r="AC18" s="211">
        <v>12933668.609999999</v>
      </c>
      <c r="AD18" s="211">
        <v>-30441454.91</v>
      </c>
      <c r="AE18" s="211"/>
      <c r="AF18" s="211"/>
      <c r="AG18" s="211">
        <f>-AG17</f>
        <v>801642</v>
      </c>
      <c r="AH18" s="211"/>
      <c r="AI18" s="212">
        <f>+N286+P286+R286</f>
        <v>1213170.48</v>
      </c>
      <c r="AJ18" s="213"/>
      <c r="AK18" s="214"/>
      <c r="AL18" s="211">
        <f t="shared" si="14"/>
        <v>-17592347.289999999</v>
      </c>
      <c r="AM18" s="211">
        <f t="shared" si="15"/>
        <v>0</v>
      </c>
      <c r="AN18" s="184"/>
      <c r="AO18" s="184"/>
      <c r="AP18" s="184"/>
      <c r="AQ18" s="184"/>
      <c r="AR18" s="184"/>
    </row>
    <row r="19" spans="1:44" s="12" customFormat="1">
      <c r="A19" s="59"/>
      <c r="B19" s="209"/>
      <c r="D19" s="188"/>
      <c r="E19" s="23"/>
      <c r="F19" s="54"/>
      <c r="G19" s="23"/>
      <c r="H19" s="54"/>
      <c r="I19" s="23"/>
      <c r="J19" s="54"/>
      <c r="K19" s="23"/>
      <c r="L19" s="85"/>
      <c r="M19" s="85"/>
      <c r="N19" s="85"/>
      <c r="O19" s="85"/>
      <c r="P19" s="85"/>
      <c r="Q19" s="85"/>
      <c r="R19" s="85"/>
      <c r="S19" s="23"/>
      <c r="T19" s="188"/>
      <c r="U19" s="210"/>
      <c r="V19" s="211"/>
      <c r="W19" s="211"/>
      <c r="X19" s="211"/>
      <c r="Y19" s="211"/>
      <c r="Z19" s="211"/>
      <c r="AA19" s="211"/>
      <c r="AB19" s="211"/>
      <c r="AC19" s="211"/>
      <c r="AD19" s="211"/>
      <c r="AE19" s="211"/>
      <c r="AF19" s="211"/>
      <c r="AG19" s="211"/>
      <c r="AH19" s="211"/>
      <c r="AI19" s="212"/>
      <c r="AJ19" s="213"/>
      <c r="AK19" s="214"/>
      <c r="AL19" s="211"/>
      <c r="AM19" s="211"/>
      <c r="AN19" s="184"/>
      <c r="AO19" s="184"/>
      <c r="AP19" s="184"/>
      <c r="AQ19" s="184"/>
      <c r="AR19" s="184"/>
    </row>
    <row r="20" spans="1:44" s="12" customFormat="1">
      <c r="A20" s="59"/>
      <c r="D20" s="54"/>
      <c r="E20" s="23"/>
      <c r="F20" s="54"/>
      <c r="G20" s="23"/>
      <c r="H20" s="54"/>
      <c r="I20" s="23"/>
      <c r="J20" s="54"/>
      <c r="K20" s="23"/>
      <c r="L20" s="85"/>
      <c r="M20" s="85"/>
      <c r="N20" s="85"/>
      <c r="O20" s="85"/>
      <c r="P20" s="85"/>
      <c r="Q20" s="85"/>
      <c r="R20" s="85"/>
      <c r="S20" s="23"/>
      <c r="T20" s="85"/>
      <c r="U20" s="200"/>
      <c r="V20" s="216">
        <f t="shared" ref="V20:AJ20" si="16">SUM(V10:V19)</f>
        <v>-37062458.680000007</v>
      </c>
      <c r="W20" s="216">
        <f t="shared" si="16"/>
        <v>0</v>
      </c>
      <c r="X20" s="216">
        <f t="shared" si="16"/>
        <v>0</v>
      </c>
      <c r="Y20" s="216">
        <f t="shared" si="16"/>
        <v>0</v>
      </c>
      <c r="Z20" s="216">
        <f t="shared" si="16"/>
        <v>-2.7939677238464355E-9</v>
      </c>
      <c r="AA20" s="216">
        <f t="shared" si="16"/>
        <v>-23.74</v>
      </c>
      <c r="AB20" s="216">
        <f t="shared" si="16"/>
        <v>0</v>
      </c>
      <c r="AC20" s="216">
        <f t="shared" si="16"/>
        <v>-21143868.279999994</v>
      </c>
      <c r="AD20" s="216">
        <f t="shared" si="16"/>
        <v>-29278609.100000001</v>
      </c>
      <c r="AE20" s="216">
        <f t="shared" si="16"/>
        <v>7069390.0700000003</v>
      </c>
      <c r="AF20" s="216" t="e">
        <f t="shared" si="16"/>
        <v>#REF!</v>
      </c>
      <c r="AG20" s="259" t="e">
        <f t="shared" si="16"/>
        <v>#REF!</v>
      </c>
      <c r="AH20" s="258">
        <f t="shared" si="16"/>
        <v>-156454.09999999963</v>
      </c>
      <c r="AI20" s="216">
        <f t="shared" si="16"/>
        <v>5097961.3599999994</v>
      </c>
      <c r="AJ20" s="216">
        <f t="shared" si="16"/>
        <v>43156140.920000017</v>
      </c>
      <c r="AK20" s="210"/>
      <c r="AL20" s="211"/>
      <c r="AM20" s="184"/>
      <c r="AN20" s="184"/>
      <c r="AO20" s="184"/>
      <c r="AP20" s="184"/>
      <c r="AQ20" s="184"/>
      <c r="AR20" s="184"/>
    </row>
    <row r="21" spans="1:44" s="12" customFormat="1">
      <c r="A21" s="59"/>
      <c r="D21" s="54"/>
      <c r="E21" s="23"/>
      <c r="F21" s="54"/>
      <c r="G21" s="23"/>
      <c r="H21" s="54"/>
      <c r="I21" s="23"/>
      <c r="J21" s="54"/>
      <c r="K21" s="23"/>
      <c r="L21" s="85"/>
      <c r="M21" s="85"/>
      <c r="N21" s="85"/>
      <c r="O21" s="85"/>
      <c r="P21" s="85"/>
      <c r="Q21" s="85"/>
      <c r="R21" s="85"/>
      <c r="S21" s="23"/>
      <c r="T21" s="85"/>
      <c r="U21" s="200"/>
      <c r="V21" s="188"/>
      <c r="W21" s="188"/>
      <c r="X21" s="188"/>
      <c r="Y21" s="188"/>
      <c r="Z21" s="184"/>
      <c r="AA21" s="184"/>
      <c r="AB21" s="184"/>
      <c r="AC21" s="184"/>
      <c r="AD21" s="184"/>
      <c r="AE21" s="184"/>
      <c r="AF21" s="184"/>
      <c r="AG21" s="184"/>
      <c r="AH21" s="184"/>
      <c r="AI21" s="206"/>
      <c r="AJ21" s="207"/>
      <c r="AK21" s="199"/>
      <c r="AL21" s="184"/>
      <c r="AM21" s="184"/>
      <c r="AN21" s="184"/>
      <c r="AO21" s="184"/>
      <c r="AP21" s="184"/>
      <c r="AQ21" s="184"/>
      <c r="AR21" s="184"/>
    </row>
    <row r="22" spans="1:44" s="12" customFormat="1">
      <c r="A22" s="59"/>
      <c r="D22" s="54"/>
      <c r="E22" s="23"/>
      <c r="F22" s="54"/>
      <c r="G22" s="23"/>
      <c r="H22" s="54"/>
      <c r="I22" s="23"/>
      <c r="J22" s="54"/>
      <c r="K22" s="23"/>
      <c r="L22" s="85"/>
      <c r="M22" s="85"/>
      <c r="N22" s="85"/>
      <c r="O22" s="85"/>
      <c r="P22" s="85"/>
      <c r="Q22" s="85"/>
      <c r="R22" s="85"/>
      <c r="S22" s="23"/>
      <c r="T22" s="85" t="s">
        <v>36</v>
      </c>
      <c r="U22" s="200"/>
      <c r="V22" s="188">
        <v>-138054995.71000001</v>
      </c>
      <c r="W22" s="188"/>
      <c r="X22" s="188"/>
      <c r="Y22" s="188">
        <v>0</v>
      </c>
      <c r="Z22" s="184">
        <v>0</v>
      </c>
      <c r="AA22" s="211">
        <f>-'Land &amp; Vehicle Retire P3A(Fin)'!M11-'Land &amp; Vehicle Retire P3A(Fin)'!M13</f>
        <v>0</v>
      </c>
      <c r="AB22" s="211"/>
      <c r="AC22" s="211"/>
      <c r="AD22" s="211"/>
      <c r="AE22" s="211"/>
      <c r="AF22" s="184"/>
      <c r="AG22" s="184"/>
      <c r="AH22" s="184"/>
      <c r="AI22" s="212"/>
      <c r="AJ22" s="213">
        <f>+'Summary - Cost - PG 1 (Fin)'!F119</f>
        <v>43156140.920000017</v>
      </c>
      <c r="AK22" s="199"/>
      <c r="AL22" s="184"/>
      <c r="AM22" s="184"/>
      <c r="AN22" s="184"/>
      <c r="AO22" s="184"/>
      <c r="AP22" s="184"/>
      <c r="AQ22" s="184"/>
      <c r="AR22" s="184"/>
    </row>
    <row r="23" spans="1:44" s="12" customFormat="1">
      <c r="A23" s="59"/>
      <c r="D23" s="54"/>
      <c r="E23" s="23"/>
      <c r="F23" s="54"/>
      <c r="G23" s="23"/>
      <c r="H23" s="54"/>
      <c r="I23" s="23"/>
      <c r="J23" s="54"/>
      <c r="K23" s="23"/>
      <c r="L23" s="85"/>
      <c r="M23" s="85"/>
      <c r="N23" s="85"/>
      <c r="O23" s="85"/>
      <c r="P23" s="85"/>
      <c r="Q23" s="85"/>
      <c r="R23" s="85"/>
      <c r="S23" s="23"/>
      <c r="T23" s="85"/>
      <c r="U23" s="200"/>
      <c r="V23" s="188">
        <f>+V20-V22</f>
        <v>100992537.03</v>
      </c>
      <c r="W23" s="188"/>
      <c r="X23" s="188"/>
      <c r="Y23" s="188">
        <f>+Y20-Y22</f>
        <v>0</v>
      </c>
      <c r="Z23" s="188">
        <f>+Z20-Z22</f>
        <v>-2.7939677238464355E-9</v>
      </c>
      <c r="AA23" s="211">
        <f>+AA20-AA22</f>
        <v>-23.74</v>
      </c>
      <c r="AB23" s="211"/>
      <c r="AC23" s="211"/>
      <c r="AD23" s="211"/>
      <c r="AE23" s="211"/>
      <c r="AF23" s="184"/>
      <c r="AG23" s="72"/>
      <c r="AH23" s="184"/>
      <c r="AI23" s="184"/>
      <c r="AJ23" s="211">
        <f>+AJ20-AJ22</f>
        <v>0</v>
      </c>
      <c r="AK23" s="199"/>
      <c r="AL23" s="184"/>
      <c r="AM23" s="184"/>
      <c r="AN23" s="184"/>
      <c r="AO23" s="184"/>
      <c r="AP23" s="184"/>
      <c r="AQ23" s="184"/>
      <c r="AR23" s="184"/>
    </row>
    <row r="24" spans="1:44" s="12" customFormat="1">
      <c r="A24" s="59"/>
      <c r="D24" s="54"/>
      <c r="E24" s="23"/>
      <c r="F24" s="54"/>
      <c r="G24" s="23"/>
      <c r="H24" s="54"/>
      <c r="I24" s="23"/>
      <c r="J24" s="54"/>
      <c r="K24" s="23"/>
      <c r="L24" s="85"/>
      <c r="M24" s="85"/>
      <c r="N24" s="85"/>
      <c r="O24" s="85"/>
      <c r="P24" s="85"/>
      <c r="Q24" s="85"/>
      <c r="R24" s="85"/>
      <c r="S24" s="23"/>
      <c r="T24" s="85"/>
      <c r="U24" s="85"/>
      <c r="V24" s="188"/>
      <c r="W24" s="188"/>
      <c r="X24" s="188"/>
      <c r="Y24" s="188"/>
      <c r="Z24" s="184"/>
      <c r="AA24" s="184"/>
      <c r="AB24" s="184"/>
      <c r="AC24" s="184"/>
      <c r="AD24" s="184"/>
      <c r="AE24" s="184"/>
      <c r="AF24" s="184"/>
      <c r="AG24" s="184"/>
      <c r="AH24" s="184"/>
      <c r="AI24" s="184"/>
      <c r="AJ24" s="184"/>
      <c r="AK24" s="184"/>
      <c r="AL24" s="184"/>
      <c r="AM24" s="184"/>
      <c r="AN24" s="184"/>
      <c r="AO24" s="184"/>
      <c r="AP24" s="184"/>
      <c r="AQ24" s="184"/>
      <c r="AR24" s="184"/>
    </row>
    <row r="25" spans="1:44" s="12" customFormat="1">
      <c r="A25" s="59"/>
      <c r="D25" s="54"/>
      <c r="E25" s="23"/>
      <c r="F25" s="54"/>
      <c r="G25" s="23"/>
      <c r="H25" s="54"/>
      <c r="I25" s="23"/>
      <c r="J25" s="54"/>
      <c r="K25" s="23"/>
      <c r="L25" s="85"/>
      <c r="M25" s="85"/>
      <c r="N25" s="85"/>
      <c r="O25" s="85"/>
      <c r="P25" s="85"/>
      <c r="Q25" s="85"/>
      <c r="R25" s="85"/>
      <c r="S25" s="23"/>
      <c r="T25" s="85"/>
      <c r="U25" s="85"/>
      <c r="V25" s="188"/>
      <c r="W25" s="188"/>
      <c r="X25" s="188"/>
      <c r="Y25" s="188"/>
      <c r="Z25" s="184"/>
      <c r="AA25" s="184"/>
      <c r="AB25" s="184"/>
      <c r="AC25" s="184"/>
      <c r="AD25" s="184"/>
      <c r="AE25" s="184"/>
      <c r="AF25" s="184"/>
      <c r="AG25" s="184"/>
      <c r="AH25" s="184"/>
      <c r="AI25" s="184"/>
      <c r="AJ25" s="184"/>
      <c r="AK25" s="184"/>
      <c r="AL25" s="184"/>
      <c r="AM25" s="184"/>
      <c r="AN25" s="184"/>
      <c r="AO25" s="184"/>
      <c r="AP25" s="184"/>
      <c r="AQ25" s="184"/>
      <c r="AR25" s="184"/>
    </row>
    <row r="26" spans="1:44" s="12" customFormat="1">
      <c r="A26" s="59"/>
      <c r="D26" s="41" t="s">
        <v>25</v>
      </c>
      <c r="E26" s="196"/>
      <c r="F26" s="196"/>
      <c r="G26" s="196"/>
      <c r="H26" s="196"/>
      <c r="I26" s="196"/>
      <c r="J26" s="41" t="s">
        <v>612</v>
      </c>
      <c r="K26" s="196"/>
      <c r="L26" s="196"/>
      <c r="M26" s="196"/>
      <c r="N26" s="196"/>
      <c r="O26" s="196"/>
      <c r="P26" s="196"/>
      <c r="Q26" s="196"/>
      <c r="R26" s="196"/>
      <c r="S26" s="196"/>
      <c r="T26" s="84" t="s">
        <v>26</v>
      </c>
      <c r="U26" s="85"/>
      <c r="V26" s="188"/>
      <c r="W26" s="188"/>
      <c r="X26" s="188"/>
      <c r="Y26" s="188"/>
      <c r="Z26" s="184"/>
      <c r="AA26" s="184"/>
      <c r="AB26" s="184"/>
      <c r="AC26" s="184"/>
      <c r="AD26" s="184"/>
      <c r="AE26" s="184"/>
      <c r="AF26" s="184"/>
      <c r="AG26" s="184"/>
      <c r="AH26" s="184"/>
      <c r="AI26" s="184"/>
      <c r="AJ26" s="184"/>
      <c r="AK26" s="184"/>
      <c r="AL26" s="184"/>
      <c r="AM26" s="184"/>
      <c r="AN26" s="184"/>
      <c r="AO26" s="184"/>
      <c r="AP26" s="184"/>
      <c r="AQ26" s="184"/>
      <c r="AR26" s="184"/>
    </row>
    <row r="27" spans="1:44" s="12" customFormat="1" outlineLevel="1">
      <c r="A27" s="59"/>
      <c r="D27" s="42" t="s">
        <v>27</v>
      </c>
      <c r="E27" s="23"/>
      <c r="F27" s="42" t="s">
        <v>107</v>
      </c>
      <c r="G27" s="23"/>
      <c r="H27" s="42" t="s">
        <v>108</v>
      </c>
      <c r="I27" s="23"/>
      <c r="J27" s="42" t="s">
        <v>613</v>
      </c>
      <c r="K27" s="23"/>
      <c r="L27" s="43" t="s">
        <v>109</v>
      </c>
      <c r="M27" s="85"/>
      <c r="N27" s="85"/>
      <c r="O27" s="85"/>
      <c r="P27" s="85"/>
      <c r="Q27" s="85"/>
      <c r="R27" s="85"/>
      <c r="S27" s="23"/>
      <c r="T27" s="43" t="s">
        <v>27</v>
      </c>
      <c r="U27" s="85"/>
      <c r="V27" s="188"/>
      <c r="W27" s="188"/>
      <c r="X27" s="188"/>
      <c r="Y27" s="188"/>
      <c r="Z27" s="184"/>
      <c r="AA27" s="184"/>
      <c r="AB27" s="184"/>
      <c r="AC27" s="184"/>
      <c r="AD27" s="184"/>
      <c r="AE27" s="184"/>
      <c r="AF27" s="184"/>
      <c r="AG27" s="184"/>
      <c r="AH27" s="184"/>
      <c r="AI27" s="184"/>
      <c r="AJ27" s="184"/>
      <c r="AK27" s="184"/>
      <c r="AL27" s="184"/>
      <c r="AM27" s="184"/>
      <c r="AN27" s="184"/>
      <c r="AO27" s="184"/>
      <c r="AP27" s="184"/>
      <c r="AQ27" s="184"/>
      <c r="AR27" s="184"/>
    </row>
    <row r="28" spans="1:44" s="220" customFormat="1" outlineLevel="3">
      <c r="A28" s="218">
        <v>101</v>
      </c>
      <c r="B28" s="219" t="s">
        <v>610</v>
      </c>
      <c r="V28" s="221"/>
      <c r="W28" s="221"/>
      <c r="X28" s="221"/>
    </row>
    <row r="29" spans="1:44" s="220" customFormat="1" outlineLevel="3">
      <c r="A29" s="218"/>
      <c r="B29" s="219" t="s">
        <v>652</v>
      </c>
      <c r="V29" s="221"/>
      <c r="W29" s="221"/>
      <c r="X29" s="221"/>
    </row>
    <row r="30" spans="1:44" s="220" customFormat="1" outlineLevel="3">
      <c r="A30" s="218"/>
      <c r="B30" s="219"/>
      <c r="C30" s="220" t="s">
        <v>455</v>
      </c>
      <c r="D30" s="222">
        <f>+'Summary - Cost - PG 1 (Fin)'!D10</f>
        <v>157057082.39000002</v>
      </c>
      <c r="E30" s="223"/>
      <c r="F30" s="222">
        <f>+'Summary - Cost - PG 1 (Fin)'!F10</f>
        <v>3159995.05</v>
      </c>
      <c r="G30" s="223"/>
      <c r="H30" s="222">
        <f>+'Summary - Cost - PG 1 (Fin)'!H10</f>
        <v>-243220.97999999998</v>
      </c>
      <c r="I30" s="223"/>
      <c r="J30" s="222">
        <f>+'Summary - Cost - PG 1 (Fin)'!J10</f>
        <v>0</v>
      </c>
      <c r="K30" s="223"/>
      <c r="L30" s="223">
        <f>F30+H30+J30</f>
        <v>2916774.07</v>
      </c>
      <c r="M30" s="223"/>
      <c r="N30" s="223"/>
      <c r="O30" s="223"/>
      <c r="P30" s="223"/>
      <c r="Q30" s="223"/>
      <c r="R30" s="223"/>
      <c r="S30" s="223"/>
      <c r="T30" s="223">
        <f>D30+L30</f>
        <v>159973856.46000001</v>
      </c>
      <c r="U30" s="223"/>
      <c r="V30" s="224"/>
      <c r="W30" s="224"/>
      <c r="X30" s="224"/>
    </row>
    <row r="31" spans="1:44" s="220" customFormat="1" outlineLevel="3">
      <c r="A31" s="218"/>
      <c r="B31" s="219"/>
      <c r="C31" s="220" t="s">
        <v>111</v>
      </c>
      <c r="D31" s="225">
        <f>+'Summary - Cost - PG 1 (Fin)'!D11</f>
        <v>60891162.829999991</v>
      </c>
      <c r="E31" s="222"/>
      <c r="F31" s="225">
        <f>+'Summary - Cost - PG 1 (Fin)'!F11</f>
        <v>466307.98</v>
      </c>
      <c r="G31" s="222"/>
      <c r="H31" s="225">
        <f>+'Summary - Cost - PG 1 (Fin)'!H11</f>
        <v>-1193940.58</v>
      </c>
      <c r="I31" s="222"/>
      <c r="J31" s="225">
        <f>+'Summary - Cost - PG 1 (Fin)'!J11</f>
        <v>0</v>
      </c>
      <c r="K31" s="222"/>
      <c r="L31" s="225">
        <f>F31+H31+J31</f>
        <v>-727632.60000000009</v>
      </c>
      <c r="M31" s="222"/>
      <c r="N31" s="222"/>
      <c r="O31" s="222"/>
      <c r="P31" s="222"/>
      <c r="Q31" s="222"/>
      <c r="R31" s="222"/>
      <c r="S31" s="222"/>
      <c r="T31" s="225">
        <f>D31+L31</f>
        <v>60163530.229999989</v>
      </c>
      <c r="U31" s="222"/>
      <c r="V31" s="226"/>
      <c r="W31" s="226"/>
      <c r="X31" s="226"/>
    </row>
    <row r="32" spans="1:44" s="220" customFormat="1" outlineLevel="3">
      <c r="A32" s="218"/>
      <c r="B32" s="219"/>
      <c r="C32" s="227"/>
      <c r="D32" s="222">
        <f>D30+D31</f>
        <v>217948245.22</v>
      </c>
      <c r="E32" s="222"/>
      <c r="F32" s="222">
        <f>F30+F31</f>
        <v>3626303.03</v>
      </c>
      <c r="G32" s="222"/>
      <c r="H32" s="222">
        <f>H30+H31</f>
        <v>-1437161.56</v>
      </c>
      <c r="I32" s="222"/>
      <c r="J32" s="222">
        <f>J30+J31</f>
        <v>0</v>
      </c>
      <c r="K32" s="222"/>
      <c r="L32" s="222">
        <f>L30+L31</f>
        <v>2189141.4699999997</v>
      </c>
      <c r="M32" s="222"/>
      <c r="N32" s="222"/>
      <c r="O32" s="222"/>
      <c r="P32" s="222"/>
      <c r="Q32" s="222"/>
      <c r="R32" s="222"/>
      <c r="S32" s="222"/>
      <c r="T32" s="222">
        <f>T30+T31</f>
        <v>220137386.69</v>
      </c>
      <c r="U32" s="222"/>
      <c r="V32" s="226"/>
      <c r="W32" s="226"/>
      <c r="X32" s="226"/>
    </row>
    <row r="33" spans="1:24" s="220" customFormat="1" outlineLevel="3">
      <c r="A33" s="218"/>
      <c r="B33" s="219"/>
      <c r="D33" s="222"/>
      <c r="E33" s="222"/>
      <c r="F33" s="222"/>
      <c r="G33" s="222"/>
      <c r="H33" s="222"/>
      <c r="I33" s="222"/>
      <c r="J33" s="222"/>
      <c r="K33" s="222"/>
      <c r="L33" s="222"/>
      <c r="M33" s="222"/>
      <c r="N33" s="222"/>
      <c r="O33" s="222"/>
      <c r="P33" s="222"/>
      <c r="Q33" s="222"/>
      <c r="R33" s="222"/>
      <c r="S33" s="222"/>
      <c r="T33" s="222"/>
      <c r="U33" s="222"/>
      <c r="V33" s="226"/>
      <c r="W33" s="226"/>
      <c r="X33" s="226"/>
    </row>
    <row r="34" spans="1:24" s="220" customFormat="1" outlineLevel="3">
      <c r="A34" s="218"/>
      <c r="B34" s="219" t="s">
        <v>112</v>
      </c>
      <c r="D34" s="222"/>
      <c r="E34" s="222"/>
      <c r="F34" s="222"/>
      <c r="G34" s="222"/>
      <c r="H34" s="222"/>
      <c r="I34" s="222"/>
      <c r="J34" s="222"/>
      <c r="K34" s="222"/>
      <c r="L34" s="222"/>
      <c r="M34" s="222"/>
      <c r="N34" s="222"/>
      <c r="O34" s="222"/>
      <c r="P34" s="222"/>
      <c r="Q34" s="222"/>
      <c r="R34" s="222"/>
      <c r="S34" s="222"/>
      <c r="T34" s="222"/>
      <c r="U34" s="222"/>
      <c r="V34" s="226"/>
      <c r="W34" s="226"/>
      <c r="X34" s="226"/>
    </row>
    <row r="35" spans="1:24" s="220" customFormat="1" outlineLevel="3">
      <c r="A35" s="218"/>
      <c r="B35" s="219"/>
      <c r="C35" s="220" t="s">
        <v>113</v>
      </c>
      <c r="D35" s="222">
        <f>+'Summary - Cost - PG 1 (Fin)'!D15</f>
        <v>964513175.8499999</v>
      </c>
      <c r="E35" s="223"/>
      <c r="F35" s="222">
        <f>+'Summary - Cost - PG 1 (Fin)'!F15</f>
        <v>20217722.079999998</v>
      </c>
      <c r="G35" s="223"/>
      <c r="H35" s="222">
        <f>+'Summary - Cost - PG 1 (Fin)'!H15</f>
        <v>-1798292.8599999999</v>
      </c>
      <c r="I35" s="223"/>
      <c r="J35" s="222">
        <f>+'Summary - Cost - PG 1 (Fin)'!J15</f>
        <v>21903.139999999981</v>
      </c>
      <c r="K35" s="222"/>
      <c r="L35" s="222">
        <f t="shared" ref="L35:L41" si="17">F35+H35+J35</f>
        <v>18441332.359999999</v>
      </c>
      <c r="M35" s="222"/>
      <c r="N35" s="222"/>
      <c r="O35" s="222"/>
      <c r="P35" s="222"/>
      <c r="Q35" s="222"/>
      <c r="R35" s="222"/>
      <c r="S35" s="222"/>
      <c r="T35" s="222">
        <f t="shared" ref="T35:T41" si="18">D35+L35</f>
        <v>982954508.20999992</v>
      </c>
      <c r="U35" s="222"/>
      <c r="V35" s="226"/>
      <c r="W35" s="226"/>
      <c r="X35" s="226"/>
    </row>
    <row r="36" spans="1:24" s="220" customFormat="1" outlineLevel="3">
      <c r="A36" s="218"/>
      <c r="B36" s="219"/>
      <c r="C36" s="220" t="s">
        <v>114</v>
      </c>
      <c r="D36" s="222">
        <f>+'Summary - Cost - PG 1 (Fin)'!D16</f>
        <v>15943111.49</v>
      </c>
      <c r="E36" s="223"/>
      <c r="F36" s="222">
        <f>+'Summary - Cost - PG 1 (Fin)'!F16</f>
        <v>179252.16</v>
      </c>
      <c r="G36" s="223"/>
      <c r="H36" s="222">
        <f>+'Summary - Cost - PG 1 (Fin)'!H16</f>
        <v>-39209.64</v>
      </c>
      <c r="I36" s="223"/>
      <c r="J36" s="222">
        <f>+'Summary - Cost - PG 1 (Fin)'!J16</f>
        <v>0</v>
      </c>
      <c r="K36" s="222"/>
      <c r="L36" s="222">
        <f t="shared" si="17"/>
        <v>140042.52000000002</v>
      </c>
      <c r="M36" s="222"/>
      <c r="N36" s="222"/>
      <c r="O36" s="222"/>
      <c r="P36" s="222"/>
      <c r="Q36" s="222"/>
      <c r="R36" s="222"/>
      <c r="S36" s="222"/>
      <c r="T36" s="222">
        <f t="shared" si="18"/>
        <v>16083154.01</v>
      </c>
      <c r="U36" s="222"/>
      <c r="V36" s="226"/>
      <c r="W36" s="226"/>
      <c r="X36" s="226"/>
    </row>
    <row r="37" spans="1:24" s="220" customFormat="1" outlineLevel="3">
      <c r="A37" s="218"/>
      <c r="B37" s="219"/>
      <c r="C37" s="220" t="s">
        <v>115</v>
      </c>
      <c r="D37" s="222">
        <f>+'Summary - Cost - PG 1 (Fin)'!D17</f>
        <v>42535934.100000001</v>
      </c>
      <c r="E37" s="223"/>
      <c r="F37" s="222">
        <f>+'Summary - Cost - PG 1 (Fin)'!F17</f>
        <v>16456.36</v>
      </c>
      <c r="G37" s="223"/>
      <c r="H37" s="222">
        <f>+'Summary - Cost - PG 1 (Fin)'!H17</f>
        <v>-507.91</v>
      </c>
      <c r="I37" s="223"/>
      <c r="J37" s="222">
        <f>+'Summary - Cost - PG 1 (Fin)'!J17</f>
        <v>0</v>
      </c>
      <c r="K37" s="222"/>
      <c r="L37" s="222">
        <f t="shared" si="17"/>
        <v>15948.45</v>
      </c>
      <c r="M37" s="222"/>
      <c r="N37" s="222"/>
      <c r="O37" s="222"/>
      <c r="P37" s="222"/>
      <c r="Q37" s="222"/>
      <c r="R37" s="222"/>
      <c r="S37" s="222"/>
      <c r="T37" s="222">
        <f t="shared" si="18"/>
        <v>42551882.550000004</v>
      </c>
      <c r="U37" s="222"/>
      <c r="V37" s="226"/>
      <c r="W37" s="226"/>
      <c r="X37" s="226"/>
    </row>
    <row r="38" spans="1:24" s="220" customFormat="1" outlineLevel="3">
      <c r="A38" s="218"/>
      <c r="B38" s="219"/>
      <c r="C38" s="220" t="s">
        <v>116</v>
      </c>
      <c r="D38" s="222">
        <f>+'Summary - Cost - PG 1 (Fin)'!D18</f>
        <v>2240.29</v>
      </c>
      <c r="E38" s="223"/>
      <c r="F38" s="222">
        <f>+'Summary - Cost - PG 1 (Fin)'!F18</f>
        <v>0</v>
      </c>
      <c r="G38" s="223"/>
      <c r="H38" s="222">
        <f>+'Summary - Cost - PG 1 (Fin)'!H18</f>
        <v>0</v>
      </c>
      <c r="I38" s="223"/>
      <c r="J38" s="222">
        <f>+'Summary - Cost - PG 1 (Fin)'!J18</f>
        <v>0</v>
      </c>
      <c r="K38" s="222"/>
      <c r="L38" s="222">
        <f t="shared" si="17"/>
        <v>0</v>
      </c>
      <c r="M38" s="222"/>
      <c r="N38" s="222"/>
      <c r="O38" s="222"/>
      <c r="P38" s="222"/>
      <c r="Q38" s="222"/>
      <c r="R38" s="222"/>
      <c r="S38" s="222"/>
      <c r="T38" s="222">
        <f t="shared" si="18"/>
        <v>2240.29</v>
      </c>
      <c r="U38" s="222"/>
      <c r="V38" s="226"/>
      <c r="W38" s="226"/>
      <c r="X38" s="226"/>
    </row>
    <row r="39" spans="1:24" s="220" customFormat="1" outlineLevel="3">
      <c r="A39" s="218"/>
      <c r="B39" s="219"/>
      <c r="C39" s="220" t="s">
        <v>117</v>
      </c>
      <c r="D39" s="222">
        <f>+'Summary - Cost - PG 1 (Fin)'!D19</f>
        <v>234246978.99000001</v>
      </c>
      <c r="E39" s="223"/>
      <c r="F39" s="222">
        <f>+'Summary - Cost - PG 1 (Fin)'!F19</f>
        <v>3514154.86</v>
      </c>
      <c r="G39" s="223"/>
      <c r="H39" s="222">
        <f>+'Summary - Cost - PG 1 (Fin)'!H19</f>
        <v>-676874.51</v>
      </c>
      <c r="I39" s="223"/>
      <c r="J39" s="222">
        <f>+'Summary - Cost - PG 1 (Fin)'!J19</f>
        <v>0</v>
      </c>
      <c r="K39" s="222"/>
      <c r="L39" s="222">
        <f t="shared" si="17"/>
        <v>2837280.3499999996</v>
      </c>
      <c r="M39" s="222"/>
      <c r="N39" s="222"/>
      <c r="O39" s="222"/>
      <c r="P39" s="222"/>
      <c r="Q39" s="222"/>
      <c r="R39" s="222"/>
      <c r="S39" s="222"/>
      <c r="T39" s="222">
        <f t="shared" si="18"/>
        <v>237084259.34</v>
      </c>
      <c r="U39" s="222"/>
      <c r="V39" s="226"/>
      <c r="W39" s="226"/>
      <c r="X39" s="226"/>
    </row>
    <row r="40" spans="1:24" s="220" customFormat="1" outlineLevel="3">
      <c r="A40" s="218"/>
      <c r="B40" s="219"/>
      <c r="C40" s="220" t="s">
        <v>118</v>
      </c>
      <c r="D40" s="222">
        <f>+'Summary - Cost - PG 1 (Fin)'!D20</f>
        <v>2114510864.7399998</v>
      </c>
      <c r="E40" s="223"/>
      <c r="F40" s="222">
        <f>+'Summary - Cost - PG 1 (Fin)'!F20</f>
        <v>16873452.219999999</v>
      </c>
      <c r="G40" s="223"/>
      <c r="H40" s="222">
        <f>+'Summary - Cost - PG 1 (Fin)'!H20</f>
        <v>-1086699.3899999999</v>
      </c>
      <c r="I40" s="223"/>
      <c r="J40" s="222">
        <f>+'Summary - Cost - PG 1 (Fin)'!J20</f>
        <v>0</v>
      </c>
      <c r="K40" s="222"/>
      <c r="L40" s="222">
        <f t="shared" si="17"/>
        <v>15786752.829999998</v>
      </c>
      <c r="M40" s="222"/>
      <c r="N40" s="222"/>
      <c r="O40" s="222"/>
      <c r="P40" s="222"/>
      <c r="Q40" s="222"/>
      <c r="R40" s="222"/>
      <c r="S40" s="222"/>
      <c r="T40" s="222">
        <f t="shared" si="18"/>
        <v>2130297617.5699997</v>
      </c>
      <c r="U40" s="222"/>
      <c r="V40" s="226"/>
      <c r="W40" s="226"/>
      <c r="X40" s="226"/>
    </row>
    <row r="41" spans="1:24" s="220" customFormat="1" outlineLevel="3">
      <c r="A41" s="218"/>
      <c r="B41" s="219"/>
      <c r="C41" s="220" t="s">
        <v>119</v>
      </c>
      <c r="D41" s="225">
        <f>+'Summary - Cost - PG 1 (Fin)'!D21</f>
        <v>254611190.86999997</v>
      </c>
      <c r="E41" s="223"/>
      <c r="F41" s="225">
        <f>+'Summary - Cost - PG 1 (Fin)'!F21</f>
        <v>5667284.0299999993</v>
      </c>
      <c r="G41" s="223"/>
      <c r="H41" s="225">
        <f>+'Summary - Cost - PG 1 (Fin)'!H21</f>
        <v>-1623977.77</v>
      </c>
      <c r="I41" s="223"/>
      <c r="J41" s="225">
        <f>+'Summary - Cost - PG 1 (Fin)'!J21</f>
        <v>0</v>
      </c>
      <c r="K41" s="222"/>
      <c r="L41" s="225">
        <f t="shared" si="17"/>
        <v>4043306.2599999993</v>
      </c>
      <c r="M41" s="222"/>
      <c r="N41" s="222"/>
      <c r="O41" s="222"/>
      <c r="P41" s="222"/>
      <c r="Q41" s="222"/>
      <c r="R41" s="222"/>
      <c r="S41" s="222"/>
      <c r="T41" s="225">
        <f t="shared" si="18"/>
        <v>258654497.12999997</v>
      </c>
      <c r="U41" s="222"/>
      <c r="V41" s="226"/>
      <c r="W41" s="226"/>
      <c r="X41" s="226"/>
    </row>
    <row r="42" spans="1:24" s="220" customFormat="1" outlineLevel="3">
      <c r="A42" s="218"/>
      <c r="B42" s="219"/>
      <c r="C42" s="227"/>
      <c r="D42" s="222">
        <f>SUM(D35:D41)</f>
        <v>3626363496.3299994</v>
      </c>
      <c r="E42" s="222"/>
      <c r="F42" s="222">
        <f>SUM(F35:F41)</f>
        <v>46468321.709999993</v>
      </c>
      <c r="G42" s="222"/>
      <c r="H42" s="222">
        <f>SUM(H35:H41)</f>
        <v>-5225562.08</v>
      </c>
      <c r="I42" s="222"/>
      <c r="J42" s="222">
        <f>SUM(J35:J41)</f>
        <v>21903.139999999981</v>
      </c>
      <c r="K42" s="222"/>
      <c r="L42" s="222">
        <f>SUM(L35:L41)</f>
        <v>41264662.769999996</v>
      </c>
      <c r="M42" s="222"/>
      <c r="N42" s="222"/>
      <c r="O42" s="222"/>
      <c r="P42" s="222"/>
      <c r="Q42" s="222"/>
      <c r="R42" s="222"/>
      <c r="S42" s="222"/>
      <c r="T42" s="222">
        <f>SUM(T35:T41)</f>
        <v>3667628159.0999994</v>
      </c>
      <c r="U42" s="222"/>
      <c r="V42" s="226"/>
      <c r="W42" s="226"/>
      <c r="X42" s="226"/>
    </row>
    <row r="43" spans="1:24" s="220" customFormat="1" outlineLevel="3">
      <c r="A43" s="218"/>
      <c r="B43" s="219"/>
      <c r="D43" s="222"/>
      <c r="E43" s="222"/>
      <c r="F43" s="222"/>
      <c r="G43" s="222"/>
      <c r="H43" s="222"/>
      <c r="I43" s="222"/>
      <c r="J43" s="222"/>
      <c r="K43" s="222"/>
      <c r="L43" s="222"/>
      <c r="M43" s="222"/>
      <c r="N43" s="222"/>
      <c r="O43" s="222"/>
      <c r="P43" s="222"/>
      <c r="Q43" s="222"/>
      <c r="R43" s="222"/>
      <c r="S43" s="222"/>
      <c r="T43" s="222"/>
      <c r="U43" s="222"/>
      <c r="V43" s="226"/>
      <c r="W43" s="226"/>
      <c r="X43" s="226"/>
    </row>
    <row r="44" spans="1:24" s="220" customFormat="1" outlineLevel="3">
      <c r="A44" s="218"/>
      <c r="B44" s="219" t="s">
        <v>120</v>
      </c>
      <c r="D44" s="223"/>
      <c r="E44" s="223"/>
      <c r="F44" s="223"/>
      <c r="G44" s="223"/>
      <c r="H44" s="223"/>
      <c r="I44" s="223"/>
      <c r="J44" s="223"/>
      <c r="K44" s="223"/>
      <c r="L44" s="223"/>
      <c r="M44" s="223"/>
      <c r="N44" s="223"/>
      <c r="O44" s="223"/>
      <c r="P44" s="223"/>
      <c r="Q44" s="223"/>
      <c r="R44" s="223"/>
      <c r="S44" s="223"/>
      <c r="T44" s="223"/>
      <c r="U44" s="223"/>
      <c r="V44" s="224"/>
      <c r="W44" s="224"/>
      <c r="X44" s="224"/>
    </row>
    <row r="45" spans="1:24" s="220" customFormat="1" outlineLevel="3">
      <c r="A45" s="218"/>
      <c r="B45" s="219"/>
      <c r="C45" s="220" t="s">
        <v>121</v>
      </c>
      <c r="D45" s="222">
        <f>+'Summary - Cost - PG 1 (Fin)'!D25</f>
        <v>592951320.42000008</v>
      </c>
      <c r="E45" s="223"/>
      <c r="F45" s="222">
        <f>+'Summary - Cost - PG 1 (Fin)'!F25</f>
        <v>2789364.71</v>
      </c>
      <c r="G45" s="223"/>
      <c r="H45" s="222">
        <f>+'Summary - Cost - PG 1 (Fin)'!H25</f>
        <v>-23617.800000000003</v>
      </c>
      <c r="I45" s="223"/>
      <c r="J45" s="222">
        <f>+'Summary - Cost - PG 1 (Fin)'!J25</f>
        <v>-134900.23000000001</v>
      </c>
      <c r="K45" s="223"/>
      <c r="L45" s="223">
        <f>F45+H45+J45</f>
        <v>2630846.6800000002</v>
      </c>
      <c r="M45" s="223"/>
      <c r="N45" s="223"/>
      <c r="O45" s="223"/>
      <c r="P45" s="223"/>
      <c r="Q45" s="223"/>
      <c r="R45" s="223"/>
      <c r="S45" s="223"/>
      <c r="T45" s="223">
        <f>D45+L45</f>
        <v>595582167.10000002</v>
      </c>
      <c r="U45" s="223"/>
      <c r="V45" s="224"/>
      <c r="W45" s="224"/>
      <c r="X45" s="224"/>
    </row>
    <row r="46" spans="1:24" s="220" customFormat="1" outlineLevel="3">
      <c r="A46" s="218"/>
      <c r="B46" s="219"/>
      <c r="C46" s="220" t="s">
        <v>122</v>
      </c>
      <c r="D46" s="222">
        <f>+'Summary - Cost - PG 1 (Fin)'!D26</f>
        <v>8204172.4699999988</v>
      </c>
      <c r="E46" s="223"/>
      <c r="F46" s="222">
        <f>+'Summary - Cost - PG 1 (Fin)'!F26</f>
        <v>597531.64</v>
      </c>
      <c r="G46" s="223"/>
      <c r="H46" s="222">
        <f>+'Summary - Cost - PG 1 (Fin)'!H26</f>
        <v>0</v>
      </c>
      <c r="I46" s="223"/>
      <c r="J46" s="222">
        <f>+'Summary - Cost - PG 1 (Fin)'!J26</f>
        <v>0</v>
      </c>
      <c r="K46" s="223"/>
      <c r="L46" s="223">
        <f>F46+H46+J46</f>
        <v>597531.64</v>
      </c>
      <c r="M46" s="223"/>
      <c r="N46" s="223"/>
      <c r="O46" s="223"/>
      <c r="P46" s="223"/>
      <c r="Q46" s="223"/>
      <c r="R46" s="223"/>
      <c r="S46" s="223"/>
      <c r="T46" s="223">
        <f>D46+L46</f>
        <v>8801704.1099999994</v>
      </c>
      <c r="U46" s="223"/>
      <c r="V46" s="224"/>
      <c r="W46" s="224"/>
      <c r="X46" s="224"/>
    </row>
    <row r="47" spans="1:24" s="220" customFormat="1" outlineLevel="3">
      <c r="A47" s="218"/>
      <c r="B47" s="219"/>
      <c r="C47" s="220" t="s">
        <v>123</v>
      </c>
      <c r="D47" s="222">
        <f>+'Summary - Cost - PG 1 (Fin)'!D27</f>
        <v>387.49</v>
      </c>
      <c r="E47" s="223"/>
      <c r="F47" s="222">
        <f>+'Summary - Cost - PG 1 (Fin)'!F27</f>
        <v>0</v>
      </c>
      <c r="G47" s="223"/>
      <c r="H47" s="222">
        <f>+'Summary - Cost - PG 1 (Fin)'!H27</f>
        <v>0</v>
      </c>
      <c r="I47" s="223"/>
      <c r="J47" s="222">
        <f>+'Summary - Cost - PG 1 (Fin)'!J27</f>
        <v>0</v>
      </c>
      <c r="K47" s="223"/>
      <c r="L47" s="223">
        <f>F47+H47+J47</f>
        <v>0</v>
      </c>
      <c r="M47" s="223"/>
      <c r="N47" s="223"/>
      <c r="O47" s="223"/>
      <c r="P47" s="223"/>
      <c r="Q47" s="223"/>
      <c r="R47" s="223"/>
      <c r="S47" s="223"/>
      <c r="T47" s="223">
        <f>D47+L47</f>
        <v>387.49</v>
      </c>
      <c r="U47" s="223"/>
      <c r="V47" s="224"/>
      <c r="W47" s="224"/>
      <c r="X47" s="224"/>
    </row>
    <row r="48" spans="1:24" s="220" customFormat="1" outlineLevel="3">
      <c r="A48" s="218"/>
      <c r="B48" s="219"/>
      <c r="C48" s="220" t="s">
        <v>124</v>
      </c>
      <c r="D48" s="222">
        <f>+'Summary - Cost - PG 1 (Fin)'!D28</f>
        <v>80580078.390000001</v>
      </c>
      <c r="E48" s="223"/>
      <c r="F48" s="222">
        <f>+'Summary - Cost - PG 1 (Fin)'!F28</f>
        <v>628184.17999999993</v>
      </c>
      <c r="G48" s="223"/>
      <c r="H48" s="222">
        <f>+'Summary - Cost - PG 1 (Fin)'!H28</f>
        <v>-58529.299999999996</v>
      </c>
      <c r="I48" s="223"/>
      <c r="J48" s="222">
        <f>+'Summary - Cost - PG 1 (Fin)'!J28</f>
        <v>0</v>
      </c>
      <c r="K48" s="223"/>
      <c r="L48" s="223">
        <f>F48+H48+J48</f>
        <v>569654.87999999989</v>
      </c>
      <c r="M48" s="223"/>
      <c r="N48" s="223"/>
      <c r="O48" s="223"/>
      <c r="P48" s="223"/>
      <c r="Q48" s="223"/>
      <c r="R48" s="223"/>
      <c r="S48" s="223"/>
      <c r="T48" s="223">
        <f>D48+L48</f>
        <v>81149733.269999996</v>
      </c>
      <c r="U48" s="223"/>
      <c r="V48" s="224"/>
      <c r="W48" s="224"/>
      <c r="X48" s="224"/>
    </row>
    <row r="49" spans="1:24" s="220" customFormat="1" outlineLevel="3">
      <c r="A49" s="218"/>
      <c r="B49" s="219"/>
      <c r="C49" s="220" t="s">
        <v>125</v>
      </c>
      <c r="D49" s="225">
        <f>+'Summary - Cost - PG 1 (Fin)'!D29</f>
        <v>21541957.359999999</v>
      </c>
      <c r="E49" s="223"/>
      <c r="F49" s="225">
        <f>+'Summary - Cost - PG 1 (Fin)'!F29</f>
        <v>882947.47</v>
      </c>
      <c r="G49" s="223"/>
      <c r="H49" s="225">
        <f>+'Summary - Cost - PG 1 (Fin)'!H29</f>
        <v>-1389.93</v>
      </c>
      <c r="I49" s="223"/>
      <c r="J49" s="225">
        <f>+'Summary - Cost - PG 1 (Fin)'!J29</f>
        <v>134900.23000000001</v>
      </c>
      <c r="K49" s="223"/>
      <c r="L49" s="225">
        <f>F49+H49+J49</f>
        <v>1016457.7699999999</v>
      </c>
      <c r="M49" s="222"/>
      <c r="N49" s="222"/>
      <c r="O49" s="222"/>
      <c r="P49" s="222"/>
      <c r="Q49" s="222"/>
      <c r="R49" s="222"/>
      <c r="S49" s="223"/>
      <c r="T49" s="225">
        <f>D49+L49</f>
        <v>22558415.129999999</v>
      </c>
      <c r="U49" s="222"/>
      <c r="V49" s="224"/>
      <c r="W49" s="224"/>
      <c r="X49" s="224"/>
    </row>
    <row r="50" spans="1:24" s="220" customFormat="1" outlineLevel="3">
      <c r="A50" s="218"/>
      <c r="B50" s="219"/>
      <c r="C50" s="227"/>
      <c r="D50" s="222">
        <f>SUM(D45:D49)</f>
        <v>703277916.13000011</v>
      </c>
      <c r="E50" s="222"/>
      <c r="F50" s="222">
        <f>SUM(F45:F49)</f>
        <v>4898028</v>
      </c>
      <c r="G50" s="222"/>
      <c r="H50" s="222">
        <f>SUM(H45:H49)</f>
        <v>-83537.03</v>
      </c>
      <c r="I50" s="222"/>
      <c r="J50" s="222">
        <f>SUM(J45:J49)</f>
        <v>0</v>
      </c>
      <c r="K50" s="222"/>
      <c r="L50" s="222">
        <f>SUM(L45:L49)</f>
        <v>4814490.97</v>
      </c>
      <c r="M50" s="222"/>
      <c r="N50" s="222"/>
      <c r="O50" s="222"/>
      <c r="P50" s="222"/>
      <c r="Q50" s="222"/>
      <c r="R50" s="222"/>
      <c r="S50" s="222"/>
      <c r="T50" s="222">
        <f>SUM(T45:T49)</f>
        <v>708092407.10000002</v>
      </c>
      <c r="U50" s="222"/>
      <c r="V50" s="224"/>
      <c r="W50" s="224"/>
      <c r="X50" s="224"/>
    </row>
    <row r="51" spans="1:24" s="220" customFormat="1" outlineLevel="3">
      <c r="A51" s="218"/>
      <c r="B51" s="219"/>
      <c r="D51" s="223"/>
      <c r="E51" s="223"/>
      <c r="F51" s="223"/>
      <c r="G51" s="223"/>
      <c r="H51" s="223"/>
      <c r="I51" s="223"/>
      <c r="J51" s="223"/>
      <c r="K51" s="223"/>
      <c r="L51" s="223"/>
      <c r="M51" s="223"/>
      <c r="N51" s="223"/>
      <c r="O51" s="223"/>
      <c r="P51" s="223"/>
      <c r="Q51" s="223"/>
      <c r="R51" s="223"/>
      <c r="S51" s="223"/>
      <c r="T51" s="223"/>
      <c r="U51" s="223"/>
      <c r="V51" s="224"/>
      <c r="W51" s="224"/>
      <c r="X51" s="224"/>
    </row>
    <row r="52" spans="1:24" s="220" customFormat="1" outlineLevel="3">
      <c r="A52" s="218"/>
      <c r="B52" s="219"/>
      <c r="C52" s="219" t="s">
        <v>126</v>
      </c>
      <c r="D52" s="228">
        <f>D32+D42+D50</f>
        <v>4547589657.6799994</v>
      </c>
      <c r="E52" s="223"/>
      <c r="F52" s="228">
        <f>F32+F42+F50</f>
        <v>54992652.739999995</v>
      </c>
      <c r="G52" s="223"/>
      <c r="H52" s="228">
        <f>H32+H42+H50</f>
        <v>-6746260.6700000009</v>
      </c>
      <c r="I52" s="223"/>
      <c r="J52" s="228">
        <f>J32+J42+J50</f>
        <v>21903.139999999981</v>
      </c>
      <c r="K52" s="223"/>
      <c r="L52" s="228">
        <f>L32+L42+L50</f>
        <v>48268295.209999993</v>
      </c>
      <c r="M52" s="222"/>
      <c r="N52" s="222"/>
      <c r="O52" s="222"/>
      <c r="P52" s="222"/>
      <c r="Q52" s="222"/>
      <c r="R52" s="222"/>
      <c r="S52" s="223"/>
      <c r="T52" s="228">
        <f>T32+T42+T50</f>
        <v>4595857952.8899994</v>
      </c>
      <c r="U52" s="222"/>
      <c r="V52" s="224"/>
      <c r="W52" s="224"/>
      <c r="X52" s="224"/>
    </row>
    <row r="53" spans="1:24" s="220" customFormat="1" outlineLevel="3">
      <c r="A53" s="218"/>
      <c r="B53" s="219"/>
      <c r="C53" s="219"/>
      <c r="D53" s="222"/>
      <c r="E53" s="223"/>
      <c r="F53" s="222"/>
      <c r="G53" s="223"/>
      <c r="H53" s="222"/>
      <c r="I53" s="223"/>
      <c r="J53" s="222"/>
      <c r="K53" s="223"/>
      <c r="L53" s="222"/>
      <c r="M53" s="222"/>
      <c r="N53" s="222"/>
      <c r="O53" s="222"/>
      <c r="P53" s="222"/>
      <c r="Q53" s="222"/>
      <c r="R53" s="222"/>
      <c r="S53" s="223"/>
      <c r="T53" s="222">
        <f>+T52-'Summary - Cost - PG 1 (Fin)'!N32</f>
        <v>0</v>
      </c>
      <c r="U53" s="222"/>
      <c r="V53" s="224"/>
      <c r="W53" s="224"/>
      <c r="X53" s="224"/>
    </row>
    <row r="54" spans="1:24" s="220" customFormat="1" outlineLevel="3">
      <c r="A54" s="218"/>
      <c r="B54" s="219"/>
      <c r="D54" s="223"/>
      <c r="E54" s="223"/>
      <c r="F54" s="223"/>
      <c r="G54" s="223"/>
      <c r="H54" s="223"/>
      <c r="I54" s="223"/>
      <c r="J54" s="223"/>
      <c r="K54" s="223"/>
      <c r="L54" s="223"/>
      <c r="M54" s="223"/>
      <c r="N54" s="223"/>
      <c r="O54" s="223"/>
      <c r="P54" s="223"/>
      <c r="Q54" s="223"/>
      <c r="R54" s="223"/>
      <c r="S54" s="223"/>
      <c r="T54" s="223"/>
      <c r="U54" s="223"/>
      <c r="V54" s="224"/>
      <c r="W54" s="224"/>
      <c r="X54" s="224"/>
    </row>
    <row r="55" spans="1:24" s="220" customFormat="1" outlineLevel="3">
      <c r="A55" s="218">
        <v>101.1</v>
      </c>
      <c r="B55" s="219" t="s">
        <v>106</v>
      </c>
      <c r="D55" s="223"/>
      <c r="E55" s="223"/>
      <c r="F55" s="223"/>
      <c r="G55" s="223"/>
      <c r="H55" s="223"/>
      <c r="I55" s="223"/>
      <c r="J55" s="223"/>
      <c r="K55" s="223"/>
      <c r="L55" s="223"/>
      <c r="M55" s="223"/>
      <c r="N55" s="223"/>
      <c r="O55" s="223"/>
      <c r="P55" s="223"/>
      <c r="Q55" s="223"/>
      <c r="R55" s="223"/>
      <c r="S55" s="223"/>
      <c r="T55" s="223"/>
      <c r="U55" s="223"/>
      <c r="V55" s="224"/>
      <c r="W55" s="224"/>
      <c r="X55" s="224"/>
    </row>
    <row r="56" spans="1:24" s="220" customFormat="1" outlineLevel="3">
      <c r="A56" s="218"/>
      <c r="B56" s="219" t="s">
        <v>112</v>
      </c>
      <c r="C56" s="220" t="s">
        <v>135</v>
      </c>
      <c r="D56" s="223"/>
      <c r="E56" s="223"/>
      <c r="F56" s="223"/>
      <c r="G56" s="223"/>
      <c r="H56" s="223"/>
      <c r="I56" s="223"/>
      <c r="J56" s="223"/>
      <c r="K56" s="223"/>
      <c r="L56" s="223"/>
      <c r="M56" s="223"/>
      <c r="N56" s="223"/>
      <c r="O56" s="223"/>
      <c r="P56" s="223"/>
      <c r="Q56" s="223"/>
      <c r="R56" s="223"/>
      <c r="S56" s="223"/>
      <c r="T56" s="223"/>
      <c r="U56" s="223"/>
      <c r="V56" s="224"/>
      <c r="W56" s="224"/>
      <c r="X56" s="224"/>
    </row>
    <row r="57" spans="1:24" s="220" customFormat="1" outlineLevel="3">
      <c r="A57" s="218"/>
      <c r="B57" s="219"/>
      <c r="C57" s="220" t="s">
        <v>118</v>
      </c>
      <c r="D57" s="225">
        <f>+'Summary - Cost - PG 1 (Fin)'!D37</f>
        <v>0</v>
      </c>
      <c r="E57" s="223"/>
      <c r="F57" s="225">
        <f>+'Summary - Cost - PG 1 (Fin)'!F37</f>
        <v>0</v>
      </c>
      <c r="G57" s="223"/>
      <c r="H57" s="225">
        <f>+'Summary - Cost - PG 1 (Fin)'!H37</f>
        <v>0</v>
      </c>
      <c r="I57" s="223"/>
      <c r="J57" s="225">
        <f>+'Summary - Cost - PG 1 (Fin)'!J37</f>
        <v>0</v>
      </c>
      <c r="K57" s="223"/>
      <c r="L57" s="225">
        <f>F57+H57+J57</f>
        <v>0</v>
      </c>
      <c r="M57" s="222"/>
      <c r="N57" s="222"/>
      <c r="O57" s="222"/>
      <c r="P57" s="222"/>
      <c r="Q57" s="222"/>
      <c r="R57" s="222"/>
      <c r="S57" s="223"/>
      <c r="T57" s="225">
        <f>D57+L57</f>
        <v>0</v>
      </c>
      <c r="U57" s="222"/>
      <c r="V57" s="224"/>
      <c r="W57" s="224"/>
      <c r="X57" s="224"/>
    </row>
    <row r="58" spans="1:24" s="220" customFormat="1" outlineLevel="3">
      <c r="A58" s="218"/>
      <c r="B58" s="219"/>
      <c r="C58" s="227"/>
      <c r="D58" s="222">
        <f>SUM(D57)</f>
        <v>0</v>
      </c>
      <c r="E58" s="222"/>
      <c r="F58" s="222">
        <f>SUM(F57)</f>
        <v>0</v>
      </c>
      <c r="G58" s="222"/>
      <c r="H58" s="222">
        <f>SUM(H57)</f>
        <v>0</v>
      </c>
      <c r="I58" s="222"/>
      <c r="J58" s="222">
        <f>SUM(J57)</f>
        <v>0</v>
      </c>
      <c r="K58" s="222"/>
      <c r="L58" s="222">
        <f>SUM(L57)</f>
        <v>0</v>
      </c>
      <c r="M58" s="222"/>
      <c r="N58" s="222"/>
      <c r="O58" s="222"/>
      <c r="P58" s="222"/>
      <c r="Q58" s="222"/>
      <c r="R58" s="222"/>
      <c r="S58" s="222"/>
      <c r="T58" s="222">
        <f>SUM(T57)</f>
        <v>0</v>
      </c>
      <c r="U58" s="222"/>
      <c r="V58" s="224"/>
      <c r="W58" s="224"/>
      <c r="X58" s="224"/>
    </row>
    <row r="59" spans="1:24" s="220" customFormat="1" outlineLevel="3">
      <c r="A59" s="218"/>
      <c r="B59" s="219"/>
      <c r="D59" s="223"/>
      <c r="E59" s="223"/>
      <c r="F59" s="223"/>
      <c r="G59" s="223"/>
      <c r="H59" s="223"/>
      <c r="I59" s="223"/>
      <c r="J59" s="223"/>
      <c r="K59" s="223"/>
      <c r="L59" s="223"/>
      <c r="M59" s="223"/>
      <c r="N59" s="223"/>
      <c r="O59" s="223"/>
      <c r="P59" s="223"/>
      <c r="Q59" s="223"/>
      <c r="R59" s="223"/>
      <c r="S59" s="223"/>
      <c r="T59" s="223"/>
      <c r="U59" s="223"/>
      <c r="V59" s="224"/>
      <c r="W59" s="224"/>
      <c r="X59" s="224"/>
    </row>
    <row r="60" spans="1:24" s="220" customFormat="1" outlineLevel="3">
      <c r="A60" s="218"/>
      <c r="B60" s="219"/>
      <c r="C60" s="219" t="s">
        <v>127</v>
      </c>
      <c r="D60" s="228">
        <f>D58</f>
        <v>0</v>
      </c>
      <c r="E60" s="223"/>
      <c r="F60" s="228">
        <f>F58</f>
        <v>0</v>
      </c>
      <c r="G60" s="223"/>
      <c r="H60" s="228">
        <f>H58</f>
        <v>0</v>
      </c>
      <c r="I60" s="223"/>
      <c r="J60" s="228">
        <f>J58</f>
        <v>0</v>
      </c>
      <c r="K60" s="223"/>
      <c r="L60" s="228">
        <f>L58</f>
        <v>0</v>
      </c>
      <c r="M60" s="222"/>
      <c r="N60" s="222"/>
      <c r="O60" s="222"/>
      <c r="P60" s="222"/>
      <c r="Q60" s="222"/>
      <c r="R60" s="222"/>
      <c r="S60" s="223"/>
      <c r="T60" s="228">
        <f>T58</f>
        <v>0</v>
      </c>
      <c r="U60" s="222"/>
      <c r="V60" s="224"/>
      <c r="W60" s="224"/>
      <c r="X60" s="224"/>
    </row>
    <row r="61" spans="1:24" s="220" customFormat="1" outlineLevel="3">
      <c r="A61" s="218"/>
      <c r="B61" s="219"/>
      <c r="D61" s="223"/>
      <c r="E61" s="223"/>
      <c r="F61" s="223"/>
      <c r="G61" s="223"/>
      <c r="H61" s="223"/>
      <c r="I61" s="223"/>
      <c r="J61" s="223"/>
      <c r="K61" s="223"/>
      <c r="L61" s="223"/>
      <c r="M61" s="223"/>
      <c r="N61" s="223"/>
      <c r="O61" s="223"/>
      <c r="P61" s="223"/>
      <c r="Q61" s="223"/>
      <c r="R61" s="223"/>
      <c r="S61" s="223"/>
      <c r="T61" s="223"/>
      <c r="U61" s="223"/>
      <c r="V61" s="224"/>
      <c r="W61" s="224"/>
      <c r="X61" s="224"/>
    </row>
    <row r="62" spans="1:24" s="220" customFormat="1" outlineLevel="3">
      <c r="A62" s="218"/>
      <c r="B62" s="219"/>
      <c r="D62" s="223"/>
      <c r="E62" s="223"/>
      <c r="F62" s="223"/>
      <c r="G62" s="223"/>
      <c r="H62" s="223"/>
      <c r="I62" s="223"/>
      <c r="J62" s="223"/>
      <c r="K62" s="223"/>
      <c r="L62" s="223"/>
      <c r="M62" s="223"/>
      <c r="N62" s="223"/>
      <c r="O62" s="223"/>
      <c r="P62" s="223"/>
      <c r="Q62" s="223"/>
      <c r="R62" s="223"/>
      <c r="S62" s="223"/>
      <c r="T62" s="223"/>
      <c r="U62" s="223"/>
      <c r="V62" s="224"/>
      <c r="W62" s="224"/>
      <c r="X62" s="224"/>
    </row>
    <row r="63" spans="1:24" s="220" customFormat="1" outlineLevel="3">
      <c r="A63" s="218">
        <v>102</v>
      </c>
      <c r="B63" s="219" t="s">
        <v>501</v>
      </c>
      <c r="D63" s="223"/>
      <c r="E63" s="223"/>
      <c r="F63" s="223"/>
      <c r="G63" s="223"/>
      <c r="H63" s="223"/>
      <c r="I63" s="223"/>
      <c r="J63" s="223"/>
      <c r="K63" s="223"/>
      <c r="L63" s="223"/>
      <c r="M63" s="223"/>
      <c r="N63" s="223"/>
      <c r="O63" s="223"/>
      <c r="P63" s="223"/>
      <c r="Q63" s="223"/>
      <c r="R63" s="223"/>
      <c r="S63" s="223"/>
      <c r="T63" s="223"/>
      <c r="U63" s="223"/>
      <c r="V63" s="224"/>
      <c r="W63" s="224"/>
      <c r="X63" s="224"/>
    </row>
    <row r="64" spans="1:24" s="220" customFormat="1" outlineLevel="3">
      <c r="A64" s="218"/>
      <c r="B64" s="219" t="s">
        <v>112</v>
      </c>
      <c r="D64" s="223"/>
      <c r="E64" s="223"/>
      <c r="F64" s="223"/>
      <c r="G64" s="223"/>
      <c r="H64" s="223"/>
      <c r="I64" s="223"/>
      <c r="J64" s="223"/>
      <c r="K64" s="223"/>
      <c r="L64" s="223"/>
      <c r="M64" s="223"/>
      <c r="N64" s="223"/>
      <c r="O64" s="223"/>
      <c r="P64" s="223"/>
      <c r="Q64" s="223"/>
      <c r="R64" s="223"/>
      <c r="S64" s="223"/>
      <c r="T64" s="223"/>
      <c r="U64" s="223"/>
      <c r="V64" s="224"/>
      <c r="W64" s="224"/>
      <c r="X64" s="224"/>
    </row>
    <row r="65" spans="1:24" s="220" customFormat="1" outlineLevel="3">
      <c r="A65" s="218"/>
      <c r="B65" s="219"/>
      <c r="C65" s="220" t="s">
        <v>118</v>
      </c>
      <c r="D65" s="225">
        <f>+'Summary - Cost - PG 1 (Fin)'!D45</f>
        <v>0</v>
      </c>
      <c r="E65" s="223"/>
      <c r="F65" s="225">
        <f>+'Summary - Cost - PG 1 (Fin)'!F45</f>
        <v>0</v>
      </c>
      <c r="G65" s="223"/>
      <c r="H65" s="225">
        <f>+'Summary - Cost - PG 1 (Fin)'!H45</f>
        <v>0</v>
      </c>
      <c r="I65" s="223"/>
      <c r="J65" s="225">
        <f>+'Summary - Cost - PG 1 (Fin)'!J45</f>
        <v>0</v>
      </c>
      <c r="K65" s="222"/>
      <c r="L65" s="225">
        <f>F65+H65+J65</f>
        <v>0</v>
      </c>
      <c r="M65" s="222"/>
      <c r="N65" s="222"/>
      <c r="O65" s="222"/>
      <c r="P65" s="222"/>
      <c r="Q65" s="222"/>
      <c r="R65" s="222"/>
      <c r="S65" s="222"/>
      <c r="T65" s="225">
        <f>D65+L65</f>
        <v>0</v>
      </c>
      <c r="U65" s="222"/>
      <c r="V65" s="224"/>
      <c r="W65" s="224"/>
      <c r="X65" s="224"/>
    </row>
    <row r="66" spans="1:24" s="220" customFormat="1" outlineLevel="3">
      <c r="A66" s="218"/>
      <c r="B66" s="219"/>
      <c r="C66" s="227"/>
      <c r="D66" s="222">
        <f>SUM(D65:D65)</f>
        <v>0</v>
      </c>
      <c r="E66" s="222"/>
      <c r="F66" s="222">
        <f>SUM(F65)</f>
        <v>0</v>
      </c>
      <c r="G66" s="222"/>
      <c r="H66" s="222">
        <f>SUM(H65)</f>
        <v>0</v>
      </c>
      <c r="I66" s="222"/>
      <c r="J66" s="222">
        <f>SUM(J65)</f>
        <v>0</v>
      </c>
      <c r="K66" s="222"/>
      <c r="L66" s="222">
        <f>SUM(L65)</f>
        <v>0</v>
      </c>
      <c r="M66" s="222"/>
      <c r="N66" s="222"/>
      <c r="O66" s="222"/>
      <c r="P66" s="222"/>
      <c r="Q66" s="222"/>
      <c r="R66" s="222"/>
      <c r="S66" s="222"/>
      <c r="T66" s="222">
        <f>SUM(T65:T65)</f>
        <v>0</v>
      </c>
      <c r="U66" s="222"/>
      <c r="V66" s="224"/>
      <c r="W66" s="224"/>
      <c r="X66" s="224"/>
    </row>
    <row r="67" spans="1:24" s="220" customFormat="1" outlineLevel="3">
      <c r="A67" s="218"/>
      <c r="B67" s="219"/>
      <c r="D67" s="223"/>
      <c r="E67" s="223"/>
      <c r="F67" s="223"/>
      <c r="G67" s="223"/>
      <c r="H67" s="223"/>
      <c r="I67" s="223"/>
      <c r="J67" s="223"/>
      <c r="K67" s="223"/>
      <c r="L67" s="223"/>
      <c r="M67" s="223"/>
      <c r="N67" s="223"/>
      <c r="O67" s="223"/>
      <c r="P67" s="223"/>
      <c r="Q67" s="223"/>
      <c r="R67" s="223"/>
      <c r="S67" s="223"/>
      <c r="T67" s="223"/>
      <c r="U67" s="223"/>
      <c r="V67" s="224"/>
      <c r="W67" s="224"/>
      <c r="X67" s="224"/>
    </row>
    <row r="68" spans="1:24" s="220" customFormat="1" outlineLevel="3">
      <c r="A68" s="218"/>
      <c r="B68" s="219"/>
      <c r="C68" s="219" t="s">
        <v>128</v>
      </c>
      <c r="D68" s="228">
        <f>D66</f>
        <v>0</v>
      </c>
      <c r="E68" s="223"/>
      <c r="F68" s="228">
        <f>F66</f>
        <v>0</v>
      </c>
      <c r="G68" s="223"/>
      <c r="H68" s="228">
        <f>H66</f>
        <v>0</v>
      </c>
      <c r="I68" s="223"/>
      <c r="J68" s="228">
        <f>J66</f>
        <v>0</v>
      </c>
      <c r="K68" s="223"/>
      <c r="L68" s="228">
        <f>L66</f>
        <v>0</v>
      </c>
      <c r="M68" s="222"/>
      <c r="N68" s="222"/>
      <c r="O68" s="222"/>
      <c r="P68" s="222"/>
      <c r="Q68" s="222"/>
      <c r="R68" s="222"/>
      <c r="S68" s="223"/>
      <c r="T68" s="228">
        <f>T66</f>
        <v>0</v>
      </c>
      <c r="U68" s="222"/>
      <c r="V68" s="224"/>
      <c r="W68" s="224"/>
      <c r="X68" s="224"/>
    </row>
    <row r="69" spans="1:24" s="220" customFormat="1" outlineLevel="3">
      <c r="A69" s="218"/>
      <c r="B69" s="219"/>
      <c r="C69" s="219"/>
      <c r="D69" s="222"/>
      <c r="E69" s="223"/>
      <c r="F69" s="222"/>
      <c r="G69" s="223"/>
      <c r="H69" s="222"/>
      <c r="I69" s="223"/>
      <c r="J69" s="222"/>
      <c r="K69" s="223"/>
      <c r="L69" s="222"/>
      <c r="M69" s="222"/>
      <c r="N69" s="222"/>
      <c r="O69" s="222"/>
      <c r="P69" s="222"/>
      <c r="Q69" s="222"/>
      <c r="R69" s="222"/>
      <c r="S69" s="223"/>
      <c r="T69" s="222"/>
      <c r="U69" s="222"/>
      <c r="V69" s="224"/>
      <c r="W69" s="224"/>
      <c r="X69" s="224"/>
    </row>
    <row r="70" spans="1:24" s="220" customFormat="1" outlineLevel="3">
      <c r="A70" s="218"/>
      <c r="B70" s="219"/>
      <c r="C70" s="219"/>
      <c r="D70" s="222"/>
      <c r="E70" s="223"/>
      <c r="F70" s="222"/>
      <c r="G70" s="223"/>
      <c r="H70" s="222"/>
      <c r="I70" s="223"/>
      <c r="J70" s="222"/>
      <c r="K70" s="223"/>
      <c r="L70" s="222"/>
      <c r="M70" s="222"/>
      <c r="N70" s="222"/>
      <c r="O70" s="222"/>
      <c r="P70" s="222"/>
      <c r="Q70" s="222"/>
      <c r="R70" s="222"/>
      <c r="S70" s="223"/>
      <c r="T70" s="222">
        <f>+T52+T65</f>
        <v>4595857952.8899994</v>
      </c>
      <c r="U70" s="222"/>
      <c r="V70" s="224"/>
      <c r="W70" s="224"/>
      <c r="X70" s="224"/>
    </row>
    <row r="71" spans="1:24" s="220" customFormat="1" outlineLevel="3">
      <c r="A71" s="218">
        <v>105</v>
      </c>
      <c r="B71" s="219" t="s">
        <v>611</v>
      </c>
      <c r="D71" s="223"/>
      <c r="E71" s="223"/>
      <c r="F71" s="223"/>
      <c r="G71" s="223"/>
      <c r="H71" s="223"/>
      <c r="I71" s="223"/>
      <c r="J71" s="223"/>
      <c r="K71" s="223"/>
      <c r="L71" s="223"/>
      <c r="M71" s="223"/>
      <c r="N71" s="223"/>
      <c r="O71" s="223"/>
      <c r="P71" s="223"/>
      <c r="Q71" s="223"/>
      <c r="R71" s="223"/>
      <c r="S71" s="223"/>
      <c r="T71" s="223"/>
      <c r="U71" s="223"/>
      <c r="V71" s="224"/>
      <c r="W71" s="224"/>
      <c r="X71" s="224"/>
    </row>
    <row r="72" spans="1:24" s="220" customFormat="1" outlineLevel="3">
      <c r="A72" s="218"/>
      <c r="B72" s="219" t="s">
        <v>112</v>
      </c>
      <c r="D72" s="223"/>
      <c r="E72" s="223"/>
      <c r="F72" s="223"/>
      <c r="G72" s="223"/>
      <c r="H72" s="223"/>
      <c r="I72" s="223"/>
      <c r="J72" s="223"/>
      <c r="K72" s="223"/>
      <c r="L72" s="223"/>
      <c r="M72" s="223"/>
      <c r="N72" s="223"/>
      <c r="O72" s="223"/>
      <c r="P72" s="223"/>
      <c r="Q72" s="223"/>
      <c r="R72" s="223"/>
      <c r="S72" s="223"/>
      <c r="T72" s="223"/>
      <c r="U72" s="223"/>
      <c r="V72" s="224"/>
      <c r="W72" s="224"/>
      <c r="X72" s="224"/>
    </row>
    <row r="73" spans="1:24" s="220" customFormat="1" outlineLevel="3">
      <c r="A73" s="218"/>
      <c r="B73" s="219"/>
      <c r="C73" s="220" t="s">
        <v>113</v>
      </c>
      <c r="D73" s="222">
        <f>+'Summary - Cost - PG 1 (Fin)'!D53</f>
        <v>649014.48</v>
      </c>
      <c r="E73" s="223"/>
      <c r="F73" s="222">
        <f>+'Summary - Cost - PG 1 (Fin)'!F53</f>
        <v>0</v>
      </c>
      <c r="G73" s="223"/>
      <c r="H73" s="222">
        <f>+'Summary - Cost - PG 1 (Fin)'!H53</f>
        <v>0</v>
      </c>
      <c r="I73" s="223"/>
      <c r="J73" s="222">
        <f>+'Summary - Cost - PG 1 (Fin)'!J53</f>
        <v>-21926.880000000001</v>
      </c>
      <c r="K73" s="223"/>
      <c r="L73" s="222">
        <f>F73+H73+J73</f>
        <v>-21926.880000000001</v>
      </c>
      <c r="M73" s="222"/>
      <c r="N73" s="222"/>
      <c r="O73" s="222"/>
      <c r="P73" s="222"/>
      <c r="Q73" s="222"/>
      <c r="R73" s="222"/>
      <c r="S73" s="223"/>
      <c r="T73" s="222">
        <f>D73+L73</f>
        <v>627087.6</v>
      </c>
      <c r="U73" s="222"/>
      <c r="V73" s="224"/>
      <c r="W73" s="224"/>
      <c r="X73" s="224"/>
    </row>
    <row r="74" spans="1:24" s="220" customFormat="1" outlineLevel="3">
      <c r="A74" s="218"/>
      <c r="B74" s="219"/>
      <c r="C74" s="220" t="s">
        <v>118</v>
      </c>
      <c r="D74" s="225">
        <f>+'Summary - Cost - PG 1 (Fin)'!D54</f>
        <v>0</v>
      </c>
      <c r="E74" s="223"/>
      <c r="F74" s="225">
        <f>+'Summary - Cost - PG 1 (Fin)'!F54</f>
        <v>0</v>
      </c>
      <c r="G74" s="223"/>
      <c r="H74" s="225">
        <f>+'Summary - Cost - PG 1 (Fin)'!H54</f>
        <v>0</v>
      </c>
      <c r="I74" s="223"/>
      <c r="J74" s="225">
        <f>+'Summary - Cost - PG 1 (Fin)'!J54</f>
        <v>0</v>
      </c>
      <c r="K74" s="222"/>
      <c r="L74" s="225">
        <f>F74+H74+J74</f>
        <v>0</v>
      </c>
      <c r="M74" s="222"/>
      <c r="N74" s="222"/>
      <c r="O74" s="222"/>
      <c r="P74" s="222"/>
      <c r="Q74" s="222"/>
      <c r="R74" s="222"/>
      <c r="S74" s="222"/>
      <c r="T74" s="225">
        <f>D74+L74</f>
        <v>0</v>
      </c>
      <c r="U74" s="222"/>
      <c r="V74" s="224"/>
      <c r="W74" s="224"/>
      <c r="X74" s="224"/>
    </row>
    <row r="75" spans="1:24" s="220" customFormat="1" outlineLevel="3">
      <c r="A75" s="218"/>
      <c r="B75" s="219"/>
      <c r="C75" s="227"/>
      <c r="D75" s="222">
        <f>SUM(D73:D74)</f>
        <v>649014.48</v>
      </c>
      <c r="E75" s="222"/>
      <c r="F75" s="222">
        <f>SUM(F74)</f>
        <v>0</v>
      </c>
      <c r="G75" s="222"/>
      <c r="H75" s="222">
        <f>SUM(H74)</f>
        <v>0</v>
      </c>
      <c r="I75" s="222"/>
      <c r="J75" s="222">
        <f>SUM(J74)</f>
        <v>0</v>
      </c>
      <c r="K75" s="222"/>
      <c r="L75" s="222">
        <f>SUM(L74)</f>
        <v>0</v>
      </c>
      <c r="M75" s="222"/>
      <c r="N75" s="222"/>
      <c r="O75" s="222"/>
      <c r="P75" s="222"/>
      <c r="Q75" s="222"/>
      <c r="R75" s="222"/>
      <c r="S75" s="222"/>
      <c r="T75" s="222">
        <f>SUM(T73:T74)</f>
        <v>627087.6</v>
      </c>
      <c r="U75" s="222"/>
      <c r="V75" s="224"/>
      <c r="W75" s="224"/>
      <c r="X75" s="224"/>
    </row>
    <row r="76" spans="1:24" s="220" customFormat="1" outlineLevel="3">
      <c r="A76" s="218"/>
      <c r="B76" s="219"/>
      <c r="D76" s="223"/>
      <c r="E76" s="223"/>
      <c r="F76" s="223"/>
      <c r="G76" s="223"/>
      <c r="H76" s="223"/>
      <c r="I76" s="223"/>
      <c r="J76" s="223"/>
      <c r="K76" s="223"/>
      <c r="L76" s="223"/>
      <c r="M76" s="223"/>
      <c r="N76" s="223"/>
      <c r="O76" s="223"/>
      <c r="P76" s="223"/>
      <c r="Q76" s="223"/>
      <c r="R76" s="223"/>
      <c r="S76" s="223"/>
      <c r="T76" s="223"/>
      <c r="U76" s="223"/>
      <c r="V76" s="224"/>
      <c r="W76" s="224"/>
      <c r="X76" s="224"/>
    </row>
    <row r="77" spans="1:24" s="220" customFormat="1" outlineLevel="3">
      <c r="A77" s="218"/>
      <c r="B77" s="219"/>
      <c r="C77" s="219" t="s">
        <v>128</v>
      </c>
      <c r="D77" s="228">
        <f>D75</f>
        <v>649014.48</v>
      </c>
      <c r="E77" s="223"/>
      <c r="F77" s="228">
        <f>F75</f>
        <v>0</v>
      </c>
      <c r="G77" s="223"/>
      <c r="H77" s="228">
        <f>H75</f>
        <v>0</v>
      </c>
      <c r="I77" s="223"/>
      <c r="J77" s="228">
        <f>J75</f>
        <v>0</v>
      </c>
      <c r="K77" s="223"/>
      <c r="L77" s="228">
        <f>L75</f>
        <v>0</v>
      </c>
      <c r="M77" s="222"/>
      <c r="N77" s="222"/>
      <c r="O77" s="222"/>
      <c r="P77" s="222"/>
      <c r="Q77" s="222"/>
      <c r="R77" s="222"/>
      <c r="S77" s="223"/>
      <c r="T77" s="228">
        <f>T75</f>
        <v>627087.6</v>
      </c>
      <c r="U77" s="222"/>
      <c r="V77" s="224"/>
      <c r="W77" s="224"/>
      <c r="X77" s="224"/>
    </row>
    <row r="78" spans="1:24" s="220" customFormat="1" outlineLevel="3">
      <c r="A78" s="218"/>
      <c r="B78" s="219"/>
      <c r="D78" s="223"/>
      <c r="E78" s="223"/>
      <c r="F78" s="223"/>
      <c r="G78" s="223"/>
      <c r="H78" s="223"/>
      <c r="I78" s="223"/>
      <c r="J78" s="223"/>
      <c r="K78" s="223"/>
      <c r="L78" s="223"/>
      <c r="M78" s="223"/>
      <c r="N78" s="223"/>
      <c r="O78" s="223"/>
      <c r="P78" s="223"/>
      <c r="Q78" s="223"/>
      <c r="R78" s="223"/>
      <c r="S78" s="223"/>
      <c r="T78" s="223">
        <f>+T77-'Summary - Cost - PG 1 (Fin)'!N57</f>
        <v>0</v>
      </c>
      <c r="U78" s="223"/>
      <c r="V78" s="224"/>
      <c r="W78" s="224"/>
      <c r="X78" s="224"/>
    </row>
    <row r="79" spans="1:24" s="220" customFormat="1" outlineLevel="3">
      <c r="A79" s="218"/>
      <c r="B79" s="219"/>
      <c r="D79" s="223"/>
      <c r="E79" s="223"/>
      <c r="F79" s="223"/>
      <c r="G79" s="223"/>
      <c r="H79" s="223"/>
      <c r="I79" s="223"/>
      <c r="J79" s="223"/>
      <c r="K79" s="223"/>
      <c r="L79" s="223"/>
      <c r="M79" s="223"/>
      <c r="N79" s="223"/>
      <c r="O79" s="223"/>
      <c r="P79" s="223"/>
      <c r="Q79" s="223"/>
      <c r="R79" s="223"/>
      <c r="S79" s="223"/>
      <c r="T79" s="223"/>
      <c r="U79" s="223"/>
      <c r="V79" s="224"/>
      <c r="W79" s="224"/>
      <c r="X79" s="224"/>
    </row>
    <row r="80" spans="1:24" s="220" customFormat="1" outlineLevel="3">
      <c r="A80" s="218">
        <v>106</v>
      </c>
      <c r="B80" s="219" t="s">
        <v>450</v>
      </c>
      <c r="D80" s="223"/>
      <c r="E80" s="223"/>
      <c r="F80" s="223"/>
      <c r="G80" s="223"/>
      <c r="H80" s="223"/>
      <c r="I80" s="223"/>
      <c r="J80" s="223"/>
      <c r="K80" s="223"/>
      <c r="L80" s="223"/>
      <c r="M80" s="223"/>
      <c r="N80" s="223"/>
      <c r="O80" s="223"/>
      <c r="P80" s="223"/>
      <c r="Q80" s="223"/>
      <c r="R80" s="223"/>
      <c r="S80" s="223"/>
      <c r="T80" s="223"/>
      <c r="U80" s="223"/>
      <c r="V80" s="224"/>
      <c r="W80" s="224"/>
      <c r="X80" s="224"/>
    </row>
    <row r="81" spans="1:24" s="220" customFormat="1" outlineLevel="3">
      <c r="A81" s="218"/>
      <c r="B81" s="219" t="s">
        <v>652</v>
      </c>
      <c r="D81" s="223"/>
      <c r="E81" s="223"/>
      <c r="F81" s="223"/>
      <c r="G81" s="223"/>
      <c r="H81" s="223"/>
      <c r="I81" s="223"/>
      <c r="J81" s="223"/>
      <c r="K81" s="223"/>
      <c r="L81" s="223"/>
      <c r="M81" s="223"/>
      <c r="N81" s="223"/>
      <c r="O81" s="223"/>
      <c r="P81" s="223"/>
      <c r="Q81" s="223"/>
      <c r="R81" s="223"/>
      <c r="S81" s="223"/>
      <c r="T81" s="223"/>
      <c r="U81" s="223"/>
      <c r="V81" s="224"/>
      <c r="W81" s="224"/>
      <c r="X81" s="224"/>
    </row>
    <row r="82" spans="1:24" s="220" customFormat="1" outlineLevel="3">
      <c r="A82" s="218"/>
      <c r="B82" s="219"/>
      <c r="C82" s="220" t="s">
        <v>455</v>
      </c>
      <c r="D82" s="222">
        <f>+'Summary - Cost - PG 1 (Fin)'!D62</f>
        <v>2574936.0099999998</v>
      </c>
      <c r="E82" s="223"/>
      <c r="F82" s="222">
        <f>+'Summary - Cost - PG 1 (Fin)'!F62</f>
        <v>-1350975.02</v>
      </c>
      <c r="G82" s="223"/>
      <c r="H82" s="222">
        <f>+'Summary - Cost - PG 1 (Fin)'!H62</f>
        <v>0</v>
      </c>
      <c r="I82" s="223"/>
      <c r="J82" s="222">
        <f>+'Summary - Cost - PG 1 (Fin)'!J62</f>
        <v>0</v>
      </c>
      <c r="K82" s="223"/>
      <c r="L82" s="223">
        <f>F82+H82+J82</f>
        <v>-1350975.02</v>
      </c>
      <c r="M82" s="223"/>
      <c r="N82" s="223"/>
      <c r="O82" s="223"/>
      <c r="P82" s="223"/>
      <c r="Q82" s="223"/>
      <c r="R82" s="223"/>
      <c r="S82" s="223"/>
      <c r="T82" s="223">
        <f>D82+L82</f>
        <v>1223960.9899999998</v>
      </c>
      <c r="U82" s="223"/>
      <c r="V82" s="224"/>
      <c r="W82" s="224"/>
      <c r="X82" s="224"/>
    </row>
    <row r="83" spans="1:24" s="220" customFormat="1" outlineLevel="3">
      <c r="A83" s="218"/>
      <c r="B83" s="219"/>
      <c r="C83" s="220" t="s">
        <v>111</v>
      </c>
      <c r="D83" s="225">
        <f>+'Summary - Cost - PG 1 (Fin)'!D63</f>
        <v>2240884.2599999961</v>
      </c>
      <c r="E83" s="223"/>
      <c r="F83" s="225">
        <f>+'Summary - Cost - PG 1 (Fin)'!F63</f>
        <v>4066684.07</v>
      </c>
      <c r="G83" s="223"/>
      <c r="H83" s="225">
        <f>+'Summary - Cost - PG 1 (Fin)'!H63</f>
        <v>0</v>
      </c>
      <c r="I83" s="223"/>
      <c r="J83" s="225">
        <f>+'Summary - Cost - PG 1 (Fin)'!J63</f>
        <v>0</v>
      </c>
      <c r="K83" s="222"/>
      <c r="L83" s="225">
        <f>F83+H83+J83</f>
        <v>4066684.07</v>
      </c>
      <c r="M83" s="222"/>
      <c r="N83" s="222"/>
      <c r="O83" s="222"/>
      <c r="P83" s="222"/>
      <c r="Q83" s="222"/>
      <c r="R83" s="222"/>
      <c r="S83" s="222"/>
      <c r="T83" s="225">
        <f>D83+L83</f>
        <v>6307568.3299999963</v>
      </c>
      <c r="U83" s="222"/>
      <c r="V83" s="226"/>
      <c r="W83" s="226"/>
      <c r="X83" s="226"/>
    </row>
    <row r="84" spans="1:24" s="220" customFormat="1" outlineLevel="3">
      <c r="A84" s="218"/>
      <c r="B84" s="219"/>
      <c r="C84" s="227"/>
      <c r="D84" s="222">
        <f>D82+D83</f>
        <v>4815820.2699999958</v>
      </c>
      <c r="E84" s="222"/>
      <c r="F84" s="222">
        <f>F82+F83</f>
        <v>2715709.05</v>
      </c>
      <c r="G84" s="222"/>
      <c r="H84" s="222">
        <f>H82+H83</f>
        <v>0</v>
      </c>
      <c r="I84" s="222"/>
      <c r="J84" s="222">
        <f>J82+J83</f>
        <v>0</v>
      </c>
      <c r="K84" s="222"/>
      <c r="L84" s="222">
        <f>L82+L83</f>
        <v>2715709.05</v>
      </c>
      <c r="M84" s="222"/>
      <c r="N84" s="222"/>
      <c r="O84" s="222"/>
      <c r="P84" s="222"/>
      <c r="Q84" s="222"/>
      <c r="R84" s="222"/>
      <c r="S84" s="222"/>
      <c r="T84" s="222">
        <f>T82+T83</f>
        <v>7531529.3199999966</v>
      </c>
      <c r="U84" s="222"/>
      <c r="V84" s="226"/>
      <c r="W84" s="226"/>
      <c r="X84" s="226"/>
    </row>
    <row r="85" spans="1:24" s="220" customFormat="1" outlineLevel="3">
      <c r="A85" s="218"/>
      <c r="B85" s="219"/>
      <c r="D85" s="222"/>
      <c r="E85" s="222"/>
      <c r="F85" s="222"/>
      <c r="G85" s="222"/>
      <c r="H85" s="222"/>
      <c r="I85" s="222"/>
      <c r="J85" s="222"/>
      <c r="K85" s="222"/>
      <c r="L85" s="222"/>
      <c r="M85" s="222"/>
      <c r="N85" s="222"/>
      <c r="O85" s="222"/>
      <c r="P85" s="222"/>
      <c r="Q85" s="222"/>
      <c r="R85" s="222"/>
      <c r="S85" s="222"/>
      <c r="T85" s="222"/>
      <c r="U85" s="222"/>
      <c r="V85" s="226"/>
      <c r="W85" s="226"/>
      <c r="X85" s="226"/>
    </row>
    <row r="86" spans="1:24" s="220" customFormat="1" outlineLevel="3">
      <c r="A86" s="218"/>
      <c r="B86" s="219" t="s">
        <v>112</v>
      </c>
      <c r="D86" s="222"/>
      <c r="E86" s="222"/>
      <c r="F86" s="222"/>
      <c r="G86" s="222"/>
      <c r="H86" s="222"/>
      <c r="I86" s="222"/>
      <c r="J86" s="222"/>
      <c r="K86" s="222"/>
      <c r="L86" s="222"/>
      <c r="M86" s="222"/>
      <c r="N86" s="222"/>
      <c r="O86" s="222"/>
      <c r="P86" s="222"/>
      <c r="Q86" s="222"/>
      <c r="R86" s="222"/>
      <c r="S86" s="222"/>
      <c r="T86" s="222"/>
      <c r="U86" s="222"/>
      <c r="V86" s="226"/>
      <c r="W86" s="226"/>
      <c r="X86" s="226"/>
    </row>
    <row r="87" spans="1:24" s="220" customFormat="1" outlineLevel="3">
      <c r="A87" s="218"/>
      <c r="B87" s="219"/>
      <c r="C87" s="220" t="s">
        <v>113</v>
      </c>
      <c r="D87" s="222">
        <f>+'Summary - Cost - PG 1 (Fin)'!D67</f>
        <v>23212235.539999999</v>
      </c>
      <c r="E87" s="223"/>
      <c r="F87" s="222">
        <f>+'Summary - Cost - PG 1 (Fin)'!F67</f>
        <v>11845832.110000003</v>
      </c>
      <c r="G87" s="223"/>
      <c r="H87" s="222">
        <f>+'Summary - Cost - PG 1 (Fin)'!H67</f>
        <v>0</v>
      </c>
      <c r="I87" s="223"/>
      <c r="J87" s="222">
        <f>+'Summary - Cost - PG 1 (Fin)'!J67</f>
        <v>0</v>
      </c>
      <c r="K87" s="222"/>
      <c r="L87" s="222">
        <f t="shared" ref="L87:L93" si="19">F87+H87+J87</f>
        <v>11845832.110000003</v>
      </c>
      <c r="M87" s="222"/>
      <c r="N87" s="222"/>
      <c r="O87" s="222"/>
      <c r="P87" s="222"/>
      <c r="Q87" s="222"/>
      <c r="R87" s="222"/>
      <c r="S87" s="222"/>
      <c r="T87" s="222">
        <f t="shared" ref="T87:T93" si="20">D87+L87</f>
        <v>35058067.650000006</v>
      </c>
      <c r="U87" s="222"/>
      <c r="V87" s="226"/>
      <c r="W87" s="226"/>
      <c r="X87" s="226"/>
    </row>
    <row r="88" spans="1:24" s="220" customFormat="1" outlineLevel="3">
      <c r="A88" s="218"/>
      <c r="B88" s="219"/>
      <c r="C88" s="220" t="s">
        <v>114</v>
      </c>
      <c r="D88" s="222">
        <f>+'Summary - Cost - PG 1 (Fin)'!D68</f>
        <v>6763.2199999999793</v>
      </c>
      <c r="E88" s="223"/>
      <c r="F88" s="222">
        <f>+'Summary - Cost - PG 1 (Fin)'!F68</f>
        <v>63825.04</v>
      </c>
      <c r="G88" s="223"/>
      <c r="H88" s="222">
        <f>+'Summary - Cost - PG 1 (Fin)'!H68</f>
        <v>0</v>
      </c>
      <c r="I88" s="223"/>
      <c r="J88" s="222">
        <f>+'Summary - Cost - PG 1 (Fin)'!J68</f>
        <v>0</v>
      </c>
      <c r="K88" s="222"/>
      <c r="L88" s="222">
        <f t="shared" si="19"/>
        <v>63825.04</v>
      </c>
      <c r="M88" s="222"/>
      <c r="N88" s="222"/>
      <c r="O88" s="222"/>
      <c r="P88" s="222"/>
      <c r="Q88" s="222"/>
      <c r="R88" s="222"/>
      <c r="S88" s="222"/>
      <c r="T88" s="222">
        <f t="shared" si="20"/>
        <v>70588.25999999998</v>
      </c>
      <c r="U88" s="222"/>
      <c r="V88" s="226"/>
      <c r="W88" s="226"/>
      <c r="X88" s="226"/>
    </row>
    <row r="89" spans="1:24" s="220" customFormat="1" outlineLevel="3">
      <c r="A89" s="218"/>
      <c r="B89" s="219"/>
      <c r="C89" s="220" t="s">
        <v>115</v>
      </c>
      <c r="D89" s="222">
        <f>+'Summary - Cost - PG 1 (Fin)'!D69</f>
        <v>16456.360000000033</v>
      </c>
      <c r="E89" s="223"/>
      <c r="F89" s="222">
        <f>+'Summary - Cost - PG 1 (Fin)'!F69</f>
        <v>-16456.36</v>
      </c>
      <c r="G89" s="223"/>
      <c r="H89" s="222">
        <f>+'Summary - Cost - PG 1 (Fin)'!H69</f>
        <v>0</v>
      </c>
      <c r="I89" s="223"/>
      <c r="J89" s="222">
        <f>+'Summary - Cost - PG 1 (Fin)'!J69</f>
        <v>0</v>
      </c>
      <c r="K89" s="222"/>
      <c r="L89" s="222">
        <f t="shared" si="19"/>
        <v>-16456.36</v>
      </c>
      <c r="M89" s="222"/>
      <c r="N89" s="222"/>
      <c r="O89" s="222"/>
      <c r="P89" s="222"/>
      <c r="Q89" s="222"/>
      <c r="R89" s="222"/>
      <c r="S89" s="222"/>
      <c r="T89" s="222">
        <f t="shared" si="20"/>
        <v>3.2741809263825417E-11</v>
      </c>
      <c r="U89" s="222"/>
      <c r="V89" s="226"/>
      <c r="W89" s="226"/>
      <c r="X89" s="226"/>
    </row>
    <row r="90" spans="1:24" s="220" customFormat="1" outlineLevel="3">
      <c r="A90" s="218"/>
      <c r="B90" s="219"/>
      <c r="C90" s="220" t="s">
        <v>116</v>
      </c>
      <c r="D90" s="222">
        <f>+'Summary - Cost - PG 1 (Fin)'!D70</f>
        <v>0</v>
      </c>
      <c r="E90" s="223"/>
      <c r="F90" s="222">
        <f>+'Summary - Cost - PG 1 (Fin)'!F70</f>
        <v>0</v>
      </c>
      <c r="G90" s="223"/>
      <c r="H90" s="222">
        <f>+'Summary - Cost - PG 1 (Fin)'!H70</f>
        <v>0</v>
      </c>
      <c r="I90" s="223"/>
      <c r="J90" s="222">
        <f>+'Summary - Cost - PG 1 (Fin)'!J70</f>
        <v>0</v>
      </c>
      <c r="K90" s="222"/>
      <c r="L90" s="222">
        <f t="shared" si="19"/>
        <v>0</v>
      </c>
      <c r="M90" s="222"/>
      <c r="N90" s="222"/>
      <c r="O90" s="222"/>
      <c r="P90" s="222"/>
      <c r="Q90" s="222"/>
      <c r="R90" s="222"/>
      <c r="S90" s="222"/>
      <c r="T90" s="222">
        <f t="shared" si="20"/>
        <v>0</v>
      </c>
      <c r="U90" s="222"/>
      <c r="V90" s="226"/>
      <c r="W90" s="226"/>
      <c r="X90" s="226"/>
    </row>
    <row r="91" spans="1:24" s="220" customFormat="1" outlineLevel="3">
      <c r="A91" s="218"/>
      <c r="B91" s="219"/>
      <c r="C91" s="220" t="s">
        <v>117</v>
      </c>
      <c r="D91" s="222">
        <f>+'Summary - Cost - PG 1 (Fin)'!D71</f>
        <v>3535959.74</v>
      </c>
      <c r="E91" s="223"/>
      <c r="F91" s="222">
        <f>+'Summary - Cost - PG 1 (Fin)'!F71</f>
        <v>-2930744.84</v>
      </c>
      <c r="G91" s="223"/>
      <c r="H91" s="222">
        <f>+'Summary - Cost - PG 1 (Fin)'!H71</f>
        <v>0</v>
      </c>
      <c r="I91" s="223"/>
      <c r="J91" s="222">
        <f>+'Summary - Cost - PG 1 (Fin)'!J71</f>
        <v>0</v>
      </c>
      <c r="K91" s="222"/>
      <c r="L91" s="222">
        <f t="shared" si="19"/>
        <v>-2930744.84</v>
      </c>
      <c r="M91" s="222"/>
      <c r="N91" s="222"/>
      <c r="O91" s="222"/>
      <c r="P91" s="222"/>
      <c r="Q91" s="222"/>
      <c r="R91" s="222"/>
      <c r="S91" s="222"/>
      <c r="T91" s="222">
        <f t="shared" si="20"/>
        <v>605214.90000000037</v>
      </c>
      <c r="U91" s="222"/>
      <c r="V91" s="226"/>
      <c r="W91" s="226"/>
      <c r="X91" s="226"/>
    </row>
    <row r="92" spans="1:24" s="220" customFormat="1" outlineLevel="3">
      <c r="A92" s="218"/>
      <c r="B92" s="219"/>
      <c r="C92" s="220" t="s">
        <v>118</v>
      </c>
      <c r="D92" s="222">
        <f>+'Summary - Cost - PG 1 (Fin)'!D72</f>
        <v>41241674.580000028</v>
      </c>
      <c r="E92" s="223"/>
      <c r="F92" s="222">
        <f>+'Summary - Cost - PG 1 (Fin)'!F72</f>
        <v>-11287613.220000001</v>
      </c>
      <c r="G92" s="223"/>
      <c r="H92" s="222">
        <f>+'Summary - Cost - PG 1 (Fin)'!H72</f>
        <v>0</v>
      </c>
      <c r="I92" s="223"/>
      <c r="J92" s="222">
        <f>+'Summary - Cost - PG 1 (Fin)'!J72</f>
        <v>0</v>
      </c>
      <c r="K92" s="222"/>
      <c r="L92" s="222">
        <f t="shared" si="19"/>
        <v>-11287613.220000001</v>
      </c>
      <c r="M92" s="222"/>
      <c r="N92" s="222"/>
      <c r="O92" s="222"/>
      <c r="P92" s="222"/>
      <c r="Q92" s="222"/>
      <c r="R92" s="222"/>
      <c r="S92" s="222"/>
      <c r="T92" s="222">
        <f t="shared" si="20"/>
        <v>29954061.360000029</v>
      </c>
      <c r="U92" s="222"/>
      <c r="V92" s="226"/>
      <c r="W92" s="226"/>
      <c r="X92" s="226"/>
    </row>
    <row r="93" spans="1:24" s="220" customFormat="1" outlineLevel="3">
      <c r="A93" s="218"/>
      <c r="B93" s="219"/>
      <c r="C93" s="220" t="s">
        <v>119</v>
      </c>
      <c r="D93" s="225">
        <f>+'Summary - Cost - PG 1 (Fin)'!D73</f>
        <v>37708783.020000003</v>
      </c>
      <c r="E93" s="223"/>
      <c r="F93" s="225">
        <f>+'Summary - Cost - PG 1 (Fin)'!F73</f>
        <v>1552225.9299999997</v>
      </c>
      <c r="G93" s="223"/>
      <c r="H93" s="225">
        <f>+'Summary - Cost - PG 1 (Fin)'!H73</f>
        <v>0</v>
      </c>
      <c r="I93" s="223"/>
      <c r="J93" s="225">
        <f>+'Summary - Cost - PG 1 (Fin)'!J73</f>
        <v>0</v>
      </c>
      <c r="K93" s="222"/>
      <c r="L93" s="225">
        <f t="shared" si="19"/>
        <v>1552225.9299999997</v>
      </c>
      <c r="M93" s="222"/>
      <c r="N93" s="222"/>
      <c r="O93" s="222"/>
      <c r="P93" s="222"/>
      <c r="Q93" s="222"/>
      <c r="R93" s="222"/>
      <c r="S93" s="222"/>
      <c r="T93" s="225">
        <f t="shared" si="20"/>
        <v>39261008.950000003</v>
      </c>
      <c r="U93" s="222"/>
      <c r="V93" s="226"/>
      <c r="W93" s="226"/>
      <c r="X93" s="226"/>
    </row>
    <row r="94" spans="1:24" s="220" customFormat="1" outlineLevel="3">
      <c r="A94" s="218"/>
      <c r="B94" s="219"/>
      <c r="C94" s="227"/>
      <c r="D94" s="222">
        <f>SUM(D87:D93)</f>
        <v>105721872.46000004</v>
      </c>
      <c r="E94" s="222"/>
      <c r="F94" s="222">
        <f>SUM(F87:F93)</f>
        <v>-772931.33999999799</v>
      </c>
      <c r="G94" s="222"/>
      <c r="H94" s="222">
        <f>SUM(H87:H93)</f>
        <v>0</v>
      </c>
      <c r="I94" s="222"/>
      <c r="J94" s="222">
        <f>SUM(J87:J93)</f>
        <v>0</v>
      </c>
      <c r="K94" s="222"/>
      <c r="L94" s="222">
        <f>SUM(L87:L93)</f>
        <v>-772931.33999999799</v>
      </c>
      <c r="M94" s="222"/>
      <c r="N94" s="222"/>
      <c r="O94" s="222"/>
      <c r="P94" s="222"/>
      <c r="Q94" s="222"/>
      <c r="R94" s="222"/>
      <c r="S94" s="222"/>
      <c r="T94" s="222">
        <f>SUM(T87:T93)</f>
        <v>104948941.12000003</v>
      </c>
      <c r="U94" s="222"/>
      <c r="V94" s="226"/>
      <c r="W94" s="226"/>
      <c r="X94" s="226"/>
    </row>
    <row r="95" spans="1:24" s="220" customFormat="1" outlineLevel="3">
      <c r="A95" s="218"/>
      <c r="B95" s="219"/>
      <c r="D95" s="222"/>
      <c r="E95" s="222"/>
      <c r="F95" s="222"/>
      <c r="G95" s="222"/>
      <c r="H95" s="222"/>
      <c r="I95" s="222"/>
      <c r="J95" s="222"/>
      <c r="K95" s="222"/>
      <c r="L95" s="222"/>
      <c r="M95" s="222"/>
      <c r="N95" s="222"/>
      <c r="O95" s="222"/>
      <c r="P95" s="222"/>
      <c r="Q95" s="222"/>
      <c r="R95" s="222"/>
      <c r="S95" s="222"/>
      <c r="T95" s="222"/>
      <c r="U95" s="222"/>
      <c r="V95" s="226"/>
      <c r="W95" s="226"/>
      <c r="X95" s="226"/>
    </row>
    <row r="96" spans="1:24" s="220" customFormat="1" outlineLevel="3">
      <c r="A96" s="218"/>
      <c r="B96" s="219" t="s">
        <v>120</v>
      </c>
      <c r="D96" s="222"/>
      <c r="E96" s="222"/>
      <c r="F96" s="222"/>
      <c r="G96" s="222"/>
      <c r="H96" s="222"/>
      <c r="I96" s="222"/>
      <c r="J96" s="222"/>
      <c r="K96" s="222"/>
      <c r="L96" s="222"/>
      <c r="M96" s="222"/>
      <c r="N96" s="222"/>
      <c r="O96" s="222"/>
      <c r="P96" s="222"/>
      <c r="Q96" s="222"/>
      <c r="R96" s="222"/>
      <c r="S96" s="222"/>
      <c r="T96" s="222"/>
      <c r="U96" s="222"/>
      <c r="V96" s="226"/>
      <c r="W96" s="226"/>
      <c r="X96" s="226"/>
    </row>
    <row r="97" spans="1:24" s="220" customFormat="1" outlineLevel="3">
      <c r="A97" s="218"/>
      <c r="B97" s="219"/>
      <c r="C97" s="220" t="s">
        <v>121</v>
      </c>
      <c r="D97" s="222">
        <f>+'Summary - Cost - PG 1 (Fin)'!D77</f>
        <v>18865984.479999997</v>
      </c>
      <c r="E97" s="223"/>
      <c r="F97" s="222">
        <f>+'Summary - Cost - PG 1 (Fin)'!F77</f>
        <v>12074422.710000001</v>
      </c>
      <c r="G97" s="223"/>
      <c r="H97" s="222">
        <f>+'Summary - Cost - PG 1 (Fin)'!H77</f>
        <v>0</v>
      </c>
      <c r="I97" s="223"/>
      <c r="J97" s="222">
        <f>+'Summary - Cost - PG 1 (Fin)'!J77</f>
        <v>0</v>
      </c>
      <c r="K97" s="223"/>
      <c r="L97" s="223">
        <f>F97+H97+J97</f>
        <v>12074422.710000001</v>
      </c>
      <c r="M97" s="223"/>
      <c r="N97" s="223"/>
      <c r="O97" s="223"/>
      <c r="P97" s="223"/>
      <c r="Q97" s="223"/>
      <c r="R97" s="223"/>
      <c r="S97" s="223"/>
      <c r="T97" s="223">
        <f>D97+L97</f>
        <v>30940407.189999998</v>
      </c>
      <c r="U97" s="223"/>
      <c r="V97" s="224"/>
      <c r="W97" s="224"/>
      <c r="X97" s="224"/>
    </row>
    <row r="98" spans="1:24" s="220" customFormat="1" outlineLevel="3">
      <c r="A98" s="218"/>
      <c r="B98" s="219"/>
      <c r="C98" s="220" t="s">
        <v>122</v>
      </c>
      <c r="D98" s="222">
        <f>+'Summary - Cost - PG 1 (Fin)'!D78</f>
        <v>263073.78000000003</v>
      </c>
      <c r="E98" s="223"/>
      <c r="F98" s="222">
        <f>+'Summary - Cost - PG 1 (Fin)'!F78</f>
        <v>-84556.909999999989</v>
      </c>
      <c r="G98" s="223"/>
      <c r="H98" s="222">
        <f>+'Summary - Cost - PG 1 (Fin)'!H78</f>
        <v>0</v>
      </c>
      <c r="I98" s="223"/>
      <c r="J98" s="222">
        <f>+'Summary - Cost - PG 1 (Fin)'!J78</f>
        <v>0</v>
      </c>
      <c r="K98" s="223"/>
      <c r="L98" s="223">
        <f>F98+H98+J98</f>
        <v>-84556.909999999989</v>
      </c>
      <c r="M98" s="223"/>
      <c r="N98" s="223"/>
      <c r="O98" s="223"/>
      <c r="P98" s="223"/>
      <c r="Q98" s="223"/>
      <c r="R98" s="223"/>
      <c r="S98" s="223"/>
      <c r="T98" s="223">
        <f>D98+L98</f>
        <v>178516.87000000005</v>
      </c>
      <c r="U98" s="223"/>
      <c r="V98" s="224"/>
      <c r="W98" s="224"/>
      <c r="X98" s="224"/>
    </row>
    <row r="99" spans="1:24" s="220" customFormat="1" outlineLevel="3">
      <c r="A99" s="218"/>
      <c r="B99" s="219"/>
      <c r="C99" s="220" t="s">
        <v>123</v>
      </c>
      <c r="D99" s="222">
        <f>+'Summary - Cost - PG 1 (Fin)'!D79</f>
        <v>0</v>
      </c>
      <c r="E99" s="223"/>
      <c r="F99" s="222">
        <f>+'Summary - Cost - PG 1 (Fin)'!F79</f>
        <v>0</v>
      </c>
      <c r="G99" s="223"/>
      <c r="H99" s="222">
        <f>+'Summary - Cost - PG 1 (Fin)'!H79</f>
        <v>0</v>
      </c>
      <c r="I99" s="223"/>
      <c r="J99" s="222">
        <f>+'Summary - Cost - PG 1 (Fin)'!J79</f>
        <v>0</v>
      </c>
      <c r="K99" s="223"/>
      <c r="L99" s="223">
        <f>F99+H99+J99</f>
        <v>0</v>
      </c>
      <c r="M99" s="223"/>
      <c r="N99" s="223"/>
      <c r="O99" s="223"/>
      <c r="P99" s="223"/>
      <c r="Q99" s="223"/>
      <c r="R99" s="223"/>
      <c r="S99" s="223"/>
      <c r="T99" s="223">
        <f>D99+L99</f>
        <v>0</v>
      </c>
      <c r="U99" s="223"/>
      <c r="V99" s="224"/>
      <c r="W99" s="224"/>
      <c r="X99" s="224"/>
    </row>
    <row r="100" spans="1:24" s="220" customFormat="1" outlineLevel="3">
      <c r="A100" s="218"/>
      <c r="B100" s="219"/>
      <c r="C100" s="220" t="s">
        <v>124</v>
      </c>
      <c r="D100" s="222">
        <f>+'Summary - Cost - PG 1 (Fin)'!D80</f>
        <v>514612.99999999988</v>
      </c>
      <c r="E100" s="223"/>
      <c r="F100" s="222">
        <f>+'Summary - Cost - PG 1 (Fin)'!F80</f>
        <v>6294293.1600000001</v>
      </c>
      <c r="G100" s="223"/>
      <c r="H100" s="222">
        <f>+'Summary - Cost - PG 1 (Fin)'!H80</f>
        <v>0</v>
      </c>
      <c r="I100" s="223"/>
      <c r="J100" s="222">
        <f>+'Summary - Cost - PG 1 (Fin)'!J80</f>
        <v>0</v>
      </c>
      <c r="K100" s="223"/>
      <c r="L100" s="223">
        <f>F100+H100+J100</f>
        <v>6294293.1600000001</v>
      </c>
      <c r="M100" s="223"/>
      <c r="N100" s="223"/>
      <c r="O100" s="223"/>
      <c r="P100" s="223"/>
      <c r="Q100" s="223"/>
      <c r="R100" s="223"/>
      <c r="S100" s="223"/>
      <c r="T100" s="223">
        <f>D100+L100</f>
        <v>6808906.1600000001</v>
      </c>
      <c r="U100" s="223"/>
      <c r="V100" s="224"/>
      <c r="W100" s="224"/>
      <c r="X100" s="224"/>
    </row>
    <row r="101" spans="1:24" s="220" customFormat="1" outlineLevel="3">
      <c r="A101" s="218"/>
      <c r="B101" s="219"/>
      <c r="C101" s="220" t="s">
        <v>125</v>
      </c>
      <c r="D101" s="225">
        <f>+'Summary - Cost - PG 1 (Fin)'!D81</f>
        <v>1459528.0299999996</v>
      </c>
      <c r="E101" s="223"/>
      <c r="F101" s="225">
        <f>+'Summary - Cost - PG 1 (Fin)'!F81</f>
        <v>-916290.49</v>
      </c>
      <c r="G101" s="223"/>
      <c r="H101" s="225">
        <f>+'Summary - Cost - PG 1 (Fin)'!H81</f>
        <v>0</v>
      </c>
      <c r="I101" s="223"/>
      <c r="J101" s="225">
        <f>+'Summary - Cost - PG 1 (Fin)'!J81</f>
        <v>0</v>
      </c>
      <c r="K101" s="223"/>
      <c r="L101" s="225">
        <f>F101+H101+J101</f>
        <v>-916290.49</v>
      </c>
      <c r="M101" s="222"/>
      <c r="N101" s="222"/>
      <c r="O101" s="222"/>
      <c r="P101" s="222"/>
      <c r="Q101" s="222"/>
      <c r="R101" s="222"/>
      <c r="S101" s="223"/>
      <c r="T101" s="225">
        <f>D101+L101</f>
        <v>543237.53999999957</v>
      </c>
      <c r="U101" s="222"/>
      <c r="V101" s="224"/>
      <c r="W101" s="224"/>
      <c r="X101" s="224"/>
    </row>
    <row r="102" spans="1:24" s="220" customFormat="1" outlineLevel="3">
      <c r="A102" s="218"/>
      <c r="B102" s="219"/>
      <c r="C102" s="227"/>
      <c r="D102" s="222">
        <f>SUM(D97:D101)</f>
        <v>21103199.289999999</v>
      </c>
      <c r="E102" s="222"/>
      <c r="F102" s="222">
        <f>SUM(F97:F101)</f>
        <v>17367868.470000003</v>
      </c>
      <c r="G102" s="222"/>
      <c r="H102" s="222">
        <f>SUM(H97:H101)</f>
        <v>0</v>
      </c>
      <c r="I102" s="222"/>
      <c r="J102" s="222">
        <f>SUM(J97:J101)</f>
        <v>0</v>
      </c>
      <c r="K102" s="222"/>
      <c r="L102" s="222">
        <f>SUM(L97:L101)</f>
        <v>17367868.470000003</v>
      </c>
      <c r="M102" s="222"/>
      <c r="N102" s="222"/>
      <c r="O102" s="222"/>
      <c r="P102" s="222"/>
      <c r="Q102" s="222"/>
      <c r="R102" s="222"/>
      <c r="S102" s="222"/>
      <c r="T102" s="222">
        <f>SUM(T97:T101)</f>
        <v>38471067.759999998</v>
      </c>
      <c r="U102" s="222"/>
      <c r="V102" s="224"/>
      <c r="W102" s="224"/>
      <c r="X102" s="224"/>
    </row>
    <row r="103" spans="1:24" s="220" customFormat="1" outlineLevel="3">
      <c r="A103" s="218"/>
      <c r="B103" s="219"/>
      <c r="D103" s="223"/>
      <c r="E103" s="223"/>
      <c r="F103" s="223"/>
      <c r="G103" s="223"/>
      <c r="H103" s="223"/>
      <c r="I103" s="223"/>
      <c r="J103" s="223"/>
      <c r="K103" s="223"/>
      <c r="L103" s="223"/>
      <c r="M103" s="223"/>
      <c r="N103" s="223"/>
      <c r="O103" s="223"/>
      <c r="P103" s="223"/>
      <c r="Q103" s="223"/>
      <c r="R103" s="223"/>
      <c r="S103" s="223"/>
      <c r="T103" s="223"/>
      <c r="U103" s="223"/>
      <c r="V103" s="224"/>
      <c r="W103" s="224"/>
      <c r="X103" s="224"/>
    </row>
    <row r="104" spans="1:24" s="220" customFormat="1" outlineLevel="3">
      <c r="A104" s="218"/>
      <c r="B104" s="219"/>
      <c r="C104" s="219" t="s">
        <v>136</v>
      </c>
      <c r="D104" s="228">
        <f>D84+D94+D102</f>
        <v>131640892.02000004</v>
      </c>
      <c r="E104" s="223"/>
      <c r="F104" s="228">
        <f>F84+F94+F102</f>
        <v>19310646.180000003</v>
      </c>
      <c r="G104" s="223"/>
      <c r="H104" s="228">
        <f>H84+H94+H102</f>
        <v>0</v>
      </c>
      <c r="I104" s="223"/>
      <c r="J104" s="228">
        <f>J84+J94+J102</f>
        <v>0</v>
      </c>
      <c r="K104" s="223"/>
      <c r="L104" s="228">
        <f>L84+L94+L102</f>
        <v>19310646.180000003</v>
      </c>
      <c r="M104" s="222"/>
      <c r="N104" s="222"/>
      <c r="O104" s="222"/>
      <c r="P104" s="222"/>
      <c r="Q104" s="222"/>
      <c r="R104" s="222"/>
      <c r="S104" s="223"/>
      <c r="T104" s="228">
        <f>T84+T94+T102</f>
        <v>150951538.20000002</v>
      </c>
      <c r="U104" s="222"/>
      <c r="V104" s="224"/>
      <c r="W104" s="224"/>
      <c r="X104" s="224"/>
    </row>
    <row r="105" spans="1:24" s="220" customFormat="1" outlineLevel="3">
      <c r="A105" s="218"/>
      <c r="B105" s="219"/>
      <c r="D105" s="223"/>
      <c r="E105" s="223"/>
      <c r="F105" s="223"/>
      <c r="G105" s="223"/>
      <c r="H105" s="223"/>
      <c r="I105" s="223"/>
      <c r="J105" s="223"/>
      <c r="K105" s="223"/>
      <c r="L105" s="223"/>
      <c r="M105" s="223"/>
      <c r="N105" s="223"/>
      <c r="O105" s="223"/>
      <c r="P105" s="223"/>
      <c r="Q105" s="223"/>
      <c r="R105" s="223"/>
      <c r="S105" s="223"/>
      <c r="T105" s="223">
        <f>+T104-'Summary - Cost - PG 1 (Fin)'!N84</f>
        <v>0</v>
      </c>
      <c r="U105" s="223"/>
      <c r="V105" s="224"/>
      <c r="W105" s="224"/>
      <c r="X105" s="224"/>
    </row>
    <row r="106" spans="1:24" s="220" customFormat="1" outlineLevel="3">
      <c r="A106" s="218"/>
      <c r="B106" s="219"/>
      <c r="D106" s="223"/>
      <c r="E106" s="223"/>
      <c r="F106" s="223"/>
      <c r="G106" s="223"/>
      <c r="H106" s="223"/>
      <c r="I106" s="223"/>
      <c r="J106" s="223"/>
      <c r="K106" s="223"/>
      <c r="L106" s="223"/>
      <c r="M106" s="223"/>
      <c r="N106" s="223"/>
      <c r="O106" s="223"/>
      <c r="P106" s="223"/>
      <c r="Q106" s="223"/>
      <c r="R106" s="223"/>
      <c r="S106" s="223"/>
      <c r="T106" s="223">
        <f>+T52+T104</f>
        <v>4746809491.0899992</v>
      </c>
      <c r="U106" s="223"/>
      <c r="V106" s="224"/>
      <c r="W106" s="224"/>
      <c r="X106" s="224"/>
    </row>
    <row r="107" spans="1:24" s="220" customFormat="1" outlineLevel="3">
      <c r="A107" s="218">
        <v>117</v>
      </c>
      <c r="B107" s="219" t="s">
        <v>453</v>
      </c>
      <c r="D107" s="223"/>
      <c r="E107" s="223"/>
      <c r="F107" s="223"/>
      <c r="G107" s="223"/>
      <c r="H107" s="223"/>
      <c r="I107" s="223"/>
      <c r="J107" s="223"/>
      <c r="K107" s="223"/>
      <c r="L107" s="223"/>
      <c r="M107" s="223"/>
      <c r="N107" s="223"/>
      <c r="O107" s="223"/>
      <c r="P107" s="223"/>
      <c r="Q107" s="223"/>
      <c r="R107" s="223"/>
      <c r="S107" s="223"/>
      <c r="T107" s="223"/>
      <c r="U107" s="223"/>
      <c r="V107" s="224"/>
      <c r="W107" s="224"/>
      <c r="X107" s="224"/>
    </row>
    <row r="108" spans="1:24" s="220" customFormat="1" outlineLevel="3">
      <c r="A108" s="218"/>
      <c r="B108" s="219" t="s">
        <v>120</v>
      </c>
      <c r="D108" s="223"/>
      <c r="E108" s="223"/>
      <c r="F108" s="223"/>
      <c r="G108" s="223"/>
      <c r="H108" s="223"/>
      <c r="I108" s="223"/>
      <c r="J108" s="223"/>
      <c r="K108" s="223"/>
      <c r="L108" s="223"/>
      <c r="M108" s="223"/>
      <c r="N108" s="223"/>
      <c r="O108" s="223"/>
      <c r="P108" s="223"/>
      <c r="Q108" s="223"/>
      <c r="R108" s="223"/>
      <c r="S108" s="223"/>
      <c r="T108" s="223"/>
      <c r="U108" s="223"/>
      <c r="V108" s="224"/>
      <c r="W108" s="224"/>
      <c r="X108" s="224"/>
    </row>
    <row r="109" spans="1:24" s="220" customFormat="1" outlineLevel="3">
      <c r="A109" s="218"/>
      <c r="B109" s="219"/>
      <c r="C109" s="220" t="s">
        <v>129</v>
      </c>
      <c r="D109" s="225">
        <f>+'Summary - Cost - PG 1 (Fin)'!D89</f>
        <v>2139990</v>
      </c>
      <c r="E109" s="223"/>
      <c r="F109" s="225">
        <f>+'Summary - Cost - PG 1 (Fin)'!F89</f>
        <v>0</v>
      </c>
      <c r="G109" s="223"/>
      <c r="H109" s="225">
        <f>+'Summary - Cost - PG 1 (Fin)'!H89</f>
        <v>0</v>
      </c>
      <c r="I109" s="223"/>
      <c r="J109" s="225">
        <f>+'Summary - Cost - PG 1 (Fin)'!J89</f>
        <v>0</v>
      </c>
      <c r="K109" s="222"/>
      <c r="L109" s="225">
        <f>F109+H109+J109</f>
        <v>0</v>
      </c>
      <c r="M109" s="222"/>
      <c r="N109" s="222"/>
      <c r="O109" s="222"/>
      <c r="P109" s="222"/>
      <c r="Q109" s="222"/>
      <c r="R109" s="222"/>
      <c r="S109" s="222"/>
      <c r="T109" s="225">
        <f>D109+L109</f>
        <v>2139990</v>
      </c>
      <c r="U109" s="222"/>
      <c r="V109" s="224"/>
      <c r="W109" s="224"/>
      <c r="X109" s="224"/>
    </row>
    <row r="110" spans="1:24" s="220" customFormat="1" outlineLevel="3">
      <c r="A110" s="218"/>
      <c r="B110" s="219"/>
      <c r="C110" s="227"/>
      <c r="D110" s="222">
        <f>SUM(D109)</f>
        <v>2139990</v>
      </c>
      <c r="E110" s="222"/>
      <c r="F110" s="222">
        <f>SUM(F109)</f>
        <v>0</v>
      </c>
      <c r="G110" s="222"/>
      <c r="H110" s="222">
        <f>SUM(H109)</f>
        <v>0</v>
      </c>
      <c r="I110" s="222"/>
      <c r="J110" s="222">
        <f>SUM(J109)</f>
        <v>0</v>
      </c>
      <c r="K110" s="222"/>
      <c r="L110" s="222">
        <f>SUM(L109)</f>
        <v>0</v>
      </c>
      <c r="M110" s="222"/>
      <c r="N110" s="222"/>
      <c r="O110" s="222"/>
      <c r="P110" s="222"/>
      <c r="Q110" s="222"/>
      <c r="R110" s="222"/>
      <c r="S110" s="222"/>
      <c r="T110" s="222">
        <f>SUM(T109)</f>
        <v>2139990</v>
      </c>
      <c r="U110" s="222"/>
      <c r="V110" s="224"/>
      <c r="W110" s="224"/>
      <c r="X110" s="224"/>
    </row>
    <row r="111" spans="1:24" s="220" customFormat="1" outlineLevel="3">
      <c r="A111" s="218"/>
      <c r="B111" s="219"/>
      <c r="D111" s="223"/>
      <c r="E111" s="223"/>
      <c r="F111" s="223"/>
      <c r="G111" s="223"/>
      <c r="H111" s="223"/>
      <c r="I111" s="223"/>
      <c r="J111" s="223"/>
      <c r="K111" s="223"/>
      <c r="L111" s="223"/>
      <c r="M111" s="223"/>
      <c r="N111" s="223"/>
      <c r="O111" s="223"/>
      <c r="P111" s="223"/>
      <c r="Q111" s="223"/>
      <c r="R111" s="223"/>
      <c r="S111" s="223"/>
      <c r="T111" s="223"/>
      <c r="U111" s="223"/>
      <c r="V111" s="224"/>
      <c r="W111" s="224"/>
      <c r="X111" s="224"/>
    </row>
    <row r="112" spans="1:24" s="220" customFormat="1" outlineLevel="3">
      <c r="A112" s="218"/>
      <c r="B112" s="219"/>
      <c r="C112" s="219" t="s">
        <v>130</v>
      </c>
      <c r="D112" s="228">
        <f>D110</f>
        <v>2139990</v>
      </c>
      <c r="E112" s="223"/>
      <c r="F112" s="228">
        <f>F110</f>
        <v>0</v>
      </c>
      <c r="G112" s="223"/>
      <c r="H112" s="228">
        <f>H110</f>
        <v>0</v>
      </c>
      <c r="I112" s="223"/>
      <c r="J112" s="228">
        <f>J110</f>
        <v>0</v>
      </c>
      <c r="K112" s="223"/>
      <c r="L112" s="228">
        <f>L110</f>
        <v>0</v>
      </c>
      <c r="M112" s="222"/>
      <c r="N112" s="222"/>
      <c r="O112" s="222"/>
      <c r="P112" s="222"/>
      <c r="Q112" s="222"/>
      <c r="R112" s="222"/>
      <c r="S112" s="223"/>
      <c r="T112" s="228">
        <f>T110</f>
        <v>2139990</v>
      </c>
      <c r="U112" s="222"/>
      <c r="V112" s="224"/>
      <c r="W112" s="224"/>
      <c r="X112" s="224"/>
    </row>
    <row r="113" spans="1:24" s="220" customFormat="1" outlineLevel="3">
      <c r="A113" s="218"/>
      <c r="B113" s="219"/>
      <c r="C113" s="219"/>
      <c r="D113" s="222"/>
      <c r="E113" s="223"/>
      <c r="F113" s="222"/>
      <c r="G113" s="223"/>
      <c r="H113" s="222"/>
      <c r="I113" s="223"/>
      <c r="J113" s="222"/>
      <c r="K113" s="223"/>
      <c r="L113" s="222"/>
      <c r="M113" s="222"/>
      <c r="N113" s="222"/>
      <c r="O113" s="222"/>
      <c r="P113" s="222"/>
      <c r="Q113" s="222"/>
      <c r="R113" s="222"/>
      <c r="S113" s="223"/>
      <c r="T113" s="222">
        <f>+T112-'Summary - Cost - PG 1 (Fin)'!N92</f>
        <v>0</v>
      </c>
      <c r="U113" s="222"/>
      <c r="V113" s="224"/>
      <c r="W113" s="224"/>
      <c r="X113" s="224"/>
    </row>
    <row r="114" spans="1:24" s="220" customFormat="1" outlineLevel="3">
      <c r="A114" s="218"/>
      <c r="B114" s="219"/>
      <c r="C114" s="219"/>
      <c r="D114" s="222"/>
      <c r="E114" s="223"/>
      <c r="F114" s="222"/>
      <c r="G114" s="223"/>
      <c r="H114" s="222"/>
      <c r="I114" s="223"/>
      <c r="J114" s="222"/>
      <c r="K114" s="223"/>
      <c r="L114" s="222"/>
      <c r="M114" s="222"/>
      <c r="N114" s="222"/>
      <c r="O114" s="222"/>
      <c r="P114" s="222"/>
      <c r="Q114" s="222"/>
      <c r="R114" s="222"/>
      <c r="S114" s="223"/>
      <c r="T114" s="222"/>
      <c r="U114" s="222"/>
      <c r="V114" s="224"/>
      <c r="W114" s="224"/>
      <c r="X114" s="224"/>
    </row>
    <row r="115" spans="1:24" s="220" customFormat="1" outlineLevel="3">
      <c r="A115" s="218"/>
      <c r="B115" s="219" t="s">
        <v>1125</v>
      </c>
      <c r="C115" s="219"/>
      <c r="D115" s="222"/>
      <c r="E115" s="223"/>
      <c r="F115" s="222"/>
      <c r="G115" s="223"/>
      <c r="H115" s="222"/>
      <c r="I115" s="223"/>
      <c r="J115" s="222"/>
      <c r="K115" s="223"/>
      <c r="L115" s="222"/>
      <c r="M115" s="222"/>
      <c r="N115" s="222"/>
      <c r="O115" s="222"/>
      <c r="P115" s="222"/>
      <c r="Q115" s="222"/>
      <c r="R115" s="222"/>
      <c r="S115" s="223"/>
      <c r="T115" s="222"/>
      <c r="U115" s="222"/>
      <c r="V115" s="224"/>
      <c r="W115" s="224"/>
      <c r="X115" s="224"/>
    </row>
    <row r="116" spans="1:24" s="220" customFormat="1" outlineLevel="3">
      <c r="A116" s="218"/>
      <c r="B116" s="219"/>
      <c r="C116" s="219"/>
      <c r="D116" s="222"/>
      <c r="E116" s="223"/>
      <c r="F116" s="222"/>
      <c r="G116" s="223"/>
      <c r="H116" s="222"/>
      <c r="I116" s="223"/>
      <c r="J116" s="222"/>
      <c r="K116" s="223"/>
      <c r="L116" s="222"/>
      <c r="M116" s="222"/>
      <c r="N116" s="222"/>
      <c r="O116" s="222"/>
      <c r="P116" s="222"/>
      <c r="Q116" s="222"/>
      <c r="R116" s="222"/>
      <c r="S116" s="223"/>
      <c r="T116" s="222"/>
      <c r="U116" s="222"/>
      <c r="V116" s="224"/>
      <c r="W116" s="224"/>
      <c r="X116" s="224"/>
    </row>
    <row r="117" spans="1:24" s="220" customFormat="1" outlineLevel="3">
      <c r="A117" s="229" t="s">
        <v>1126</v>
      </c>
      <c r="B117" s="219"/>
      <c r="C117" s="219" t="s">
        <v>1127</v>
      </c>
      <c r="D117" s="222">
        <f>+'Total Comm PIS_NBV-P5 (Fin)'!B12</f>
        <v>202094.94</v>
      </c>
      <c r="E117" s="223"/>
      <c r="F117" s="222">
        <f>+'Total Comm PIS_NBV-P5 (Fin)'!D12</f>
        <v>0</v>
      </c>
      <c r="G117" s="223"/>
      <c r="H117" s="222">
        <f>+'Total Comm PIS_NBV-P5 (Fin)'!F12</f>
        <v>0</v>
      </c>
      <c r="I117" s="223"/>
      <c r="J117" s="222">
        <f>+'Total Comm PIS_NBV-P5 (Fin)'!H12</f>
        <v>0</v>
      </c>
      <c r="K117" s="223"/>
      <c r="L117" s="222">
        <f>+'Total Comm PIS_NBV-P5 (Fin)'!J12</f>
        <v>0</v>
      </c>
      <c r="M117" s="222"/>
      <c r="N117" s="222"/>
      <c r="O117" s="222"/>
      <c r="P117" s="222"/>
      <c r="Q117" s="222"/>
      <c r="R117" s="222"/>
      <c r="S117" s="223"/>
      <c r="T117" s="222">
        <f t="shared" ref="T117:T125" si="21">D117+L117</f>
        <v>202094.94</v>
      </c>
      <c r="U117" s="222"/>
      <c r="V117" s="224"/>
      <c r="W117" s="224"/>
      <c r="X117" s="224"/>
    </row>
    <row r="118" spans="1:24" s="220" customFormat="1" outlineLevel="3">
      <c r="A118" s="229" t="s">
        <v>1128</v>
      </c>
      <c r="B118" s="219"/>
      <c r="C118" s="219" t="s">
        <v>1129</v>
      </c>
      <c r="D118" s="222">
        <f>+'Total Gas PIS_NBV-P17 (Fin)'!B42</f>
        <v>95613.59</v>
      </c>
      <c r="E118" s="223"/>
      <c r="F118" s="222">
        <f>+'Total Gas PIS_NBV-P17 (Fin)'!D42</f>
        <v>0</v>
      </c>
      <c r="G118" s="223"/>
      <c r="H118" s="222">
        <f>+'Total Gas PIS_NBV-P17 (Fin)'!F42</f>
        <v>0</v>
      </c>
      <c r="I118" s="223"/>
      <c r="J118" s="222">
        <f>+'Total Gas PIS_NBV-P17 (Fin)'!H42</f>
        <v>0</v>
      </c>
      <c r="K118" s="223"/>
      <c r="L118" s="222">
        <f>+'Total Gas PIS_NBV-P17 (Fin)'!J42</f>
        <v>0</v>
      </c>
      <c r="M118" s="222"/>
      <c r="N118" s="222"/>
      <c r="O118" s="222"/>
      <c r="P118" s="222"/>
      <c r="Q118" s="222"/>
      <c r="R118" s="222"/>
      <c r="S118" s="223"/>
      <c r="T118" s="222">
        <f t="shared" si="21"/>
        <v>95613.59</v>
      </c>
      <c r="U118" s="222"/>
      <c r="V118" s="224"/>
      <c r="W118" s="224"/>
      <c r="X118" s="224"/>
    </row>
    <row r="119" spans="1:24" s="220" customFormat="1" outlineLevel="3">
      <c r="A119" s="229" t="s">
        <v>1130</v>
      </c>
      <c r="B119" s="219"/>
      <c r="C119" s="219" t="s">
        <v>1129</v>
      </c>
      <c r="D119" s="222">
        <f>+'Total Gas PIS_NBV-P17 (Fin)'!B12</f>
        <v>74018.23</v>
      </c>
      <c r="E119" s="223"/>
      <c r="F119" s="222">
        <f>+'Total Gas PIS_NBV-P17 (Fin)'!D12</f>
        <v>0</v>
      </c>
      <c r="G119" s="223"/>
      <c r="H119" s="222">
        <f>+'Total Gas PIS_NBV-P17 (Fin)'!F12</f>
        <v>0</v>
      </c>
      <c r="I119" s="223"/>
      <c r="J119" s="222">
        <f>+'Total Gas PIS_NBV-P17 (Fin)'!H12</f>
        <v>0</v>
      </c>
      <c r="K119" s="223"/>
      <c r="L119" s="222">
        <f>+'Total Gas PIS_NBV-P17 (Fin)'!J12</f>
        <v>0</v>
      </c>
      <c r="M119" s="222"/>
      <c r="N119" s="222"/>
      <c r="O119" s="222"/>
      <c r="P119" s="222"/>
      <c r="Q119" s="222"/>
      <c r="R119" s="222"/>
      <c r="S119" s="223"/>
      <c r="T119" s="222">
        <f t="shared" si="21"/>
        <v>74018.23</v>
      </c>
      <c r="U119" s="222"/>
      <c r="V119" s="224"/>
      <c r="W119" s="224"/>
      <c r="X119" s="224"/>
    </row>
    <row r="120" spans="1:24" s="220" customFormat="1" outlineLevel="3">
      <c r="A120" s="229" t="s">
        <v>1131</v>
      </c>
      <c r="B120" s="219"/>
      <c r="C120" s="219" t="s">
        <v>1129</v>
      </c>
      <c r="D120" s="222">
        <f>+'Total Gas PIS_NBV-P17 (Fin)'!B46</f>
        <v>548241.14</v>
      </c>
      <c r="E120" s="223"/>
      <c r="F120" s="222">
        <f>+'Total Gas PIS_NBV-P17 (Fin)'!D46</f>
        <v>0</v>
      </c>
      <c r="G120" s="223"/>
      <c r="H120" s="222">
        <f>+'Total Gas PIS_NBV-P17 (Fin)'!F46</f>
        <v>0</v>
      </c>
      <c r="I120" s="223"/>
      <c r="J120" s="222">
        <f>+'Total Gas PIS_NBV-P17 (Fin)'!H46</f>
        <v>0</v>
      </c>
      <c r="K120" s="223"/>
      <c r="L120" s="222">
        <f>+'Total Gas PIS_NBV-P17 (Fin)'!J46</f>
        <v>0</v>
      </c>
      <c r="M120" s="222"/>
      <c r="N120" s="222"/>
      <c r="O120" s="222"/>
      <c r="P120" s="222"/>
      <c r="Q120" s="222"/>
      <c r="R120" s="222"/>
      <c r="S120" s="223"/>
      <c r="T120" s="222">
        <f t="shared" si="21"/>
        <v>548241.14</v>
      </c>
      <c r="U120" s="222"/>
      <c r="V120" s="224"/>
      <c r="W120" s="224"/>
      <c r="X120" s="224"/>
    </row>
    <row r="121" spans="1:24" s="220" customFormat="1" outlineLevel="3">
      <c r="A121" s="229" t="s">
        <v>1132</v>
      </c>
      <c r="B121" s="219"/>
      <c r="C121" s="219" t="s">
        <v>1129</v>
      </c>
      <c r="D121" s="222">
        <f>+'Total Gas PIS_NBV-P17 (Fin)'!B62</f>
        <v>220659.05</v>
      </c>
      <c r="E121" s="223"/>
      <c r="F121" s="222">
        <f>+'Total Gas PIS_NBV-P17 (Fin)'!D62</f>
        <v>0</v>
      </c>
      <c r="G121" s="223"/>
      <c r="H121" s="222">
        <f>+'Total Gas PIS_NBV-P17 (Fin)'!F62</f>
        <v>0</v>
      </c>
      <c r="I121" s="223"/>
      <c r="J121" s="222">
        <f>+'Total Gas PIS_NBV-P17 (Fin)'!H62</f>
        <v>0</v>
      </c>
      <c r="K121" s="223"/>
      <c r="L121" s="222">
        <f>+'Total Gas PIS_NBV-P17 (Fin)'!J62</f>
        <v>0</v>
      </c>
      <c r="M121" s="222"/>
      <c r="N121" s="222"/>
      <c r="O121" s="222"/>
      <c r="P121" s="222"/>
      <c r="Q121" s="222"/>
      <c r="R121" s="222"/>
      <c r="S121" s="223"/>
      <c r="T121" s="222">
        <f t="shared" si="21"/>
        <v>220659.05</v>
      </c>
      <c r="U121" s="222"/>
      <c r="V121" s="224"/>
      <c r="W121" s="224"/>
      <c r="X121" s="224"/>
    </row>
    <row r="122" spans="1:24" s="220" customFormat="1" outlineLevel="3">
      <c r="A122" s="229" t="s">
        <v>1133</v>
      </c>
      <c r="B122" s="219"/>
      <c r="C122" s="219" t="s">
        <v>1134</v>
      </c>
      <c r="D122" s="222">
        <f>+'Total Elec PIS_NBV-P11 (Fin)'!B81</f>
        <v>7781410.5899999999</v>
      </c>
      <c r="E122" s="223"/>
      <c r="F122" s="222">
        <f>+'Total Elec PIS_NBV-P11 (Fin)'!D81</f>
        <v>10100</v>
      </c>
      <c r="G122" s="223"/>
      <c r="H122" s="222">
        <f>+'Total Elec PIS_NBV-P11 (Fin)'!F81</f>
        <v>0</v>
      </c>
      <c r="I122" s="223"/>
      <c r="J122" s="222">
        <f>+'Total Elec PIS_NBV-P11 (Fin)'!H81</f>
        <v>0</v>
      </c>
      <c r="K122" s="223"/>
      <c r="L122" s="222">
        <f>+'Total Elec PIS_NBV-P11 (Fin)'!J81</f>
        <v>10100</v>
      </c>
      <c r="M122" s="222"/>
      <c r="N122" s="222"/>
      <c r="O122" s="222"/>
      <c r="P122" s="222"/>
      <c r="Q122" s="222"/>
      <c r="R122" s="222"/>
      <c r="S122" s="223"/>
      <c r="T122" s="222">
        <f t="shared" si="21"/>
        <v>7791510.5899999999</v>
      </c>
      <c r="U122" s="222"/>
      <c r="V122" s="224"/>
      <c r="W122" s="224"/>
      <c r="X122" s="224"/>
    </row>
    <row r="123" spans="1:24" s="220" customFormat="1" outlineLevel="3">
      <c r="A123" s="229" t="s">
        <v>1135</v>
      </c>
      <c r="B123" s="219"/>
      <c r="C123" s="219" t="s">
        <v>1136</v>
      </c>
      <c r="D123" s="222">
        <f>+'Total Comm PIS_NBV-P5 (Fin)'!B36</f>
        <v>0</v>
      </c>
      <c r="E123" s="223"/>
      <c r="F123" s="222">
        <f>+'Total Comm PIS_NBV-P5 (Fin)'!D36</f>
        <v>0</v>
      </c>
      <c r="G123" s="223"/>
      <c r="H123" s="222">
        <f>+'Total Comm PIS_NBV-P5 (Fin)'!F36</f>
        <v>0</v>
      </c>
      <c r="I123" s="223"/>
      <c r="J123" s="222">
        <f>+'Total Comm PIS_NBV-P5 (Fin)'!H36</f>
        <v>0</v>
      </c>
      <c r="K123" s="223"/>
      <c r="L123" s="222">
        <f>+'Total Comm PIS_NBV-P5 (Fin)'!J36</f>
        <v>0</v>
      </c>
      <c r="M123" s="222"/>
      <c r="N123" s="222"/>
      <c r="O123" s="222"/>
      <c r="P123" s="222"/>
      <c r="Q123" s="222"/>
      <c r="R123" s="222"/>
      <c r="S123" s="223"/>
      <c r="T123" s="222">
        <f t="shared" si="21"/>
        <v>0</v>
      </c>
      <c r="U123" s="222"/>
      <c r="V123" s="224"/>
      <c r="W123" s="224"/>
      <c r="X123" s="224"/>
    </row>
    <row r="124" spans="1:24" s="220" customFormat="1" outlineLevel="3">
      <c r="A124" s="229" t="s">
        <v>1135</v>
      </c>
      <c r="B124" s="219"/>
      <c r="C124" s="219" t="s">
        <v>1137</v>
      </c>
      <c r="D124" s="222">
        <f>+'Total Elec PIS_NBV-P11 (Fin)'!B51</f>
        <v>0</v>
      </c>
      <c r="E124" s="223"/>
      <c r="F124" s="222">
        <f>+'Total Elec PIS_NBV-P11 (Fin)'!D51</f>
        <v>0</v>
      </c>
      <c r="G124" s="223"/>
      <c r="H124" s="222">
        <f>+'Total Elec PIS_NBV-P11 (Fin)'!F51</f>
        <v>0</v>
      </c>
      <c r="I124" s="223"/>
      <c r="J124" s="222">
        <f>+'Total Elec PIS_NBV-P11 (Fin)'!H51</f>
        <v>0</v>
      </c>
      <c r="K124" s="223"/>
      <c r="L124" s="222">
        <f>+'Total Elec PIS_NBV-P11 (Fin)'!J51</f>
        <v>0</v>
      </c>
      <c r="M124" s="222"/>
      <c r="N124" s="222"/>
      <c r="O124" s="222"/>
      <c r="P124" s="222"/>
      <c r="Q124" s="222"/>
      <c r="R124" s="222"/>
      <c r="S124" s="223"/>
      <c r="T124" s="222">
        <f t="shared" si="21"/>
        <v>0</v>
      </c>
      <c r="U124" s="222"/>
      <c r="V124" s="224"/>
      <c r="W124" s="224"/>
      <c r="X124" s="224"/>
    </row>
    <row r="125" spans="1:24" s="220" customFormat="1" outlineLevel="3">
      <c r="A125" s="229" t="s">
        <v>1135</v>
      </c>
      <c r="B125" s="219"/>
      <c r="C125" s="219" t="s">
        <v>1138</v>
      </c>
      <c r="D125" s="222">
        <f>+'Total Gas PIS_NBV-P17 (Fin)'!B37</f>
        <v>387.49</v>
      </c>
      <c r="E125" s="223"/>
      <c r="F125" s="222">
        <f>+'Total Gas PIS_NBV-P17 (Fin)'!D37</f>
        <v>0</v>
      </c>
      <c r="G125" s="223"/>
      <c r="H125" s="222">
        <f>+'Total Gas PIS_NBV-P17 (Fin)'!F37</f>
        <v>0</v>
      </c>
      <c r="I125" s="223"/>
      <c r="J125" s="222">
        <f>+'Total Gas PIS_NBV-P17 (Fin)'!H37</f>
        <v>0</v>
      </c>
      <c r="K125" s="223"/>
      <c r="L125" s="222">
        <f>+'Total Gas PIS_NBV-P17 (Fin)'!J37</f>
        <v>0</v>
      </c>
      <c r="M125" s="222"/>
      <c r="N125" s="222"/>
      <c r="O125" s="222"/>
      <c r="P125" s="222"/>
      <c r="Q125" s="222"/>
      <c r="R125" s="222"/>
      <c r="S125" s="223"/>
      <c r="T125" s="222">
        <f t="shared" si="21"/>
        <v>387.49</v>
      </c>
      <c r="U125" s="222"/>
      <c r="V125" s="224"/>
      <c r="W125" s="224"/>
      <c r="X125" s="224"/>
    </row>
    <row r="126" spans="1:24" s="220" customFormat="1" outlineLevel="3">
      <c r="A126" s="229"/>
      <c r="B126" s="219"/>
      <c r="C126" s="219"/>
      <c r="D126" s="228">
        <f>SUM(D117:D125)</f>
        <v>8922425.0299999993</v>
      </c>
      <c r="E126" s="223"/>
      <c r="F126" s="228">
        <f>SUM(F117:F125)</f>
        <v>10100</v>
      </c>
      <c r="G126" s="223"/>
      <c r="H126" s="228">
        <f>SUM(H117:H125)</f>
        <v>0</v>
      </c>
      <c r="I126" s="223"/>
      <c r="J126" s="228">
        <f>SUM(J117:J125)</f>
        <v>0</v>
      </c>
      <c r="K126" s="223"/>
      <c r="L126" s="228">
        <f>SUM(L117:L125)</f>
        <v>10100</v>
      </c>
      <c r="M126" s="222"/>
      <c r="N126" s="222"/>
      <c r="O126" s="222"/>
      <c r="P126" s="222"/>
      <c r="Q126" s="222"/>
      <c r="R126" s="222"/>
      <c r="S126" s="223"/>
      <c r="T126" s="228">
        <f>SUM(T117:T125)</f>
        <v>8932525.0299999993</v>
      </c>
      <c r="U126" s="222"/>
      <c r="V126" s="224"/>
      <c r="W126" s="224"/>
      <c r="X126" s="224"/>
    </row>
    <row r="127" spans="1:24" outlineLevel="3">
      <c r="D127" s="181"/>
      <c r="E127" s="181"/>
      <c r="F127" s="181"/>
      <c r="G127" s="181"/>
      <c r="H127" s="181"/>
      <c r="I127" s="181"/>
      <c r="J127" s="181"/>
      <c r="K127" s="181"/>
      <c r="L127" s="181"/>
      <c r="M127" s="181"/>
      <c r="N127" s="181"/>
      <c r="O127" s="181"/>
      <c r="P127" s="181"/>
      <c r="Q127" s="181"/>
      <c r="R127" s="181"/>
      <c r="S127" s="181"/>
      <c r="T127" s="181"/>
      <c r="U127" s="181"/>
      <c r="V127" s="196"/>
      <c r="W127" s="196"/>
      <c r="X127" s="196"/>
    </row>
    <row r="128" spans="1:24" outlineLevel="3">
      <c r="D128" s="181"/>
      <c r="E128" s="181"/>
      <c r="F128" s="181"/>
      <c r="G128" s="181"/>
      <c r="H128" s="181"/>
      <c r="I128" s="181"/>
      <c r="J128" s="181"/>
      <c r="K128" s="181"/>
      <c r="L128" s="181"/>
      <c r="M128" s="181"/>
      <c r="N128" s="181"/>
      <c r="O128" s="181"/>
      <c r="P128" s="181"/>
      <c r="Q128" s="181"/>
      <c r="R128" s="181"/>
      <c r="S128" s="181"/>
      <c r="T128" s="181"/>
      <c r="U128" s="181"/>
      <c r="V128" s="196"/>
      <c r="W128" s="196"/>
      <c r="X128" s="196"/>
    </row>
    <row r="129" spans="1:39" outlineLevel="1">
      <c r="B129" s="231" t="s">
        <v>1119</v>
      </c>
      <c r="D129" s="181">
        <f>+D52+D60+D68+D77+D104+D112-D126</f>
        <v>4673097129.1499996</v>
      </c>
      <c r="E129" s="181"/>
      <c r="F129" s="181">
        <f>+F52+F60+F68+F77+F104+F112-F126</f>
        <v>74293198.920000002</v>
      </c>
      <c r="G129" s="181"/>
      <c r="H129" s="181">
        <f>+H52+H60+H68+H77+H104+H112-H126</f>
        <v>-6746260.6700000009</v>
      </c>
      <c r="I129" s="181"/>
      <c r="J129" s="181">
        <f>+J52+J60+J68+J77+J104+J112-J126</f>
        <v>21903.139999999981</v>
      </c>
      <c r="K129" s="181"/>
      <c r="L129" s="181">
        <f>+L52+L60+L68+L77+L104+L112-L126</f>
        <v>67568841.390000001</v>
      </c>
      <c r="M129" s="181"/>
      <c r="N129" s="181">
        <f>+N52+N60+N68+N77+N104+N112-N126</f>
        <v>0</v>
      </c>
      <c r="O129" s="181"/>
      <c r="P129" s="181">
        <f>+P52+P60+P68+P77+P104+P112-P126</f>
        <v>0</v>
      </c>
      <c r="Q129" s="181"/>
      <c r="R129" s="181">
        <f>+R52+R60+R68+R77+R104+R112-R126</f>
        <v>0</v>
      </c>
      <c r="S129" s="181"/>
      <c r="T129" s="181">
        <f>+T52+T60+T68+T77+T104+T112-T126</f>
        <v>4740644043.6599998</v>
      </c>
      <c r="U129" s="181"/>
      <c r="V129" s="196"/>
      <c r="W129" s="196"/>
      <c r="X129" s="196"/>
      <c r="Y129" s="211">
        <f>+F129</f>
        <v>74293198.920000002</v>
      </c>
      <c r="Z129" s="211">
        <f>+H129</f>
        <v>-6746260.6700000009</v>
      </c>
      <c r="AA129" s="211">
        <f>+'Transfer Detail PG 3 (Fin)'!C36</f>
        <v>-23.74</v>
      </c>
      <c r="AB129" s="211"/>
      <c r="AC129" s="211"/>
      <c r="AD129" s="211"/>
      <c r="AE129" s="211"/>
      <c r="AF129" s="211" t="e">
        <f>+'Transfer Detail PG 3 (Fin)'!#REF!+'Transfer Detail PG 3 (Fin)'!#REF!+'Transfer Detail PG 3 (Fin)'!#REF!</f>
        <v>#REF!</v>
      </c>
      <c r="AG129" s="211" t="e">
        <f>+J129-AA129-AF129</f>
        <v>#REF!</v>
      </c>
      <c r="AH129" s="211"/>
      <c r="AI129" s="211"/>
      <c r="AL129" s="211" t="e">
        <f>SUM(V129:AJ129)</f>
        <v>#REF!</v>
      </c>
      <c r="AM129" s="211" t="e">
        <f>+L129-AL129</f>
        <v>#REF!</v>
      </c>
    </row>
    <row r="130" spans="1:39" outlineLevel="1">
      <c r="C130" s="184" t="s">
        <v>47</v>
      </c>
      <c r="D130" s="181">
        <f>+D129-D10</f>
        <v>482518244.35000038</v>
      </c>
      <c r="E130" s="181"/>
      <c r="F130" s="181"/>
      <c r="G130" s="181"/>
      <c r="H130" s="181"/>
      <c r="I130" s="181"/>
      <c r="J130" s="181"/>
      <c r="K130" s="181"/>
      <c r="L130" s="181"/>
      <c r="M130" s="181"/>
      <c r="N130" s="181"/>
      <c r="O130" s="181"/>
      <c r="P130" s="181"/>
      <c r="Q130" s="181"/>
      <c r="R130" s="181"/>
      <c r="S130" s="181"/>
      <c r="T130" s="181">
        <f>+T129-T10</f>
        <v>386055833.61999989</v>
      </c>
      <c r="U130" s="181"/>
      <c r="V130" s="196"/>
      <c r="W130" s="196"/>
      <c r="X130" s="196"/>
    </row>
    <row r="131" spans="1:39" outlineLevel="1">
      <c r="D131" s="181"/>
      <c r="E131" s="181"/>
      <c r="F131" s="181"/>
      <c r="G131" s="181"/>
      <c r="H131" s="181"/>
      <c r="I131" s="181"/>
      <c r="J131" s="181"/>
      <c r="K131" s="181"/>
      <c r="L131" s="181"/>
      <c r="M131" s="181"/>
      <c r="N131" s="181"/>
      <c r="O131" s="181"/>
      <c r="P131" s="181"/>
      <c r="Q131" s="181"/>
      <c r="R131" s="181"/>
      <c r="S131" s="181"/>
      <c r="T131" s="181">
        <f>+T129-D129-F129-H129-J129</f>
        <v>-21926.879999772031</v>
      </c>
      <c r="U131" s="181"/>
      <c r="V131" s="196"/>
      <c r="W131" s="196"/>
      <c r="X131" s="196"/>
    </row>
    <row r="132" spans="1:39" s="220" customFormat="1" outlineLevel="3">
      <c r="A132" s="218">
        <v>121</v>
      </c>
      <c r="B132" s="219" t="s">
        <v>451</v>
      </c>
      <c r="D132" s="223"/>
      <c r="E132" s="223"/>
      <c r="F132" s="223"/>
      <c r="G132" s="223"/>
      <c r="H132" s="223"/>
      <c r="I132" s="223"/>
      <c r="J132" s="223"/>
      <c r="K132" s="223"/>
      <c r="L132" s="223"/>
      <c r="M132" s="223"/>
      <c r="N132" s="223"/>
      <c r="O132" s="223"/>
      <c r="P132" s="223"/>
      <c r="Q132" s="223"/>
      <c r="R132" s="223"/>
      <c r="S132" s="223"/>
      <c r="T132" s="223"/>
      <c r="U132" s="223"/>
      <c r="V132" s="224"/>
      <c r="W132" s="224"/>
      <c r="X132" s="224"/>
    </row>
    <row r="133" spans="1:39" s="220" customFormat="1" outlineLevel="3">
      <c r="A133" s="218"/>
      <c r="B133" s="219" t="s">
        <v>652</v>
      </c>
      <c r="D133" s="223"/>
      <c r="E133" s="223"/>
      <c r="F133" s="223"/>
      <c r="G133" s="223"/>
      <c r="H133" s="223"/>
      <c r="I133" s="223"/>
      <c r="J133" s="223"/>
      <c r="K133" s="223"/>
      <c r="L133" s="223"/>
      <c r="M133" s="223"/>
      <c r="N133" s="223"/>
      <c r="O133" s="223"/>
      <c r="P133" s="223"/>
      <c r="Q133" s="223"/>
      <c r="R133" s="223"/>
      <c r="S133" s="223"/>
      <c r="T133" s="223"/>
      <c r="U133" s="223"/>
      <c r="V133" s="224"/>
      <c r="W133" s="224"/>
      <c r="X133" s="224"/>
    </row>
    <row r="134" spans="1:39" s="220" customFormat="1" outlineLevel="3">
      <c r="A134" s="218"/>
      <c r="B134" s="219"/>
      <c r="C134" s="220" t="s">
        <v>131</v>
      </c>
      <c r="D134" s="225">
        <f>+'Summary - Cost - PG 1 (Fin)'!D97</f>
        <v>75239.56</v>
      </c>
      <c r="E134" s="223"/>
      <c r="F134" s="225">
        <f>+'Summary - Cost - PG 1 (Fin)'!F97</f>
        <v>0</v>
      </c>
      <c r="G134" s="223"/>
      <c r="H134" s="225">
        <f>+'Summary - Cost - PG 1 (Fin)'!H97</f>
        <v>0</v>
      </c>
      <c r="I134" s="223"/>
      <c r="J134" s="225">
        <f>+'Summary - Cost - PG 1 (Fin)'!J97</f>
        <v>0</v>
      </c>
      <c r="K134" s="223"/>
      <c r="L134" s="225">
        <f>F134+H134+J134</f>
        <v>0</v>
      </c>
      <c r="M134" s="222"/>
      <c r="N134" s="222"/>
      <c r="O134" s="222"/>
      <c r="P134" s="222"/>
      <c r="Q134" s="222"/>
      <c r="R134" s="222"/>
      <c r="S134" s="223"/>
      <c r="T134" s="225">
        <f>D134+L134</f>
        <v>75239.56</v>
      </c>
      <c r="U134" s="222"/>
      <c r="V134" s="224"/>
      <c r="W134" s="224"/>
      <c r="X134" s="224"/>
    </row>
    <row r="135" spans="1:39" s="220" customFormat="1" outlineLevel="3">
      <c r="A135" s="218"/>
      <c r="B135" s="219"/>
      <c r="C135" s="227"/>
      <c r="D135" s="222">
        <f>SUM(D134)</f>
        <v>75239.56</v>
      </c>
      <c r="E135" s="222"/>
      <c r="F135" s="222">
        <f>SUM(F134)</f>
        <v>0</v>
      </c>
      <c r="G135" s="222"/>
      <c r="H135" s="222">
        <f>SUM(H134)</f>
        <v>0</v>
      </c>
      <c r="I135" s="222"/>
      <c r="J135" s="222">
        <f>SUM(J134)</f>
        <v>0</v>
      </c>
      <c r="K135" s="222"/>
      <c r="L135" s="222">
        <f>SUM(L134)</f>
        <v>0</v>
      </c>
      <c r="M135" s="222"/>
      <c r="N135" s="222"/>
      <c r="O135" s="222"/>
      <c r="P135" s="222"/>
      <c r="Q135" s="222"/>
      <c r="R135" s="222"/>
      <c r="S135" s="222"/>
      <c r="T135" s="222">
        <f>SUM(T134)</f>
        <v>75239.56</v>
      </c>
      <c r="U135" s="222"/>
      <c r="V135" s="224"/>
      <c r="W135" s="224"/>
      <c r="X135" s="224"/>
    </row>
    <row r="136" spans="1:39" s="220" customFormat="1" outlineLevel="3">
      <c r="A136" s="218"/>
      <c r="B136" s="219"/>
      <c r="D136" s="223"/>
      <c r="E136" s="223"/>
      <c r="F136" s="223"/>
      <c r="G136" s="223"/>
      <c r="H136" s="223"/>
      <c r="I136" s="223"/>
      <c r="J136" s="223"/>
      <c r="K136" s="223"/>
      <c r="L136" s="223"/>
      <c r="M136" s="223"/>
      <c r="N136" s="223"/>
      <c r="O136" s="223"/>
      <c r="P136" s="223"/>
      <c r="Q136" s="223"/>
      <c r="R136" s="223"/>
      <c r="S136" s="223"/>
      <c r="T136" s="223"/>
      <c r="U136" s="223"/>
      <c r="V136" s="224"/>
      <c r="W136" s="224"/>
      <c r="X136" s="224"/>
    </row>
    <row r="137" spans="1:39" s="220" customFormat="1" outlineLevel="3">
      <c r="A137" s="218"/>
      <c r="B137" s="219"/>
      <c r="C137" s="219" t="s">
        <v>132</v>
      </c>
      <c r="D137" s="228">
        <f>D135</f>
        <v>75239.56</v>
      </c>
      <c r="E137" s="223"/>
      <c r="F137" s="228">
        <f>F135</f>
        <v>0</v>
      </c>
      <c r="G137" s="223"/>
      <c r="H137" s="228">
        <f>H135</f>
        <v>0</v>
      </c>
      <c r="I137" s="223"/>
      <c r="J137" s="228">
        <f>J135</f>
        <v>0</v>
      </c>
      <c r="K137" s="223"/>
      <c r="L137" s="228">
        <f>L135</f>
        <v>0</v>
      </c>
      <c r="M137" s="222"/>
      <c r="N137" s="222"/>
      <c r="O137" s="222"/>
      <c r="P137" s="222"/>
      <c r="Q137" s="222"/>
      <c r="R137" s="222"/>
      <c r="S137" s="223"/>
      <c r="T137" s="228">
        <f>T135</f>
        <v>75239.56</v>
      </c>
      <c r="U137" s="222"/>
      <c r="V137" s="224"/>
      <c r="W137" s="224"/>
      <c r="X137" s="224"/>
    </row>
    <row r="138" spans="1:39" outlineLevel="3">
      <c r="D138" s="181"/>
      <c r="E138" s="181"/>
      <c r="F138" s="181"/>
      <c r="G138" s="181"/>
      <c r="H138" s="181"/>
      <c r="I138" s="181"/>
      <c r="J138" s="181"/>
      <c r="K138" s="181"/>
      <c r="L138" s="181"/>
      <c r="M138" s="181"/>
      <c r="N138" s="181"/>
      <c r="O138" s="181"/>
      <c r="P138" s="181"/>
      <c r="Q138" s="181"/>
      <c r="R138" s="181"/>
      <c r="S138" s="181"/>
      <c r="T138" s="181"/>
      <c r="U138" s="181"/>
      <c r="V138" s="196"/>
      <c r="W138" s="196"/>
      <c r="X138" s="196"/>
    </row>
    <row r="139" spans="1:39" outlineLevel="1">
      <c r="B139" s="231" t="s">
        <v>1120</v>
      </c>
      <c r="D139" s="181">
        <f>+D137</f>
        <v>75239.56</v>
      </c>
      <c r="E139" s="181"/>
      <c r="F139" s="181">
        <f>+F137</f>
        <v>0</v>
      </c>
      <c r="G139" s="181"/>
      <c r="H139" s="181">
        <f>+H137</f>
        <v>0</v>
      </c>
      <c r="I139" s="181"/>
      <c r="J139" s="181">
        <f>+J137</f>
        <v>0</v>
      </c>
      <c r="K139" s="181"/>
      <c r="L139" s="181">
        <f>+L137</f>
        <v>0</v>
      </c>
      <c r="M139" s="181"/>
      <c r="N139" s="181"/>
      <c r="O139" s="181"/>
      <c r="P139" s="181"/>
      <c r="Q139" s="181"/>
      <c r="R139" s="181"/>
      <c r="S139" s="181"/>
      <c r="T139" s="181">
        <f>+T137</f>
        <v>75239.56</v>
      </c>
      <c r="U139" s="181"/>
      <c r="V139" s="196"/>
      <c r="W139" s="196"/>
      <c r="X139" s="196"/>
      <c r="AL139" s="211">
        <f>SUM(V139:AJ139)</f>
        <v>0</v>
      </c>
      <c r="AM139" s="211">
        <f>+L139-AL139</f>
        <v>0</v>
      </c>
    </row>
    <row r="140" spans="1:39" outlineLevel="1">
      <c r="D140" s="181"/>
      <c r="E140" s="181"/>
      <c r="F140" s="181"/>
      <c r="G140" s="181"/>
      <c r="H140" s="181"/>
      <c r="I140" s="181"/>
      <c r="J140" s="181"/>
      <c r="K140" s="181"/>
      <c r="L140" s="181"/>
      <c r="M140" s="181"/>
      <c r="N140" s="181"/>
      <c r="O140" s="181"/>
      <c r="P140" s="181"/>
      <c r="Q140" s="181"/>
      <c r="R140" s="181"/>
      <c r="S140" s="181"/>
      <c r="T140" s="181"/>
      <c r="U140" s="181"/>
      <c r="V140" s="196"/>
      <c r="W140" s="196"/>
      <c r="X140" s="196"/>
    </row>
    <row r="141" spans="1:39" s="220" customFormat="1" outlineLevel="2">
      <c r="A141" s="218">
        <v>107</v>
      </c>
      <c r="B141" s="219" t="s">
        <v>452</v>
      </c>
      <c r="D141" s="223"/>
      <c r="E141" s="223"/>
      <c r="F141" s="223"/>
      <c r="G141" s="223"/>
      <c r="H141" s="223"/>
      <c r="I141" s="223"/>
      <c r="J141" s="223"/>
      <c r="K141" s="223"/>
      <c r="L141" s="223"/>
      <c r="M141" s="223"/>
      <c r="N141" s="223"/>
      <c r="O141" s="223"/>
      <c r="P141" s="223"/>
      <c r="Q141" s="223"/>
      <c r="R141" s="223"/>
      <c r="S141" s="223"/>
      <c r="T141" s="223"/>
      <c r="U141" s="223"/>
      <c r="V141" s="224"/>
      <c r="W141" s="224"/>
      <c r="X141" s="224"/>
    </row>
    <row r="142" spans="1:39" s="220" customFormat="1" outlineLevel="2">
      <c r="A142" s="218"/>
      <c r="B142" s="219" t="s">
        <v>133</v>
      </c>
      <c r="D142" s="223"/>
      <c r="E142" s="223"/>
      <c r="F142" s="223"/>
      <c r="G142" s="223"/>
      <c r="H142" s="223"/>
      <c r="I142" s="223"/>
      <c r="J142" s="223"/>
      <c r="K142" s="223"/>
      <c r="L142" s="223"/>
      <c r="M142" s="223"/>
      <c r="N142" s="223"/>
      <c r="O142" s="223"/>
      <c r="P142" s="223"/>
      <c r="Q142" s="223"/>
      <c r="R142" s="223"/>
      <c r="S142" s="223"/>
      <c r="T142" s="223"/>
      <c r="U142" s="223"/>
      <c r="V142" s="224"/>
      <c r="W142" s="224"/>
      <c r="X142" s="224"/>
    </row>
    <row r="143" spans="1:39" s="220" customFormat="1" outlineLevel="2">
      <c r="A143" s="218"/>
      <c r="B143" s="219"/>
      <c r="D143" s="223"/>
      <c r="E143" s="223"/>
      <c r="F143" s="223"/>
      <c r="G143" s="223"/>
      <c r="H143" s="223"/>
      <c r="I143" s="223"/>
      <c r="J143" s="223"/>
      <c r="K143" s="223"/>
      <c r="L143" s="223"/>
      <c r="M143" s="223"/>
      <c r="N143" s="223"/>
      <c r="O143" s="223"/>
      <c r="P143" s="223"/>
      <c r="Q143" s="223"/>
      <c r="R143" s="223"/>
      <c r="S143" s="223"/>
      <c r="T143" s="223"/>
      <c r="U143" s="223"/>
      <c r="V143" s="224"/>
      <c r="W143" s="224"/>
      <c r="X143" s="224"/>
    </row>
    <row r="144" spans="1:39" s="220" customFormat="1" outlineLevel="2">
      <c r="A144" s="218"/>
      <c r="B144" s="219"/>
      <c r="C144" s="220" t="s">
        <v>652</v>
      </c>
      <c r="D144" s="223">
        <f>+'Summary - Cost - PG 1 (Fin)'!D106</f>
        <v>15083939.33</v>
      </c>
      <c r="E144" s="223"/>
      <c r="F144" s="223">
        <f>+'Summary - Cost - PG 1 (Fin)'!F106</f>
        <v>-4281425.5500000007</v>
      </c>
      <c r="G144" s="223"/>
      <c r="H144" s="223">
        <f>+'Summary - Cost - PG 1 (Fin)'!H106</f>
        <v>0</v>
      </c>
      <c r="I144" s="223"/>
      <c r="J144" s="223">
        <f>+'Summary - Cost - PG 1 (Fin)'!J106</f>
        <v>0</v>
      </c>
      <c r="K144" s="223"/>
      <c r="L144" s="223">
        <f>F144+H144+J144</f>
        <v>-4281425.5500000007</v>
      </c>
      <c r="M144" s="223"/>
      <c r="N144" s="223"/>
      <c r="O144" s="223"/>
      <c r="P144" s="223"/>
      <c r="Q144" s="223"/>
      <c r="R144" s="223"/>
      <c r="S144" s="223"/>
      <c r="T144" s="223">
        <f>D144+L144</f>
        <v>10802513.779999999</v>
      </c>
      <c r="U144" s="223"/>
      <c r="V144" s="224"/>
      <c r="W144" s="224"/>
      <c r="X144" s="224"/>
      <c r="Y144" s="232"/>
    </row>
    <row r="145" spans="1:39" s="220" customFormat="1" outlineLevel="2">
      <c r="A145" s="218"/>
      <c r="B145" s="219"/>
      <c r="C145" s="220" t="s">
        <v>112</v>
      </c>
      <c r="D145" s="223">
        <f>+'Summary - Cost - PG 1 (Fin)'!D107</f>
        <v>152710828.06999999</v>
      </c>
      <c r="E145" s="223"/>
      <c r="F145" s="223">
        <f>+'Summary - Cost - PG 1 (Fin)'!F107</f>
        <v>-15568539.199999988</v>
      </c>
      <c r="G145" s="223"/>
      <c r="H145" s="223">
        <f>+'Summary - Cost - PG 1 (Fin)'!H107</f>
        <v>0</v>
      </c>
      <c r="I145" s="223"/>
      <c r="J145" s="223">
        <f>+'Summary - Cost - PG 1 (Fin)'!J107</f>
        <v>0</v>
      </c>
      <c r="K145" s="223"/>
      <c r="L145" s="223">
        <f>F145+H145+J145</f>
        <v>-15568539.199999988</v>
      </c>
      <c r="M145" s="223"/>
      <c r="N145" s="223"/>
      <c r="O145" s="223"/>
      <c r="P145" s="223"/>
      <c r="Q145" s="223"/>
      <c r="R145" s="223"/>
      <c r="S145" s="223"/>
      <c r="T145" s="223">
        <f>D145+L145</f>
        <v>137142288.87</v>
      </c>
      <c r="U145" s="223"/>
      <c r="V145" s="224"/>
      <c r="W145" s="224"/>
      <c r="X145" s="224"/>
      <c r="Y145" s="232"/>
    </row>
    <row r="146" spans="1:39" s="220" customFormat="1" outlineLevel="2">
      <c r="A146" s="218"/>
      <c r="B146" s="219"/>
      <c r="C146" s="220" t="s">
        <v>120</v>
      </c>
      <c r="D146" s="225">
        <f>+'Summary - Cost - PG 1 (Fin)'!D108</f>
        <v>47481609.939999998</v>
      </c>
      <c r="E146" s="223"/>
      <c r="F146" s="225">
        <f>+'Summary - Cost - PG 1 (Fin)'!F108</f>
        <v>-11297193.25</v>
      </c>
      <c r="G146" s="223"/>
      <c r="H146" s="225">
        <f>+'Summary - Cost - PG 1 (Fin)'!H108</f>
        <v>0</v>
      </c>
      <c r="I146" s="223"/>
      <c r="J146" s="225">
        <f>+'Summary - Cost - PG 1 (Fin)'!J108</f>
        <v>0</v>
      </c>
      <c r="K146" s="223"/>
      <c r="L146" s="225">
        <f>F146+H146+J146</f>
        <v>-11297193.25</v>
      </c>
      <c r="M146" s="222"/>
      <c r="N146" s="222"/>
      <c r="O146" s="222"/>
      <c r="P146" s="222"/>
      <c r="Q146" s="222"/>
      <c r="R146" s="222"/>
      <c r="S146" s="223"/>
      <c r="T146" s="225">
        <f>D146+L146</f>
        <v>36184416.689999998</v>
      </c>
      <c r="U146" s="222"/>
      <c r="V146" s="224"/>
      <c r="W146" s="224"/>
      <c r="X146" s="224"/>
      <c r="Y146" s="232"/>
    </row>
    <row r="147" spans="1:39" s="220" customFormat="1" outlineLevel="2">
      <c r="A147" s="218"/>
      <c r="B147" s="219"/>
      <c r="C147" s="227"/>
      <c r="D147" s="222">
        <f>SUM(D144:D146)</f>
        <v>215276377.34</v>
      </c>
      <c r="E147" s="222"/>
      <c r="F147" s="222">
        <f>SUM(F144:F146)</f>
        <v>-31147157.999999989</v>
      </c>
      <c r="G147" s="222"/>
      <c r="H147" s="222">
        <f>SUM(H144:H146)</f>
        <v>0</v>
      </c>
      <c r="I147" s="222"/>
      <c r="J147" s="222">
        <f>SUM(J144:J146)</f>
        <v>0</v>
      </c>
      <c r="K147" s="222"/>
      <c r="L147" s="222">
        <f>SUM(L144:L146)</f>
        <v>-31147157.999999989</v>
      </c>
      <c r="M147" s="222"/>
      <c r="N147" s="222"/>
      <c r="O147" s="222"/>
      <c r="P147" s="222"/>
      <c r="Q147" s="222"/>
      <c r="R147" s="222"/>
      <c r="S147" s="222"/>
      <c r="T147" s="222">
        <f>SUM(T144:T146)</f>
        <v>184129219.34</v>
      </c>
      <c r="U147" s="222"/>
      <c r="V147" s="224"/>
      <c r="W147" s="224"/>
      <c r="X147" s="224"/>
    </row>
    <row r="148" spans="1:39" outlineLevel="2">
      <c r="C148" s="11"/>
      <c r="D148" s="188"/>
      <c r="E148" s="181"/>
      <c r="F148" s="188"/>
      <c r="G148" s="181"/>
      <c r="H148" s="188"/>
      <c r="I148" s="181"/>
      <c r="J148" s="188"/>
      <c r="K148" s="181"/>
      <c r="L148" s="188"/>
      <c r="M148" s="188"/>
      <c r="N148" s="188"/>
      <c r="O148" s="188"/>
      <c r="P148" s="188"/>
      <c r="Q148" s="188"/>
      <c r="R148" s="188"/>
      <c r="S148" s="181"/>
      <c r="T148" s="188"/>
      <c r="U148" s="188"/>
      <c r="V148" s="196"/>
      <c r="W148" s="196"/>
      <c r="X148" s="196"/>
    </row>
    <row r="149" spans="1:39" outlineLevel="2">
      <c r="B149" s="184"/>
      <c r="C149" s="11"/>
      <c r="D149" s="188"/>
      <c r="E149" s="181"/>
      <c r="F149" s="188"/>
      <c r="G149" s="181"/>
      <c r="H149" s="188"/>
      <c r="I149" s="181"/>
      <c r="J149" s="188"/>
      <c r="K149" s="181"/>
      <c r="L149" s="188"/>
      <c r="M149" s="188"/>
      <c r="N149" s="188"/>
      <c r="O149" s="188"/>
      <c r="P149" s="188"/>
      <c r="Q149" s="188"/>
      <c r="R149" s="188"/>
      <c r="S149" s="181"/>
      <c r="T149" s="188"/>
      <c r="U149" s="188"/>
      <c r="V149" s="196"/>
      <c r="W149" s="196"/>
      <c r="X149" s="196"/>
    </row>
    <row r="150" spans="1:39" outlineLevel="1">
      <c r="B150" s="231" t="s">
        <v>1122</v>
      </c>
      <c r="D150" s="181"/>
      <c r="E150" s="181"/>
      <c r="F150" s="181">
        <f>+F147</f>
        <v>-31147157.999999989</v>
      </c>
      <c r="G150" s="181"/>
      <c r="H150" s="181">
        <f>+H147</f>
        <v>0</v>
      </c>
      <c r="I150" s="181"/>
      <c r="J150" s="181">
        <f>+J147</f>
        <v>0</v>
      </c>
      <c r="K150" s="181"/>
      <c r="L150" s="181">
        <f>+L147</f>
        <v>-31147157.999999989</v>
      </c>
      <c r="M150" s="181"/>
      <c r="N150" s="181"/>
      <c r="O150" s="181"/>
      <c r="P150" s="181"/>
      <c r="Q150" s="181"/>
      <c r="R150" s="181"/>
      <c r="S150" s="181"/>
      <c r="T150" s="181">
        <f>+T147</f>
        <v>184129219.34</v>
      </c>
      <c r="U150" s="181"/>
      <c r="V150" s="196"/>
      <c r="W150" s="196"/>
      <c r="X150" s="196"/>
      <c r="Y150" s="211">
        <f>-Y129-Y179</f>
        <v>-74303298.920000002</v>
      </c>
      <c r="AJ150" s="211">
        <f>+F150+F129+F163</f>
        <v>43156140.920000017</v>
      </c>
      <c r="AK150" s="211"/>
      <c r="AL150" s="211">
        <f>SUM(V150:AJ150)</f>
        <v>-31147157.999999985</v>
      </c>
      <c r="AM150" s="211">
        <f>+L150-AL150</f>
        <v>0</v>
      </c>
    </row>
    <row r="151" spans="1:39" outlineLevel="1">
      <c r="D151" s="233"/>
      <c r="E151" s="233"/>
      <c r="F151" s="233"/>
      <c r="G151" s="233"/>
      <c r="H151" s="233"/>
      <c r="I151" s="233"/>
      <c r="J151" s="233"/>
      <c r="K151" s="233"/>
      <c r="L151" s="233"/>
      <c r="M151" s="233"/>
      <c r="N151" s="233"/>
      <c r="O151" s="233"/>
      <c r="P151" s="233"/>
      <c r="Q151" s="233"/>
      <c r="R151" s="233"/>
      <c r="S151" s="233"/>
      <c r="T151" s="233">
        <f>+T150-T13</f>
        <v>-201194699.59999999</v>
      </c>
      <c r="U151" s="233"/>
    </row>
    <row r="152" spans="1:39" s="220" customFormat="1" outlineLevel="2">
      <c r="A152" s="218"/>
      <c r="B152" s="219" t="s">
        <v>1125</v>
      </c>
      <c r="C152" s="219"/>
      <c r="D152" s="222"/>
      <c r="E152" s="223"/>
      <c r="F152" s="222"/>
      <c r="G152" s="223"/>
      <c r="H152" s="222"/>
      <c r="I152" s="223"/>
      <c r="J152" s="222"/>
      <c r="K152" s="223"/>
      <c r="L152" s="222"/>
      <c r="M152" s="222"/>
      <c r="N152" s="222"/>
      <c r="O152" s="222"/>
      <c r="P152" s="222"/>
      <c r="Q152" s="222"/>
      <c r="R152" s="222"/>
      <c r="S152" s="223"/>
      <c r="T152" s="222"/>
      <c r="U152" s="222"/>
      <c r="V152" s="224"/>
      <c r="W152" s="224"/>
      <c r="X152" s="224"/>
    </row>
    <row r="153" spans="1:39" s="220" customFormat="1" outlineLevel="2">
      <c r="A153" s="218"/>
      <c r="B153" s="219"/>
      <c r="C153" s="219"/>
      <c r="D153" s="222"/>
      <c r="E153" s="223"/>
      <c r="F153" s="222"/>
      <c r="G153" s="223"/>
      <c r="H153" s="222"/>
      <c r="I153" s="223"/>
      <c r="J153" s="222"/>
      <c r="K153" s="223"/>
      <c r="L153" s="222"/>
      <c r="M153" s="222"/>
      <c r="N153" s="222"/>
      <c r="O153" s="222"/>
      <c r="P153" s="222"/>
      <c r="Q153" s="222"/>
      <c r="R153" s="222"/>
      <c r="S153" s="223"/>
      <c r="T153" s="222"/>
      <c r="U153" s="222"/>
      <c r="V153" s="224"/>
      <c r="W153" s="224"/>
      <c r="X153" s="224"/>
    </row>
    <row r="154" spans="1:39" s="220" customFormat="1" outlineLevel="2">
      <c r="A154" s="229" t="s">
        <v>1126</v>
      </c>
      <c r="B154" s="219"/>
      <c r="C154" s="219" t="s">
        <v>1127</v>
      </c>
      <c r="D154" s="222">
        <f t="shared" ref="D154:D162" si="22">+D117</f>
        <v>202094.94</v>
      </c>
      <c r="E154" s="223"/>
      <c r="F154" s="222">
        <f t="shared" ref="F154:F162" si="23">+F117</f>
        <v>0</v>
      </c>
      <c r="G154" s="223"/>
      <c r="H154" s="222">
        <f t="shared" ref="H154:H162" si="24">+H117</f>
        <v>0</v>
      </c>
      <c r="I154" s="223"/>
      <c r="J154" s="222">
        <f t="shared" ref="J154:J162" si="25">+J117</f>
        <v>0</v>
      </c>
      <c r="K154" s="223"/>
      <c r="L154" s="222">
        <f t="shared" ref="L154:L162" si="26">+L117</f>
        <v>0</v>
      </c>
      <c r="M154" s="222"/>
      <c r="N154" s="222">
        <f t="shared" ref="N154:N162" si="27">+N117</f>
        <v>0</v>
      </c>
      <c r="O154" s="222"/>
      <c r="P154" s="222">
        <f t="shared" ref="P154:P162" si="28">+P117</f>
        <v>0</v>
      </c>
      <c r="Q154" s="222"/>
      <c r="R154" s="222">
        <f t="shared" ref="R154:R162" si="29">+R117</f>
        <v>0</v>
      </c>
      <c r="S154" s="223"/>
      <c r="T154" s="222">
        <f t="shared" ref="T154:T162" si="30">+T117</f>
        <v>202094.94</v>
      </c>
      <c r="U154" s="222"/>
      <c r="V154" s="224"/>
      <c r="W154" s="224"/>
      <c r="X154" s="224"/>
    </row>
    <row r="155" spans="1:39" s="220" customFormat="1" outlineLevel="2">
      <c r="A155" s="229" t="s">
        <v>1128</v>
      </c>
      <c r="B155" s="219"/>
      <c r="C155" s="219" t="s">
        <v>1129</v>
      </c>
      <c r="D155" s="222">
        <f t="shared" si="22"/>
        <v>95613.59</v>
      </c>
      <c r="E155" s="223"/>
      <c r="F155" s="222">
        <f t="shared" si="23"/>
        <v>0</v>
      </c>
      <c r="G155" s="223"/>
      <c r="H155" s="222">
        <f t="shared" si="24"/>
        <v>0</v>
      </c>
      <c r="I155" s="223"/>
      <c r="J155" s="222">
        <f t="shared" si="25"/>
        <v>0</v>
      </c>
      <c r="K155" s="223"/>
      <c r="L155" s="222">
        <f t="shared" si="26"/>
        <v>0</v>
      </c>
      <c r="M155" s="222"/>
      <c r="N155" s="222">
        <f t="shared" si="27"/>
        <v>0</v>
      </c>
      <c r="O155" s="222"/>
      <c r="P155" s="222">
        <f t="shared" si="28"/>
        <v>0</v>
      </c>
      <c r="Q155" s="222"/>
      <c r="R155" s="222">
        <f t="shared" si="29"/>
        <v>0</v>
      </c>
      <c r="S155" s="223"/>
      <c r="T155" s="222">
        <f t="shared" si="30"/>
        <v>95613.59</v>
      </c>
      <c r="U155" s="222"/>
      <c r="V155" s="224"/>
      <c r="W155" s="224"/>
      <c r="X155" s="224"/>
    </row>
    <row r="156" spans="1:39" s="220" customFormat="1" outlineLevel="2">
      <c r="A156" s="229" t="s">
        <v>1130</v>
      </c>
      <c r="B156" s="219"/>
      <c r="C156" s="219" t="s">
        <v>1129</v>
      </c>
      <c r="D156" s="222">
        <f t="shared" si="22"/>
        <v>74018.23</v>
      </c>
      <c r="E156" s="223"/>
      <c r="F156" s="222">
        <f t="shared" si="23"/>
        <v>0</v>
      </c>
      <c r="G156" s="223"/>
      <c r="H156" s="222">
        <f t="shared" si="24"/>
        <v>0</v>
      </c>
      <c r="I156" s="223"/>
      <c r="J156" s="222">
        <f t="shared" si="25"/>
        <v>0</v>
      </c>
      <c r="K156" s="223"/>
      <c r="L156" s="222">
        <f t="shared" si="26"/>
        <v>0</v>
      </c>
      <c r="M156" s="222"/>
      <c r="N156" s="222">
        <f t="shared" si="27"/>
        <v>0</v>
      </c>
      <c r="O156" s="222"/>
      <c r="P156" s="222">
        <f t="shared" si="28"/>
        <v>0</v>
      </c>
      <c r="Q156" s="222"/>
      <c r="R156" s="222">
        <f t="shared" si="29"/>
        <v>0</v>
      </c>
      <c r="S156" s="223"/>
      <c r="T156" s="222">
        <f t="shared" si="30"/>
        <v>74018.23</v>
      </c>
      <c r="U156" s="222"/>
      <c r="V156" s="224"/>
      <c r="W156" s="224"/>
      <c r="X156" s="224"/>
    </row>
    <row r="157" spans="1:39" s="220" customFormat="1" outlineLevel="2">
      <c r="A157" s="229" t="s">
        <v>1131</v>
      </c>
      <c r="B157" s="219"/>
      <c r="C157" s="219" t="s">
        <v>1129</v>
      </c>
      <c r="D157" s="222">
        <f t="shared" si="22"/>
        <v>548241.14</v>
      </c>
      <c r="E157" s="223"/>
      <c r="F157" s="222">
        <f t="shared" si="23"/>
        <v>0</v>
      </c>
      <c r="G157" s="223"/>
      <c r="H157" s="222">
        <f t="shared" si="24"/>
        <v>0</v>
      </c>
      <c r="I157" s="223"/>
      <c r="J157" s="222">
        <f t="shared" si="25"/>
        <v>0</v>
      </c>
      <c r="K157" s="223"/>
      <c r="L157" s="222">
        <f t="shared" si="26"/>
        <v>0</v>
      </c>
      <c r="M157" s="222"/>
      <c r="N157" s="222">
        <f t="shared" si="27"/>
        <v>0</v>
      </c>
      <c r="O157" s="222"/>
      <c r="P157" s="222">
        <f t="shared" si="28"/>
        <v>0</v>
      </c>
      <c r="Q157" s="222"/>
      <c r="R157" s="222">
        <f t="shared" si="29"/>
        <v>0</v>
      </c>
      <c r="S157" s="223"/>
      <c r="T157" s="222">
        <f t="shared" si="30"/>
        <v>548241.14</v>
      </c>
      <c r="U157" s="222"/>
      <c r="V157" s="224"/>
      <c r="W157" s="224"/>
      <c r="X157" s="224"/>
    </row>
    <row r="158" spans="1:39" s="220" customFormat="1" outlineLevel="2">
      <c r="A158" s="229" t="s">
        <v>1132</v>
      </c>
      <c r="B158" s="219"/>
      <c r="C158" s="219" t="s">
        <v>1129</v>
      </c>
      <c r="D158" s="222">
        <f t="shared" si="22"/>
        <v>220659.05</v>
      </c>
      <c r="E158" s="223"/>
      <c r="F158" s="222">
        <f t="shared" si="23"/>
        <v>0</v>
      </c>
      <c r="G158" s="223"/>
      <c r="H158" s="222">
        <f t="shared" si="24"/>
        <v>0</v>
      </c>
      <c r="I158" s="223"/>
      <c r="J158" s="222">
        <f t="shared" si="25"/>
        <v>0</v>
      </c>
      <c r="K158" s="223"/>
      <c r="L158" s="222">
        <f t="shared" si="26"/>
        <v>0</v>
      </c>
      <c r="M158" s="222"/>
      <c r="N158" s="222">
        <f t="shared" si="27"/>
        <v>0</v>
      </c>
      <c r="O158" s="222"/>
      <c r="P158" s="222">
        <f t="shared" si="28"/>
        <v>0</v>
      </c>
      <c r="Q158" s="222"/>
      <c r="R158" s="222">
        <f t="shared" si="29"/>
        <v>0</v>
      </c>
      <c r="S158" s="223"/>
      <c r="T158" s="222">
        <f t="shared" si="30"/>
        <v>220659.05</v>
      </c>
      <c r="U158" s="222"/>
      <c r="V158" s="224"/>
      <c r="W158" s="224"/>
      <c r="X158" s="224"/>
    </row>
    <row r="159" spans="1:39" s="220" customFormat="1" outlineLevel="2">
      <c r="A159" s="229" t="s">
        <v>1133</v>
      </c>
      <c r="B159" s="219"/>
      <c r="C159" s="219" t="s">
        <v>1134</v>
      </c>
      <c r="D159" s="222">
        <f t="shared" si="22"/>
        <v>7781410.5899999999</v>
      </c>
      <c r="E159" s="223"/>
      <c r="F159" s="222">
        <f t="shared" si="23"/>
        <v>10100</v>
      </c>
      <c r="G159" s="223"/>
      <c r="H159" s="222">
        <f t="shared" si="24"/>
        <v>0</v>
      </c>
      <c r="I159" s="223"/>
      <c r="J159" s="222">
        <f t="shared" si="25"/>
        <v>0</v>
      </c>
      <c r="K159" s="223"/>
      <c r="L159" s="222">
        <f t="shared" si="26"/>
        <v>10100</v>
      </c>
      <c r="M159" s="222"/>
      <c r="N159" s="222">
        <f t="shared" si="27"/>
        <v>0</v>
      </c>
      <c r="O159" s="222"/>
      <c r="P159" s="222">
        <f t="shared" si="28"/>
        <v>0</v>
      </c>
      <c r="Q159" s="222"/>
      <c r="R159" s="222">
        <f t="shared" si="29"/>
        <v>0</v>
      </c>
      <c r="S159" s="223"/>
      <c r="T159" s="222">
        <f t="shared" si="30"/>
        <v>7791510.5899999999</v>
      </c>
      <c r="U159" s="222"/>
      <c r="V159" s="224"/>
      <c r="W159" s="224"/>
      <c r="X159" s="224"/>
    </row>
    <row r="160" spans="1:39" s="220" customFormat="1" outlineLevel="2">
      <c r="A160" s="229" t="s">
        <v>1135</v>
      </c>
      <c r="B160" s="219"/>
      <c r="C160" s="219" t="s">
        <v>1136</v>
      </c>
      <c r="D160" s="222">
        <f t="shared" si="22"/>
        <v>0</v>
      </c>
      <c r="E160" s="223"/>
      <c r="F160" s="222">
        <f t="shared" si="23"/>
        <v>0</v>
      </c>
      <c r="G160" s="223"/>
      <c r="H160" s="222">
        <f t="shared" si="24"/>
        <v>0</v>
      </c>
      <c r="I160" s="223"/>
      <c r="J160" s="222">
        <f t="shared" si="25"/>
        <v>0</v>
      </c>
      <c r="K160" s="223"/>
      <c r="L160" s="222">
        <f t="shared" si="26"/>
        <v>0</v>
      </c>
      <c r="M160" s="222"/>
      <c r="N160" s="222">
        <f t="shared" si="27"/>
        <v>0</v>
      </c>
      <c r="O160" s="222"/>
      <c r="P160" s="222">
        <f t="shared" si="28"/>
        <v>0</v>
      </c>
      <c r="Q160" s="222"/>
      <c r="R160" s="222">
        <f t="shared" si="29"/>
        <v>0</v>
      </c>
      <c r="S160" s="223"/>
      <c r="T160" s="222">
        <f t="shared" si="30"/>
        <v>0</v>
      </c>
      <c r="U160" s="222"/>
      <c r="V160" s="224"/>
      <c r="W160" s="224"/>
      <c r="X160" s="224"/>
    </row>
    <row r="161" spans="1:24" s="220" customFormat="1" outlineLevel="2">
      <c r="A161" s="229" t="s">
        <v>1135</v>
      </c>
      <c r="B161" s="219"/>
      <c r="C161" s="219" t="s">
        <v>1137</v>
      </c>
      <c r="D161" s="222">
        <f t="shared" si="22"/>
        <v>0</v>
      </c>
      <c r="E161" s="223"/>
      <c r="F161" s="222">
        <f t="shared" si="23"/>
        <v>0</v>
      </c>
      <c r="G161" s="223"/>
      <c r="H161" s="222">
        <f t="shared" si="24"/>
        <v>0</v>
      </c>
      <c r="I161" s="223"/>
      <c r="J161" s="222">
        <f t="shared" si="25"/>
        <v>0</v>
      </c>
      <c r="K161" s="223"/>
      <c r="L161" s="222">
        <f t="shared" si="26"/>
        <v>0</v>
      </c>
      <c r="M161" s="222"/>
      <c r="N161" s="222">
        <f t="shared" si="27"/>
        <v>0</v>
      </c>
      <c r="O161" s="222"/>
      <c r="P161" s="222">
        <f t="shared" si="28"/>
        <v>0</v>
      </c>
      <c r="Q161" s="222"/>
      <c r="R161" s="222">
        <f t="shared" si="29"/>
        <v>0</v>
      </c>
      <c r="S161" s="223"/>
      <c r="T161" s="222">
        <f t="shared" si="30"/>
        <v>0</v>
      </c>
      <c r="U161" s="222"/>
      <c r="V161" s="224"/>
      <c r="W161" s="224"/>
      <c r="X161" s="224"/>
    </row>
    <row r="162" spans="1:24" s="220" customFormat="1" outlineLevel="2">
      <c r="A162" s="229" t="s">
        <v>1135</v>
      </c>
      <c r="B162" s="219"/>
      <c r="C162" s="219" t="s">
        <v>1138</v>
      </c>
      <c r="D162" s="222">
        <f t="shared" si="22"/>
        <v>387.49</v>
      </c>
      <c r="E162" s="223"/>
      <c r="F162" s="222">
        <f t="shared" si="23"/>
        <v>0</v>
      </c>
      <c r="G162" s="223"/>
      <c r="H162" s="222">
        <f t="shared" si="24"/>
        <v>0</v>
      </c>
      <c r="I162" s="223"/>
      <c r="J162" s="222">
        <f t="shared" si="25"/>
        <v>0</v>
      </c>
      <c r="K162" s="223"/>
      <c r="L162" s="222">
        <f t="shared" si="26"/>
        <v>0</v>
      </c>
      <c r="M162" s="222"/>
      <c r="N162" s="222">
        <f t="shared" si="27"/>
        <v>0</v>
      </c>
      <c r="O162" s="222"/>
      <c r="P162" s="222">
        <f t="shared" si="28"/>
        <v>0</v>
      </c>
      <c r="Q162" s="222"/>
      <c r="R162" s="222">
        <f t="shared" si="29"/>
        <v>0</v>
      </c>
      <c r="S162" s="223"/>
      <c r="T162" s="222">
        <f t="shared" si="30"/>
        <v>387.49</v>
      </c>
      <c r="U162" s="222"/>
      <c r="V162" s="224"/>
      <c r="W162" s="224"/>
      <c r="X162" s="224"/>
    </row>
    <row r="163" spans="1:24" s="220" customFormat="1" ht="12" customHeight="1" outlineLevel="2">
      <c r="A163" s="229"/>
      <c r="B163" s="219"/>
      <c r="C163" s="219" t="s">
        <v>1139</v>
      </c>
      <c r="D163" s="228">
        <f>SUM(D154:D162)</f>
        <v>8922425.0299999993</v>
      </c>
      <c r="E163" s="223"/>
      <c r="F163" s="228">
        <f>SUM(F154:F162)</f>
        <v>10100</v>
      </c>
      <c r="G163" s="223"/>
      <c r="H163" s="228">
        <f>SUM(H154:H162)</f>
        <v>0</v>
      </c>
      <c r="I163" s="223"/>
      <c r="J163" s="228">
        <f>SUM(J154:J162)</f>
        <v>0</v>
      </c>
      <c r="K163" s="223"/>
      <c r="L163" s="228">
        <f>SUM(L154:L162)</f>
        <v>10100</v>
      </c>
      <c r="M163" s="222"/>
      <c r="N163" s="228">
        <f>SUM(N154:N162)</f>
        <v>0</v>
      </c>
      <c r="O163" s="222"/>
      <c r="P163" s="228">
        <f>SUM(P154:P162)</f>
        <v>0</v>
      </c>
      <c r="Q163" s="222"/>
      <c r="R163" s="228">
        <f>SUM(R154:R162)</f>
        <v>0</v>
      </c>
      <c r="S163" s="223"/>
      <c r="T163" s="228">
        <f>SUM(T154:T162)</f>
        <v>8932525.0299999993</v>
      </c>
      <c r="U163" s="222"/>
      <c r="V163" s="224"/>
      <c r="W163" s="224"/>
      <c r="X163" s="224"/>
    </row>
    <row r="164" spans="1:24" s="220" customFormat="1" outlineLevel="2">
      <c r="A164" s="218"/>
      <c r="B164" s="219"/>
      <c r="D164" s="234"/>
      <c r="E164" s="234"/>
      <c r="F164" s="234"/>
      <c r="G164" s="234"/>
      <c r="H164" s="234"/>
      <c r="I164" s="234"/>
      <c r="J164" s="234"/>
      <c r="K164" s="234"/>
      <c r="L164" s="234"/>
      <c r="M164" s="234"/>
      <c r="N164" s="234"/>
      <c r="O164" s="234"/>
      <c r="P164" s="234"/>
      <c r="Q164" s="234"/>
      <c r="R164" s="234"/>
      <c r="S164" s="234"/>
      <c r="T164" s="234"/>
      <c r="U164" s="234"/>
      <c r="V164" s="221"/>
      <c r="W164" s="221"/>
      <c r="X164" s="221"/>
    </row>
    <row r="165" spans="1:24" s="220" customFormat="1" outlineLevel="2">
      <c r="A165" s="218"/>
      <c r="B165" s="219"/>
      <c r="D165" s="234"/>
      <c r="E165" s="234"/>
      <c r="F165" s="234"/>
      <c r="G165" s="234"/>
      <c r="H165" s="234"/>
      <c r="I165" s="234"/>
      <c r="J165" s="234"/>
      <c r="K165" s="234"/>
      <c r="L165" s="234"/>
      <c r="M165" s="234"/>
      <c r="N165" s="234"/>
      <c r="O165" s="234"/>
      <c r="P165" s="234"/>
      <c r="Q165" s="234"/>
      <c r="R165" s="234"/>
      <c r="S165" s="234"/>
      <c r="T165" s="234"/>
      <c r="U165" s="234"/>
      <c r="V165" s="221"/>
      <c r="W165" s="221"/>
      <c r="X165" s="221"/>
    </row>
    <row r="166" spans="1:24" s="220" customFormat="1" outlineLevel="2">
      <c r="A166" s="218"/>
      <c r="D166" s="235" t="s">
        <v>25</v>
      </c>
      <c r="F166" s="223"/>
      <c r="H166" s="223"/>
      <c r="J166" s="235" t="s">
        <v>612</v>
      </c>
      <c r="L166" s="235" t="s">
        <v>28</v>
      </c>
      <c r="N166" s="236" t="s">
        <v>37</v>
      </c>
      <c r="P166" s="235"/>
      <c r="R166" s="235" t="s">
        <v>39</v>
      </c>
      <c r="T166" s="235" t="s">
        <v>26</v>
      </c>
      <c r="U166" s="235"/>
      <c r="V166" s="221"/>
      <c r="W166" s="221"/>
      <c r="X166" s="221"/>
    </row>
    <row r="167" spans="1:24" s="220" customFormat="1" outlineLevel="2">
      <c r="A167" s="218"/>
      <c r="D167" s="237" t="s">
        <v>27</v>
      </c>
      <c r="F167" s="237" t="s">
        <v>954</v>
      </c>
      <c r="H167" s="237" t="s">
        <v>108</v>
      </c>
      <c r="J167" s="237" t="s">
        <v>613</v>
      </c>
      <c r="L167" s="237" t="s">
        <v>29</v>
      </c>
      <c r="N167" s="237" t="s">
        <v>38</v>
      </c>
      <c r="P167" s="237" t="s">
        <v>955</v>
      </c>
      <c r="R167" s="237" t="s">
        <v>105</v>
      </c>
      <c r="T167" s="237" t="s">
        <v>27</v>
      </c>
      <c r="U167" s="236"/>
      <c r="V167" s="221"/>
      <c r="W167" s="221"/>
      <c r="X167" s="221"/>
    </row>
    <row r="168" spans="1:24" s="220" customFormat="1" outlineLevel="2">
      <c r="A168" s="229" t="s">
        <v>1133</v>
      </c>
      <c r="B168" s="219"/>
      <c r="C168" s="219" t="s">
        <v>1140</v>
      </c>
      <c r="D168" s="234">
        <f>+'KY_Res by Plant Acct-P29 (Fin)'!B305+'IN_Res by Plant Acct-P30 (Fin)'!B15+25000+0.04</f>
        <v>-2246915.9200000004</v>
      </c>
      <c r="E168" s="234"/>
      <c r="F168" s="234">
        <f>+'KY_Res by Plant Acct-P29 (Fin)'!D305+'IN_Res by Plant Acct-P30 (Fin)'!D15-25000</f>
        <v>-101274.33</v>
      </c>
      <c r="G168" s="234"/>
      <c r="H168" s="234">
        <f>+'KY_Res by Plant Acct-P29 (Fin)'!F305+'IN_Res by Plant Acct-P30 (Fin)'!F15</f>
        <v>0</v>
      </c>
      <c r="I168" s="234"/>
      <c r="J168" s="234">
        <f>+'KY_Res by Plant Acct-P29 (Fin)'!H305+'IN_Res by Plant Acct-P30 (Fin)'!H15</f>
        <v>0</v>
      </c>
      <c r="K168" s="234"/>
      <c r="L168" s="234">
        <f>+'KY_Res by Plant Acct-P29 (Fin)'!J305+'IN_Res by Plant Acct-P30 (Fin)'!J15</f>
        <v>0</v>
      </c>
      <c r="M168" s="234"/>
      <c r="N168" s="234">
        <f>+'KY_Res by Plant Acct-P29 (Fin)'!L305+'IN_Res by Plant Acct-P30 (Fin)'!L15</f>
        <v>0</v>
      </c>
      <c r="O168" s="234"/>
      <c r="P168" s="234">
        <f>+'KY_Res by Plant Acct-P29 (Fin)'!N305+'IN_Res by Plant Acct-P30 (Fin)'!N15</f>
        <v>0</v>
      </c>
      <c r="Q168" s="234"/>
      <c r="R168" s="234">
        <f>+'KY_Res by Plant Acct-P29 (Fin)'!P305+'IN_Res by Plant Acct-P30 (Fin)'!P15</f>
        <v>0</v>
      </c>
      <c r="S168" s="234"/>
      <c r="T168" s="234">
        <f>+'KY_Res by Plant Acct-P29 (Fin)'!R305+'IN_Res by Plant Acct-P30 (Fin)'!R15+0.04</f>
        <v>-2348190.2500000005</v>
      </c>
      <c r="U168" s="234"/>
      <c r="V168" s="221"/>
      <c r="W168" s="221"/>
      <c r="X168" s="221"/>
    </row>
    <row r="169" spans="1:24" s="220" customFormat="1" outlineLevel="2">
      <c r="A169" s="229" t="s">
        <v>1128</v>
      </c>
      <c r="B169" s="219"/>
      <c r="C169" s="219" t="s">
        <v>1129</v>
      </c>
      <c r="D169" s="223">
        <f>+'KY_Res by Plant Acct-P29 (Fin)'!B367</f>
        <v>-70451.45</v>
      </c>
      <c r="E169" s="223"/>
      <c r="F169" s="223">
        <f>+'KY_Res by Plant Acct-P29 (Fin)'!D367</f>
        <v>0</v>
      </c>
      <c r="G169" s="223"/>
      <c r="H169" s="223">
        <f>+'KY_Res by Plant Acct-P29 (Fin)'!F367</f>
        <v>0</v>
      </c>
      <c r="I169" s="223"/>
      <c r="J169" s="223">
        <f>+'KY_Res by Plant Acct-P29 (Fin)'!H367</f>
        <v>0</v>
      </c>
      <c r="K169" s="223"/>
      <c r="L169" s="223">
        <f>+'KY_Res by Plant Acct-P29 (Fin)'!J367</f>
        <v>0</v>
      </c>
      <c r="M169" s="223"/>
      <c r="N169" s="223">
        <f>+'KY_Res by Plant Acct-P29 (Fin)'!L367</f>
        <v>0</v>
      </c>
      <c r="O169" s="223"/>
      <c r="P169" s="223">
        <f>+'KY_Res by Plant Acct-P29 (Fin)'!N367</f>
        <v>0</v>
      </c>
      <c r="Q169" s="223"/>
      <c r="R169" s="223">
        <f>+'KY_Res by Plant Acct-P29 (Fin)'!P367</f>
        <v>0</v>
      </c>
      <c r="S169" s="223"/>
      <c r="T169" s="223">
        <f>+'KY_Res by Plant Acct-P29 (Fin)'!R367</f>
        <v>-70451.45</v>
      </c>
      <c r="U169" s="223"/>
      <c r="V169" s="221"/>
      <c r="W169" s="221"/>
      <c r="X169" s="221"/>
    </row>
    <row r="170" spans="1:24" s="220" customFormat="1" outlineLevel="2">
      <c r="A170" s="229" t="s">
        <v>1130</v>
      </c>
      <c r="B170" s="219"/>
      <c r="C170" s="219" t="s">
        <v>1129</v>
      </c>
      <c r="D170" s="223">
        <f>+'KY_Res by Plant Acct-P29 (Fin)'!B340</f>
        <v>-77410.05</v>
      </c>
      <c r="E170" s="223"/>
      <c r="F170" s="223">
        <f>+'KY_Res by Plant Acct-P29 (Fin)'!D340</f>
        <v>-7.41</v>
      </c>
      <c r="G170" s="223"/>
      <c r="H170" s="223">
        <f>+'KY_Res by Plant Acct-P29 (Fin)'!F340</f>
        <v>0</v>
      </c>
      <c r="I170" s="223"/>
      <c r="J170" s="223">
        <f>+'KY_Res by Plant Acct-P29 (Fin)'!H340</f>
        <v>0</v>
      </c>
      <c r="K170" s="223"/>
      <c r="L170" s="223">
        <f>+'KY_Res by Plant Acct-P29 (Fin)'!J340</f>
        <v>0</v>
      </c>
      <c r="M170" s="223"/>
      <c r="N170" s="223">
        <f>+'KY_Res by Plant Acct-P29 (Fin)'!L340</f>
        <v>0</v>
      </c>
      <c r="O170" s="223"/>
      <c r="P170" s="223">
        <f>+'KY_Res by Plant Acct-P29 (Fin)'!N340</f>
        <v>0</v>
      </c>
      <c r="Q170" s="223"/>
      <c r="R170" s="223">
        <f>+'KY_Res by Plant Acct-P29 (Fin)'!P340</f>
        <v>0</v>
      </c>
      <c r="S170" s="223"/>
      <c r="T170" s="223">
        <f>+'KY_Res by Plant Acct-P29 (Fin)'!R340</f>
        <v>-77417.460000000006</v>
      </c>
      <c r="U170" s="223"/>
      <c r="V170" s="221"/>
      <c r="W170" s="221"/>
      <c r="X170" s="221"/>
    </row>
    <row r="171" spans="1:24" s="220" customFormat="1" outlineLevel="2">
      <c r="A171" s="229" t="s">
        <v>1131</v>
      </c>
      <c r="B171" s="219"/>
      <c r="C171" s="219" t="s">
        <v>1129</v>
      </c>
      <c r="D171" s="223">
        <f>+'KY_Res by Plant Acct-P29 (Fin)'!B371</f>
        <v>-569589.96</v>
      </c>
      <c r="E171" s="223"/>
      <c r="F171" s="223">
        <f>+'KY_Res by Plant Acct-P29 (Fin)'!D371</f>
        <v>0</v>
      </c>
      <c r="G171" s="223"/>
      <c r="H171" s="223">
        <f>+'KY_Res by Plant Acct-P29 (Fin)'!F371</f>
        <v>0</v>
      </c>
      <c r="I171" s="223"/>
      <c r="J171" s="223">
        <f>+'KY_Res by Plant Acct-P29 (Fin)'!H371</f>
        <v>0</v>
      </c>
      <c r="K171" s="223"/>
      <c r="L171" s="223">
        <f>+'KY_Res by Plant Acct-P29 (Fin)'!J371</f>
        <v>0</v>
      </c>
      <c r="M171" s="223"/>
      <c r="N171" s="223">
        <f>+'KY_Res by Plant Acct-P29 (Fin)'!L371</f>
        <v>0</v>
      </c>
      <c r="O171" s="223"/>
      <c r="P171" s="223">
        <f>+'KY_Res by Plant Acct-P29 (Fin)'!N371</f>
        <v>0</v>
      </c>
      <c r="Q171" s="223"/>
      <c r="R171" s="223">
        <f>+'KY_Res by Plant Acct-P29 (Fin)'!P371</f>
        <v>0</v>
      </c>
      <c r="S171" s="223"/>
      <c r="T171" s="223">
        <f>+'KY_Res by Plant Acct-P29 (Fin)'!R371</f>
        <v>-569589.96</v>
      </c>
      <c r="U171" s="223"/>
      <c r="V171" s="221"/>
      <c r="W171" s="221"/>
      <c r="X171" s="221"/>
    </row>
    <row r="172" spans="1:24" s="220" customFormat="1" outlineLevel="2">
      <c r="A172" s="229" t="s">
        <v>1132</v>
      </c>
      <c r="B172" s="219"/>
      <c r="C172" s="219" t="s">
        <v>1129</v>
      </c>
      <c r="D172" s="223">
        <f>+'KY_Res by Plant Acct-P29 (Fin)'!B387</f>
        <v>-208837.46999999997</v>
      </c>
      <c r="E172" s="223"/>
      <c r="F172" s="223">
        <f>+'KY_Res by Plant Acct-P29 (Fin)'!D387</f>
        <v>-148.94999999999999</v>
      </c>
      <c r="G172" s="223"/>
      <c r="H172" s="223">
        <f>+'KY_Res by Plant Acct-P29 (Fin)'!F387</f>
        <v>0</v>
      </c>
      <c r="I172" s="223"/>
      <c r="J172" s="223">
        <f>+'KY_Res by Plant Acct-P29 (Fin)'!H387</f>
        <v>0</v>
      </c>
      <c r="K172" s="223"/>
      <c r="L172" s="223">
        <f>+'KY_Res by Plant Acct-P29 (Fin)'!J387</f>
        <v>0</v>
      </c>
      <c r="M172" s="223"/>
      <c r="N172" s="223">
        <f>+'KY_Res by Plant Acct-P29 (Fin)'!L387</f>
        <v>0</v>
      </c>
      <c r="O172" s="223"/>
      <c r="P172" s="223">
        <f>+'KY_Res by Plant Acct-P29 (Fin)'!N387</f>
        <v>0</v>
      </c>
      <c r="Q172" s="223"/>
      <c r="R172" s="223">
        <f>+'KY_Res by Plant Acct-P29 (Fin)'!P387</f>
        <v>0</v>
      </c>
      <c r="S172" s="223"/>
      <c r="T172" s="223">
        <f>+'KY_Res by Plant Acct-P29 (Fin)'!R387</f>
        <v>-208986.41999999998</v>
      </c>
      <c r="U172" s="223"/>
      <c r="V172" s="221"/>
      <c r="W172" s="221"/>
      <c r="X172" s="221"/>
    </row>
    <row r="173" spans="1:24" s="220" customFormat="1" outlineLevel="2">
      <c r="A173" s="229" t="s">
        <v>1126</v>
      </c>
      <c r="B173" s="219"/>
      <c r="C173" s="219" t="s">
        <v>1127</v>
      </c>
      <c r="D173" s="223">
        <f>+'KY_Res by Plant Acct-P29 (Fin)'!B406</f>
        <v>-134866.74</v>
      </c>
      <c r="E173" s="223"/>
      <c r="F173" s="223">
        <f>+'KY_Res by Plant Acct-P29 (Fin)'!D406</f>
        <v>-1490.46</v>
      </c>
      <c r="G173" s="223"/>
      <c r="H173" s="223">
        <f>+'KY_Res by Plant Acct-P29 (Fin)'!F406</f>
        <v>0</v>
      </c>
      <c r="I173" s="223"/>
      <c r="J173" s="223">
        <f>+'KY_Res by Plant Acct-P29 (Fin)'!H406</f>
        <v>0</v>
      </c>
      <c r="K173" s="223"/>
      <c r="L173" s="223">
        <f>+'KY_Res by Plant Acct-P29 (Fin)'!J406</f>
        <v>0</v>
      </c>
      <c r="M173" s="223"/>
      <c r="N173" s="223">
        <f>+'KY_Res by Plant Acct-P29 (Fin)'!L406</f>
        <v>0</v>
      </c>
      <c r="O173" s="223"/>
      <c r="P173" s="223">
        <f>+'KY_Res by Plant Acct-P29 (Fin)'!N406</f>
        <v>0</v>
      </c>
      <c r="Q173" s="223"/>
      <c r="R173" s="223">
        <f>+'KY_Res by Plant Acct-P29 (Fin)'!P406</f>
        <v>0</v>
      </c>
      <c r="S173" s="223"/>
      <c r="T173" s="223">
        <f>+'KY_Res by Plant Acct-P29 (Fin)'!R406</f>
        <v>-136357.19999999998</v>
      </c>
      <c r="U173" s="223"/>
      <c r="V173" s="221"/>
      <c r="W173" s="221"/>
      <c r="X173" s="221"/>
    </row>
    <row r="174" spans="1:24" s="220" customFormat="1" outlineLevel="2">
      <c r="A174" s="229" t="s">
        <v>1135</v>
      </c>
      <c r="B174" s="219"/>
      <c r="C174" s="219" t="s">
        <v>1136</v>
      </c>
      <c r="D174" s="223">
        <f>+'KY_Res by Plant Acct-P29 (Fin)'!B448</f>
        <v>0</v>
      </c>
      <c r="E174" s="223"/>
      <c r="F174" s="223">
        <f>+'KY_Res by Plant Acct-P29 (Fin)'!D448</f>
        <v>0</v>
      </c>
      <c r="G174" s="223"/>
      <c r="H174" s="223">
        <f>+'KY_Res by Plant Acct-P29 (Fin)'!F448</f>
        <v>0</v>
      </c>
      <c r="I174" s="223"/>
      <c r="J174" s="223">
        <f>+'KY_Res by Plant Acct-P29 (Fin)'!H448</f>
        <v>0</v>
      </c>
      <c r="K174" s="223"/>
      <c r="L174" s="223">
        <f>+'KY_Res by Plant Acct-P29 (Fin)'!J448</f>
        <v>0</v>
      </c>
      <c r="M174" s="223"/>
      <c r="N174" s="223">
        <f>+'KY_Res by Plant Acct-P29 (Fin)'!L448</f>
        <v>0</v>
      </c>
      <c r="O174" s="223"/>
      <c r="P174" s="223">
        <f>+'KY_Res by Plant Acct-P29 (Fin)'!N448</f>
        <v>0</v>
      </c>
      <c r="Q174" s="223"/>
      <c r="R174" s="223">
        <f>+'KY_Res by Plant Acct-P29 (Fin)'!P448</f>
        <v>0</v>
      </c>
      <c r="S174" s="223"/>
      <c r="T174" s="223">
        <f>+'KY_Res by Plant Acct-P29 (Fin)'!R448</f>
        <v>0</v>
      </c>
      <c r="U174" s="223"/>
      <c r="V174" s="221"/>
      <c r="W174" s="221"/>
      <c r="X174" s="221"/>
    </row>
    <row r="175" spans="1:24" s="220" customFormat="1" outlineLevel="2">
      <c r="A175" s="229" t="s">
        <v>1135</v>
      </c>
      <c r="B175" s="219"/>
      <c r="C175" s="219" t="s">
        <v>1137</v>
      </c>
      <c r="D175" s="223">
        <f>+'KY_Res by Plant Acct-P29 (Fin)'!B330</f>
        <v>0</v>
      </c>
      <c r="E175" s="223"/>
      <c r="F175" s="223">
        <f>+'KY_Res by Plant Acct-P29 (Fin)'!D330</f>
        <v>0</v>
      </c>
      <c r="G175" s="223"/>
      <c r="H175" s="223">
        <f>+'KY_Res by Plant Acct-P29 (Fin)'!F330</f>
        <v>0</v>
      </c>
      <c r="I175" s="223"/>
      <c r="J175" s="223">
        <f>+'KY_Res by Plant Acct-P29 (Fin)'!H330</f>
        <v>0</v>
      </c>
      <c r="K175" s="223"/>
      <c r="L175" s="223">
        <f>+'KY_Res by Plant Acct-P29 (Fin)'!J330</f>
        <v>0</v>
      </c>
      <c r="M175" s="223"/>
      <c r="N175" s="223">
        <f>+'KY_Res by Plant Acct-P29 (Fin)'!L330</f>
        <v>0</v>
      </c>
      <c r="O175" s="223"/>
      <c r="P175" s="223">
        <f>+'KY_Res by Plant Acct-P29 (Fin)'!N330</f>
        <v>0</v>
      </c>
      <c r="Q175" s="223"/>
      <c r="R175" s="223">
        <f>+'KY_Res by Plant Acct-P29 (Fin)'!P330</f>
        <v>0</v>
      </c>
      <c r="S175" s="223"/>
      <c r="T175" s="223">
        <f>+'KY_Res by Plant Acct-P29 (Fin)'!R330</f>
        <v>0</v>
      </c>
      <c r="U175" s="223"/>
      <c r="V175" s="221"/>
      <c r="W175" s="221"/>
      <c r="X175" s="221"/>
    </row>
    <row r="176" spans="1:24" s="220" customFormat="1" outlineLevel="2">
      <c r="A176" s="229" t="s">
        <v>1135</v>
      </c>
      <c r="B176" s="219"/>
      <c r="C176" s="219" t="s">
        <v>1138</v>
      </c>
      <c r="D176" s="223">
        <f>+'KY_Res by Plant Acct-P29 (Fin)'!B397</f>
        <v>0</v>
      </c>
      <c r="E176" s="223"/>
      <c r="F176" s="223">
        <f>+'KY_Res by Plant Acct-P29 (Fin)'!D397</f>
        <v>0</v>
      </c>
      <c r="G176" s="223"/>
      <c r="H176" s="223">
        <f>+'KY_Res by Plant Acct-P29 (Fin)'!F397</f>
        <v>0</v>
      </c>
      <c r="I176" s="223"/>
      <c r="J176" s="223">
        <f>+'KY_Res by Plant Acct-P29 (Fin)'!H397</f>
        <v>0</v>
      </c>
      <c r="K176" s="223"/>
      <c r="L176" s="223">
        <f>+'KY_Res by Plant Acct-P29 (Fin)'!J397</f>
        <v>0</v>
      </c>
      <c r="M176" s="223"/>
      <c r="N176" s="223">
        <f>+'KY_Res by Plant Acct-P29 (Fin)'!L397</f>
        <v>0</v>
      </c>
      <c r="O176" s="223"/>
      <c r="P176" s="223">
        <f>+'KY_Res by Plant Acct-P29 (Fin)'!N397</f>
        <v>0</v>
      </c>
      <c r="Q176" s="223"/>
      <c r="R176" s="223">
        <f>+'KY_Res by Plant Acct-P29 (Fin)'!P397</f>
        <v>0</v>
      </c>
      <c r="S176" s="223"/>
      <c r="T176" s="223">
        <f>+'KY_Res by Plant Acct-P29 (Fin)'!R397</f>
        <v>0</v>
      </c>
      <c r="U176" s="223"/>
      <c r="V176" s="221"/>
      <c r="W176" s="221"/>
      <c r="X176" s="221"/>
    </row>
    <row r="177" spans="1:39" s="220" customFormat="1" outlineLevel="2">
      <c r="A177" s="218"/>
      <c r="B177" s="219"/>
      <c r="C177" s="220" t="s">
        <v>1141</v>
      </c>
      <c r="D177" s="228">
        <f>SUM(D168:D176)</f>
        <v>-3308071.5900000008</v>
      </c>
      <c r="E177" s="223"/>
      <c r="F177" s="228">
        <f>SUM(F168:F176)</f>
        <v>-102921.15000000001</v>
      </c>
      <c r="G177" s="223"/>
      <c r="H177" s="228">
        <f>SUM(H168:H176)</f>
        <v>0</v>
      </c>
      <c r="I177" s="223"/>
      <c r="J177" s="228">
        <f>SUM(J168:J176)</f>
        <v>0</v>
      </c>
      <c r="K177" s="223"/>
      <c r="L177" s="228">
        <f>SUM(L168:L176)</f>
        <v>0</v>
      </c>
      <c r="M177" s="222"/>
      <c r="N177" s="228">
        <f>SUM(N168:N176)</f>
        <v>0</v>
      </c>
      <c r="O177" s="222"/>
      <c r="P177" s="228">
        <f>SUM(P168:P176)</f>
        <v>0</v>
      </c>
      <c r="Q177" s="222"/>
      <c r="R177" s="228">
        <f>SUM(R168:R176)</f>
        <v>0</v>
      </c>
      <c r="S177" s="223"/>
      <c r="T177" s="228">
        <f>SUM(T168:T176)</f>
        <v>-3410992.7400000007</v>
      </c>
      <c r="U177" s="222"/>
      <c r="V177" s="221"/>
      <c r="W177" s="221"/>
      <c r="X177" s="221"/>
    </row>
    <row r="178" spans="1:39" outlineLevel="2">
      <c r="D178" s="233"/>
      <c r="E178" s="233"/>
      <c r="F178" s="233"/>
      <c r="G178" s="233"/>
      <c r="H178" s="233"/>
      <c r="I178" s="233"/>
      <c r="J178" s="233"/>
      <c r="K178" s="233"/>
      <c r="L178" s="233"/>
      <c r="M178" s="233"/>
      <c r="N178" s="233"/>
      <c r="O178" s="233"/>
      <c r="P178" s="233"/>
      <c r="Q178" s="233"/>
      <c r="R178" s="233"/>
      <c r="S178" s="233"/>
      <c r="T178" s="233"/>
      <c r="U178" s="233"/>
    </row>
    <row r="179" spans="1:39" outlineLevel="1">
      <c r="B179" s="215" t="s">
        <v>1142</v>
      </c>
      <c r="D179" s="233">
        <f>+D163+D177</f>
        <v>5614353.4399999985</v>
      </c>
      <c r="E179" s="233"/>
      <c r="F179" s="233">
        <f>+F163+F177</f>
        <v>-92821.150000000009</v>
      </c>
      <c r="G179" s="233"/>
      <c r="H179" s="233">
        <f>+H163+H177</f>
        <v>0</v>
      </c>
      <c r="I179" s="233"/>
      <c r="J179" s="233">
        <f>+J163+J177</f>
        <v>0</v>
      </c>
      <c r="K179" s="233"/>
      <c r="L179" s="233">
        <f>+L163+L177</f>
        <v>10100</v>
      </c>
      <c r="M179" s="233"/>
      <c r="N179" s="233">
        <f>+N163+N177</f>
        <v>0</v>
      </c>
      <c r="O179" s="233"/>
      <c r="P179" s="233">
        <f>+P163+P177</f>
        <v>0</v>
      </c>
      <c r="Q179" s="233"/>
      <c r="R179" s="233">
        <f>+R163+R177</f>
        <v>0</v>
      </c>
      <c r="S179" s="233"/>
      <c r="T179" s="233">
        <f>+T163+T177</f>
        <v>5521532.2899999991</v>
      </c>
      <c r="U179" s="233"/>
      <c r="V179" s="238">
        <f>+F177</f>
        <v>-102921.15000000001</v>
      </c>
      <c r="W179" s="238"/>
      <c r="X179" s="238"/>
      <c r="Y179" s="211">
        <f>+F163</f>
        <v>10100</v>
      </c>
      <c r="AL179" s="211">
        <f>SUM(V179:AJ179)</f>
        <v>-92821.150000000009</v>
      </c>
      <c r="AM179" s="211">
        <f>+T179-D179-AL179</f>
        <v>5.6752469390630722E-10</v>
      </c>
    </row>
    <row r="180" spans="1:39" outlineLevel="1">
      <c r="D180" s="233">
        <f>+D179-D14</f>
        <v>-623237.28000000119</v>
      </c>
      <c r="E180" s="233"/>
      <c r="F180" s="233"/>
      <c r="G180" s="233"/>
      <c r="H180" s="233"/>
      <c r="I180" s="233"/>
      <c r="J180" s="233"/>
      <c r="K180" s="233"/>
      <c r="L180" s="233"/>
      <c r="M180" s="233"/>
      <c r="N180" s="233"/>
      <c r="O180" s="233"/>
      <c r="P180" s="233"/>
      <c r="Q180" s="233"/>
      <c r="R180" s="233"/>
      <c r="S180" s="233"/>
      <c r="T180" s="233">
        <f>+T179-T14</f>
        <v>-379439.79000000097</v>
      </c>
      <c r="U180" s="233"/>
    </row>
    <row r="181" spans="1:39" outlineLevel="1">
      <c r="D181" s="233"/>
      <c r="E181" s="233"/>
      <c r="F181" s="233"/>
      <c r="G181" s="233"/>
      <c r="H181" s="233"/>
      <c r="I181" s="233"/>
      <c r="J181" s="233"/>
      <c r="K181" s="233"/>
      <c r="L181" s="233"/>
      <c r="M181" s="233"/>
      <c r="N181" s="233"/>
      <c r="O181" s="233"/>
      <c r="P181" s="233"/>
      <c r="Q181" s="233"/>
      <c r="R181" s="233"/>
      <c r="S181" s="233"/>
      <c r="T181" s="233"/>
      <c r="U181" s="233"/>
    </row>
    <row r="182" spans="1:39" s="220" customFormat="1" outlineLevel="3">
      <c r="A182" s="218"/>
      <c r="D182" s="235" t="s">
        <v>25</v>
      </c>
      <c r="F182" s="223"/>
      <c r="H182" s="223"/>
      <c r="J182" s="235" t="s">
        <v>612</v>
      </c>
      <c r="L182" s="235" t="s">
        <v>28</v>
      </c>
      <c r="N182" s="236" t="s">
        <v>37</v>
      </c>
      <c r="P182" s="235"/>
      <c r="R182" s="235" t="s">
        <v>39</v>
      </c>
      <c r="T182" s="235" t="s">
        <v>26</v>
      </c>
      <c r="U182" s="235"/>
      <c r="V182" s="221"/>
      <c r="W182" s="221"/>
      <c r="X182" s="221"/>
    </row>
    <row r="183" spans="1:39" s="220" customFormat="1" outlineLevel="3">
      <c r="A183" s="218"/>
      <c r="D183" s="237" t="s">
        <v>27</v>
      </c>
      <c r="F183" s="237" t="s">
        <v>954</v>
      </c>
      <c r="H183" s="237" t="s">
        <v>108</v>
      </c>
      <c r="J183" s="237" t="s">
        <v>613</v>
      </c>
      <c r="L183" s="237" t="s">
        <v>29</v>
      </c>
      <c r="N183" s="237" t="s">
        <v>38</v>
      </c>
      <c r="P183" s="237" t="s">
        <v>955</v>
      </c>
      <c r="R183" s="237" t="s">
        <v>105</v>
      </c>
      <c r="T183" s="237" t="s">
        <v>27</v>
      </c>
      <c r="U183" s="236"/>
      <c r="V183" s="221"/>
      <c r="W183" s="221"/>
      <c r="X183" s="221"/>
    </row>
    <row r="184" spans="1:39" s="220" customFormat="1" outlineLevel="3">
      <c r="A184" s="218"/>
      <c r="D184" s="236"/>
      <c r="F184" s="236"/>
      <c r="H184" s="236"/>
      <c r="J184" s="236"/>
      <c r="L184" s="236"/>
      <c r="N184" s="236"/>
      <c r="P184" s="236"/>
      <c r="R184" s="236"/>
      <c r="T184" s="236"/>
      <c r="U184" s="236"/>
      <c r="V184" s="221"/>
      <c r="W184" s="221"/>
      <c r="X184" s="221"/>
    </row>
    <row r="185" spans="1:39" s="220" customFormat="1" outlineLevel="3">
      <c r="A185" s="218"/>
      <c r="B185" s="219" t="s">
        <v>137</v>
      </c>
      <c r="D185" s="224"/>
      <c r="E185" s="224"/>
      <c r="F185" s="224"/>
      <c r="G185" s="224"/>
      <c r="H185" s="224"/>
      <c r="I185" s="224"/>
      <c r="J185" s="224"/>
      <c r="K185" s="224"/>
      <c r="L185" s="224"/>
      <c r="M185" s="224"/>
      <c r="N185" s="224"/>
      <c r="O185" s="224"/>
      <c r="P185" s="224"/>
      <c r="Q185" s="224"/>
      <c r="R185" s="224"/>
      <c r="S185" s="224"/>
      <c r="T185" s="224"/>
      <c r="U185" s="224"/>
      <c r="V185" s="221"/>
      <c r="W185" s="221"/>
      <c r="X185" s="221"/>
    </row>
    <row r="186" spans="1:39" s="220" customFormat="1" outlineLevel="3">
      <c r="A186" s="218"/>
      <c r="C186" s="220" t="s">
        <v>455</v>
      </c>
      <c r="D186" s="223">
        <f>+'Summary - Reserve - PG 2 (Fin)'!C10</f>
        <v>-77087119.390000001</v>
      </c>
      <c r="E186" s="223"/>
      <c r="F186" s="223">
        <f>+'Summary - Reserve - PG 2 (Fin)'!E10</f>
        <v>-3031758.62</v>
      </c>
      <c r="G186" s="223"/>
      <c r="H186" s="223">
        <f>+'Summary - Reserve - PG 2 (Fin)'!G10</f>
        <v>243220.97999999998</v>
      </c>
      <c r="I186" s="223"/>
      <c r="J186" s="223">
        <f>+'Summary - Reserve - PG 2 (Fin)'!I10</f>
        <v>0</v>
      </c>
      <c r="K186" s="223"/>
      <c r="L186" s="223">
        <f>+'Summary - Reserve - PG 2 (Fin)'!M10</f>
        <v>0</v>
      </c>
      <c r="M186" s="223"/>
      <c r="N186" s="223">
        <f>+'Summary - Reserve - PG 2 (Fin)'!O10</f>
        <v>0</v>
      </c>
      <c r="O186" s="223"/>
      <c r="P186" s="223">
        <f>+'Summary - Reserve - PG 2 (Fin)'!Q10</f>
        <v>0</v>
      </c>
      <c r="Q186" s="223"/>
      <c r="R186" s="223">
        <f>+'Summary - Reserve - PG 2 (Fin)'!S10</f>
        <v>0</v>
      </c>
      <c r="S186" s="223"/>
      <c r="T186" s="223">
        <f>R186+P186+N186+L186+J186+H186+F186+D186</f>
        <v>-79875657.030000001</v>
      </c>
      <c r="U186" s="223"/>
      <c r="V186" s="221"/>
      <c r="W186" s="221"/>
      <c r="X186" s="221"/>
    </row>
    <row r="187" spans="1:39" s="220" customFormat="1" outlineLevel="3">
      <c r="A187" s="218"/>
      <c r="C187" s="220" t="s">
        <v>851</v>
      </c>
      <c r="D187" s="223">
        <f>+'Summary - Reserve - PG 2 (Fin)'!C11</f>
        <v>-2403.5899999999979</v>
      </c>
      <c r="E187" s="223"/>
      <c r="F187" s="223">
        <f>+'Summary - Reserve - PG 2 (Fin)'!E11</f>
        <v>-515.09999999999991</v>
      </c>
      <c r="G187" s="223"/>
      <c r="H187" s="223">
        <f>+'Summary - Reserve - PG 2 (Fin)'!G11</f>
        <v>0</v>
      </c>
      <c r="I187" s="223"/>
      <c r="J187" s="223">
        <f>+'Summary - Reserve - PG 2 (Fin)'!I11</f>
        <v>0</v>
      </c>
      <c r="K187" s="223"/>
      <c r="L187" s="223">
        <f>+'Summary - Reserve - PG 2 (Fin)'!M11</f>
        <v>0</v>
      </c>
      <c r="M187" s="223"/>
      <c r="N187" s="223">
        <f>+'Summary - Reserve - PG 2 (Fin)'!O11</f>
        <v>0</v>
      </c>
      <c r="O187" s="223"/>
      <c r="P187" s="223">
        <f>+'Summary - Reserve - PG 2 (Fin)'!Q11</f>
        <v>0</v>
      </c>
      <c r="Q187" s="223"/>
      <c r="R187" s="223">
        <f>+'Summary - Reserve - PG 2 (Fin)'!S11</f>
        <v>0</v>
      </c>
      <c r="S187" s="223"/>
      <c r="T187" s="223">
        <f t="shared" ref="T187:T206" si="31">R187+P187+N187+L187+J187+H187+F187+D187</f>
        <v>-2918.6899999999978</v>
      </c>
      <c r="U187" s="223"/>
      <c r="V187" s="221"/>
      <c r="W187" s="221"/>
      <c r="X187" s="221"/>
    </row>
    <row r="188" spans="1:39" s="220" customFormat="1" outlineLevel="3">
      <c r="A188" s="218"/>
      <c r="C188" s="220" t="s">
        <v>113</v>
      </c>
      <c r="D188" s="223">
        <f>+'Summary - Reserve - PG 2 (Fin)'!C12</f>
        <v>-287667187.72000003</v>
      </c>
      <c r="E188" s="223"/>
      <c r="F188" s="223">
        <f>+'Summary - Reserve - PG 2 (Fin)'!E12</f>
        <v>-4544838.4800000004</v>
      </c>
      <c r="G188" s="223"/>
      <c r="H188" s="223">
        <f>+'Summary - Reserve - PG 2 (Fin)'!G12</f>
        <v>1798292.8599999999</v>
      </c>
      <c r="I188" s="223"/>
      <c r="J188" s="223">
        <f>+'Summary - Reserve - PG 2 (Fin)'!I12</f>
        <v>0</v>
      </c>
      <c r="K188" s="223"/>
      <c r="L188" s="223">
        <f>+'Summary - Reserve - PG 2 (Fin)'!M12</f>
        <v>0</v>
      </c>
      <c r="M188" s="223"/>
      <c r="N188" s="223">
        <f>+'Summary - Reserve - PG 2 (Fin)'!O12</f>
        <v>0</v>
      </c>
      <c r="O188" s="223"/>
      <c r="P188" s="223">
        <f>+'Summary - Reserve - PG 2 (Fin)'!Q12</f>
        <v>0</v>
      </c>
      <c r="Q188" s="223"/>
      <c r="R188" s="223">
        <f>+'Summary - Reserve - PG 2 (Fin)'!S12</f>
        <v>0</v>
      </c>
      <c r="S188" s="223"/>
      <c r="T188" s="223">
        <f t="shared" si="31"/>
        <v>-290413733.34000003</v>
      </c>
      <c r="U188" s="223"/>
      <c r="V188" s="221"/>
      <c r="W188" s="221"/>
      <c r="X188" s="221"/>
    </row>
    <row r="189" spans="1:39" s="220" customFormat="1" outlineLevel="3">
      <c r="A189" s="218"/>
      <c r="C189" s="220" t="s">
        <v>852</v>
      </c>
      <c r="D189" s="223">
        <f>+'Summary - Reserve - PG 2 (Fin)'!C13</f>
        <v>-7290.4000000000697</v>
      </c>
      <c r="E189" s="223"/>
      <c r="F189" s="223">
        <f>+'Summary - Reserve - PG 2 (Fin)'!E13</f>
        <v>-2849.7799999999997</v>
      </c>
      <c r="G189" s="223"/>
      <c r="H189" s="223">
        <f>+'Summary - Reserve - PG 2 (Fin)'!G13</f>
        <v>0</v>
      </c>
      <c r="I189" s="223"/>
      <c r="J189" s="223">
        <f>+'Summary - Reserve - PG 2 (Fin)'!I13</f>
        <v>-223.56</v>
      </c>
      <c r="K189" s="223"/>
      <c r="L189" s="223">
        <f>+'Summary - Reserve - PG 2 (Fin)'!M13</f>
        <v>0</v>
      </c>
      <c r="M189" s="223"/>
      <c r="N189" s="223">
        <f>+'Summary - Reserve - PG 2 (Fin)'!O13</f>
        <v>0</v>
      </c>
      <c r="O189" s="223"/>
      <c r="P189" s="223">
        <f>+'Summary - Reserve - PG 2 (Fin)'!Q13</f>
        <v>0</v>
      </c>
      <c r="Q189" s="223"/>
      <c r="R189" s="223">
        <f>+'Summary - Reserve - PG 2 (Fin)'!S13</f>
        <v>0</v>
      </c>
      <c r="S189" s="223"/>
      <c r="T189" s="223">
        <f t="shared" si="31"/>
        <v>-10363.740000000069</v>
      </c>
      <c r="U189" s="223"/>
      <c r="V189" s="221"/>
      <c r="W189" s="221"/>
      <c r="X189" s="221"/>
    </row>
    <row r="190" spans="1:39" s="220" customFormat="1" outlineLevel="3">
      <c r="A190" s="218"/>
      <c r="C190" s="220" t="s">
        <v>114</v>
      </c>
      <c r="D190" s="223">
        <f>+'Summary - Reserve - PG 2 (Fin)'!C14</f>
        <v>-11305192.129999997</v>
      </c>
      <c r="E190" s="223"/>
      <c r="F190" s="223">
        <f>+'Summary - Reserve - PG 2 (Fin)'!E14</f>
        <v>-138484.76</v>
      </c>
      <c r="G190" s="223"/>
      <c r="H190" s="223">
        <f>+'Summary - Reserve - PG 2 (Fin)'!G14</f>
        <v>39209.64</v>
      </c>
      <c r="I190" s="223"/>
      <c r="J190" s="223">
        <f>+'Summary - Reserve - PG 2 (Fin)'!I14</f>
        <v>0</v>
      </c>
      <c r="K190" s="223"/>
      <c r="L190" s="223">
        <f>+'Summary - Reserve - PG 2 (Fin)'!M14</f>
        <v>0</v>
      </c>
      <c r="M190" s="223"/>
      <c r="N190" s="223">
        <f>+'Summary - Reserve - PG 2 (Fin)'!O14</f>
        <v>0</v>
      </c>
      <c r="O190" s="223"/>
      <c r="P190" s="223">
        <f>+'Summary - Reserve - PG 2 (Fin)'!Q14</f>
        <v>0</v>
      </c>
      <c r="Q190" s="223"/>
      <c r="R190" s="223">
        <f>+'Summary - Reserve - PG 2 (Fin)'!S14</f>
        <v>0</v>
      </c>
      <c r="S190" s="223"/>
      <c r="T190" s="223">
        <f t="shared" si="31"/>
        <v>-11404467.249999996</v>
      </c>
      <c r="U190" s="223"/>
      <c r="V190" s="221"/>
      <c r="W190" s="221"/>
      <c r="X190" s="221"/>
    </row>
    <row r="191" spans="1:39" s="220" customFormat="1" outlineLevel="3">
      <c r="A191" s="218"/>
      <c r="C191" s="220" t="s">
        <v>115</v>
      </c>
      <c r="D191" s="223">
        <f>+'Summary - Reserve - PG 2 (Fin)'!C15</f>
        <v>-10051997.220000001</v>
      </c>
      <c r="E191" s="223"/>
      <c r="F191" s="223">
        <f>+'Summary - Reserve - PG 2 (Fin)'!E15</f>
        <v>-141469.07</v>
      </c>
      <c r="G191" s="223"/>
      <c r="H191" s="223">
        <f>+'Summary - Reserve - PG 2 (Fin)'!G15</f>
        <v>507.91</v>
      </c>
      <c r="I191" s="223"/>
      <c r="J191" s="223">
        <f>+'Summary - Reserve - PG 2 (Fin)'!I15</f>
        <v>0</v>
      </c>
      <c r="K191" s="223"/>
      <c r="L191" s="223">
        <f>+'Summary - Reserve - PG 2 (Fin)'!M15</f>
        <v>0</v>
      </c>
      <c r="M191" s="223"/>
      <c r="N191" s="223">
        <f>+'Summary - Reserve - PG 2 (Fin)'!O15</f>
        <v>0</v>
      </c>
      <c r="O191" s="223"/>
      <c r="P191" s="223">
        <f>+'Summary - Reserve - PG 2 (Fin)'!Q15</f>
        <v>0</v>
      </c>
      <c r="Q191" s="223"/>
      <c r="R191" s="223">
        <f>+'Summary - Reserve - PG 2 (Fin)'!S15</f>
        <v>0</v>
      </c>
      <c r="S191" s="223"/>
      <c r="T191" s="223">
        <f t="shared" si="31"/>
        <v>-10192958.380000001</v>
      </c>
      <c r="U191" s="223"/>
      <c r="V191" s="221"/>
      <c r="W191" s="221"/>
      <c r="X191" s="221"/>
    </row>
    <row r="192" spans="1:39" s="220" customFormat="1" outlineLevel="3">
      <c r="A192" s="218"/>
      <c r="C192" s="220" t="s">
        <v>853</v>
      </c>
      <c r="D192" s="223">
        <f>+'Summary - Reserve - PG 2 (Fin)'!C16</f>
        <v>-2112.6200000000099</v>
      </c>
      <c r="E192" s="223"/>
      <c r="F192" s="223">
        <f>+'Summary - Reserve - PG 2 (Fin)'!E16</f>
        <v>-437.13</v>
      </c>
      <c r="G192" s="223"/>
      <c r="H192" s="223">
        <f>+'Summary - Reserve - PG 2 (Fin)'!G16</f>
        <v>0</v>
      </c>
      <c r="I192" s="223"/>
      <c r="J192" s="223">
        <f>+'Summary - Reserve - PG 2 (Fin)'!I16</f>
        <v>0</v>
      </c>
      <c r="K192" s="223"/>
      <c r="L192" s="223">
        <f>+'Summary - Reserve - PG 2 (Fin)'!M16</f>
        <v>0</v>
      </c>
      <c r="M192" s="223"/>
      <c r="N192" s="223">
        <f>+'Summary - Reserve - PG 2 (Fin)'!O16</f>
        <v>0</v>
      </c>
      <c r="O192" s="223"/>
      <c r="P192" s="223">
        <f>+'Summary - Reserve - PG 2 (Fin)'!Q16</f>
        <v>0</v>
      </c>
      <c r="Q192" s="223"/>
      <c r="R192" s="223">
        <f>+'Summary - Reserve - PG 2 (Fin)'!S16</f>
        <v>0</v>
      </c>
      <c r="S192" s="223"/>
      <c r="T192" s="223">
        <f t="shared" si="31"/>
        <v>-2549.75000000001</v>
      </c>
      <c r="U192" s="223"/>
      <c r="V192" s="221"/>
      <c r="W192" s="221"/>
      <c r="X192" s="221"/>
    </row>
    <row r="193" spans="1:24" s="220" customFormat="1" outlineLevel="3">
      <c r="A193" s="218"/>
      <c r="C193" s="220" t="s">
        <v>117</v>
      </c>
      <c r="D193" s="223">
        <f>+'Summary - Reserve - PG 2 (Fin)'!C17</f>
        <v>-67466740.670000002</v>
      </c>
      <c r="E193" s="223"/>
      <c r="F193" s="223">
        <f>+'Summary - Reserve - PG 2 (Fin)'!E17</f>
        <v>-2095352.7999999998</v>
      </c>
      <c r="G193" s="223"/>
      <c r="H193" s="223">
        <f>+'Summary - Reserve - PG 2 (Fin)'!G17</f>
        <v>676874.51</v>
      </c>
      <c r="I193" s="223"/>
      <c r="J193" s="223">
        <f>+'Summary - Reserve - PG 2 (Fin)'!I17</f>
        <v>0</v>
      </c>
      <c r="K193" s="223"/>
      <c r="L193" s="223">
        <f>+'Summary - Reserve - PG 2 (Fin)'!M17</f>
        <v>0</v>
      </c>
      <c r="M193" s="223"/>
      <c r="N193" s="223">
        <f>+'Summary - Reserve - PG 2 (Fin)'!O17</f>
        <v>0</v>
      </c>
      <c r="O193" s="223"/>
      <c r="P193" s="223">
        <f>+'Summary - Reserve - PG 2 (Fin)'!Q17</f>
        <v>0</v>
      </c>
      <c r="Q193" s="223"/>
      <c r="R193" s="223">
        <f>+'Summary - Reserve - PG 2 (Fin)'!S17</f>
        <v>0</v>
      </c>
      <c r="S193" s="223"/>
      <c r="T193" s="223">
        <f t="shared" si="31"/>
        <v>-68885218.960000008</v>
      </c>
      <c r="U193" s="223"/>
      <c r="V193" s="221"/>
      <c r="W193" s="221"/>
      <c r="X193" s="221"/>
    </row>
    <row r="194" spans="1:24" s="220" customFormat="1" outlineLevel="3">
      <c r="A194" s="218"/>
      <c r="C194" s="220" t="s">
        <v>953</v>
      </c>
      <c r="D194" s="223">
        <f>+'Summary - Reserve - PG 2 (Fin)'!C18</f>
        <v>-1302.8200000001236</v>
      </c>
      <c r="E194" s="223"/>
      <c r="F194" s="223">
        <f>+'Summary - Reserve - PG 2 (Fin)'!E18</f>
        <v>-289.68</v>
      </c>
      <c r="G194" s="223"/>
      <c r="H194" s="223">
        <f>+'Summary - Reserve - PG 2 (Fin)'!G18</f>
        <v>0</v>
      </c>
      <c r="I194" s="223"/>
      <c r="J194" s="223">
        <f>+'Summary - Reserve - PG 2 (Fin)'!I18</f>
        <v>0</v>
      </c>
      <c r="K194" s="223"/>
      <c r="L194" s="223">
        <f>+'Summary - Reserve - PG 2 (Fin)'!M18</f>
        <v>0</v>
      </c>
      <c r="M194" s="223"/>
      <c r="N194" s="223">
        <f>+'Summary - Reserve - PG 2 (Fin)'!O18</f>
        <v>0</v>
      </c>
      <c r="O194" s="223"/>
      <c r="P194" s="223">
        <f>+'Summary - Reserve - PG 2 (Fin)'!Q18</f>
        <v>0</v>
      </c>
      <c r="Q194" s="223"/>
      <c r="R194" s="223">
        <f>+'Summary - Reserve - PG 2 (Fin)'!S18</f>
        <v>0</v>
      </c>
      <c r="S194" s="223"/>
      <c r="T194" s="223">
        <f>R194+P194+N194+L194+J194+H194+F194+D194</f>
        <v>-1592.5000000001237</v>
      </c>
      <c r="U194" s="223"/>
      <c r="V194" s="221"/>
      <c r="W194" s="221"/>
      <c r="X194" s="221"/>
    </row>
    <row r="195" spans="1:24" s="220" customFormat="1" outlineLevel="3">
      <c r="A195" s="218"/>
      <c r="C195" s="220" t="s">
        <v>118</v>
      </c>
      <c r="D195" s="223">
        <f>+'Summary - Reserve - PG 2 (Fin)'!C19</f>
        <v>-1060614162.86</v>
      </c>
      <c r="E195" s="223"/>
      <c r="F195" s="223">
        <f>+'Summary - Reserve - PG 2 (Fin)'!E19</f>
        <v>-14361072.620000001</v>
      </c>
      <c r="G195" s="223"/>
      <c r="H195" s="223">
        <f>+'Summary - Reserve - PG 2 (Fin)'!G19</f>
        <v>1086699.3899999999</v>
      </c>
      <c r="I195" s="223"/>
      <c r="J195" s="223">
        <f>+'Summary - Reserve - PG 2 (Fin)'!I19</f>
        <v>0</v>
      </c>
      <c r="K195" s="223"/>
      <c r="L195" s="223">
        <f>+'Summary - Reserve - PG 2 (Fin)'!M19</f>
        <v>0</v>
      </c>
      <c r="M195" s="223"/>
      <c r="N195" s="223">
        <f>+'Summary - Reserve - PG 2 (Fin)'!O19</f>
        <v>0</v>
      </c>
      <c r="O195" s="223"/>
      <c r="P195" s="223">
        <f>+'Summary - Reserve - PG 2 (Fin)'!Q19</f>
        <v>0</v>
      </c>
      <c r="Q195" s="223"/>
      <c r="R195" s="223">
        <f>+'Summary - Reserve - PG 2 (Fin)'!S19</f>
        <v>0</v>
      </c>
      <c r="S195" s="223"/>
      <c r="T195" s="223">
        <f t="shared" si="31"/>
        <v>-1073888536.0899999</v>
      </c>
      <c r="U195" s="223"/>
      <c r="V195" s="221"/>
      <c r="W195" s="221"/>
      <c r="X195" s="221"/>
    </row>
    <row r="196" spans="1:24" s="220" customFormat="1" outlineLevel="3">
      <c r="A196" s="218"/>
      <c r="C196" s="220" t="s">
        <v>949</v>
      </c>
      <c r="D196" s="223">
        <f>+'Summary - Reserve - PG 2 (Fin)'!C20</f>
        <v>-1402047.92</v>
      </c>
      <c r="E196" s="223"/>
      <c r="F196" s="223">
        <f>+'Summary - Reserve - PG 2 (Fin)'!E20</f>
        <v>-448236.04999999993</v>
      </c>
      <c r="G196" s="223"/>
      <c r="H196" s="223">
        <f>+'Summary - Reserve - PG 2 (Fin)'!G20</f>
        <v>0</v>
      </c>
      <c r="I196" s="223"/>
      <c r="J196" s="223">
        <f>+'Summary - Reserve - PG 2 (Fin)'!I20</f>
        <v>0</v>
      </c>
      <c r="K196" s="223"/>
      <c r="L196" s="223">
        <f>+'Summary - Reserve - PG 2 (Fin)'!M20</f>
        <v>0</v>
      </c>
      <c r="M196" s="223"/>
      <c r="N196" s="223">
        <f>+'Summary - Reserve - PG 2 (Fin)'!O20</f>
        <v>0</v>
      </c>
      <c r="O196" s="223"/>
      <c r="P196" s="223">
        <f>+'Summary - Reserve - PG 2 (Fin)'!Q20</f>
        <v>0</v>
      </c>
      <c r="Q196" s="223"/>
      <c r="R196" s="223">
        <f>+'Summary - Reserve - PG 2 (Fin)'!S20</f>
        <v>0</v>
      </c>
      <c r="S196" s="223"/>
      <c r="T196" s="223">
        <f t="shared" si="31"/>
        <v>-1850283.9699999997</v>
      </c>
      <c r="U196" s="223"/>
      <c r="V196" s="221"/>
      <c r="W196" s="221"/>
      <c r="X196" s="221"/>
    </row>
    <row r="197" spans="1:24" s="220" customFormat="1" outlineLevel="3">
      <c r="A197" s="218"/>
      <c r="C197" s="220" t="s">
        <v>119</v>
      </c>
      <c r="D197" s="223">
        <f>+'Summary - Reserve - PG 2 (Fin)'!C21</f>
        <v>-121989304.83999999</v>
      </c>
      <c r="E197" s="223"/>
      <c r="F197" s="223">
        <f>+'Summary - Reserve - PG 2 (Fin)'!E21</f>
        <v>-1131896.19</v>
      </c>
      <c r="G197" s="223"/>
      <c r="H197" s="223">
        <f>+'Summary - Reserve - PG 2 (Fin)'!G21</f>
        <v>1623977.77</v>
      </c>
      <c r="I197" s="223"/>
      <c r="J197" s="223">
        <f>+'Summary - Reserve - PG 2 (Fin)'!I21</f>
        <v>0</v>
      </c>
      <c r="K197" s="223"/>
      <c r="L197" s="223">
        <f>+'Summary - Reserve - PG 2 (Fin)'!M21</f>
        <v>0</v>
      </c>
      <c r="M197" s="223"/>
      <c r="N197" s="223">
        <f>+'Summary - Reserve - PG 2 (Fin)'!O21</f>
        <v>0</v>
      </c>
      <c r="O197" s="223"/>
      <c r="P197" s="223">
        <f>+'Summary - Reserve - PG 2 (Fin)'!Q21</f>
        <v>0</v>
      </c>
      <c r="Q197" s="223"/>
      <c r="R197" s="223">
        <f>+'Summary - Reserve - PG 2 (Fin)'!S21</f>
        <v>0</v>
      </c>
      <c r="S197" s="223"/>
      <c r="T197" s="223">
        <f t="shared" si="31"/>
        <v>-121497223.25999999</v>
      </c>
      <c r="U197" s="223"/>
      <c r="V197" s="221"/>
      <c r="W197" s="221"/>
      <c r="X197" s="221"/>
    </row>
    <row r="198" spans="1:24" s="220" customFormat="1" outlineLevel="3">
      <c r="A198" s="218"/>
      <c r="C198" s="220" t="s">
        <v>950</v>
      </c>
      <c r="D198" s="223">
        <f>+'Summary - Reserve - PG 2 (Fin)'!C22</f>
        <v>-903.27999999999975</v>
      </c>
      <c r="E198" s="223"/>
      <c r="F198" s="223">
        <f>+'Summary - Reserve - PG 2 (Fin)'!E22</f>
        <v>-2038.83</v>
      </c>
      <c r="G198" s="223"/>
      <c r="H198" s="223">
        <f>+'Summary - Reserve - PG 2 (Fin)'!G22</f>
        <v>0</v>
      </c>
      <c r="I198" s="223"/>
      <c r="J198" s="223">
        <f>+'Summary - Reserve - PG 2 (Fin)'!I22</f>
        <v>0</v>
      </c>
      <c r="K198" s="223"/>
      <c r="L198" s="223">
        <f>+'Summary - Reserve - PG 2 (Fin)'!M22</f>
        <v>0</v>
      </c>
      <c r="M198" s="223"/>
      <c r="N198" s="223">
        <f>+'Summary - Reserve - PG 2 (Fin)'!O22</f>
        <v>0</v>
      </c>
      <c r="O198" s="223"/>
      <c r="P198" s="223">
        <f>+'Summary - Reserve - PG 2 (Fin)'!Q22</f>
        <v>0</v>
      </c>
      <c r="Q198" s="223"/>
      <c r="R198" s="223">
        <f>+'Summary - Reserve - PG 2 (Fin)'!S22</f>
        <v>0</v>
      </c>
      <c r="S198" s="223"/>
      <c r="T198" s="223">
        <f t="shared" si="31"/>
        <v>-2942.1099999999997</v>
      </c>
      <c r="U198" s="223"/>
      <c r="V198" s="221"/>
      <c r="W198" s="221"/>
      <c r="X198" s="221"/>
    </row>
    <row r="199" spans="1:24" s="220" customFormat="1" outlineLevel="3">
      <c r="A199" s="218"/>
      <c r="C199" s="220" t="s">
        <v>121</v>
      </c>
      <c r="D199" s="223">
        <f>+'Summary - Reserve - PG 2 (Fin)'!C23</f>
        <v>-131835425.42</v>
      </c>
      <c r="E199" s="223"/>
      <c r="F199" s="223">
        <f>+'Summary - Reserve - PG 2 (Fin)'!E23</f>
        <v>-3045800.2800000003</v>
      </c>
      <c r="G199" s="223"/>
      <c r="H199" s="223">
        <f>+'Summary - Reserve - PG 2 (Fin)'!G23</f>
        <v>23617.800000000003</v>
      </c>
      <c r="I199" s="223"/>
      <c r="J199" s="223">
        <f>+'Summary - Reserve - PG 2 (Fin)'!I23</f>
        <v>1037.44</v>
      </c>
      <c r="K199" s="223"/>
      <c r="L199" s="223">
        <f>+'Summary - Reserve - PG 2 (Fin)'!M23</f>
        <v>0</v>
      </c>
      <c r="M199" s="223"/>
      <c r="N199" s="223">
        <f>+'Summary - Reserve - PG 2 (Fin)'!O23</f>
        <v>0</v>
      </c>
      <c r="O199" s="223"/>
      <c r="P199" s="223">
        <f>+'Summary - Reserve - PG 2 (Fin)'!Q23</f>
        <v>0</v>
      </c>
      <c r="Q199" s="223"/>
      <c r="R199" s="223">
        <f>+'Summary - Reserve - PG 2 (Fin)'!S23</f>
        <v>0</v>
      </c>
      <c r="S199" s="223"/>
      <c r="T199" s="223">
        <f t="shared" si="31"/>
        <v>-134856570.46000001</v>
      </c>
      <c r="U199" s="223"/>
      <c r="V199" s="221"/>
      <c r="W199" s="221"/>
      <c r="X199" s="221"/>
    </row>
    <row r="200" spans="1:24" s="220" customFormat="1" outlineLevel="3">
      <c r="A200" s="218"/>
      <c r="C200" s="220" t="s">
        <v>951</v>
      </c>
      <c r="D200" s="223">
        <f>+'Summary - Reserve - PG 2 (Fin)'!C24</f>
        <v>-346237.50999999919</v>
      </c>
      <c r="E200" s="223"/>
      <c r="F200" s="223">
        <f>+'Summary - Reserve - PG 2 (Fin)'!E24</f>
        <v>-74185.929999999993</v>
      </c>
      <c r="G200" s="223"/>
      <c r="H200" s="223">
        <f>+'Summary - Reserve - PG 2 (Fin)'!G24</f>
        <v>0</v>
      </c>
      <c r="I200" s="223"/>
      <c r="J200" s="223">
        <f>+'Summary - Reserve - PG 2 (Fin)'!I24</f>
        <v>0</v>
      </c>
      <c r="K200" s="223"/>
      <c r="L200" s="223">
        <f>+'Summary - Reserve - PG 2 (Fin)'!M24</f>
        <v>0</v>
      </c>
      <c r="M200" s="223"/>
      <c r="N200" s="223">
        <f>+'Summary - Reserve - PG 2 (Fin)'!O24</f>
        <v>0</v>
      </c>
      <c r="O200" s="223"/>
      <c r="P200" s="223">
        <f>+'Summary - Reserve - PG 2 (Fin)'!Q24</f>
        <v>0</v>
      </c>
      <c r="Q200" s="223"/>
      <c r="R200" s="223">
        <f>+'Summary - Reserve - PG 2 (Fin)'!S24</f>
        <v>0</v>
      </c>
      <c r="S200" s="223"/>
      <c r="T200" s="223">
        <f t="shared" si="31"/>
        <v>-420423.43999999919</v>
      </c>
      <c r="U200" s="223"/>
      <c r="V200" s="221"/>
      <c r="W200" s="221"/>
      <c r="X200" s="221"/>
    </row>
    <row r="201" spans="1:24" s="220" customFormat="1" outlineLevel="3">
      <c r="A201" s="218"/>
      <c r="C201" s="220" t="s">
        <v>122</v>
      </c>
      <c r="D201" s="223">
        <f>+'Summary - Reserve - PG 2 (Fin)'!C25</f>
        <v>-5044235.87</v>
      </c>
      <c r="E201" s="223"/>
      <c r="F201" s="223">
        <f>+'Summary - Reserve - PG 2 (Fin)'!E25</f>
        <v>-93208.87000000001</v>
      </c>
      <c r="G201" s="223"/>
      <c r="H201" s="223">
        <f>+'Summary - Reserve - PG 2 (Fin)'!G25</f>
        <v>0</v>
      </c>
      <c r="I201" s="223"/>
      <c r="J201" s="223">
        <f>+'Summary - Reserve - PG 2 (Fin)'!I25</f>
        <v>0</v>
      </c>
      <c r="K201" s="223"/>
      <c r="L201" s="223">
        <f>+'Summary - Reserve - PG 2 (Fin)'!M25</f>
        <v>0</v>
      </c>
      <c r="M201" s="223"/>
      <c r="N201" s="223">
        <f>+'Summary - Reserve - PG 2 (Fin)'!O25</f>
        <v>0</v>
      </c>
      <c r="O201" s="223"/>
      <c r="P201" s="223">
        <f>+'Summary - Reserve - PG 2 (Fin)'!Q25</f>
        <v>0</v>
      </c>
      <c r="Q201" s="223"/>
      <c r="R201" s="223">
        <f>+'Summary - Reserve - PG 2 (Fin)'!S25</f>
        <v>0</v>
      </c>
      <c r="S201" s="223"/>
      <c r="T201" s="223">
        <f t="shared" si="31"/>
        <v>-5137444.74</v>
      </c>
      <c r="U201" s="223"/>
      <c r="V201" s="221"/>
      <c r="W201" s="221"/>
      <c r="X201" s="221"/>
    </row>
    <row r="202" spans="1:24" s="220" customFormat="1" outlineLevel="3">
      <c r="A202" s="218"/>
      <c r="C202" s="220" t="s">
        <v>124</v>
      </c>
      <c r="D202" s="223">
        <f>+'Summary - Reserve - PG 2 (Fin)'!C26</f>
        <v>-31071784.790000003</v>
      </c>
      <c r="E202" s="223"/>
      <c r="F202" s="223">
        <f>+'Summary - Reserve - PG 2 (Fin)'!E26</f>
        <v>-304911.95999999996</v>
      </c>
      <c r="G202" s="223"/>
      <c r="H202" s="223">
        <f>+'Summary - Reserve - PG 2 (Fin)'!G26</f>
        <v>58529.299999999996</v>
      </c>
      <c r="I202" s="223"/>
      <c r="J202" s="223">
        <f>+'Summary - Reserve - PG 2 (Fin)'!I26</f>
        <v>0</v>
      </c>
      <c r="K202" s="223"/>
      <c r="L202" s="223">
        <f>+'Summary - Reserve - PG 2 (Fin)'!M26</f>
        <v>0</v>
      </c>
      <c r="M202" s="223"/>
      <c r="N202" s="223">
        <f>+'Summary - Reserve - PG 2 (Fin)'!O26</f>
        <v>0</v>
      </c>
      <c r="O202" s="223"/>
      <c r="P202" s="223">
        <f>+'Summary - Reserve - PG 2 (Fin)'!Q26</f>
        <v>0</v>
      </c>
      <c r="Q202" s="223"/>
      <c r="R202" s="223">
        <f>+'Summary - Reserve - PG 2 (Fin)'!S26</f>
        <v>0</v>
      </c>
      <c r="S202" s="223"/>
      <c r="T202" s="223">
        <f t="shared" si="31"/>
        <v>-31318167.450000003</v>
      </c>
      <c r="U202" s="223"/>
      <c r="V202" s="221"/>
      <c r="W202" s="221"/>
      <c r="X202" s="221"/>
    </row>
    <row r="203" spans="1:24" s="220" customFormat="1" outlineLevel="3">
      <c r="A203" s="218"/>
      <c r="C203" s="220" t="s">
        <v>952</v>
      </c>
      <c r="D203" s="223">
        <f>+'Summary - Reserve - PG 2 (Fin)'!C27</f>
        <v>-257551.23999999993</v>
      </c>
      <c r="E203" s="223"/>
      <c r="F203" s="223">
        <f>+'Summary - Reserve - PG 2 (Fin)'!E27</f>
        <v>-55045.34</v>
      </c>
      <c r="G203" s="223"/>
      <c r="H203" s="223">
        <f>+'Summary - Reserve - PG 2 (Fin)'!G27</f>
        <v>0</v>
      </c>
      <c r="I203" s="223"/>
      <c r="J203" s="223">
        <f>+'Summary - Reserve - PG 2 (Fin)'!I27</f>
        <v>0</v>
      </c>
      <c r="K203" s="223"/>
      <c r="L203" s="223">
        <f>+'Summary - Reserve - PG 2 (Fin)'!M27</f>
        <v>0</v>
      </c>
      <c r="M203" s="223"/>
      <c r="N203" s="223">
        <f>+'Summary - Reserve - PG 2 (Fin)'!O27</f>
        <v>0</v>
      </c>
      <c r="O203" s="223"/>
      <c r="P203" s="223">
        <f>+'Summary - Reserve - PG 2 (Fin)'!Q27</f>
        <v>0</v>
      </c>
      <c r="Q203" s="223"/>
      <c r="R203" s="223">
        <f>+'Summary - Reserve - PG 2 (Fin)'!S27</f>
        <v>0</v>
      </c>
      <c r="S203" s="223"/>
      <c r="T203" s="223">
        <f t="shared" si="31"/>
        <v>-312596.57999999996</v>
      </c>
      <c r="U203" s="223"/>
      <c r="V203" s="221"/>
      <c r="W203" s="221"/>
      <c r="X203" s="221"/>
    </row>
    <row r="204" spans="1:24" s="220" customFormat="1" outlineLevel="3">
      <c r="A204" s="218"/>
      <c r="C204" s="220" t="s">
        <v>129</v>
      </c>
      <c r="D204" s="223">
        <f>+'Summary - Reserve - PG 2 (Fin)'!C28</f>
        <v>0</v>
      </c>
      <c r="E204" s="223"/>
      <c r="F204" s="223">
        <f>+'Summary - Reserve - PG 2 (Fin)'!E28</f>
        <v>0</v>
      </c>
      <c r="G204" s="223"/>
      <c r="H204" s="223">
        <f>+'Summary - Reserve - PG 2 (Fin)'!G28</f>
        <v>0</v>
      </c>
      <c r="I204" s="223"/>
      <c r="J204" s="223">
        <f>+'Summary - Reserve - PG 2 (Fin)'!I28</f>
        <v>0</v>
      </c>
      <c r="K204" s="223"/>
      <c r="L204" s="223">
        <f>+'Summary - Reserve - PG 2 (Fin)'!M28</f>
        <v>0</v>
      </c>
      <c r="M204" s="223"/>
      <c r="N204" s="223">
        <f>+'Summary - Reserve - PG 2 (Fin)'!O28</f>
        <v>0</v>
      </c>
      <c r="O204" s="223"/>
      <c r="P204" s="223">
        <f>+'Summary - Reserve - PG 2 (Fin)'!Q28</f>
        <v>0</v>
      </c>
      <c r="Q204" s="223"/>
      <c r="R204" s="223">
        <f>+'Summary - Reserve - PG 2 (Fin)'!S28</f>
        <v>0</v>
      </c>
      <c r="S204" s="223"/>
      <c r="T204" s="223">
        <f t="shared" si="31"/>
        <v>0</v>
      </c>
      <c r="U204" s="223"/>
      <c r="V204" s="221"/>
      <c r="W204" s="221"/>
      <c r="X204" s="221"/>
    </row>
    <row r="205" spans="1:24" s="220" customFormat="1" outlineLevel="3">
      <c r="A205" s="218"/>
      <c r="C205" s="220" t="s">
        <v>125</v>
      </c>
      <c r="D205" s="223">
        <f>+'Summary - Reserve - PG 2 (Fin)'!C29</f>
        <v>-9486356.3800000027</v>
      </c>
      <c r="E205" s="222"/>
      <c r="F205" s="223">
        <f>+'Summary - Reserve - PG 2 (Fin)'!E29</f>
        <v>-15224.29</v>
      </c>
      <c r="G205" s="222"/>
      <c r="H205" s="223">
        <f>+'Summary - Reserve - PG 2 (Fin)'!G29</f>
        <v>1389.93</v>
      </c>
      <c r="I205" s="222"/>
      <c r="J205" s="223">
        <f>+'Summary - Reserve - PG 2 (Fin)'!I29</f>
        <v>-1037.44</v>
      </c>
      <c r="K205" s="222"/>
      <c r="L205" s="223">
        <f>+'Summary - Reserve - PG 2 (Fin)'!M29</f>
        <v>0</v>
      </c>
      <c r="M205" s="222"/>
      <c r="N205" s="223">
        <f>+'Summary - Reserve - PG 2 (Fin)'!O29</f>
        <v>0</v>
      </c>
      <c r="O205" s="222"/>
      <c r="P205" s="223">
        <f>+'Summary - Reserve - PG 2 (Fin)'!Q29</f>
        <v>0</v>
      </c>
      <c r="Q205" s="222"/>
      <c r="R205" s="223">
        <f>+'Summary - Reserve - PG 2 (Fin)'!S29</f>
        <v>0</v>
      </c>
      <c r="S205" s="222"/>
      <c r="T205" s="222">
        <f t="shared" si="31"/>
        <v>-9501228.1800000034</v>
      </c>
      <c r="U205" s="222"/>
      <c r="V205" s="221"/>
      <c r="W205" s="221"/>
      <c r="X205" s="221"/>
    </row>
    <row r="206" spans="1:24" s="220" customFormat="1" outlineLevel="3">
      <c r="A206" s="218"/>
      <c r="C206" s="220" t="s">
        <v>131</v>
      </c>
      <c r="D206" s="225">
        <f>+'Summary - Reserve - PG 2 (Fin)'!C31</f>
        <v>-63360.36</v>
      </c>
      <c r="E206" s="222"/>
      <c r="F206" s="225">
        <f>+'Summary - Reserve - PG 2 (Fin)'!E31</f>
        <v>0</v>
      </c>
      <c r="G206" s="222"/>
      <c r="H206" s="225">
        <f>+'Summary - Reserve - PG 2 (Fin)'!G31</f>
        <v>0</v>
      </c>
      <c r="I206" s="222"/>
      <c r="J206" s="225">
        <f>+'Summary - Reserve - PG 2 (Fin)'!I31</f>
        <v>0</v>
      </c>
      <c r="K206" s="222"/>
      <c r="L206" s="225">
        <f>+'Summary - Reserve - PG 2 (Fin)'!M31</f>
        <v>0</v>
      </c>
      <c r="M206" s="222"/>
      <c r="N206" s="225">
        <f>+'Summary - Reserve - PG 2 (Fin)'!O31</f>
        <v>0</v>
      </c>
      <c r="O206" s="222"/>
      <c r="P206" s="225">
        <f>+'Summary - Reserve - PG 2 (Fin)'!Q31</f>
        <v>0</v>
      </c>
      <c r="Q206" s="222"/>
      <c r="R206" s="225">
        <f>+'Summary - Reserve - PG 2 (Fin)'!S31</f>
        <v>0</v>
      </c>
      <c r="S206" s="222"/>
      <c r="T206" s="225">
        <f t="shared" si="31"/>
        <v>-63360.36</v>
      </c>
      <c r="U206" s="222"/>
      <c r="V206" s="221"/>
      <c r="W206" s="221"/>
      <c r="X206" s="221"/>
    </row>
    <row r="207" spans="1:24" s="220" customFormat="1" outlineLevel="3">
      <c r="A207" s="218"/>
      <c r="C207" s="227"/>
      <c r="D207" s="222">
        <f>SUM(D186:D206)</f>
        <v>-1815702717.03</v>
      </c>
      <c r="E207" s="222"/>
      <c r="F207" s="222">
        <f>SUM(F186:F206)</f>
        <v>-29487615.780000005</v>
      </c>
      <c r="G207" s="222"/>
      <c r="H207" s="222">
        <f>SUM(H186:H206)</f>
        <v>5552320.089999998</v>
      </c>
      <c r="I207" s="222"/>
      <c r="J207" s="222">
        <f>SUM(J186:J206)</f>
        <v>-223.55999999999995</v>
      </c>
      <c r="K207" s="222"/>
      <c r="L207" s="222">
        <f>SUM(L186:L206)</f>
        <v>0</v>
      </c>
      <c r="M207" s="222"/>
      <c r="N207" s="222">
        <f>SUM(N186:N206)</f>
        <v>0</v>
      </c>
      <c r="O207" s="222"/>
      <c r="P207" s="222">
        <f>SUM(P186:P206)</f>
        <v>0</v>
      </c>
      <c r="Q207" s="222"/>
      <c r="R207" s="222">
        <f>SUM(R186:R206)</f>
        <v>0</v>
      </c>
      <c r="S207" s="222"/>
      <c r="T207" s="222">
        <f>SUM(T186:T206)</f>
        <v>-1839638236.28</v>
      </c>
      <c r="U207" s="222"/>
      <c r="V207" s="221"/>
      <c r="W207" s="221"/>
      <c r="X207" s="221"/>
    </row>
    <row r="208" spans="1:24" s="220" customFormat="1" outlineLevel="3">
      <c r="A208" s="218"/>
      <c r="D208" s="239"/>
      <c r="E208" s="239"/>
      <c r="F208" s="239"/>
      <c r="G208" s="239"/>
      <c r="H208" s="239"/>
      <c r="I208" s="239"/>
      <c r="J208" s="226"/>
      <c r="K208" s="239"/>
      <c r="L208" s="239"/>
      <c r="M208" s="239"/>
      <c r="N208" s="239"/>
      <c r="O208" s="239"/>
      <c r="P208" s="239"/>
      <c r="Q208" s="239"/>
      <c r="R208" s="239"/>
      <c r="S208" s="239"/>
      <c r="T208" s="239"/>
      <c r="U208" s="239"/>
      <c r="V208" s="221"/>
      <c r="W208" s="221"/>
      <c r="X208" s="221"/>
    </row>
    <row r="209" spans="1:24" s="220" customFormat="1" outlineLevel="3">
      <c r="A209" s="218"/>
      <c r="B209" s="219" t="s">
        <v>658</v>
      </c>
      <c r="D209" s="223"/>
      <c r="E209" s="223"/>
      <c r="F209" s="223"/>
      <c r="G209" s="223"/>
      <c r="H209" s="223"/>
      <c r="I209" s="223"/>
      <c r="J209" s="223"/>
      <c r="K209" s="223"/>
      <c r="L209" s="223"/>
      <c r="M209" s="223"/>
      <c r="N209" s="223"/>
      <c r="O209" s="223"/>
      <c r="P209" s="223"/>
      <c r="Q209" s="223"/>
      <c r="R209" s="223"/>
      <c r="S209" s="223"/>
      <c r="T209" s="223"/>
      <c r="U209" s="223"/>
      <c r="V209" s="221"/>
      <c r="W209" s="221"/>
      <c r="X209" s="221"/>
    </row>
    <row r="210" spans="1:24" s="220" customFormat="1" outlineLevel="3">
      <c r="A210" s="218"/>
      <c r="C210" s="220" t="s">
        <v>652</v>
      </c>
      <c r="D210" s="223">
        <f>+'Summary - Reserve - PG 2 (Fin)'!C81</f>
        <v>-20071604.030000005</v>
      </c>
      <c r="E210" s="223"/>
      <c r="F210" s="223">
        <f>+'Summary - Reserve - PG 2 (Fin)'!E81</f>
        <v>-2177175.2999999998</v>
      </c>
      <c r="G210" s="223"/>
      <c r="H210" s="223">
        <f>+'Summary - Reserve - PG 2 (Fin)'!G81</f>
        <v>1193940.58</v>
      </c>
      <c r="I210" s="223"/>
      <c r="J210" s="223">
        <f>+'Summary - Reserve - PG 2 (Fin)'!I81</f>
        <v>0</v>
      </c>
      <c r="K210" s="223"/>
      <c r="L210" s="223">
        <f>+'Summary - Reserve - PG 2 (Fin)'!M81</f>
        <v>0</v>
      </c>
      <c r="M210" s="223"/>
      <c r="N210" s="223">
        <f>+'Summary - Reserve - PG 2 (Fin)'!O81</f>
        <v>0</v>
      </c>
      <c r="O210" s="223"/>
      <c r="P210" s="223">
        <f>+'Summary - Reserve - PG 2 (Fin)'!Q81</f>
        <v>0</v>
      </c>
      <c r="Q210" s="223"/>
      <c r="R210" s="223">
        <f>+'Summary - Reserve - PG 2 (Fin)'!S81</f>
        <v>0</v>
      </c>
      <c r="S210" s="223"/>
      <c r="T210" s="223">
        <f>R210+P210+N210+L210+J210+H210+F210+D210</f>
        <v>-21054838.750000004</v>
      </c>
      <c r="U210" s="223"/>
      <c r="V210" s="221"/>
      <c r="W210" s="221"/>
      <c r="X210" s="221"/>
    </row>
    <row r="211" spans="1:24" s="220" customFormat="1" outlineLevel="3">
      <c r="A211" s="218"/>
      <c r="C211" s="220" t="s">
        <v>112</v>
      </c>
      <c r="D211" s="223">
        <f>+'Summary - Reserve - PG 2 (Fin)'!C82</f>
        <v>0</v>
      </c>
      <c r="E211" s="223"/>
      <c r="F211" s="223">
        <f>+'Summary - Reserve - PG 2 (Fin)'!E82</f>
        <v>0</v>
      </c>
      <c r="G211" s="223"/>
      <c r="H211" s="223">
        <f>+'Summary - Reserve - PG 2 (Fin)'!G82</f>
        <v>0</v>
      </c>
      <c r="I211" s="223"/>
      <c r="J211" s="223">
        <f>+'Summary - Reserve - PG 2 (Fin)'!I82</f>
        <v>0</v>
      </c>
      <c r="K211" s="223"/>
      <c r="L211" s="223">
        <f>+'Summary - Reserve - PG 2 (Fin)'!M82</f>
        <v>0</v>
      </c>
      <c r="M211" s="223"/>
      <c r="N211" s="223">
        <f>+'Summary - Reserve - PG 2 (Fin)'!O82</f>
        <v>0</v>
      </c>
      <c r="O211" s="223"/>
      <c r="P211" s="223">
        <f>+'Summary - Reserve - PG 2 (Fin)'!Q82</f>
        <v>0</v>
      </c>
      <c r="Q211" s="223"/>
      <c r="R211" s="223">
        <f>+'Summary - Reserve - PG 2 (Fin)'!S82</f>
        <v>0</v>
      </c>
      <c r="S211" s="223"/>
      <c r="T211" s="223">
        <f>R211+P211+N211+L211+J211+H211+F211+D211</f>
        <v>0</v>
      </c>
      <c r="U211" s="223"/>
      <c r="V211" s="221"/>
      <c r="W211" s="221"/>
      <c r="X211" s="221"/>
    </row>
    <row r="212" spans="1:24" s="220" customFormat="1" outlineLevel="3">
      <c r="A212" s="218"/>
      <c r="C212" s="220" t="s">
        <v>120</v>
      </c>
      <c r="D212" s="225">
        <f>+'Summary - Reserve - PG 2 (Fin)'!C83</f>
        <v>0</v>
      </c>
      <c r="E212" s="223"/>
      <c r="F212" s="225">
        <f>+'Summary - Reserve - PG 2 (Fin)'!E83</f>
        <v>0</v>
      </c>
      <c r="G212" s="223"/>
      <c r="H212" s="225">
        <f>+'Summary - Reserve - PG 2 (Fin)'!G83</f>
        <v>0</v>
      </c>
      <c r="I212" s="223"/>
      <c r="J212" s="225">
        <f>+'Summary - Reserve - PG 2 (Fin)'!I83</f>
        <v>0</v>
      </c>
      <c r="K212" s="223"/>
      <c r="L212" s="225">
        <f>+'Summary - Reserve - PG 2 (Fin)'!M83</f>
        <v>0</v>
      </c>
      <c r="M212" s="223"/>
      <c r="N212" s="225">
        <f>+'Summary - Reserve - PG 2 (Fin)'!O83</f>
        <v>0</v>
      </c>
      <c r="O212" s="223"/>
      <c r="P212" s="225">
        <f>+'Summary - Reserve - PG 2 (Fin)'!Q83</f>
        <v>0</v>
      </c>
      <c r="Q212" s="223"/>
      <c r="R212" s="225">
        <f>+'Summary - Reserve - PG 2 (Fin)'!S83</f>
        <v>0</v>
      </c>
      <c r="S212" s="223"/>
      <c r="T212" s="225">
        <f>R212+P212+N212+L212+J212+H212+F212+D212</f>
        <v>0</v>
      </c>
      <c r="U212" s="222"/>
      <c r="V212" s="221"/>
      <c r="W212" s="221"/>
      <c r="X212" s="221"/>
    </row>
    <row r="213" spans="1:24" s="220" customFormat="1" outlineLevel="3">
      <c r="A213" s="218"/>
      <c r="C213" s="227" t="s">
        <v>659</v>
      </c>
      <c r="D213" s="222">
        <f>SUM(D210:D212)</f>
        <v>-20071604.030000005</v>
      </c>
      <c r="E213" s="222"/>
      <c r="F213" s="222">
        <f>SUM(F210:F212)</f>
        <v>-2177175.2999999998</v>
      </c>
      <c r="G213" s="222"/>
      <c r="H213" s="222">
        <f>SUM(H210:H212)</f>
        <v>1193940.58</v>
      </c>
      <c r="I213" s="222"/>
      <c r="J213" s="222">
        <f>SUM(J210:J212)</f>
        <v>0</v>
      </c>
      <c r="K213" s="222"/>
      <c r="L213" s="222">
        <f>SUM(L210:L212)</f>
        <v>0</v>
      </c>
      <c r="M213" s="222"/>
      <c r="N213" s="222">
        <f>SUM(N210:N212)</f>
        <v>0</v>
      </c>
      <c r="O213" s="222"/>
      <c r="P213" s="222">
        <f>SUM(P210:P212)</f>
        <v>0</v>
      </c>
      <c r="Q213" s="222"/>
      <c r="R213" s="222">
        <f>SUM(R210:R212)</f>
        <v>0</v>
      </c>
      <c r="S213" s="222"/>
      <c r="T213" s="222">
        <f>SUM(T210:T212)</f>
        <v>-21054838.750000004</v>
      </c>
      <c r="U213" s="222"/>
      <c r="V213" s="221"/>
      <c r="W213" s="221"/>
      <c r="X213" s="221"/>
    </row>
    <row r="214" spans="1:24" s="220" customFormat="1" outlineLevel="3">
      <c r="A214" s="218"/>
      <c r="C214" s="227"/>
      <c r="D214" s="222"/>
      <c r="E214" s="222"/>
      <c r="F214" s="222"/>
      <c r="G214" s="222"/>
      <c r="H214" s="222"/>
      <c r="I214" s="222"/>
      <c r="J214" s="222"/>
      <c r="K214" s="222"/>
      <c r="L214" s="222"/>
      <c r="M214" s="222"/>
      <c r="N214" s="222"/>
      <c r="O214" s="222"/>
      <c r="P214" s="222"/>
      <c r="Q214" s="222"/>
      <c r="R214" s="222"/>
      <c r="S214" s="222"/>
      <c r="T214" s="222"/>
      <c r="U214" s="222"/>
      <c r="V214" s="221"/>
      <c r="W214" s="221"/>
      <c r="X214" s="221"/>
    </row>
    <row r="215" spans="1:24" s="220" customFormat="1" outlineLevel="3">
      <c r="A215" s="220" t="s">
        <v>1143</v>
      </c>
      <c r="B215" s="219" t="s">
        <v>1094</v>
      </c>
    </row>
    <row r="216" spans="1:24" s="220" customFormat="1" outlineLevel="3">
      <c r="C216" s="220" t="s">
        <v>652</v>
      </c>
      <c r="D216" s="223">
        <v>-2770449.12</v>
      </c>
      <c r="F216" s="240">
        <f>+F278</f>
        <v>0</v>
      </c>
      <c r="G216" s="241"/>
      <c r="H216" s="240">
        <f>+H278</f>
        <v>0</v>
      </c>
      <c r="I216" s="241"/>
      <c r="J216" s="240">
        <f>-D216</f>
        <v>2770449.12</v>
      </c>
      <c r="K216" s="241"/>
      <c r="L216" s="240">
        <f>+L278</f>
        <v>0</v>
      </c>
      <c r="M216" s="241"/>
      <c r="N216" s="240">
        <f>+N278</f>
        <v>0</v>
      </c>
      <c r="O216" s="241"/>
      <c r="P216" s="240">
        <f>+P278</f>
        <v>0</v>
      </c>
      <c r="Q216" s="241"/>
      <c r="R216" s="240">
        <f>+R278</f>
        <v>0</v>
      </c>
      <c r="T216" s="223">
        <f t="shared" ref="T216:T218" si="32">R216+P216+N216+L216+J216+H216+F216+D216</f>
        <v>0</v>
      </c>
      <c r="U216" s="223"/>
    </row>
    <row r="217" spans="1:24" s="220" customFormat="1" outlineLevel="3">
      <c r="C217" s="220" t="s">
        <v>112</v>
      </c>
      <c r="F217" s="240">
        <f t="shared" ref="F217:F218" si="33">+F279</f>
        <v>0</v>
      </c>
      <c r="G217" s="241"/>
      <c r="H217" s="240">
        <f t="shared" ref="H217:J218" si="34">+H279</f>
        <v>0</v>
      </c>
      <c r="I217" s="241"/>
      <c r="J217" s="240">
        <f t="shared" si="34"/>
        <v>0</v>
      </c>
      <c r="K217" s="241"/>
      <c r="L217" s="240">
        <f t="shared" ref="L217:L218" si="35">+L279</f>
        <v>0</v>
      </c>
      <c r="M217" s="241"/>
      <c r="N217" s="240">
        <f t="shared" ref="N217:N218" si="36">+N279</f>
        <v>0</v>
      </c>
      <c r="O217" s="241"/>
      <c r="P217" s="240">
        <f t="shared" ref="P217:P218" si="37">+P279</f>
        <v>0</v>
      </c>
      <c r="Q217" s="241"/>
      <c r="R217" s="240">
        <f t="shared" ref="R217:R218" si="38">+R279</f>
        <v>0</v>
      </c>
      <c r="T217" s="222">
        <f t="shared" si="32"/>
        <v>0</v>
      </c>
      <c r="U217" s="223"/>
    </row>
    <row r="218" spans="1:24" s="220" customFormat="1" outlineLevel="3">
      <c r="C218" s="220" t="s">
        <v>120</v>
      </c>
      <c r="F218" s="240">
        <f t="shared" si="33"/>
        <v>0</v>
      </c>
      <c r="G218" s="241"/>
      <c r="H218" s="240">
        <f t="shared" si="34"/>
        <v>0</v>
      </c>
      <c r="I218" s="241"/>
      <c r="J218" s="240">
        <f t="shared" si="34"/>
        <v>0</v>
      </c>
      <c r="K218" s="241"/>
      <c r="L218" s="240">
        <f t="shared" si="35"/>
        <v>0</v>
      </c>
      <c r="M218" s="241"/>
      <c r="N218" s="240">
        <f t="shared" si="36"/>
        <v>0</v>
      </c>
      <c r="O218" s="241"/>
      <c r="P218" s="240">
        <f t="shared" si="37"/>
        <v>0</v>
      </c>
      <c r="Q218" s="241"/>
      <c r="R218" s="240">
        <f t="shared" si="38"/>
        <v>0</v>
      </c>
      <c r="T218" s="225">
        <f t="shared" si="32"/>
        <v>0</v>
      </c>
      <c r="U218" s="223"/>
    </row>
    <row r="219" spans="1:24" s="220" customFormat="1" outlineLevel="3">
      <c r="D219" s="228">
        <f>SUM(D216:D218)</f>
        <v>-2770449.12</v>
      </c>
      <c r="F219" s="228">
        <f>SUM(F216:F218)</f>
        <v>0</v>
      </c>
      <c r="H219" s="228">
        <f>SUM(H216:H218)</f>
        <v>0</v>
      </c>
      <c r="J219" s="228">
        <f>SUM(J216:J218)</f>
        <v>2770449.12</v>
      </c>
      <c r="L219" s="228">
        <f>SUM(L216:L218)</f>
        <v>0</v>
      </c>
      <c r="N219" s="228">
        <f>SUM(N216:N218)</f>
        <v>0</v>
      </c>
      <c r="P219" s="228">
        <f>SUM(P216:P218)</f>
        <v>0</v>
      </c>
      <c r="R219" s="228">
        <f>SUM(R216:R218)</f>
        <v>0</v>
      </c>
      <c r="T219" s="228">
        <f>SUM(T216:T218)</f>
        <v>0</v>
      </c>
      <c r="U219" s="222"/>
    </row>
    <row r="220" spans="1:24" s="220" customFormat="1" outlineLevel="3">
      <c r="A220" s="218"/>
      <c r="B220" s="219" t="s">
        <v>1125</v>
      </c>
      <c r="C220" s="227"/>
      <c r="D220" s="222"/>
      <c r="E220" s="222"/>
      <c r="F220" s="222"/>
      <c r="G220" s="222"/>
      <c r="H220" s="222"/>
      <c r="I220" s="222"/>
      <c r="J220" s="222"/>
      <c r="K220" s="222"/>
      <c r="L220" s="222"/>
      <c r="M220" s="222"/>
      <c r="N220" s="222"/>
      <c r="O220" s="222"/>
      <c r="P220" s="222"/>
      <c r="Q220" s="222"/>
      <c r="R220" s="222"/>
      <c r="S220" s="222"/>
      <c r="T220" s="222"/>
      <c r="U220" s="222"/>
      <c r="V220" s="221"/>
      <c r="W220" s="221"/>
      <c r="X220" s="221"/>
    </row>
    <row r="221" spans="1:24" s="220" customFormat="1" outlineLevel="3">
      <c r="A221" s="218"/>
      <c r="C221" s="227"/>
      <c r="D221" s="222"/>
      <c r="E221" s="222"/>
      <c r="F221" s="222"/>
      <c r="G221" s="222"/>
      <c r="H221" s="222"/>
      <c r="I221" s="222"/>
      <c r="J221" s="222"/>
      <c r="K221" s="222"/>
      <c r="L221" s="222"/>
      <c r="M221" s="222"/>
      <c r="N221" s="222"/>
      <c r="O221" s="222"/>
      <c r="P221" s="222"/>
      <c r="Q221" s="222"/>
      <c r="R221" s="222"/>
      <c r="S221" s="222"/>
      <c r="T221" s="222"/>
      <c r="U221" s="222"/>
      <c r="V221" s="221"/>
      <c r="W221" s="221"/>
      <c r="X221" s="221"/>
    </row>
    <row r="222" spans="1:24" s="220" customFormat="1" outlineLevel="3">
      <c r="A222" s="229" t="s">
        <v>1133</v>
      </c>
      <c r="B222" s="219"/>
      <c r="C222" s="219" t="s">
        <v>1140</v>
      </c>
      <c r="D222" s="223">
        <f>+D168</f>
        <v>-2246915.9200000004</v>
      </c>
      <c r="E222" s="234"/>
      <c r="F222" s="223">
        <f>+F168</f>
        <v>-101274.33</v>
      </c>
      <c r="G222" s="234"/>
      <c r="H222" s="223">
        <f>+H168</f>
        <v>0</v>
      </c>
      <c r="I222" s="234"/>
      <c r="J222" s="223">
        <f>+J168</f>
        <v>0</v>
      </c>
      <c r="K222" s="234"/>
      <c r="L222" s="223">
        <f>+L168</f>
        <v>0</v>
      </c>
      <c r="M222" s="234"/>
      <c r="N222" s="223">
        <f>+N168</f>
        <v>0</v>
      </c>
      <c r="O222" s="234"/>
      <c r="P222" s="223">
        <f>+P168</f>
        <v>0</v>
      </c>
      <c r="Q222" s="234"/>
      <c r="R222" s="223">
        <f>+R168</f>
        <v>0</v>
      </c>
      <c r="S222" s="234"/>
      <c r="T222" s="223">
        <f>+T168</f>
        <v>-2348190.2500000005</v>
      </c>
      <c r="U222" s="223"/>
      <c r="V222" s="221"/>
      <c r="W222" s="221"/>
      <c r="X222" s="221"/>
    </row>
    <row r="223" spans="1:24" s="220" customFormat="1" outlineLevel="3">
      <c r="A223" s="229" t="s">
        <v>1128</v>
      </c>
      <c r="B223" s="219"/>
      <c r="C223" s="219" t="s">
        <v>1129</v>
      </c>
      <c r="D223" s="223">
        <f t="shared" ref="D223:F230" si="39">+D169</f>
        <v>-70451.45</v>
      </c>
      <c r="E223" s="234"/>
      <c r="F223" s="223">
        <f t="shared" si="39"/>
        <v>0</v>
      </c>
      <c r="G223" s="234"/>
      <c r="H223" s="223">
        <f t="shared" ref="H223:H230" si="40">+H169</f>
        <v>0</v>
      </c>
      <c r="I223" s="234"/>
      <c r="J223" s="223">
        <f t="shared" ref="J223:J230" si="41">+J169</f>
        <v>0</v>
      </c>
      <c r="K223" s="234"/>
      <c r="L223" s="223">
        <f t="shared" ref="L223:L230" si="42">+L169</f>
        <v>0</v>
      </c>
      <c r="M223" s="234"/>
      <c r="N223" s="223">
        <f t="shared" ref="N223:N230" si="43">+N169</f>
        <v>0</v>
      </c>
      <c r="O223" s="234"/>
      <c r="P223" s="223">
        <f t="shared" ref="P223:P230" si="44">+P169</f>
        <v>0</v>
      </c>
      <c r="Q223" s="234"/>
      <c r="R223" s="223">
        <f t="shared" ref="R223:R230" si="45">+R169</f>
        <v>0</v>
      </c>
      <c r="S223" s="234"/>
      <c r="T223" s="223">
        <f t="shared" ref="T223:T230" si="46">+T169</f>
        <v>-70451.45</v>
      </c>
      <c r="U223" s="223"/>
      <c r="V223" s="221"/>
      <c r="W223" s="221"/>
      <c r="X223" s="221"/>
    </row>
    <row r="224" spans="1:24" s="220" customFormat="1" outlineLevel="3">
      <c r="A224" s="229" t="s">
        <v>1130</v>
      </c>
      <c r="B224" s="219"/>
      <c r="C224" s="219" t="s">
        <v>1129</v>
      </c>
      <c r="D224" s="223">
        <f t="shared" si="39"/>
        <v>-77410.05</v>
      </c>
      <c r="E224" s="234"/>
      <c r="F224" s="223">
        <f t="shared" si="39"/>
        <v>-7.41</v>
      </c>
      <c r="G224" s="234"/>
      <c r="H224" s="223">
        <f t="shared" si="40"/>
        <v>0</v>
      </c>
      <c r="I224" s="234"/>
      <c r="J224" s="223">
        <f t="shared" si="41"/>
        <v>0</v>
      </c>
      <c r="K224" s="234"/>
      <c r="L224" s="223">
        <f t="shared" si="42"/>
        <v>0</v>
      </c>
      <c r="M224" s="234"/>
      <c r="N224" s="223">
        <f t="shared" si="43"/>
        <v>0</v>
      </c>
      <c r="O224" s="234"/>
      <c r="P224" s="223">
        <f t="shared" si="44"/>
        <v>0</v>
      </c>
      <c r="Q224" s="234"/>
      <c r="R224" s="223">
        <f t="shared" si="45"/>
        <v>0</v>
      </c>
      <c r="S224" s="234"/>
      <c r="T224" s="223">
        <f t="shared" si="46"/>
        <v>-77417.460000000006</v>
      </c>
      <c r="U224" s="223"/>
      <c r="V224" s="221"/>
      <c r="W224" s="221"/>
      <c r="X224" s="221"/>
    </row>
    <row r="225" spans="1:39" s="220" customFormat="1" outlineLevel="3">
      <c r="A225" s="229" t="s">
        <v>1131</v>
      </c>
      <c r="B225" s="219"/>
      <c r="C225" s="219" t="s">
        <v>1129</v>
      </c>
      <c r="D225" s="223">
        <f t="shared" si="39"/>
        <v>-569589.96</v>
      </c>
      <c r="E225" s="234"/>
      <c r="F225" s="223">
        <f t="shared" si="39"/>
        <v>0</v>
      </c>
      <c r="G225" s="234"/>
      <c r="H225" s="223">
        <f t="shared" si="40"/>
        <v>0</v>
      </c>
      <c r="I225" s="234"/>
      <c r="J225" s="223">
        <f t="shared" si="41"/>
        <v>0</v>
      </c>
      <c r="K225" s="234"/>
      <c r="L225" s="223">
        <f t="shared" si="42"/>
        <v>0</v>
      </c>
      <c r="M225" s="234"/>
      <c r="N225" s="223">
        <f t="shared" si="43"/>
        <v>0</v>
      </c>
      <c r="O225" s="234"/>
      <c r="P225" s="223">
        <f t="shared" si="44"/>
        <v>0</v>
      </c>
      <c r="Q225" s="234"/>
      <c r="R225" s="223">
        <f t="shared" si="45"/>
        <v>0</v>
      </c>
      <c r="S225" s="234"/>
      <c r="T225" s="223">
        <f t="shared" si="46"/>
        <v>-569589.96</v>
      </c>
      <c r="U225" s="223"/>
      <c r="V225" s="221"/>
      <c r="W225" s="221"/>
      <c r="X225" s="221"/>
    </row>
    <row r="226" spans="1:39" s="220" customFormat="1" outlineLevel="3">
      <c r="A226" s="229" t="s">
        <v>1132</v>
      </c>
      <c r="B226" s="219"/>
      <c r="C226" s="219" t="s">
        <v>1129</v>
      </c>
      <c r="D226" s="223">
        <f t="shared" si="39"/>
        <v>-208837.46999999997</v>
      </c>
      <c r="E226" s="234"/>
      <c r="F226" s="223">
        <f t="shared" si="39"/>
        <v>-148.94999999999999</v>
      </c>
      <c r="G226" s="234"/>
      <c r="H226" s="223">
        <f t="shared" si="40"/>
        <v>0</v>
      </c>
      <c r="I226" s="234"/>
      <c r="J226" s="223">
        <f t="shared" si="41"/>
        <v>0</v>
      </c>
      <c r="K226" s="234"/>
      <c r="L226" s="223">
        <f t="shared" si="42"/>
        <v>0</v>
      </c>
      <c r="M226" s="234"/>
      <c r="N226" s="223">
        <f t="shared" si="43"/>
        <v>0</v>
      </c>
      <c r="O226" s="234"/>
      <c r="P226" s="223">
        <f t="shared" si="44"/>
        <v>0</v>
      </c>
      <c r="Q226" s="234"/>
      <c r="R226" s="223">
        <f t="shared" si="45"/>
        <v>0</v>
      </c>
      <c r="S226" s="234"/>
      <c r="T226" s="223">
        <f t="shared" si="46"/>
        <v>-208986.41999999998</v>
      </c>
      <c r="U226" s="223"/>
      <c r="V226" s="221"/>
      <c r="W226" s="221"/>
      <c r="X226" s="221"/>
    </row>
    <row r="227" spans="1:39" s="220" customFormat="1" outlineLevel="3">
      <c r="A227" s="229" t="s">
        <v>1126</v>
      </c>
      <c r="B227" s="219"/>
      <c r="C227" s="219" t="s">
        <v>1127</v>
      </c>
      <c r="D227" s="223">
        <f t="shared" si="39"/>
        <v>-134866.74</v>
      </c>
      <c r="E227" s="234"/>
      <c r="F227" s="223">
        <f t="shared" si="39"/>
        <v>-1490.46</v>
      </c>
      <c r="G227" s="234"/>
      <c r="H227" s="223">
        <f t="shared" si="40"/>
        <v>0</v>
      </c>
      <c r="I227" s="234"/>
      <c r="J227" s="223">
        <f t="shared" si="41"/>
        <v>0</v>
      </c>
      <c r="K227" s="234"/>
      <c r="L227" s="223">
        <f t="shared" si="42"/>
        <v>0</v>
      </c>
      <c r="M227" s="234"/>
      <c r="N227" s="223">
        <f t="shared" si="43"/>
        <v>0</v>
      </c>
      <c r="O227" s="234"/>
      <c r="P227" s="223">
        <f t="shared" si="44"/>
        <v>0</v>
      </c>
      <c r="Q227" s="234"/>
      <c r="R227" s="223">
        <f t="shared" si="45"/>
        <v>0</v>
      </c>
      <c r="S227" s="234"/>
      <c r="T227" s="223">
        <f t="shared" si="46"/>
        <v>-136357.19999999998</v>
      </c>
      <c r="U227" s="223"/>
      <c r="V227" s="221"/>
      <c r="W227" s="221"/>
      <c r="X227" s="221"/>
    </row>
    <row r="228" spans="1:39" s="220" customFormat="1" outlineLevel="3">
      <c r="A228" s="229" t="s">
        <v>1135</v>
      </c>
      <c r="B228" s="219"/>
      <c r="C228" s="219" t="s">
        <v>1136</v>
      </c>
      <c r="D228" s="223">
        <f t="shared" si="39"/>
        <v>0</v>
      </c>
      <c r="E228" s="234"/>
      <c r="F228" s="223">
        <f t="shared" si="39"/>
        <v>0</v>
      </c>
      <c r="G228" s="234"/>
      <c r="H228" s="223">
        <f t="shared" si="40"/>
        <v>0</v>
      </c>
      <c r="I228" s="234"/>
      <c r="J228" s="223">
        <f t="shared" si="41"/>
        <v>0</v>
      </c>
      <c r="K228" s="234"/>
      <c r="L228" s="223">
        <f t="shared" si="42"/>
        <v>0</v>
      </c>
      <c r="M228" s="234"/>
      <c r="N228" s="223">
        <f t="shared" si="43"/>
        <v>0</v>
      </c>
      <c r="O228" s="234"/>
      <c r="P228" s="223">
        <f t="shared" si="44"/>
        <v>0</v>
      </c>
      <c r="Q228" s="234"/>
      <c r="R228" s="223">
        <f t="shared" si="45"/>
        <v>0</v>
      </c>
      <c r="S228" s="234"/>
      <c r="T228" s="223">
        <f t="shared" si="46"/>
        <v>0</v>
      </c>
      <c r="U228" s="223"/>
      <c r="V228" s="221"/>
      <c r="W228" s="221"/>
      <c r="X228" s="221"/>
    </row>
    <row r="229" spans="1:39" s="220" customFormat="1" outlineLevel="3">
      <c r="A229" s="229" t="s">
        <v>1135</v>
      </c>
      <c r="B229" s="219"/>
      <c r="C229" s="219" t="s">
        <v>1137</v>
      </c>
      <c r="D229" s="223">
        <f t="shared" si="39"/>
        <v>0</v>
      </c>
      <c r="E229" s="234"/>
      <c r="F229" s="223">
        <f t="shared" si="39"/>
        <v>0</v>
      </c>
      <c r="G229" s="234"/>
      <c r="H229" s="223">
        <f t="shared" si="40"/>
        <v>0</v>
      </c>
      <c r="I229" s="234"/>
      <c r="J229" s="223">
        <f t="shared" si="41"/>
        <v>0</v>
      </c>
      <c r="K229" s="234"/>
      <c r="L229" s="223">
        <f t="shared" si="42"/>
        <v>0</v>
      </c>
      <c r="M229" s="234"/>
      <c r="N229" s="223">
        <f t="shared" si="43"/>
        <v>0</v>
      </c>
      <c r="O229" s="234"/>
      <c r="P229" s="223">
        <f t="shared" si="44"/>
        <v>0</v>
      </c>
      <c r="Q229" s="234"/>
      <c r="R229" s="223">
        <f t="shared" si="45"/>
        <v>0</v>
      </c>
      <c r="S229" s="234"/>
      <c r="T229" s="223">
        <f t="shared" si="46"/>
        <v>0</v>
      </c>
      <c r="U229" s="223"/>
      <c r="V229" s="221"/>
      <c r="W229" s="221"/>
      <c r="X229" s="221"/>
    </row>
    <row r="230" spans="1:39" s="220" customFormat="1" outlineLevel="3">
      <c r="A230" s="229" t="s">
        <v>1135</v>
      </c>
      <c r="B230" s="219"/>
      <c r="C230" s="219" t="s">
        <v>1138</v>
      </c>
      <c r="D230" s="223">
        <f t="shared" si="39"/>
        <v>0</v>
      </c>
      <c r="E230" s="234"/>
      <c r="F230" s="223">
        <f t="shared" si="39"/>
        <v>0</v>
      </c>
      <c r="G230" s="234"/>
      <c r="H230" s="223">
        <f t="shared" si="40"/>
        <v>0</v>
      </c>
      <c r="I230" s="234"/>
      <c r="J230" s="223">
        <f t="shared" si="41"/>
        <v>0</v>
      </c>
      <c r="K230" s="234"/>
      <c r="L230" s="223">
        <f t="shared" si="42"/>
        <v>0</v>
      </c>
      <c r="M230" s="234"/>
      <c r="N230" s="223">
        <f t="shared" si="43"/>
        <v>0</v>
      </c>
      <c r="O230" s="234"/>
      <c r="P230" s="223">
        <f t="shared" si="44"/>
        <v>0</v>
      </c>
      <c r="Q230" s="234"/>
      <c r="R230" s="223">
        <f t="shared" si="45"/>
        <v>0</v>
      </c>
      <c r="S230" s="234"/>
      <c r="T230" s="223">
        <f t="shared" si="46"/>
        <v>0</v>
      </c>
      <c r="U230" s="223"/>
      <c r="V230" s="221"/>
      <c r="W230" s="221"/>
      <c r="X230" s="221"/>
    </row>
    <row r="231" spans="1:39" s="220" customFormat="1" outlineLevel="3">
      <c r="A231" s="218"/>
      <c r="B231" s="219"/>
      <c r="C231" s="220" t="s">
        <v>1141</v>
      </c>
      <c r="D231" s="228">
        <f>SUM(D222:D230)</f>
        <v>-3308071.5900000008</v>
      </c>
      <c r="E231" s="223"/>
      <c r="F231" s="228">
        <f>SUM(F222:F230)</f>
        <v>-102921.15000000001</v>
      </c>
      <c r="G231" s="223"/>
      <c r="H231" s="228">
        <f>SUM(H222:H230)</f>
        <v>0</v>
      </c>
      <c r="I231" s="223"/>
      <c r="J231" s="228">
        <f>SUM(J222:J230)</f>
        <v>0</v>
      </c>
      <c r="K231" s="223"/>
      <c r="L231" s="228">
        <f>SUM(L222:L230)</f>
        <v>0</v>
      </c>
      <c r="M231" s="222"/>
      <c r="N231" s="228">
        <f>SUM(N222:N230)</f>
        <v>0</v>
      </c>
      <c r="O231" s="222"/>
      <c r="P231" s="228">
        <f>SUM(P222:P230)</f>
        <v>0</v>
      </c>
      <c r="Q231" s="222"/>
      <c r="R231" s="228">
        <f>SUM(R222:R230)</f>
        <v>0</v>
      </c>
      <c r="S231" s="223"/>
      <c r="T231" s="228">
        <f>SUM(T222:T230)</f>
        <v>-3410992.7400000007</v>
      </c>
      <c r="U231" s="222"/>
      <c r="V231" s="221"/>
      <c r="W231" s="221"/>
      <c r="X231" s="221"/>
    </row>
    <row r="232" spans="1:39" s="220" customFormat="1" outlineLevel="3">
      <c r="A232" s="218"/>
      <c r="B232" s="219"/>
      <c r="D232" s="222"/>
      <c r="E232" s="223"/>
      <c r="F232" s="222"/>
      <c r="G232" s="223"/>
      <c r="H232" s="222"/>
      <c r="I232" s="223"/>
      <c r="J232" s="222"/>
      <c r="K232" s="223"/>
      <c r="L232" s="222"/>
      <c r="M232" s="222"/>
      <c r="N232" s="222"/>
      <c r="O232" s="222"/>
      <c r="P232" s="222"/>
      <c r="Q232" s="222"/>
      <c r="R232" s="222"/>
      <c r="S232" s="223"/>
      <c r="T232" s="222"/>
      <c r="U232" s="222"/>
      <c r="V232" s="221"/>
      <c r="W232" s="221"/>
      <c r="X232" s="221"/>
    </row>
    <row r="233" spans="1:39" s="220" customFormat="1" outlineLevel="3">
      <c r="A233" s="218"/>
      <c r="B233" s="219"/>
      <c r="D233" s="222"/>
      <c r="E233" s="223"/>
      <c r="F233" s="222"/>
      <c r="G233" s="223"/>
      <c r="H233" s="222"/>
      <c r="I233" s="223"/>
      <c r="J233" s="222"/>
      <c r="K233" s="223"/>
      <c r="L233" s="222"/>
      <c r="M233" s="222"/>
      <c r="N233" s="222"/>
      <c r="O233" s="222"/>
      <c r="P233" s="222"/>
      <c r="Q233" s="222"/>
      <c r="R233" s="222"/>
      <c r="S233" s="223"/>
      <c r="T233" s="222"/>
      <c r="U233" s="222"/>
      <c r="V233" s="221"/>
      <c r="W233" s="221"/>
      <c r="X233" s="221"/>
    </row>
    <row r="234" spans="1:39" s="220" customFormat="1" outlineLevel="3">
      <c r="A234" s="218"/>
      <c r="B234" s="219"/>
      <c r="D234" s="222"/>
      <c r="E234" s="223"/>
      <c r="F234" s="222"/>
      <c r="G234" s="223"/>
      <c r="H234" s="222"/>
      <c r="I234" s="223"/>
      <c r="J234" s="222"/>
      <c r="K234" s="223"/>
      <c r="L234" s="222"/>
      <c r="M234" s="222"/>
      <c r="N234" s="222"/>
      <c r="O234" s="222"/>
      <c r="P234" s="222"/>
      <c r="Q234" s="222"/>
      <c r="R234" s="222"/>
      <c r="S234" s="223"/>
      <c r="T234" s="222"/>
      <c r="U234" s="222"/>
      <c r="V234" s="221"/>
      <c r="W234" s="221"/>
      <c r="X234" s="221"/>
    </row>
    <row r="235" spans="1:39" outlineLevel="3">
      <c r="B235" s="184"/>
      <c r="C235" s="11"/>
      <c r="D235" s="188"/>
      <c r="E235" s="181"/>
      <c r="F235" s="188"/>
      <c r="G235" s="181"/>
      <c r="H235" s="188"/>
      <c r="I235" s="181"/>
      <c r="J235" s="188"/>
      <c r="K235" s="181"/>
      <c r="L235" s="188"/>
      <c r="M235" s="181"/>
      <c r="N235" s="188"/>
      <c r="O235" s="181"/>
      <c r="P235" s="188"/>
      <c r="Q235" s="181"/>
      <c r="R235" s="188"/>
      <c r="S235" s="181"/>
      <c r="T235" s="188"/>
      <c r="U235" s="188"/>
    </row>
    <row r="236" spans="1:39" outlineLevel="1">
      <c r="B236" s="231" t="s">
        <v>1121</v>
      </c>
      <c r="D236" s="233">
        <f>+D207+D213-D231+D219</f>
        <v>-1835236698.5899999</v>
      </c>
      <c r="E236" s="233"/>
      <c r="F236" s="233">
        <f>+F207+F213-F231+F219</f>
        <v>-31561869.930000007</v>
      </c>
      <c r="G236" s="233"/>
      <c r="H236" s="233">
        <f>+H207+H213-H231+H219</f>
        <v>6746260.6699999981</v>
      </c>
      <c r="I236" s="233"/>
      <c r="J236" s="233">
        <f>+J207+J213-J231+J219</f>
        <v>2770225.56</v>
      </c>
      <c r="K236" s="233"/>
      <c r="L236" s="233">
        <f>+L207+L213-L231+L219</f>
        <v>0</v>
      </c>
      <c r="M236" s="233"/>
      <c r="N236" s="233">
        <f>+N207+N213-N231+N219</f>
        <v>0</v>
      </c>
      <c r="O236" s="233"/>
      <c r="P236" s="233">
        <f>+P207+P213-P231+P219</f>
        <v>0</v>
      </c>
      <c r="Q236" s="233"/>
      <c r="R236" s="233">
        <f>+R207+R213-R231+R219</f>
        <v>0</v>
      </c>
      <c r="S236" s="233"/>
      <c r="T236" s="233">
        <f>+T207+T213+T219-T231</f>
        <v>-1857282082.29</v>
      </c>
      <c r="U236" s="233"/>
      <c r="V236" s="242">
        <f>+F236-SUM(+'Recon Depr Exp to IS P4 (Fin)'!E37-'Recon Depr Exp to IS P4 (Fin)'!G37-'Recon Depr Exp to IS P4 (Fin)'!I37-'Recon Depr Exp to IS P4 (Fin)'!K37-'Recon Depr Exp to IS P4 (Fin)'!M37)-W236</f>
        <v>-30419790.010000005</v>
      </c>
      <c r="W236" s="242">
        <f>-295460.88-690164.94</f>
        <v>-985625.82</v>
      </c>
      <c r="X236" s="242"/>
      <c r="Z236" s="243">
        <f>+H236</f>
        <v>6746260.6699999981</v>
      </c>
      <c r="AA236" s="243">
        <f>+'Transfer Detail PG 3 (Fin)'!M174</f>
        <v>0</v>
      </c>
      <c r="AB236" s="243"/>
      <c r="AC236" s="243"/>
      <c r="AD236" s="243"/>
      <c r="AE236" s="243"/>
      <c r="AF236" s="243" t="e">
        <f>+'Transfer Detail PG 3 (Fin)'!#REF!+'Transfer Detail PG 3 (Fin)'!#REF!+'Transfer Detail PG 3 (Fin)'!#REF!+'Transfer Detail PG 3 (Fin)'!#REF!</f>
        <v>#REF!</v>
      </c>
      <c r="AG236" s="243" t="e">
        <f>+J236-J219-AA236-AF236</f>
        <v>#REF!</v>
      </c>
      <c r="AH236" s="211">
        <f>+'Recon Depr Exp to IS P4 (Fin)'!E37-'Recon Depr Exp to IS P4 (Fin)'!G37-'Recon Depr Exp to IS P4 (Fin)'!I37-'Recon Depr Exp to IS P4 (Fin)'!K37-'Recon Depr Exp to IS P4 (Fin)'!M37+J219</f>
        <v>2613995.02</v>
      </c>
      <c r="AI236" s="211">
        <f>+N236+P236+R236</f>
        <v>0</v>
      </c>
      <c r="AL236" s="211" t="e">
        <f>SUM(V236:AJ236)</f>
        <v>#REF!</v>
      </c>
      <c r="AM236" s="211" t="e">
        <f>+T236-D236-AL236</f>
        <v>#REF!</v>
      </c>
    </row>
    <row r="237" spans="1:39" outlineLevel="1">
      <c r="B237" s="184"/>
      <c r="C237" s="11"/>
      <c r="D237" s="188">
        <f>+D236-D12</f>
        <v>-129989709.18999982</v>
      </c>
      <c r="E237" s="181"/>
      <c r="F237" s="188"/>
      <c r="G237" s="181"/>
      <c r="H237" s="188"/>
      <c r="I237" s="181"/>
      <c r="J237" s="188"/>
      <c r="K237" s="181"/>
      <c r="L237" s="188"/>
      <c r="M237" s="181"/>
      <c r="N237" s="188"/>
      <c r="O237" s="181"/>
      <c r="P237" s="188"/>
      <c r="Q237" s="181"/>
      <c r="R237" s="188"/>
      <c r="S237" s="181"/>
      <c r="T237" s="188">
        <f>+T236-T12</f>
        <v>-85671886.170000076</v>
      </c>
      <c r="U237" s="188"/>
      <c r="V237" s="238"/>
      <c r="W237" s="238"/>
      <c r="X237" s="238"/>
    </row>
    <row r="238" spans="1:39" outlineLevel="1">
      <c r="B238" s="184"/>
      <c r="C238" s="11"/>
      <c r="D238" s="188"/>
      <c r="E238" s="181"/>
      <c r="F238" s="188"/>
      <c r="G238" s="181"/>
      <c r="H238" s="188"/>
      <c r="I238" s="181"/>
      <c r="J238" s="188"/>
      <c r="K238" s="181"/>
      <c r="L238" s="188"/>
      <c r="M238" s="181"/>
      <c r="N238" s="188"/>
      <c r="O238" s="181"/>
      <c r="P238" s="188"/>
      <c r="Q238" s="181"/>
      <c r="R238" s="188"/>
      <c r="S238" s="181"/>
      <c r="T238" s="188">
        <f>+T236-R236-P236-N236-L236-J236-H236-F236-D236</f>
        <v>0</v>
      </c>
      <c r="U238" s="188"/>
    </row>
    <row r="239" spans="1:39" s="220" customFormat="1" ht="15" outlineLevel="3">
      <c r="A239" s="218"/>
      <c r="B239" s="219" t="s">
        <v>653</v>
      </c>
      <c r="D239" s="244"/>
      <c r="E239" s="226"/>
      <c r="F239" s="244"/>
      <c r="G239" s="226"/>
      <c r="H239" s="244"/>
      <c r="I239" s="226"/>
      <c r="J239" s="244"/>
      <c r="K239" s="226"/>
      <c r="L239" s="244"/>
      <c r="M239" s="226"/>
      <c r="N239" s="244"/>
      <c r="O239" s="226"/>
      <c r="P239" s="244"/>
      <c r="Q239" s="226"/>
      <c r="R239" s="244"/>
      <c r="S239" s="226"/>
      <c r="T239" s="244"/>
      <c r="U239" s="244"/>
      <c r="V239" s="221"/>
      <c r="W239" s="221"/>
      <c r="X239" s="221"/>
    </row>
    <row r="240" spans="1:39" s="220" customFormat="1" outlineLevel="3">
      <c r="A240" s="218"/>
      <c r="C240" s="220" t="s">
        <v>455</v>
      </c>
      <c r="D240" s="222">
        <f>+'Summary - Reserve - PG 2 (Fin)'!C35</f>
        <v>-637762.44000000006</v>
      </c>
      <c r="E240" s="222"/>
      <c r="F240" s="222">
        <f>+'Summary - Reserve - PG 2 (Fin)'!E35</f>
        <v>-72227.920000000013</v>
      </c>
      <c r="G240" s="222"/>
      <c r="H240" s="222">
        <f>+'Summary - Reserve - PG 2 (Fin)'!G35</f>
        <v>0</v>
      </c>
      <c r="I240" s="222"/>
      <c r="J240" s="222">
        <f>+'Summary - Reserve - PG 2 (Fin)'!I35</f>
        <v>0</v>
      </c>
      <c r="K240" s="222"/>
      <c r="L240" s="222">
        <f>+'Summary - Reserve - PG 2 (Fin)'!M35</f>
        <v>0</v>
      </c>
      <c r="M240" s="222"/>
      <c r="N240" s="222">
        <f>+'Summary - Reserve - PG 2 (Fin)'!O35</f>
        <v>16557.84</v>
      </c>
      <c r="O240" s="222"/>
      <c r="P240" s="222">
        <f>+'Summary - Reserve - PG 2 (Fin)'!Q35</f>
        <v>0</v>
      </c>
      <c r="Q240" s="222"/>
      <c r="R240" s="222">
        <f>+'Summary - Reserve - PG 2 (Fin)'!S35</f>
        <v>0</v>
      </c>
      <c r="S240" s="222"/>
      <c r="T240" s="222">
        <f t="shared" ref="T240:T252" si="47">R240+P240+N240+L240+J240+H240+F240+D240</f>
        <v>-693432.52</v>
      </c>
      <c r="U240" s="222"/>
      <c r="V240" s="221"/>
      <c r="W240" s="221"/>
      <c r="X240" s="221"/>
    </row>
    <row r="241" spans="1:24" s="220" customFormat="1" outlineLevel="3">
      <c r="A241" s="218"/>
      <c r="C241" s="220" t="s">
        <v>113</v>
      </c>
      <c r="D241" s="222">
        <f>+'Summary - Reserve - PG 2 (Fin)'!C36</f>
        <v>-148949763.17000002</v>
      </c>
      <c r="E241" s="222"/>
      <c r="F241" s="222">
        <f>+'Summary - Reserve - PG 2 (Fin)'!E36</f>
        <v>-1805735.27</v>
      </c>
      <c r="G241" s="222"/>
      <c r="H241" s="222">
        <f>+'Summary - Reserve - PG 2 (Fin)'!G36</f>
        <v>0</v>
      </c>
      <c r="I241" s="222"/>
      <c r="J241" s="222">
        <f>+'Summary - Reserve - PG 2 (Fin)'!I36</f>
        <v>0</v>
      </c>
      <c r="K241" s="222"/>
      <c r="L241" s="222">
        <f>+'Summary - Reserve - PG 2 (Fin)'!M36</f>
        <v>0</v>
      </c>
      <c r="M241" s="222"/>
      <c r="N241" s="222">
        <f>+'Summary - Reserve - PG 2 (Fin)'!O36</f>
        <v>2613761.9900000002</v>
      </c>
      <c r="O241" s="222"/>
      <c r="P241" s="222">
        <f>+'Summary - Reserve - PG 2 (Fin)'!Q36</f>
        <v>0</v>
      </c>
      <c r="Q241" s="222"/>
      <c r="R241" s="222">
        <f>+'Summary - Reserve - PG 2 (Fin)'!S36</f>
        <v>0</v>
      </c>
      <c r="S241" s="222"/>
      <c r="T241" s="222">
        <f t="shared" si="47"/>
        <v>-148141736.45000002</v>
      </c>
      <c r="U241" s="222"/>
      <c r="V241" s="221"/>
      <c r="W241" s="221"/>
      <c r="X241" s="221"/>
    </row>
    <row r="242" spans="1:24" s="220" customFormat="1" outlineLevel="3">
      <c r="A242" s="218"/>
      <c r="C242" s="220" t="s">
        <v>114</v>
      </c>
      <c r="D242" s="222">
        <f>+'Summary - Reserve - PG 2 (Fin)'!C37</f>
        <v>3866.64</v>
      </c>
      <c r="E242" s="222"/>
      <c r="F242" s="222">
        <f>+'Summary - Reserve - PG 2 (Fin)'!E37</f>
        <v>0</v>
      </c>
      <c r="G242" s="222"/>
      <c r="H242" s="222">
        <f>+'Summary - Reserve - PG 2 (Fin)'!G37</f>
        <v>0</v>
      </c>
      <c r="I242" s="222"/>
      <c r="J242" s="222">
        <f>+'Summary - Reserve - PG 2 (Fin)'!I37</f>
        <v>0</v>
      </c>
      <c r="K242" s="222"/>
      <c r="L242" s="222">
        <f>+'Summary - Reserve - PG 2 (Fin)'!M37</f>
        <v>0</v>
      </c>
      <c r="M242" s="222"/>
      <c r="N242" s="222">
        <f>+'Summary - Reserve - PG 2 (Fin)'!O37</f>
        <v>0</v>
      </c>
      <c r="O242" s="222"/>
      <c r="P242" s="222">
        <f>+'Summary - Reserve - PG 2 (Fin)'!Q37</f>
        <v>0</v>
      </c>
      <c r="Q242" s="222"/>
      <c r="R242" s="222">
        <f>+'Summary - Reserve - PG 2 (Fin)'!S37</f>
        <v>0</v>
      </c>
      <c r="S242" s="222"/>
      <c r="T242" s="222">
        <f t="shared" si="47"/>
        <v>3866.64</v>
      </c>
      <c r="U242" s="222"/>
      <c r="V242" s="221"/>
      <c r="W242" s="221"/>
      <c r="X242" s="221"/>
    </row>
    <row r="243" spans="1:24" s="220" customFormat="1" outlineLevel="3">
      <c r="A243" s="218"/>
      <c r="C243" s="220" t="s">
        <v>115</v>
      </c>
      <c r="D243" s="222">
        <f>+'Summary - Reserve - PG 2 (Fin)'!C38</f>
        <v>732455.1100000001</v>
      </c>
      <c r="E243" s="222"/>
      <c r="F243" s="222">
        <f>+'Summary - Reserve - PG 2 (Fin)'!E38</f>
        <v>-10738.08</v>
      </c>
      <c r="G243" s="222"/>
      <c r="H243" s="222">
        <f>+'Summary - Reserve - PG 2 (Fin)'!G38</f>
        <v>0</v>
      </c>
      <c r="I243" s="222"/>
      <c r="J243" s="222">
        <f>+'Summary - Reserve - PG 2 (Fin)'!I38</f>
        <v>0</v>
      </c>
      <c r="K243" s="222"/>
      <c r="L243" s="222">
        <f>+'Summary - Reserve - PG 2 (Fin)'!M38</f>
        <v>0</v>
      </c>
      <c r="M243" s="222"/>
      <c r="N243" s="222">
        <f>+'Summary - Reserve - PG 2 (Fin)'!O38</f>
        <v>1017.4</v>
      </c>
      <c r="O243" s="222"/>
      <c r="P243" s="222">
        <f>+'Summary - Reserve - PG 2 (Fin)'!Q38</f>
        <v>0</v>
      </c>
      <c r="Q243" s="222"/>
      <c r="R243" s="222">
        <f>+'Summary - Reserve - PG 2 (Fin)'!S38</f>
        <v>0</v>
      </c>
      <c r="S243" s="222"/>
      <c r="T243" s="222">
        <f t="shared" si="47"/>
        <v>722734.43</v>
      </c>
      <c r="U243" s="222"/>
      <c r="V243" s="221"/>
      <c r="W243" s="221"/>
      <c r="X243" s="221"/>
    </row>
    <row r="244" spans="1:24" s="220" customFormat="1" outlineLevel="3">
      <c r="A244" s="218"/>
      <c r="C244" s="220" t="s">
        <v>117</v>
      </c>
      <c r="D244" s="222">
        <f>+'Summary - Reserve - PG 2 (Fin)'!C39</f>
        <v>-2535958.7100000004</v>
      </c>
      <c r="E244" s="222"/>
      <c r="F244" s="222">
        <f>+'Summary - Reserve - PG 2 (Fin)'!E39</f>
        <v>-89811.36</v>
      </c>
      <c r="G244" s="222"/>
      <c r="H244" s="222">
        <f>+'Summary - Reserve - PG 2 (Fin)'!G39</f>
        <v>0</v>
      </c>
      <c r="I244" s="222"/>
      <c r="J244" s="222">
        <f>+'Summary - Reserve - PG 2 (Fin)'!I39</f>
        <v>0</v>
      </c>
      <c r="K244" s="222"/>
      <c r="L244" s="222">
        <f>+'Summary - Reserve - PG 2 (Fin)'!M39</f>
        <v>0</v>
      </c>
      <c r="M244" s="222"/>
      <c r="N244" s="222">
        <f>+'Summary - Reserve - PG 2 (Fin)'!O39</f>
        <v>170979.16</v>
      </c>
      <c r="O244" s="222"/>
      <c r="P244" s="222">
        <f>+'Summary - Reserve - PG 2 (Fin)'!Q39</f>
        <v>0</v>
      </c>
      <c r="Q244" s="222"/>
      <c r="R244" s="222">
        <f>+'Summary - Reserve - PG 2 (Fin)'!S39</f>
        <v>0</v>
      </c>
      <c r="S244" s="222"/>
      <c r="T244" s="222">
        <f t="shared" si="47"/>
        <v>-2454790.9100000006</v>
      </c>
      <c r="U244" s="222"/>
      <c r="V244" s="221"/>
      <c r="W244" s="221"/>
      <c r="X244" s="221"/>
    </row>
    <row r="245" spans="1:24" s="220" customFormat="1" outlineLevel="3">
      <c r="A245" s="218"/>
      <c r="C245" s="220" t="s">
        <v>118</v>
      </c>
      <c r="D245" s="222">
        <f>+'Summary - Reserve - PG 2 (Fin)'!C40</f>
        <v>-108291391.5</v>
      </c>
      <c r="E245" s="222"/>
      <c r="F245" s="222">
        <f>+'Summary - Reserve - PG 2 (Fin)'!E40</f>
        <v>-4302848.84</v>
      </c>
      <c r="G245" s="222"/>
      <c r="H245" s="222">
        <f>+'Summary - Reserve - PG 2 (Fin)'!G40</f>
        <v>0</v>
      </c>
      <c r="I245" s="222"/>
      <c r="J245" s="222">
        <f>+'Summary - Reserve - PG 2 (Fin)'!I40</f>
        <v>0</v>
      </c>
      <c r="K245" s="222"/>
      <c r="L245" s="222">
        <f>+'Summary - Reserve - PG 2 (Fin)'!M40</f>
        <v>0</v>
      </c>
      <c r="M245" s="222"/>
      <c r="N245" s="222">
        <f>+'Summary - Reserve - PG 2 (Fin)'!O40</f>
        <v>1387859.46</v>
      </c>
      <c r="O245" s="222"/>
      <c r="P245" s="222">
        <f>+'Summary - Reserve - PG 2 (Fin)'!Q40</f>
        <v>0</v>
      </c>
      <c r="Q245" s="222"/>
      <c r="R245" s="222">
        <f>+'Summary - Reserve - PG 2 (Fin)'!S40</f>
        <v>0</v>
      </c>
      <c r="S245" s="222"/>
      <c r="T245" s="222">
        <f t="shared" si="47"/>
        <v>-111206380.88</v>
      </c>
      <c r="U245" s="222"/>
      <c r="V245" s="221"/>
      <c r="W245" s="221"/>
      <c r="X245" s="221"/>
    </row>
    <row r="246" spans="1:24" s="220" customFormat="1" outlineLevel="3">
      <c r="A246" s="218"/>
      <c r="C246" s="220" t="s">
        <v>119</v>
      </c>
      <c r="D246" s="222">
        <f>+'Summary - Reserve - PG 2 (Fin)'!C41</f>
        <v>-25759724.870000001</v>
      </c>
      <c r="E246" s="222"/>
      <c r="F246" s="222">
        <f>+'Summary - Reserve - PG 2 (Fin)'!E41</f>
        <v>-362863.86</v>
      </c>
      <c r="G246" s="222"/>
      <c r="H246" s="222">
        <f>+'Summary - Reserve - PG 2 (Fin)'!G41</f>
        <v>0</v>
      </c>
      <c r="I246" s="222"/>
      <c r="J246" s="222">
        <f>+'Summary - Reserve - PG 2 (Fin)'!I41</f>
        <v>0</v>
      </c>
      <c r="K246" s="222"/>
      <c r="L246" s="222">
        <f>+'Summary - Reserve - PG 2 (Fin)'!M41</f>
        <v>0</v>
      </c>
      <c r="M246" s="222"/>
      <c r="N246" s="222">
        <f>+'Summary - Reserve - PG 2 (Fin)'!O41</f>
        <v>404164.79</v>
      </c>
      <c r="O246" s="222"/>
      <c r="P246" s="222">
        <f>+'Summary - Reserve - PG 2 (Fin)'!Q41</f>
        <v>0</v>
      </c>
      <c r="Q246" s="222"/>
      <c r="R246" s="222">
        <f>+'Summary - Reserve - PG 2 (Fin)'!S41</f>
        <v>0</v>
      </c>
      <c r="S246" s="222"/>
      <c r="T246" s="222">
        <f t="shared" si="47"/>
        <v>-25718423.940000001</v>
      </c>
      <c r="U246" s="222"/>
      <c r="V246" s="221"/>
      <c r="W246" s="221"/>
      <c r="X246" s="221"/>
    </row>
    <row r="247" spans="1:24" s="220" customFormat="1" outlineLevel="3">
      <c r="A247" s="218"/>
      <c r="C247" s="220" t="s">
        <v>121</v>
      </c>
      <c r="D247" s="222">
        <f>+'Summary - Reserve - PG 2 (Fin)'!C42</f>
        <v>-62001399.829999998</v>
      </c>
      <c r="E247" s="222"/>
      <c r="F247" s="222">
        <f>+'Summary - Reserve - PG 2 (Fin)'!E42</f>
        <v>-858648.40999999992</v>
      </c>
      <c r="G247" s="222"/>
      <c r="H247" s="222">
        <f>+'Summary - Reserve - PG 2 (Fin)'!G42</f>
        <v>0</v>
      </c>
      <c r="I247" s="222"/>
      <c r="J247" s="222">
        <f>+'Summary - Reserve - PG 2 (Fin)'!I42</f>
        <v>300.39</v>
      </c>
      <c r="K247" s="222"/>
      <c r="L247" s="222">
        <f>+'Summary - Reserve - PG 2 (Fin)'!M42</f>
        <v>0</v>
      </c>
      <c r="M247" s="222"/>
      <c r="N247" s="222">
        <f>+'Summary - Reserve - PG 2 (Fin)'!O42</f>
        <v>60363.729999999996</v>
      </c>
      <c r="O247" s="222"/>
      <c r="P247" s="222">
        <f>+'Summary - Reserve - PG 2 (Fin)'!Q42</f>
        <v>0</v>
      </c>
      <c r="Q247" s="222"/>
      <c r="R247" s="222">
        <f>+'Summary - Reserve - PG 2 (Fin)'!S42</f>
        <v>0</v>
      </c>
      <c r="S247" s="222"/>
      <c r="T247" s="222">
        <f t="shared" si="47"/>
        <v>-62799384.119999997</v>
      </c>
      <c r="U247" s="222"/>
      <c r="V247" s="221"/>
      <c r="W247" s="221"/>
      <c r="X247" s="221"/>
    </row>
    <row r="248" spans="1:24" s="220" customFormat="1" outlineLevel="3">
      <c r="A248" s="218"/>
      <c r="C248" s="220" t="s">
        <v>122</v>
      </c>
      <c r="D248" s="222">
        <f>+'Summary - Reserve - PG 2 (Fin)'!C43</f>
        <v>-0.02</v>
      </c>
      <c r="E248" s="222"/>
      <c r="F248" s="222">
        <f>+'Summary - Reserve - PG 2 (Fin)'!E43</f>
        <v>0</v>
      </c>
      <c r="G248" s="222"/>
      <c r="H248" s="222">
        <f>+'Summary - Reserve - PG 2 (Fin)'!G43</f>
        <v>0</v>
      </c>
      <c r="I248" s="222"/>
      <c r="J248" s="222">
        <f>+'Summary - Reserve - PG 2 (Fin)'!I43</f>
        <v>0</v>
      </c>
      <c r="K248" s="222"/>
      <c r="L248" s="222">
        <f>+'Summary - Reserve - PG 2 (Fin)'!M43</f>
        <v>0</v>
      </c>
      <c r="M248" s="222"/>
      <c r="N248" s="222">
        <f>+'Summary - Reserve - PG 2 (Fin)'!O43</f>
        <v>0</v>
      </c>
      <c r="O248" s="222"/>
      <c r="P248" s="222">
        <f>+'Summary - Reserve - PG 2 (Fin)'!Q43</f>
        <v>0</v>
      </c>
      <c r="Q248" s="222"/>
      <c r="R248" s="222">
        <f>+'Summary - Reserve - PG 2 (Fin)'!S43</f>
        <v>0</v>
      </c>
      <c r="S248" s="222"/>
      <c r="T248" s="222">
        <f t="shared" si="47"/>
        <v>-0.02</v>
      </c>
      <c r="U248" s="222"/>
      <c r="V248" s="221"/>
      <c r="W248" s="221"/>
      <c r="X248" s="221"/>
    </row>
    <row r="249" spans="1:24" s="220" customFormat="1" outlineLevel="3">
      <c r="A249" s="218"/>
      <c r="C249" s="220" t="s">
        <v>124</v>
      </c>
      <c r="D249" s="222">
        <f>+'Summary - Reserve - PG 2 (Fin)'!C44</f>
        <v>262470.53999999992</v>
      </c>
      <c r="E249" s="222"/>
      <c r="F249" s="222">
        <f>+'Summary - Reserve - PG 2 (Fin)'!E44</f>
        <v>-39237.25</v>
      </c>
      <c r="G249" s="222"/>
      <c r="H249" s="222">
        <f>+'Summary - Reserve - PG 2 (Fin)'!G44</f>
        <v>0</v>
      </c>
      <c r="I249" s="222"/>
      <c r="J249" s="222">
        <f>+'Summary - Reserve - PG 2 (Fin)'!I44</f>
        <v>0</v>
      </c>
      <c r="K249" s="222"/>
      <c r="L249" s="222">
        <f>+'Summary - Reserve - PG 2 (Fin)'!M44</f>
        <v>0</v>
      </c>
      <c r="M249" s="222"/>
      <c r="N249" s="222">
        <f>+'Summary - Reserve - PG 2 (Fin)'!O44</f>
        <v>0</v>
      </c>
      <c r="O249" s="222"/>
      <c r="P249" s="222">
        <f>+'Summary - Reserve - PG 2 (Fin)'!Q44</f>
        <v>0</v>
      </c>
      <c r="Q249" s="222"/>
      <c r="R249" s="222">
        <f>+'Summary - Reserve - PG 2 (Fin)'!S44</f>
        <v>0</v>
      </c>
      <c r="S249" s="222"/>
      <c r="T249" s="222">
        <f t="shared" si="47"/>
        <v>223233.28999999992</v>
      </c>
      <c r="U249" s="222"/>
      <c r="V249" s="221"/>
      <c r="W249" s="221"/>
      <c r="X249" s="221"/>
    </row>
    <row r="250" spans="1:24" s="220" customFormat="1" outlineLevel="3">
      <c r="A250" s="218"/>
      <c r="C250" s="220" t="s">
        <v>129</v>
      </c>
      <c r="D250" s="222">
        <f>+'Summary - Reserve - PG 2 (Fin)'!C45</f>
        <v>0</v>
      </c>
      <c r="E250" s="222"/>
      <c r="F250" s="222">
        <f>+'Summary - Reserve - PG 2 (Fin)'!E45</f>
        <v>0</v>
      </c>
      <c r="G250" s="222"/>
      <c r="H250" s="222">
        <f>+'Summary - Reserve - PG 2 (Fin)'!G45</f>
        <v>0</v>
      </c>
      <c r="I250" s="222"/>
      <c r="J250" s="222">
        <f>+'Summary - Reserve - PG 2 (Fin)'!I45</f>
        <v>0</v>
      </c>
      <c r="K250" s="222"/>
      <c r="L250" s="222">
        <f>+'Summary - Reserve - PG 2 (Fin)'!M45</f>
        <v>0</v>
      </c>
      <c r="M250" s="222"/>
      <c r="N250" s="222">
        <f>+'Summary - Reserve - PG 2 (Fin)'!O45</f>
        <v>0</v>
      </c>
      <c r="O250" s="222"/>
      <c r="P250" s="222">
        <f>+'Summary - Reserve - PG 2 (Fin)'!Q45</f>
        <v>0</v>
      </c>
      <c r="Q250" s="222"/>
      <c r="R250" s="222">
        <f>+'Summary - Reserve - PG 2 (Fin)'!S45</f>
        <v>0</v>
      </c>
      <c r="S250" s="222"/>
      <c r="T250" s="222">
        <f t="shared" si="47"/>
        <v>0</v>
      </c>
      <c r="U250" s="222"/>
      <c r="V250" s="221"/>
      <c r="W250" s="221"/>
      <c r="X250" s="221"/>
    </row>
    <row r="251" spans="1:24" s="220" customFormat="1" outlineLevel="3">
      <c r="A251" s="218"/>
      <c r="C251" s="220" t="s">
        <v>125</v>
      </c>
      <c r="D251" s="222">
        <f>+'Summary - Reserve - PG 2 (Fin)'!C46</f>
        <v>-2984857.77</v>
      </c>
      <c r="E251" s="222"/>
      <c r="F251" s="222">
        <f>+'Summary - Reserve - PG 2 (Fin)'!E46</f>
        <v>-3768.83</v>
      </c>
      <c r="G251" s="222"/>
      <c r="H251" s="222">
        <f>+'Summary - Reserve - PG 2 (Fin)'!G46</f>
        <v>0</v>
      </c>
      <c r="I251" s="222"/>
      <c r="J251" s="222">
        <f>+'Summary - Reserve - PG 2 (Fin)'!I46</f>
        <v>-300.39</v>
      </c>
      <c r="K251" s="222"/>
      <c r="L251" s="222">
        <f>+'Summary - Reserve - PG 2 (Fin)'!M46</f>
        <v>0</v>
      </c>
      <c r="M251" s="222"/>
      <c r="N251" s="222">
        <f>+'Summary - Reserve - PG 2 (Fin)'!O46</f>
        <v>21090.05</v>
      </c>
      <c r="O251" s="222"/>
      <c r="P251" s="222">
        <f>+'Summary - Reserve - PG 2 (Fin)'!Q46</f>
        <v>0</v>
      </c>
      <c r="Q251" s="222"/>
      <c r="R251" s="222">
        <f>+'Summary - Reserve - PG 2 (Fin)'!S46</f>
        <v>0</v>
      </c>
      <c r="S251" s="222"/>
      <c r="T251" s="222">
        <f t="shared" si="47"/>
        <v>-2967836.94</v>
      </c>
      <c r="U251" s="222"/>
      <c r="V251" s="221"/>
      <c r="W251" s="221"/>
      <c r="X251" s="221"/>
    </row>
    <row r="252" spans="1:24" s="220" customFormat="1" outlineLevel="3">
      <c r="A252" s="218"/>
      <c r="C252" s="220" t="s">
        <v>131</v>
      </c>
      <c r="D252" s="225">
        <f>+'Summary - Reserve - PG 2 (Fin)'!C47</f>
        <v>0</v>
      </c>
      <c r="E252" s="222"/>
      <c r="F252" s="225">
        <f>+'Summary - Reserve - PG 2 (Fin)'!E47</f>
        <v>0</v>
      </c>
      <c r="G252" s="222"/>
      <c r="H252" s="225">
        <f>+'Summary - Reserve - PG 2 (Fin)'!G47</f>
        <v>0</v>
      </c>
      <c r="I252" s="222"/>
      <c r="J252" s="225">
        <f>+'Summary - Reserve - PG 2 (Fin)'!I47</f>
        <v>0</v>
      </c>
      <c r="K252" s="222"/>
      <c r="L252" s="225">
        <f>+'Summary - Reserve - PG 2 (Fin)'!M47</f>
        <v>0</v>
      </c>
      <c r="M252" s="222"/>
      <c r="N252" s="225">
        <f>+'Summary - Reserve - PG 2 (Fin)'!O47</f>
        <v>0</v>
      </c>
      <c r="O252" s="222"/>
      <c r="P252" s="225">
        <f>+'Summary - Reserve - PG 2 (Fin)'!Q47</f>
        <v>0</v>
      </c>
      <c r="Q252" s="222"/>
      <c r="R252" s="225">
        <f>+'Summary - Reserve - PG 2 (Fin)'!S47</f>
        <v>0</v>
      </c>
      <c r="S252" s="222"/>
      <c r="T252" s="225">
        <f t="shared" si="47"/>
        <v>0</v>
      </c>
      <c r="U252" s="222"/>
      <c r="V252" s="221"/>
      <c r="W252" s="221"/>
      <c r="X252" s="221"/>
    </row>
    <row r="253" spans="1:24" s="220" customFormat="1" outlineLevel="3">
      <c r="A253" s="218"/>
      <c r="C253" s="227"/>
      <c r="D253" s="222">
        <f>SUM(D240:D252)</f>
        <v>-350162066.01999992</v>
      </c>
      <c r="E253" s="222"/>
      <c r="F253" s="222">
        <f>SUM(F240:F252)</f>
        <v>-7545879.8200000003</v>
      </c>
      <c r="G253" s="222"/>
      <c r="H253" s="222">
        <f>SUM(H240:H252)</f>
        <v>0</v>
      </c>
      <c r="I253" s="222"/>
      <c r="J253" s="222">
        <f>SUM(J240:J252)</f>
        <v>0</v>
      </c>
      <c r="K253" s="222"/>
      <c r="L253" s="222">
        <f>SUM(L240:L252)</f>
        <v>0</v>
      </c>
      <c r="M253" s="222"/>
      <c r="N253" s="222">
        <f>SUM(N240:N252)</f>
        <v>4675794.42</v>
      </c>
      <c r="O253" s="222"/>
      <c r="P253" s="222">
        <f>SUM(P240:P252)</f>
        <v>0</v>
      </c>
      <c r="Q253" s="222"/>
      <c r="R253" s="222">
        <f>SUM(R240:R252)</f>
        <v>0</v>
      </c>
      <c r="S253" s="222"/>
      <c r="T253" s="222">
        <f>SUM(T240:T252)</f>
        <v>-353032151.42000002</v>
      </c>
      <c r="U253" s="222"/>
      <c r="V253" s="221"/>
      <c r="W253" s="221"/>
      <c r="X253" s="221"/>
    </row>
    <row r="254" spans="1:24" s="220" customFormat="1" outlineLevel="3">
      <c r="A254" s="218"/>
      <c r="D254" s="239"/>
      <c r="E254" s="239"/>
      <c r="F254" s="239"/>
      <c r="G254" s="239"/>
      <c r="H254" s="239"/>
      <c r="I254" s="239"/>
      <c r="J254" s="226"/>
      <c r="K254" s="239"/>
      <c r="L254" s="239"/>
      <c r="M254" s="239"/>
      <c r="N254" s="239"/>
      <c r="O254" s="239"/>
      <c r="P254" s="239"/>
      <c r="Q254" s="239"/>
      <c r="R254" s="239"/>
      <c r="S254" s="239"/>
      <c r="T254" s="239"/>
      <c r="U254" s="239"/>
      <c r="V254" s="221"/>
      <c r="W254" s="221"/>
      <c r="X254" s="221"/>
    </row>
    <row r="255" spans="1:24" s="220" customFormat="1" ht="15" outlineLevel="3">
      <c r="A255" s="218"/>
      <c r="B255" s="219" t="s">
        <v>654</v>
      </c>
      <c r="D255" s="244"/>
      <c r="E255" s="226"/>
      <c r="F255" s="244"/>
      <c r="G255" s="226"/>
      <c r="H255" s="244"/>
      <c r="I255" s="226"/>
      <c r="J255" s="244"/>
      <c r="K255" s="226"/>
      <c r="L255" s="244"/>
      <c r="M255" s="226"/>
      <c r="N255" s="244"/>
      <c r="O255" s="226"/>
      <c r="P255" s="244"/>
      <c r="Q255" s="226"/>
      <c r="R255" s="244"/>
      <c r="S255" s="226"/>
      <c r="T255" s="244"/>
      <c r="U255" s="244"/>
      <c r="V255" s="221"/>
      <c r="W255" s="221"/>
      <c r="X255" s="221"/>
    </row>
    <row r="256" spans="1:24" s="220" customFormat="1" outlineLevel="3">
      <c r="A256" s="218"/>
      <c r="C256" s="220" t="s">
        <v>455</v>
      </c>
      <c r="D256" s="222">
        <f>+'Summary - Reserve - PG 2 (Fin)'!C51</f>
        <v>278457.83</v>
      </c>
      <c r="E256" s="222"/>
      <c r="F256" s="222">
        <f>+'Summary - Reserve - PG 2 (Fin)'!E51</f>
        <v>95.820000000000007</v>
      </c>
      <c r="G256" s="222"/>
      <c r="H256" s="222">
        <f>+'Summary - Reserve - PG 2 (Fin)'!G51</f>
        <v>0</v>
      </c>
      <c r="I256" s="222"/>
      <c r="J256" s="222">
        <f>+'Summary - Reserve - PG 2 (Fin)'!I51</f>
        <v>0</v>
      </c>
      <c r="K256" s="222"/>
      <c r="L256" s="222">
        <f>+'Summary - Reserve - PG 2 (Fin)'!M51</f>
        <v>0</v>
      </c>
      <c r="M256" s="222"/>
      <c r="N256" s="222">
        <f>+'Summary - Reserve - PG 2 (Fin)'!O51</f>
        <v>0</v>
      </c>
      <c r="O256" s="222"/>
      <c r="P256" s="222">
        <f>+'Summary - Reserve - PG 2 (Fin)'!Q51</f>
        <v>-3000</v>
      </c>
      <c r="Q256" s="222"/>
      <c r="R256" s="222">
        <f>+'Summary - Reserve - PG 2 (Fin)'!S51</f>
        <v>0</v>
      </c>
      <c r="S256" s="222"/>
      <c r="T256" s="222">
        <f t="shared" ref="T256:T268" si="48">R256+P256+N256+L256+J256+H256+F256+D256</f>
        <v>275553.65000000002</v>
      </c>
      <c r="U256" s="222"/>
      <c r="V256" s="221"/>
      <c r="W256" s="221"/>
      <c r="X256" s="221"/>
    </row>
    <row r="257" spans="1:24" s="220" customFormat="1" outlineLevel="3">
      <c r="A257" s="218"/>
      <c r="C257" s="220" t="s">
        <v>113</v>
      </c>
      <c r="D257" s="222">
        <f>+'Summary - Reserve - PG 2 (Fin)'!C52</f>
        <v>18531222.48</v>
      </c>
      <c r="E257" s="222"/>
      <c r="F257" s="222">
        <f>+'Summary - Reserve - PG 2 (Fin)'!E52</f>
        <v>368163.38</v>
      </c>
      <c r="G257" s="222"/>
      <c r="H257" s="222">
        <f>+'Summary - Reserve - PG 2 (Fin)'!G52</f>
        <v>0</v>
      </c>
      <c r="I257" s="222"/>
      <c r="J257" s="222">
        <f>+'Summary - Reserve - PG 2 (Fin)'!I52</f>
        <v>0</v>
      </c>
      <c r="K257" s="222"/>
      <c r="L257" s="222">
        <f>+'Summary - Reserve - PG 2 (Fin)'!M52</f>
        <v>0</v>
      </c>
      <c r="M257" s="222"/>
      <c r="N257" s="222">
        <f>+'Summary - Reserve - PG 2 (Fin)'!O52</f>
        <v>0</v>
      </c>
      <c r="O257" s="222"/>
      <c r="P257" s="222">
        <f>+'Summary - Reserve - PG 2 (Fin)'!Q52</f>
        <v>-54967.23</v>
      </c>
      <c r="Q257" s="222"/>
      <c r="R257" s="222">
        <f>+'Summary - Reserve - PG 2 (Fin)'!S52</f>
        <v>0</v>
      </c>
      <c r="S257" s="222"/>
      <c r="T257" s="222">
        <f t="shared" si="48"/>
        <v>18844418.629999999</v>
      </c>
      <c r="U257" s="222"/>
      <c r="V257" s="221"/>
      <c r="W257" s="221"/>
      <c r="X257" s="221"/>
    </row>
    <row r="258" spans="1:24" s="220" customFormat="1" outlineLevel="3">
      <c r="A258" s="218"/>
      <c r="C258" s="220" t="s">
        <v>114</v>
      </c>
      <c r="D258" s="222">
        <f>+'Summary - Reserve - PG 2 (Fin)'!C53</f>
        <v>140589.22</v>
      </c>
      <c r="E258" s="222"/>
      <c r="F258" s="222">
        <f>+'Summary - Reserve - PG 2 (Fin)'!E53</f>
        <v>596.79</v>
      </c>
      <c r="G258" s="222"/>
      <c r="H258" s="222">
        <f>+'Summary - Reserve - PG 2 (Fin)'!G53</f>
        <v>0</v>
      </c>
      <c r="I258" s="222"/>
      <c r="J258" s="222">
        <f>+'Summary - Reserve - PG 2 (Fin)'!I53</f>
        <v>0</v>
      </c>
      <c r="K258" s="222"/>
      <c r="L258" s="222">
        <f>+'Summary - Reserve - PG 2 (Fin)'!M53</f>
        <v>0</v>
      </c>
      <c r="M258" s="222"/>
      <c r="N258" s="222">
        <f>+'Summary - Reserve - PG 2 (Fin)'!O53</f>
        <v>0</v>
      </c>
      <c r="O258" s="222"/>
      <c r="P258" s="222">
        <f>+'Summary - Reserve - PG 2 (Fin)'!Q53</f>
        <v>0</v>
      </c>
      <c r="Q258" s="222"/>
      <c r="R258" s="222">
        <f>+'Summary - Reserve - PG 2 (Fin)'!S53</f>
        <v>0</v>
      </c>
      <c r="S258" s="222"/>
      <c r="T258" s="222">
        <f t="shared" si="48"/>
        <v>141186.01</v>
      </c>
      <c r="U258" s="222"/>
      <c r="V258" s="221"/>
      <c r="W258" s="221"/>
      <c r="X258" s="221"/>
    </row>
    <row r="259" spans="1:24" s="220" customFormat="1" outlineLevel="3">
      <c r="A259" s="218"/>
      <c r="C259" s="220" t="s">
        <v>115</v>
      </c>
      <c r="D259" s="222">
        <f>+'Summary - Reserve - PG 2 (Fin)'!C54</f>
        <v>376638.17</v>
      </c>
      <c r="E259" s="222"/>
      <c r="F259" s="222">
        <f>+'Summary - Reserve - PG 2 (Fin)'!E54</f>
        <v>0</v>
      </c>
      <c r="G259" s="222"/>
      <c r="H259" s="222">
        <f>+'Summary - Reserve - PG 2 (Fin)'!G54</f>
        <v>0</v>
      </c>
      <c r="I259" s="222"/>
      <c r="J259" s="222">
        <f>+'Summary - Reserve - PG 2 (Fin)'!I54</f>
        <v>0</v>
      </c>
      <c r="K259" s="222"/>
      <c r="L259" s="222">
        <f>+'Summary - Reserve - PG 2 (Fin)'!M54</f>
        <v>0</v>
      </c>
      <c r="M259" s="222"/>
      <c r="N259" s="222">
        <f>+'Summary - Reserve - PG 2 (Fin)'!O54</f>
        <v>0</v>
      </c>
      <c r="O259" s="222"/>
      <c r="P259" s="222">
        <f>+'Summary - Reserve - PG 2 (Fin)'!Q54</f>
        <v>0</v>
      </c>
      <c r="Q259" s="222"/>
      <c r="R259" s="222">
        <f>+'Summary - Reserve - PG 2 (Fin)'!S54</f>
        <v>0</v>
      </c>
      <c r="S259" s="222"/>
      <c r="T259" s="222">
        <f t="shared" si="48"/>
        <v>376638.17</v>
      </c>
      <c r="U259" s="222"/>
      <c r="V259" s="221"/>
      <c r="W259" s="221"/>
      <c r="X259" s="221"/>
    </row>
    <row r="260" spans="1:24" s="220" customFormat="1" outlineLevel="3">
      <c r="A260" s="218"/>
      <c r="C260" s="220" t="s">
        <v>117</v>
      </c>
      <c r="D260" s="222">
        <f>+'Summary - Reserve - PG 2 (Fin)'!C55</f>
        <v>-18998.669999999998</v>
      </c>
      <c r="E260" s="222"/>
      <c r="F260" s="222">
        <f>+'Summary - Reserve - PG 2 (Fin)'!E55</f>
        <v>0</v>
      </c>
      <c r="G260" s="222"/>
      <c r="H260" s="222">
        <f>+'Summary - Reserve - PG 2 (Fin)'!G55</f>
        <v>0</v>
      </c>
      <c r="I260" s="222"/>
      <c r="J260" s="222">
        <f>+'Summary - Reserve - PG 2 (Fin)'!I55</f>
        <v>0</v>
      </c>
      <c r="K260" s="222"/>
      <c r="L260" s="222">
        <f>+'Summary - Reserve - PG 2 (Fin)'!M55</f>
        <v>0</v>
      </c>
      <c r="M260" s="222"/>
      <c r="N260" s="222">
        <f>+'Summary - Reserve - PG 2 (Fin)'!O55</f>
        <v>0</v>
      </c>
      <c r="O260" s="222"/>
      <c r="P260" s="222">
        <f>+'Summary - Reserve - PG 2 (Fin)'!Q55</f>
        <v>0</v>
      </c>
      <c r="Q260" s="222"/>
      <c r="R260" s="222">
        <f>+'Summary - Reserve - PG 2 (Fin)'!S55</f>
        <v>0</v>
      </c>
      <c r="S260" s="222"/>
      <c r="T260" s="222">
        <f t="shared" si="48"/>
        <v>-18998.669999999998</v>
      </c>
      <c r="U260" s="222"/>
      <c r="V260" s="221"/>
      <c r="W260" s="221"/>
      <c r="X260" s="221"/>
    </row>
    <row r="261" spans="1:24" s="220" customFormat="1" outlineLevel="3">
      <c r="A261" s="218"/>
      <c r="C261" s="220" t="s">
        <v>118</v>
      </c>
      <c r="D261" s="222">
        <f>+'Summary - Reserve - PG 2 (Fin)'!C56</f>
        <v>24020678.649999999</v>
      </c>
      <c r="E261" s="222"/>
      <c r="F261" s="222">
        <f>+'Summary - Reserve - PG 2 (Fin)'!E56</f>
        <v>512183.75</v>
      </c>
      <c r="G261" s="222"/>
      <c r="H261" s="222">
        <f>+'Summary - Reserve - PG 2 (Fin)'!G56</f>
        <v>0</v>
      </c>
      <c r="I261" s="222"/>
      <c r="J261" s="222">
        <f>+'Summary - Reserve - PG 2 (Fin)'!I56</f>
        <v>0</v>
      </c>
      <c r="K261" s="222"/>
      <c r="L261" s="222">
        <f>+'Summary - Reserve - PG 2 (Fin)'!M56</f>
        <v>0</v>
      </c>
      <c r="M261" s="222"/>
      <c r="N261" s="222">
        <f>+'Summary - Reserve - PG 2 (Fin)'!O56</f>
        <v>0</v>
      </c>
      <c r="O261" s="222"/>
      <c r="P261" s="222">
        <f>+'Summary - Reserve - PG 2 (Fin)'!Q56</f>
        <v>-126226.16</v>
      </c>
      <c r="Q261" s="222"/>
      <c r="R261" s="222">
        <f>+'Summary - Reserve - PG 2 (Fin)'!S56</f>
        <v>0</v>
      </c>
      <c r="S261" s="222"/>
      <c r="T261" s="222">
        <f t="shared" si="48"/>
        <v>24406636.239999998</v>
      </c>
      <c r="U261" s="222"/>
      <c r="V261" s="221"/>
      <c r="W261" s="221"/>
      <c r="X261" s="221"/>
    </row>
    <row r="262" spans="1:24" s="220" customFormat="1" outlineLevel="3">
      <c r="A262" s="218"/>
      <c r="C262" s="220" t="s">
        <v>119</v>
      </c>
      <c r="D262" s="222">
        <f>+'Summary - Reserve - PG 2 (Fin)'!C57</f>
        <v>6511015.7699999996</v>
      </c>
      <c r="E262" s="222"/>
      <c r="F262" s="222">
        <f>+'Summary - Reserve - PG 2 (Fin)'!E57</f>
        <v>66958.760000000009</v>
      </c>
      <c r="G262" s="222"/>
      <c r="H262" s="222">
        <f>+'Summary - Reserve - PG 2 (Fin)'!G57</f>
        <v>0</v>
      </c>
      <c r="I262" s="222"/>
      <c r="J262" s="222">
        <f>+'Summary - Reserve - PG 2 (Fin)'!I57</f>
        <v>0</v>
      </c>
      <c r="K262" s="222"/>
      <c r="L262" s="222">
        <f>+'Summary - Reserve - PG 2 (Fin)'!M57</f>
        <v>0</v>
      </c>
      <c r="M262" s="222"/>
      <c r="N262" s="222">
        <f>+'Summary - Reserve - PG 2 (Fin)'!O57</f>
        <v>0</v>
      </c>
      <c r="O262" s="222"/>
      <c r="P262" s="222">
        <f>+'Summary - Reserve - PG 2 (Fin)'!Q57</f>
        <v>-357106.44</v>
      </c>
      <c r="Q262" s="222"/>
      <c r="R262" s="222">
        <f>+'Summary - Reserve - PG 2 (Fin)'!S57</f>
        <v>0</v>
      </c>
      <c r="S262" s="222"/>
      <c r="T262" s="222">
        <f t="shared" si="48"/>
        <v>6220868.0899999999</v>
      </c>
      <c r="U262" s="222"/>
      <c r="V262" s="221"/>
      <c r="W262" s="221"/>
      <c r="X262" s="221"/>
    </row>
    <row r="263" spans="1:24" s="220" customFormat="1" outlineLevel="3">
      <c r="A263" s="218"/>
      <c r="C263" s="220" t="s">
        <v>121</v>
      </c>
      <c r="D263" s="222">
        <f>+'Summary - Reserve - PG 2 (Fin)'!C58</f>
        <v>3791455.11</v>
      </c>
      <c r="E263" s="222"/>
      <c r="F263" s="222">
        <f>+'Summary - Reserve - PG 2 (Fin)'!E58</f>
        <v>51510.74</v>
      </c>
      <c r="G263" s="222"/>
      <c r="H263" s="222">
        <f>+'Summary - Reserve - PG 2 (Fin)'!G58</f>
        <v>0</v>
      </c>
      <c r="I263" s="222"/>
      <c r="J263" s="222">
        <f>+'Summary - Reserve - PG 2 (Fin)'!I58</f>
        <v>0</v>
      </c>
      <c r="K263" s="222"/>
      <c r="L263" s="222">
        <f>+'Summary - Reserve - PG 2 (Fin)'!M58</f>
        <v>0</v>
      </c>
      <c r="M263" s="222"/>
      <c r="N263" s="222">
        <f>+'Summary - Reserve - PG 2 (Fin)'!O58</f>
        <v>0</v>
      </c>
      <c r="O263" s="222"/>
      <c r="P263" s="222">
        <f>+'Summary - Reserve - PG 2 (Fin)'!Q58</f>
        <v>0</v>
      </c>
      <c r="Q263" s="222"/>
      <c r="R263" s="222">
        <f>+'Summary - Reserve - PG 2 (Fin)'!S58</f>
        <v>0</v>
      </c>
      <c r="S263" s="222"/>
      <c r="T263" s="222">
        <f t="shared" si="48"/>
        <v>3842965.85</v>
      </c>
      <c r="U263" s="222"/>
      <c r="V263" s="221"/>
      <c r="W263" s="221"/>
      <c r="X263" s="221"/>
    </row>
    <row r="264" spans="1:24" s="220" customFormat="1" outlineLevel="3">
      <c r="A264" s="218"/>
      <c r="C264" s="220" t="s">
        <v>122</v>
      </c>
      <c r="D264" s="222">
        <f>+'Summary - Reserve - PG 2 (Fin)'!C59</f>
        <v>228159.61000000002</v>
      </c>
      <c r="E264" s="222"/>
      <c r="F264" s="222">
        <f>+'Summary - Reserve - PG 2 (Fin)'!E59</f>
        <v>727.46</v>
      </c>
      <c r="G264" s="222"/>
      <c r="H264" s="222">
        <f>+'Summary - Reserve - PG 2 (Fin)'!G59</f>
        <v>0</v>
      </c>
      <c r="I264" s="222"/>
      <c r="J264" s="222">
        <f>+'Summary - Reserve - PG 2 (Fin)'!I59</f>
        <v>0</v>
      </c>
      <c r="K264" s="222"/>
      <c r="L264" s="222">
        <f>+'Summary - Reserve - PG 2 (Fin)'!M59</f>
        <v>0</v>
      </c>
      <c r="M264" s="222"/>
      <c r="N264" s="222">
        <f>+'Summary - Reserve - PG 2 (Fin)'!O59</f>
        <v>0</v>
      </c>
      <c r="O264" s="222"/>
      <c r="P264" s="222">
        <f>+'Summary - Reserve - PG 2 (Fin)'!Q59</f>
        <v>0</v>
      </c>
      <c r="Q264" s="222"/>
      <c r="R264" s="222">
        <f>+'Summary - Reserve - PG 2 (Fin)'!S59</f>
        <v>0</v>
      </c>
      <c r="S264" s="222"/>
      <c r="T264" s="222">
        <f t="shared" si="48"/>
        <v>228887.07</v>
      </c>
      <c r="U264" s="222"/>
      <c r="V264" s="221"/>
      <c r="W264" s="221"/>
      <c r="X264" s="221"/>
    </row>
    <row r="265" spans="1:24" s="220" customFormat="1" outlineLevel="3">
      <c r="A265" s="218"/>
      <c r="C265" s="220" t="s">
        <v>124</v>
      </c>
      <c r="D265" s="222">
        <f>+'Summary - Reserve - PG 2 (Fin)'!C60</f>
        <v>287152.20999999996</v>
      </c>
      <c r="E265" s="222"/>
      <c r="F265" s="222">
        <f>+'Summary - Reserve - PG 2 (Fin)'!E60</f>
        <v>4482.2800000000007</v>
      </c>
      <c r="G265" s="222"/>
      <c r="H265" s="222">
        <f>+'Summary - Reserve - PG 2 (Fin)'!G60</f>
        <v>0</v>
      </c>
      <c r="I265" s="222"/>
      <c r="J265" s="222">
        <f>+'Summary - Reserve - PG 2 (Fin)'!I60</f>
        <v>0</v>
      </c>
      <c r="K265" s="222"/>
      <c r="L265" s="222">
        <f>+'Summary - Reserve - PG 2 (Fin)'!M60</f>
        <v>0</v>
      </c>
      <c r="M265" s="222"/>
      <c r="N265" s="222">
        <f>+'Summary - Reserve - PG 2 (Fin)'!O60</f>
        <v>0</v>
      </c>
      <c r="O265" s="222"/>
      <c r="P265" s="222">
        <f>+'Summary - Reserve - PG 2 (Fin)'!Q60</f>
        <v>0</v>
      </c>
      <c r="Q265" s="222"/>
      <c r="R265" s="222">
        <f>+'Summary - Reserve - PG 2 (Fin)'!S60</f>
        <v>0</v>
      </c>
      <c r="S265" s="222"/>
      <c r="T265" s="222">
        <f t="shared" si="48"/>
        <v>291634.49</v>
      </c>
      <c r="U265" s="222"/>
      <c r="V265" s="221"/>
      <c r="W265" s="221"/>
      <c r="X265" s="221"/>
    </row>
    <row r="266" spans="1:24" s="220" customFormat="1" outlineLevel="3">
      <c r="A266" s="218"/>
      <c r="C266" s="220" t="s">
        <v>129</v>
      </c>
      <c r="D266" s="222">
        <f>+'Summary - Reserve - PG 2 (Fin)'!C61</f>
        <v>0</v>
      </c>
      <c r="E266" s="222"/>
      <c r="F266" s="222">
        <f>+'Summary - Reserve - PG 2 (Fin)'!E61</f>
        <v>0</v>
      </c>
      <c r="G266" s="222"/>
      <c r="H266" s="222">
        <f>+'Summary - Reserve - PG 2 (Fin)'!G61</f>
        <v>0</v>
      </c>
      <c r="I266" s="222"/>
      <c r="J266" s="222">
        <f>+'Summary - Reserve - PG 2 (Fin)'!I61</f>
        <v>0</v>
      </c>
      <c r="K266" s="222"/>
      <c r="L266" s="222">
        <f>+'Summary - Reserve - PG 2 (Fin)'!M61</f>
        <v>0</v>
      </c>
      <c r="M266" s="222"/>
      <c r="N266" s="222">
        <f>+'Summary - Reserve - PG 2 (Fin)'!O61</f>
        <v>0</v>
      </c>
      <c r="O266" s="222"/>
      <c r="P266" s="222">
        <f>+'Summary - Reserve - PG 2 (Fin)'!Q61</f>
        <v>0</v>
      </c>
      <c r="Q266" s="222"/>
      <c r="R266" s="222">
        <f>+'Summary - Reserve - PG 2 (Fin)'!S61</f>
        <v>0</v>
      </c>
      <c r="S266" s="222"/>
      <c r="T266" s="222">
        <f t="shared" si="48"/>
        <v>0</v>
      </c>
      <c r="U266" s="222"/>
      <c r="V266" s="221"/>
      <c r="W266" s="221"/>
      <c r="X266" s="221"/>
    </row>
    <row r="267" spans="1:24" s="220" customFormat="1" outlineLevel="3">
      <c r="A267" s="218"/>
      <c r="C267" s="220" t="s">
        <v>125</v>
      </c>
      <c r="D267" s="222">
        <f>+'Summary - Reserve - PG 2 (Fin)'!C62</f>
        <v>223309.53000000003</v>
      </c>
      <c r="E267" s="222"/>
      <c r="F267" s="222">
        <f>+'Summary - Reserve - PG 2 (Fin)'!E62</f>
        <v>1413.32</v>
      </c>
      <c r="G267" s="222"/>
      <c r="H267" s="222">
        <f>+'Summary - Reserve - PG 2 (Fin)'!G62</f>
        <v>0</v>
      </c>
      <c r="I267" s="222"/>
      <c r="J267" s="222">
        <f>+'Summary - Reserve - PG 2 (Fin)'!I62</f>
        <v>0</v>
      </c>
      <c r="K267" s="222"/>
      <c r="L267" s="222">
        <f>+'Summary - Reserve - PG 2 (Fin)'!M62</f>
        <v>0</v>
      </c>
      <c r="M267" s="222"/>
      <c r="N267" s="222">
        <f>+'Summary - Reserve - PG 2 (Fin)'!O62</f>
        <v>0</v>
      </c>
      <c r="O267" s="222"/>
      <c r="P267" s="222">
        <f>+'Summary - Reserve - PG 2 (Fin)'!Q62</f>
        <v>0</v>
      </c>
      <c r="Q267" s="222"/>
      <c r="R267" s="222">
        <f>+'Summary - Reserve - PG 2 (Fin)'!S62</f>
        <v>0</v>
      </c>
      <c r="S267" s="222"/>
      <c r="T267" s="222">
        <f t="shared" si="48"/>
        <v>224722.85000000003</v>
      </c>
      <c r="U267" s="222"/>
      <c r="V267" s="221"/>
      <c r="W267" s="221"/>
      <c r="X267" s="221"/>
    </row>
    <row r="268" spans="1:24" s="220" customFormat="1" outlineLevel="3">
      <c r="A268" s="218"/>
      <c r="C268" s="220" t="s">
        <v>131</v>
      </c>
      <c r="D268" s="225">
        <f>+'Summary - Reserve - PG 2 (Fin)'!C63</f>
        <v>0</v>
      </c>
      <c r="E268" s="222"/>
      <c r="F268" s="225">
        <f>+'Summary - Reserve - PG 2 (Fin)'!E63</f>
        <v>0</v>
      </c>
      <c r="G268" s="222"/>
      <c r="H268" s="225">
        <f>+'Summary - Reserve - PG 2 (Fin)'!G63</f>
        <v>0</v>
      </c>
      <c r="I268" s="222"/>
      <c r="J268" s="225">
        <f>+'Summary - Reserve - PG 2 (Fin)'!I63</f>
        <v>0</v>
      </c>
      <c r="K268" s="222"/>
      <c r="L268" s="225">
        <f>+'Summary - Reserve - PG 2 (Fin)'!M63</f>
        <v>0</v>
      </c>
      <c r="M268" s="222"/>
      <c r="N268" s="225">
        <f>+'Summary - Reserve - PG 2 (Fin)'!O63</f>
        <v>0</v>
      </c>
      <c r="O268" s="222"/>
      <c r="P268" s="225">
        <f>+'Summary - Reserve - PG 2 (Fin)'!Q63</f>
        <v>0</v>
      </c>
      <c r="Q268" s="222"/>
      <c r="R268" s="225">
        <f>+'Summary - Reserve - PG 2 (Fin)'!S63</f>
        <v>0</v>
      </c>
      <c r="S268" s="222"/>
      <c r="T268" s="225">
        <f t="shared" si="48"/>
        <v>0</v>
      </c>
      <c r="U268" s="222"/>
      <c r="V268" s="221"/>
      <c r="W268" s="221"/>
      <c r="X268" s="221"/>
    </row>
    <row r="269" spans="1:24" s="220" customFormat="1" outlineLevel="3">
      <c r="A269" s="218"/>
      <c r="C269" s="227"/>
      <c r="D269" s="222">
        <f>SUM(D256:D268)</f>
        <v>54369679.909999989</v>
      </c>
      <c r="E269" s="222"/>
      <c r="F269" s="222">
        <f>SUM(F256:F268)</f>
        <v>1006132.2999999999</v>
      </c>
      <c r="G269" s="222"/>
      <c r="H269" s="222">
        <f>SUM(H256:H268)</f>
        <v>0</v>
      </c>
      <c r="I269" s="222"/>
      <c r="J269" s="222">
        <f>SUM(J256:J268)</f>
        <v>0</v>
      </c>
      <c r="K269" s="222"/>
      <c r="L269" s="222">
        <f>SUM(L256:L268)</f>
        <v>0</v>
      </c>
      <c r="M269" s="222"/>
      <c r="N269" s="222">
        <f>SUM(N256:N268)</f>
        <v>0</v>
      </c>
      <c r="O269" s="222"/>
      <c r="P269" s="222">
        <f>SUM(P256:P268)</f>
        <v>-541299.83000000007</v>
      </c>
      <c r="Q269" s="222"/>
      <c r="R269" s="222">
        <f>SUM(R256:R268)</f>
        <v>0</v>
      </c>
      <c r="S269" s="222"/>
      <c r="T269" s="222">
        <f>SUM(T256:T268)</f>
        <v>54834512.38000001</v>
      </c>
      <c r="U269" s="222"/>
      <c r="V269" s="221"/>
      <c r="W269" s="221"/>
      <c r="X269" s="221"/>
    </row>
    <row r="270" spans="1:24" s="220" customFormat="1" outlineLevel="3">
      <c r="A270" s="218"/>
      <c r="D270" s="222"/>
      <c r="E270" s="222"/>
      <c r="F270" s="222"/>
      <c r="G270" s="222"/>
      <c r="H270" s="222"/>
      <c r="I270" s="222"/>
      <c r="J270" s="222"/>
      <c r="K270" s="222"/>
      <c r="L270" s="222"/>
      <c r="M270" s="222"/>
      <c r="N270" s="222"/>
      <c r="O270" s="222"/>
      <c r="P270" s="222"/>
      <c r="Q270" s="222"/>
      <c r="R270" s="222"/>
      <c r="S270" s="222"/>
      <c r="T270" s="222"/>
      <c r="U270" s="222"/>
      <c r="V270" s="221"/>
      <c r="W270" s="221"/>
      <c r="X270" s="221"/>
    </row>
    <row r="271" spans="1:24" s="220" customFormat="1" outlineLevel="3">
      <c r="A271" s="218"/>
      <c r="B271" s="219" t="s">
        <v>656</v>
      </c>
      <c r="D271" s="223"/>
      <c r="E271" s="223"/>
      <c r="F271" s="223"/>
      <c r="G271" s="223"/>
      <c r="H271" s="223"/>
      <c r="I271" s="223"/>
      <c r="J271" s="223"/>
      <c r="K271" s="223"/>
      <c r="L271" s="223"/>
      <c r="M271" s="223"/>
      <c r="N271" s="223"/>
      <c r="O271" s="223"/>
      <c r="P271" s="223"/>
      <c r="Q271" s="223"/>
      <c r="R271" s="223"/>
      <c r="S271" s="223"/>
      <c r="T271" s="223"/>
      <c r="U271" s="223"/>
      <c r="V271" s="221"/>
      <c r="W271" s="221"/>
      <c r="X271" s="221"/>
    </row>
    <row r="272" spans="1:24" s="220" customFormat="1" outlineLevel="3">
      <c r="A272" s="218"/>
      <c r="C272" s="220" t="s">
        <v>652</v>
      </c>
      <c r="D272" s="223">
        <f>+'Summary - Reserve - PG 2 (Fin)'!C73</f>
        <v>149762.35</v>
      </c>
      <c r="E272" s="223"/>
      <c r="F272" s="223">
        <f>+'Summary - Reserve - PG 2 (Fin)'!E73</f>
        <v>0</v>
      </c>
      <c r="G272" s="223"/>
      <c r="H272" s="223">
        <f>+'Summary - Reserve - PG 2 (Fin)'!G73</f>
        <v>0</v>
      </c>
      <c r="I272" s="223"/>
      <c r="J272" s="223">
        <f>+'Summary - Reserve - PG 2 (Fin)'!I73</f>
        <v>0</v>
      </c>
      <c r="K272" s="223"/>
      <c r="L272" s="223">
        <f>+'Summary - Reserve - PG 2 (Fin)'!M73</f>
        <v>-13557.84</v>
      </c>
      <c r="M272" s="223"/>
      <c r="N272" s="223">
        <f>+'Summary - Reserve - PG 2 (Fin)'!O73</f>
        <v>-17161.189999999999</v>
      </c>
      <c r="O272" s="223"/>
      <c r="P272" s="223">
        <f>+'Summary - Reserve - PG 2 (Fin)'!Q73</f>
        <v>-10496.95</v>
      </c>
      <c r="Q272" s="223"/>
      <c r="R272" s="223">
        <f>+'Summary - Reserve - PG 2 (Fin)'!S73</f>
        <v>0</v>
      </c>
      <c r="S272" s="223"/>
      <c r="T272" s="223">
        <f>R272+P272+N272+L272+J272+H272+F272+D272</f>
        <v>108546.37000000001</v>
      </c>
      <c r="U272" s="223"/>
      <c r="V272" s="221"/>
      <c r="W272" s="221"/>
      <c r="X272" s="221"/>
    </row>
    <row r="273" spans="1:24" s="220" customFormat="1" outlineLevel="3">
      <c r="A273" s="218"/>
      <c r="C273" s="220" t="s">
        <v>112</v>
      </c>
      <c r="D273" s="223">
        <f>+'Summary - Reserve - PG 2 (Fin)'!C74</f>
        <v>11924715.030000003</v>
      </c>
      <c r="E273" s="223"/>
      <c r="F273" s="223">
        <f>+'Summary - Reserve - PG 2 (Fin)'!E74</f>
        <v>0</v>
      </c>
      <c r="G273" s="223"/>
      <c r="H273" s="223">
        <f>+'Summary - Reserve - PG 2 (Fin)'!G74</f>
        <v>0</v>
      </c>
      <c r="I273" s="223"/>
      <c r="J273" s="223">
        <f>+'Summary - Reserve - PG 2 (Fin)'!I74</f>
        <v>-14615.87</v>
      </c>
      <c r="K273" s="223"/>
      <c r="L273" s="223">
        <f>+'Summary - Reserve - PG 2 (Fin)'!M74</f>
        <v>-4039482.9699999997</v>
      </c>
      <c r="M273" s="223"/>
      <c r="N273" s="223">
        <f>+'Summary - Reserve - PG 2 (Fin)'!O74</f>
        <v>5226585.53</v>
      </c>
      <c r="O273" s="223"/>
      <c r="P273" s="223">
        <f>+'Summary - Reserve - PG 2 (Fin)'!Q74</f>
        <v>-301510.06</v>
      </c>
      <c r="Q273" s="223"/>
      <c r="R273" s="223">
        <f>+'Summary - Reserve - PG 2 (Fin)'!S74</f>
        <v>-83094.73</v>
      </c>
      <c r="S273" s="223"/>
      <c r="T273" s="223">
        <f>R273+P273+N273+L273+J273+H273+F273+D273</f>
        <v>12712596.930000003</v>
      </c>
      <c r="U273" s="223"/>
      <c r="V273" s="221"/>
      <c r="W273" s="221"/>
      <c r="X273" s="221"/>
    </row>
    <row r="274" spans="1:24" s="220" customFormat="1" outlineLevel="3">
      <c r="A274" s="218"/>
      <c r="C274" s="220" t="s">
        <v>120</v>
      </c>
      <c r="D274" s="225">
        <f>+'Summary - Reserve - PG 2 (Fin)'!C75</f>
        <v>1590687.7799999993</v>
      </c>
      <c r="E274" s="223"/>
      <c r="F274" s="225">
        <f>+'Summary - Reserve - PG 2 (Fin)'!E75</f>
        <v>0</v>
      </c>
      <c r="G274" s="223"/>
      <c r="H274" s="225">
        <f>+'Summary - Reserve - PG 2 (Fin)'!G75</f>
        <v>0</v>
      </c>
      <c r="I274" s="223"/>
      <c r="J274" s="225">
        <f>+'Summary - Reserve - PG 2 (Fin)'!I75</f>
        <v>14615.87</v>
      </c>
      <c r="K274" s="223"/>
      <c r="L274" s="225">
        <f>+'Summary - Reserve - PG 2 (Fin)'!M75</f>
        <v>-81453.78</v>
      </c>
      <c r="M274" s="223"/>
      <c r="N274" s="225">
        <f>+'Summary - Reserve - PG 2 (Fin)'!O75</f>
        <v>284819.84999999998</v>
      </c>
      <c r="O274" s="223"/>
      <c r="P274" s="225">
        <f>+'Summary - Reserve - PG 2 (Fin)'!Q75</f>
        <v>-1181.0900000000001</v>
      </c>
      <c r="Q274" s="223"/>
      <c r="R274" s="225">
        <f>+'Summary - Reserve - PG 2 (Fin)'!S75</f>
        <v>0</v>
      </c>
      <c r="S274" s="223"/>
      <c r="T274" s="223">
        <f>R274+P274+N274+L274+J274+H274+F274+D274</f>
        <v>1807488.6299999992</v>
      </c>
      <c r="U274" s="223"/>
      <c r="V274" s="221"/>
      <c r="W274" s="221"/>
      <c r="X274" s="221"/>
    </row>
    <row r="275" spans="1:24" s="220" customFormat="1" outlineLevel="3">
      <c r="A275" s="218"/>
      <c r="C275" s="227"/>
      <c r="D275" s="228">
        <f>SUM(D272:D274)</f>
        <v>13665165.160000002</v>
      </c>
      <c r="E275" s="223"/>
      <c r="F275" s="228">
        <f>SUM(F272:F274)</f>
        <v>0</v>
      </c>
      <c r="G275" s="223"/>
      <c r="H275" s="228">
        <f>SUM(H272:H274)</f>
        <v>0</v>
      </c>
      <c r="I275" s="223"/>
      <c r="J275" s="228">
        <f>SUM(J272:J274)</f>
        <v>0</v>
      </c>
      <c r="K275" s="223"/>
      <c r="L275" s="228">
        <f>SUM(L272:L274)</f>
        <v>-4134494.5899999994</v>
      </c>
      <c r="M275" s="223"/>
      <c r="N275" s="228">
        <f>SUM(N272:N274)</f>
        <v>5494244.1899999995</v>
      </c>
      <c r="O275" s="223"/>
      <c r="P275" s="228">
        <f>SUM(P272:P274)</f>
        <v>-313188.10000000003</v>
      </c>
      <c r="Q275" s="223"/>
      <c r="R275" s="228">
        <f>SUM(R272:R274)</f>
        <v>-83094.73</v>
      </c>
      <c r="S275" s="223"/>
      <c r="T275" s="228">
        <f>SUM(T272:T274)</f>
        <v>14628631.930000002</v>
      </c>
      <c r="U275" s="222"/>
      <c r="V275" s="221"/>
      <c r="W275" s="221"/>
      <c r="X275" s="221"/>
    </row>
    <row r="276" spans="1:24" s="220" customFormat="1" outlineLevel="3">
      <c r="A276" s="218"/>
      <c r="D276" s="223"/>
      <c r="E276" s="223"/>
      <c r="F276" s="223"/>
      <c r="G276" s="223"/>
      <c r="H276" s="223"/>
      <c r="I276" s="223"/>
      <c r="J276" s="223"/>
      <c r="K276" s="223"/>
      <c r="L276" s="223"/>
      <c r="M276" s="223"/>
      <c r="N276" s="223"/>
      <c r="O276" s="223"/>
      <c r="P276" s="223"/>
      <c r="Q276" s="223"/>
      <c r="R276" s="223"/>
      <c r="S276" s="223"/>
      <c r="T276" s="223"/>
      <c r="U276" s="223"/>
      <c r="V276" s="221"/>
      <c r="W276" s="221"/>
      <c r="X276" s="221"/>
    </row>
    <row r="277" spans="1:24" s="220" customFormat="1" outlineLevel="3">
      <c r="A277" s="220" t="s">
        <v>1144</v>
      </c>
      <c r="B277" s="219" t="s">
        <v>1094</v>
      </c>
    </row>
    <row r="278" spans="1:24" s="220" customFormat="1" outlineLevel="3">
      <c r="C278" s="220" t="s">
        <v>652</v>
      </c>
      <c r="D278" s="223">
        <v>-2770449.12</v>
      </c>
      <c r="F278" s="241"/>
      <c r="G278" s="241"/>
      <c r="H278" s="241"/>
      <c r="I278" s="241"/>
      <c r="J278" s="240">
        <f>-D278</f>
        <v>2770449.12</v>
      </c>
      <c r="K278" s="241"/>
      <c r="L278" s="241"/>
      <c r="M278" s="241"/>
      <c r="N278" s="241"/>
      <c r="O278" s="241"/>
      <c r="P278" s="241"/>
      <c r="Q278" s="241"/>
      <c r="R278" s="241"/>
      <c r="T278" s="223">
        <f>+'RWIP BY ACCOUNT - PG 2A (Fin)'!U17</f>
        <v>0</v>
      </c>
      <c r="U278" s="223"/>
    </row>
    <row r="279" spans="1:24" s="220" customFormat="1" outlineLevel="3">
      <c r="C279" s="220" t="s">
        <v>112</v>
      </c>
      <c r="T279" s="223">
        <f>+'RWIP BY ACCOUNT - PG 2A (Fin)'!U18</f>
        <v>0</v>
      </c>
      <c r="U279" s="223"/>
    </row>
    <row r="280" spans="1:24" s="220" customFormat="1" outlineLevel="3">
      <c r="C280" s="220" t="s">
        <v>120</v>
      </c>
      <c r="T280" s="223">
        <f>+'RWIP BY ACCOUNT - PG 2A (Fin)'!U19</f>
        <v>0</v>
      </c>
      <c r="U280" s="223"/>
    </row>
    <row r="281" spans="1:24" s="220" customFormat="1" outlineLevel="3">
      <c r="D281" s="228">
        <f>SUM(D278:D280)</f>
        <v>-2770449.12</v>
      </c>
      <c r="F281" s="228">
        <f>SUM(F278:F280)</f>
        <v>0</v>
      </c>
      <c r="H281" s="228">
        <f>SUM(H278:H280)</f>
        <v>0</v>
      </c>
      <c r="J281" s="228">
        <f>SUM(J278:J280)</f>
        <v>2770449.12</v>
      </c>
      <c r="L281" s="228">
        <f>SUM(L278:L280)</f>
        <v>0</v>
      </c>
      <c r="N281" s="228">
        <f>SUM(N278:N280)</f>
        <v>0</v>
      </c>
      <c r="P281" s="228">
        <f>SUM(P278:P280)</f>
        <v>0</v>
      </c>
      <c r="R281" s="228">
        <f>SUM(R278:R280)</f>
        <v>0</v>
      </c>
      <c r="T281" s="228">
        <f>+'RWIP BY ACCOUNT - PG 2A (Fin)'!U20</f>
        <v>0</v>
      </c>
      <c r="U281" s="222"/>
    </row>
    <row r="282" spans="1:24" s="220" customFormat="1" outlineLevel="3">
      <c r="A282" s="220" t="s">
        <v>1144</v>
      </c>
      <c r="B282" s="219" t="s">
        <v>1095</v>
      </c>
    </row>
    <row r="283" spans="1:24" s="220" customFormat="1" outlineLevel="3">
      <c r="C283" s="220" t="s">
        <v>652</v>
      </c>
      <c r="D283" s="223">
        <v>0</v>
      </c>
      <c r="F283" s="241"/>
      <c r="G283" s="241"/>
      <c r="H283" s="241"/>
      <c r="I283" s="241"/>
      <c r="J283" s="241"/>
      <c r="K283" s="241"/>
      <c r="L283" s="241"/>
      <c r="M283" s="241"/>
      <c r="N283" s="241"/>
      <c r="O283" s="241"/>
      <c r="P283" s="241"/>
      <c r="Q283" s="241"/>
      <c r="R283" s="241"/>
      <c r="T283" s="223">
        <v>0</v>
      </c>
      <c r="U283" s="223"/>
    </row>
    <row r="284" spans="1:24" s="220" customFormat="1" outlineLevel="3">
      <c r="C284" s="220" t="s">
        <v>112</v>
      </c>
      <c r="D284" s="223">
        <v>1378237.1</v>
      </c>
      <c r="F284" s="241"/>
      <c r="G284" s="241"/>
      <c r="H284" s="241"/>
      <c r="I284" s="241"/>
      <c r="J284" s="241"/>
      <c r="K284" s="241"/>
      <c r="L284" s="241"/>
      <c r="M284" s="241"/>
      <c r="N284" s="240">
        <f>2103715.6-1378237.1+6175.87-11787.81</f>
        <v>719866.55999999994</v>
      </c>
      <c r="O284" s="241"/>
      <c r="P284" s="241"/>
      <c r="Q284" s="241"/>
      <c r="R284" s="241"/>
      <c r="T284" s="223">
        <f>+'RWIP BY ACCOUNT - PG 2A (Fin)'!U23</f>
        <v>1571280.1899999995</v>
      </c>
      <c r="U284" s="223"/>
    </row>
    <row r="285" spans="1:24" s="220" customFormat="1" outlineLevel="3">
      <c r="C285" s="220" t="s">
        <v>120</v>
      </c>
      <c r="D285" s="223">
        <v>314141.18</v>
      </c>
      <c r="F285" s="241"/>
      <c r="G285" s="241"/>
      <c r="H285" s="241"/>
      <c r="I285" s="241"/>
      <c r="J285" s="241"/>
      <c r="K285" s="241"/>
      <c r="L285" s="241"/>
      <c r="M285" s="241"/>
      <c r="N285" s="240">
        <f>640151.18-314141.18+108823.93+58469.99</f>
        <v>493303.92000000004</v>
      </c>
      <c r="O285" s="241"/>
      <c r="P285" s="241"/>
      <c r="Q285" s="241"/>
      <c r="R285" s="241"/>
      <c r="T285" s="223">
        <f>+'RWIP BY ACCOUNT - PG 2A (Fin)'!U24</f>
        <v>220939.12999999957</v>
      </c>
      <c r="U285" s="223"/>
    </row>
    <row r="286" spans="1:24" s="220" customFormat="1" outlineLevel="3">
      <c r="D286" s="228">
        <f>SUM(D283:D285)</f>
        <v>1692378.28</v>
      </c>
      <c r="F286" s="228">
        <f>SUM(F283:F285)</f>
        <v>0</v>
      </c>
      <c r="H286" s="228">
        <f>SUM(H283:H285)</f>
        <v>0</v>
      </c>
      <c r="J286" s="228">
        <f>SUM(J283:J285)</f>
        <v>0</v>
      </c>
      <c r="L286" s="228">
        <f>SUM(L283:L285)</f>
        <v>0</v>
      </c>
      <c r="N286" s="228">
        <f>SUM(N283:N285)</f>
        <v>1213170.48</v>
      </c>
      <c r="P286" s="228">
        <f>SUM(P283:P285)</f>
        <v>0</v>
      </c>
      <c r="R286" s="228">
        <f>SUM(R283:R285)</f>
        <v>0</v>
      </c>
      <c r="T286" s="228">
        <f>SUM(T283:T285)</f>
        <v>1792219.3199999991</v>
      </c>
      <c r="U286" s="222"/>
    </row>
    <row r="287" spans="1:24" s="220" customFormat="1" outlineLevel="3">
      <c r="A287" s="218"/>
      <c r="D287" s="223"/>
      <c r="E287" s="223"/>
      <c r="F287" s="223"/>
      <c r="G287" s="223"/>
      <c r="H287" s="223"/>
      <c r="I287" s="223"/>
      <c r="J287" s="223"/>
      <c r="K287" s="223"/>
      <c r="L287" s="223"/>
      <c r="M287" s="223"/>
      <c r="N287" s="223"/>
      <c r="O287" s="223"/>
      <c r="P287" s="223"/>
      <c r="Q287" s="223"/>
      <c r="R287" s="223"/>
      <c r="S287" s="223"/>
      <c r="T287" s="223">
        <f>+T286-R286-P286-N286-L286-J286-H286-F286-D286</f>
        <v>-1113329.4400000009</v>
      </c>
      <c r="U287" s="223"/>
      <c r="V287" s="221"/>
      <c r="W287" s="221"/>
      <c r="X287" s="221"/>
    </row>
    <row r="288" spans="1:24" s="220" customFormat="1" outlineLevel="3">
      <c r="A288" s="218"/>
      <c r="D288" s="223"/>
      <c r="E288" s="223"/>
      <c r="F288" s="223"/>
      <c r="G288" s="223"/>
      <c r="H288" s="223"/>
      <c r="I288" s="223"/>
      <c r="J288" s="223"/>
      <c r="K288" s="223"/>
      <c r="L288" s="223"/>
      <c r="M288" s="223"/>
      <c r="N288" s="223"/>
      <c r="O288" s="223"/>
      <c r="P288" s="223"/>
      <c r="Q288" s="223"/>
      <c r="R288" s="223"/>
      <c r="S288" s="223"/>
      <c r="T288" s="223"/>
      <c r="U288" s="223"/>
      <c r="V288" s="221"/>
      <c r="W288" s="221"/>
      <c r="X288" s="221"/>
    </row>
    <row r="289" spans="2:39" outlineLevel="3">
      <c r="B289" s="184"/>
      <c r="D289" s="181"/>
      <c r="E289" s="181"/>
      <c r="F289" s="181"/>
      <c r="G289" s="181"/>
      <c r="H289" s="181"/>
      <c r="I289" s="181"/>
      <c r="J289" s="181"/>
      <c r="K289" s="181"/>
      <c r="L289" s="181"/>
      <c r="M289" s="181"/>
      <c r="N289" s="181"/>
      <c r="O289" s="181"/>
      <c r="P289" s="181"/>
      <c r="Q289" s="181"/>
      <c r="R289" s="181"/>
      <c r="S289" s="181"/>
      <c r="T289" s="181"/>
      <c r="U289" s="181"/>
    </row>
    <row r="290" spans="2:39" outlineLevel="3">
      <c r="B290" s="184"/>
      <c r="D290" s="181"/>
      <c r="E290" s="181"/>
      <c r="F290" s="181"/>
      <c r="G290" s="181"/>
      <c r="H290" s="181"/>
      <c r="I290" s="181"/>
      <c r="J290" s="181"/>
      <c r="K290" s="181"/>
      <c r="L290" s="181"/>
      <c r="M290" s="181"/>
      <c r="N290" s="181"/>
      <c r="O290" s="181"/>
      <c r="P290" s="181"/>
      <c r="Q290" s="181"/>
      <c r="R290" s="181"/>
      <c r="S290" s="181"/>
      <c r="T290" s="181"/>
      <c r="U290" s="181"/>
    </row>
    <row r="291" spans="2:39" outlineLevel="1">
      <c r="B291" s="245" t="s">
        <v>1124</v>
      </c>
      <c r="D291" s="211">
        <f>+D253+D269+D275-D286-D281</f>
        <v>-281049150.1099999</v>
      </c>
      <c r="E291" s="211"/>
      <c r="F291" s="211">
        <f>+F253+F269+F275-F286-F281</f>
        <v>-6539747.5200000005</v>
      </c>
      <c r="G291" s="211"/>
      <c r="H291" s="211">
        <f>+H253+H269+H275-H286-H281</f>
        <v>0</v>
      </c>
      <c r="I291" s="211"/>
      <c r="J291" s="211">
        <f>+J253+J269+J275-J286-J281</f>
        <v>-2770449.12</v>
      </c>
      <c r="K291" s="211"/>
      <c r="L291" s="211">
        <f>+L253+L269+L275-L286-L281</f>
        <v>-4134494.5899999994</v>
      </c>
      <c r="M291" s="211"/>
      <c r="N291" s="211">
        <f>+N253+N269+N275-N286-N281</f>
        <v>8956868.129999999</v>
      </c>
      <c r="O291" s="211"/>
      <c r="P291" s="211">
        <f>+P253+P269+P275-P286-P281</f>
        <v>-854487.93000000017</v>
      </c>
      <c r="Q291" s="211"/>
      <c r="R291" s="211">
        <f>+R253+R269+R275-R286-R281</f>
        <v>-83094.73</v>
      </c>
      <c r="S291" s="211"/>
      <c r="T291" s="211">
        <f>+T253+T269+T275-T286-T281</f>
        <v>-285361226.43000001</v>
      </c>
      <c r="U291" s="211"/>
      <c r="V291" s="211">
        <f>+F291</f>
        <v>-6539747.5200000005</v>
      </c>
      <c r="W291" s="211"/>
      <c r="X291" s="211"/>
      <c r="Y291" s="163"/>
      <c r="Z291" s="243">
        <f>+H291</f>
        <v>0</v>
      </c>
      <c r="AA291" s="243">
        <f>+'Transfer Detail PG 3 (Fin)'!C180+'Transfer Detail PG 3 (Fin)'!M180</f>
        <v>0</v>
      </c>
      <c r="AB291" s="243"/>
      <c r="AC291" s="243"/>
      <c r="AD291" s="243"/>
      <c r="AE291" s="243"/>
      <c r="AF291" s="243" t="e">
        <f>+'Transfer Detail PG 3 (Fin)'!#REF!+'Transfer Detail PG 3 (Fin)'!#REF!+'Transfer Detail PG 3 (Fin)'!#REF!</f>
        <v>#REF!</v>
      </c>
      <c r="AG291" s="243" t="e">
        <f>+J291+J281-AA291-AF291</f>
        <v>#REF!</v>
      </c>
      <c r="AH291" s="211">
        <f>-J278+R269+P269+N269+N253+P253+R253+L275</f>
        <v>-2770449.1199999996</v>
      </c>
      <c r="AI291" s="211">
        <f>+N275+P275+R275-N286</f>
        <v>3884790.8799999994</v>
      </c>
      <c r="AL291" s="211" t="e">
        <f>SUM(V291:AJ291)</f>
        <v>#REF!</v>
      </c>
      <c r="AM291" s="211" t="e">
        <f>+T291-D291-AL291</f>
        <v>#REF!</v>
      </c>
    </row>
    <row r="292" spans="2:39" outlineLevel="1">
      <c r="D292" s="211">
        <f>+D291-D15</f>
        <v>-25391580.429999888</v>
      </c>
      <c r="T292" s="211">
        <f>+T291-T15</f>
        <v>-13929277.040000021</v>
      </c>
      <c r="U292" s="211"/>
    </row>
    <row r="293" spans="2:39" outlineLevel="1">
      <c r="D293" s="211"/>
      <c r="T293" s="211">
        <f>+T291-D291-F291-H291-J291-L291-N291-P291-R291</f>
        <v>1113329.4399998896</v>
      </c>
      <c r="U293" s="211"/>
      <c r="V293" s="246">
        <f t="shared" ref="V293:AJ293" si="49">SUM(V27:V292)</f>
        <v>-37062458.680000007</v>
      </c>
      <c r="W293" s="246"/>
      <c r="X293" s="246"/>
      <c r="Y293" s="246">
        <f t="shared" si="49"/>
        <v>0</v>
      </c>
      <c r="Z293" s="246">
        <f t="shared" si="49"/>
        <v>-2.7939677238464355E-9</v>
      </c>
      <c r="AA293" s="246"/>
      <c r="AB293" s="246"/>
      <c r="AC293" s="246"/>
      <c r="AD293" s="246"/>
      <c r="AE293" s="246"/>
      <c r="AF293" s="246"/>
      <c r="AG293" s="246" t="e">
        <f t="shared" si="49"/>
        <v>#REF!</v>
      </c>
      <c r="AH293" s="246">
        <f t="shared" si="49"/>
        <v>-156454.09999999963</v>
      </c>
      <c r="AI293" s="246">
        <f t="shared" si="49"/>
        <v>3884790.8799999994</v>
      </c>
      <c r="AJ293" s="246">
        <f t="shared" si="49"/>
        <v>43156140.920000017</v>
      </c>
      <c r="AK293" s="246"/>
      <c r="AL293" s="246"/>
      <c r="AM293" s="246"/>
    </row>
    <row r="294" spans="2:39" outlineLevel="1">
      <c r="B294" s="184"/>
      <c r="D294" s="243"/>
      <c r="E294" s="243"/>
      <c r="F294" s="243"/>
      <c r="G294" s="243"/>
      <c r="H294" s="243"/>
      <c r="I294" s="243"/>
      <c r="J294" s="243"/>
      <c r="K294" s="243"/>
      <c r="L294" s="243"/>
      <c r="M294" s="243"/>
      <c r="N294" s="243"/>
      <c r="O294" s="243"/>
      <c r="P294" s="243"/>
      <c r="Q294" s="243"/>
      <c r="R294" s="243"/>
      <c r="S294" s="243"/>
      <c r="T294" s="243"/>
      <c r="U294" s="243"/>
    </row>
    <row r="295" spans="2:39" outlineLevel="1">
      <c r="B295" s="184"/>
      <c r="D295" s="243"/>
      <c r="E295" s="243"/>
      <c r="F295" s="243"/>
      <c r="G295" s="243"/>
      <c r="H295" s="243"/>
      <c r="I295" s="243"/>
      <c r="J295" s="243"/>
      <c r="K295" s="243"/>
      <c r="L295" s="243"/>
      <c r="M295" s="243"/>
      <c r="N295" s="243"/>
      <c r="O295" s="243"/>
      <c r="P295" s="243"/>
      <c r="Q295" s="243"/>
      <c r="R295" s="243"/>
      <c r="S295" s="243"/>
      <c r="T295" s="243">
        <f>+T291-D291</f>
        <v>-4312076.3200001121</v>
      </c>
      <c r="U295" s="243"/>
    </row>
    <row r="296" spans="2:39" outlineLevel="1">
      <c r="B296" s="184"/>
      <c r="D296" s="243"/>
      <c r="E296" s="243"/>
      <c r="F296" s="243"/>
      <c r="G296" s="243"/>
      <c r="H296" s="243"/>
      <c r="I296" s="243"/>
      <c r="J296" s="243"/>
      <c r="K296" s="243"/>
      <c r="L296" s="243"/>
      <c r="M296" s="243"/>
      <c r="N296" s="243"/>
      <c r="O296" s="243"/>
      <c r="P296" s="243"/>
      <c r="Q296" s="243"/>
      <c r="R296" s="243"/>
      <c r="S296" s="243"/>
      <c r="T296" s="243"/>
      <c r="U296" s="243"/>
    </row>
    <row r="297" spans="2:39" outlineLevel="1"/>
  </sheetData>
  <mergeCells count="5">
    <mergeCell ref="A1:AM1"/>
    <mergeCell ref="A2:AM2"/>
    <mergeCell ref="A3:AM3"/>
    <mergeCell ref="V6:AH6"/>
    <mergeCell ref="AI6:AJ6"/>
  </mergeCells>
  <pageMargins left="0.45" right="0.45" top="0.75" bottom="0.75" header="0.3" footer="0.3"/>
  <pageSetup paperSize="5" scale="34" fitToHeight="0" orientation="landscape" r:id="rId1"/>
  <headerFooter>
    <oddFooter>&amp;L&amp;Z
&amp;F&amp;C&amp;A&amp;R2B.&amp;P</oddFooter>
  </headerFooter>
  <legacyDrawing r:id="rId2"/>
</worksheet>
</file>

<file path=xl/worksheets/sheet87.xml><?xml version="1.0" encoding="utf-8"?>
<worksheet xmlns="http://schemas.openxmlformats.org/spreadsheetml/2006/main" xmlns:r="http://schemas.openxmlformats.org/officeDocument/2006/relationships">
  <sheetPr codeName="Sheet51">
    <pageSetUpPr fitToPage="1"/>
  </sheetPr>
  <dimension ref="A1:AS299"/>
  <sheetViews>
    <sheetView zoomScale="80" workbookViewId="0">
      <pane xSplit="2" ySplit="8" topLeftCell="C9" activePane="bottomRight" state="frozen"/>
      <selection activeCell="C38" sqref="C38"/>
      <selection pane="topRight" activeCell="C38" sqref="C38"/>
      <selection pane="bottomLeft" activeCell="C38" sqref="C38"/>
      <selection pane="bottomRight" activeCell="C9" sqref="C9"/>
    </sheetView>
  </sheetViews>
  <sheetFormatPr defaultRowHeight="12.75"/>
  <cols>
    <col min="1" max="1" width="14.7109375" style="10" customWidth="1"/>
    <col min="2" max="2" width="38.140625" style="10" customWidth="1"/>
    <col min="3" max="3" width="17.7109375" style="10" customWidth="1"/>
    <col min="4" max="4" width="3" style="10" customWidth="1"/>
    <col min="5" max="5" width="17.7109375" style="10" customWidth="1"/>
    <col min="6" max="6" width="1.7109375" style="10" customWidth="1"/>
    <col min="7" max="7" width="17.7109375" style="10" customWidth="1"/>
    <col min="8" max="8" width="1.7109375" style="10" customWidth="1"/>
    <col min="9" max="9" width="17.7109375" style="10" customWidth="1"/>
    <col min="10" max="10" width="2" style="10" customWidth="1"/>
    <col min="11" max="11" width="17.7109375" style="10" hidden="1" customWidth="1"/>
    <col min="12" max="12" width="1.42578125" style="10" hidden="1" customWidth="1"/>
    <col min="13" max="13" width="17.7109375" style="10" hidden="1" customWidth="1"/>
    <col min="14" max="14" width="1.7109375" style="10" hidden="1" customWidth="1"/>
    <col min="15" max="15" width="17.7109375" style="10" hidden="1" customWidth="1"/>
    <col min="16" max="16" width="1.7109375" style="10" hidden="1" customWidth="1"/>
    <col min="17" max="17" width="17.7109375" style="10" hidden="1" customWidth="1"/>
    <col min="18" max="18" width="1.7109375" style="10" hidden="1" customWidth="1"/>
    <col min="19" max="19" width="17.7109375" style="10" hidden="1" customWidth="1"/>
    <col min="20" max="20" width="1.7109375" style="10" hidden="1" customWidth="1"/>
    <col min="21" max="21" width="17.7109375" style="10" hidden="1" customWidth="1"/>
    <col min="22" max="22" width="1.7109375" style="10" hidden="1" customWidth="1"/>
    <col min="23" max="23" width="17.7109375" style="10" hidden="1" customWidth="1"/>
    <col min="24" max="24" width="1.7109375" style="10" hidden="1" customWidth="1"/>
    <col min="25" max="25" width="17.7109375" style="10" hidden="1" customWidth="1"/>
    <col min="26" max="26" width="1.7109375" style="10" hidden="1" customWidth="1"/>
    <col min="27" max="27" width="17.7109375" style="10" hidden="1" customWidth="1"/>
    <col min="28" max="28" width="1.7109375" style="10" hidden="1" customWidth="1"/>
    <col min="29" max="29" width="17.7109375" style="10" hidden="1" customWidth="1"/>
    <col min="30" max="30" width="1.7109375" style="10" hidden="1" customWidth="1"/>
    <col min="31" max="31" width="17.7109375" style="10" hidden="1" customWidth="1"/>
    <col min="32" max="32" width="1.7109375" style="10" hidden="1" customWidth="1"/>
    <col min="33" max="33" width="17.7109375" style="10" hidden="1" customWidth="1"/>
    <col min="34" max="34" width="1.7109375" style="10" hidden="1" customWidth="1"/>
    <col min="35" max="35" width="17.7109375" style="10" hidden="1" customWidth="1"/>
    <col min="36" max="36" width="1.7109375" style="10" hidden="1" customWidth="1"/>
    <col min="37" max="37" width="17.7109375" style="10" customWidth="1"/>
    <col min="38" max="38" width="1.7109375" style="10" customWidth="1"/>
    <col min="39" max="39" width="17.7109375" style="10" customWidth="1"/>
    <col min="40" max="16384" width="9.140625" style="10"/>
  </cols>
  <sheetData>
    <row r="1" spans="1:45">
      <c r="A1" s="359" t="s">
        <v>134</v>
      </c>
      <c r="B1" s="359"/>
      <c r="C1" s="359"/>
      <c r="D1" s="359"/>
      <c r="E1" s="359"/>
      <c r="F1" s="359"/>
      <c r="G1" s="359"/>
      <c r="H1" s="359"/>
      <c r="I1" s="359"/>
      <c r="J1" s="359"/>
      <c r="K1" s="359"/>
      <c r="L1" s="359"/>
      <c r="M1" s="359"/>
      <c r="N1" s="359"/>
      <c r="O1" s="359"/>
      <c r="P1" s="359"/>
      <c r="Q1" s="359"/>
      <c r="R1" s="359"/>
      <c r="S1" s="359"/>
      <c r="T1" s="359"/>
      <c r="U1" s="359"/>
      <c r="V1" s="359"/>
      <c r="W1" s="359"/>
      <c r="X1" s="359"/>
      <c r="Y1" s="359"/>
      <c r="Z1" s="359"/>
      <c r="AA1" s="359"/>
      <c r="AB1" s="359"/>
      <c r="AC1" s="359"/>
      <c r="AD1" s="359"/>
      <c r="AE1" s="359"/>
      <c r="AF1" s="359"/>
      <c r="AG1" s="359"/>
      <c r="AH1" s="359"/>
      <c r="AI1" s="359"/>
      <c r="AJ1" s="359"/>
      <c r="AK1" s="359"/>
      <c r="AL1" s="359"/>
      <c r="AM1" s="359"/>
    </row>
    <row r="2" spans="1:45">
      <c r="A2" s="359" t="s">
        <v>1211</v>
      </c>
      <c r="B2" s="359"/>
      <c r="C2" s="359"/>
      <c r="D2" s="359"/>
      <c r="E2" s="359"/>
      <c r="F2" s="359"/>
      <c r="G2" s="359"/>
      <c r="H2" s="359"/>
      <c r="I2" s="359"/>
      <c r="J2" s="359"/>
      <c r="K2" s="359"/>
      <c r="L2" s="359"/>
      <c r="M2" s="359"/>
      <c r="N2" s="359"/>
      <c r="O2" s="359"/>
      <c r="P2" s="359"/>
      <c r="Q2" s="359"/>
      <c r="R2" s="359"/>
      <c r="S2" s="359"/>
      <c r="T2" s="359"/>
      <c r="U2" s="359"/>
      <c r="V2" s="359"/>
      <c r="W2" s="359"/>
      <c r="X2" s="359"/>
      <c r="Y2" s="359"/>
      <c r="Z2" s="359"/>
      <c r="AA2" s="359"/>
      <c r="AB2" s="359"/>
      <c r="AC2" s="359"/>
      <c r="AD2" s="359"/>
      <c r="AE2" s="359"/>
      <c r="AF2" s="359"/>
      <c r="AG2" s="359"/>
      <c r="AH2" s="359"/>
      <c r="AI2" s="359"/>
      <c r="AJ2" s="359"/>
      <c r="AK2" s="359"/>
      <c r="AL2" s="359"/>
      <c r="AM2" s="359"/>
    </row>
    <row r="3" spans="1:45">
      <c r="A3" s="361" t="str">
        <f>'Summary - Cost - PG 1 (Fin)'!A3:N3</f>
        <v>MARCH 2012</v>
      </c>
      <c r="B3" s="361"/>
      <c r="C3" s="361"/>
      <c r="D3" s="361"/>
      <c r="E3" s="361"/>
      <c r="F3" s="361"/>
      <c r="G3" s="361"/>
      <c r="H3" s="361"/>
      <c r="I3" s="361"/>
      <c r="J3" s="361"/>
      <c r="K3" s="361"/>
      <c r="L3" s="361"/>
      <c r="M3" s="361"/>
      <c r="N3" s="361"/>
      <c r="O3" s="361"/>
      <c r="P3" s="361"/>
      <c r="Q3" s="361"/>
      <c r="R3" s="361"/>
      <c r="S3" s="361"/>
      <c r="T3" s="361"/>
      <c r="U3" s="361"/>
      <c r="V3" s="361"/>
      <c r="W3" s="361"/>
      <c r="X3" s="361"/>
      <c r="Y3" s="361"/>
      <c r="Z3" s="361"/>
      <c r="AA3" s="361"/>
      <c r="AB3" s="361"/>
      <c r="AC3" s="361"/>
      <c r="AD3" s="361"/>
      <c r="AE3" s="361"/>
      <c r="AF3" s="361"/>
      <c r="AG3" s="361"/>
      <c r="AH3" s="361"/>
      <c r="AI3" s="361"/>
      <c r="AJ3" s="361"/>
      <c r="AK3" s="361"/>
      <c r="AL3" s="361"/>
      <c r="AM3" s="361"/>
    </row>
    <row r="4" spans="1:45">
      <c r="A4" s="70"/>
      <c r="B4" s="70"/>
      <c r="C4" s="70"/>
      <c r="D4" s="70"/>
      <c r="E4" s="70"/>
      <c r="F4" s="70"/>
      <c r="G4" s="70"/>
      <c r="H4" s="70"/>
      <c r="I4" s="70"/>
      <c r="J4" s="70"/>
      <c r="K4" s="70"/>
      <c r="L4" s="70"/>
      <c r="M4" s="70"/>
      <c r="N4" s="70"/>
      <c r="O4" s="305"/>
      <c r="P4" s="305"/>
      <c r="Q4" s="305"/>
      <c r="R4" s="305"/>
      <c r="S4" s="317"/>
      <c r="T4" s="317"/>
      <c r="U4" s="317"/>
      <c r="V4" s="317"/>
      <c r="W4" s="321"/>
      <c r="X4" s="321"/>
      <c r="Y4" s="317"/>
      <c r="Z4" s="318"/>
      <c r="AA4" s="318"/>
      <c r="AB4" s="319"/>
      <c r="AC4" s="329"/>
      <c r="AD4" s="329"/>
      <c r="AE4" s="319"/>
      <c r="AF4" s="333"/>
      <c r="AG4" s="333"/>
      <c r="AH4" s="333"/>
      <c r="AI4" s="333"/>
      <c r="AJ4" s="317"/>
      <c r="AK4" s="70"/>
      <c r="AL4" s="70"/>
      <c r="AM4" s="70"/>
      <c r="AN4" s="70"/>
      <c r="AO4" s="70"/>
      <c r="AP4" s="70"/>
      <c r="AQ4" s="70"/>
      <c r="AR4" s="70"/>
      <c r="AS4" s="70"/>
    </row>
    <row r="5" spans="1:45">
      <c r="A5" s="70"/>
      <c r="B5" s="70"/>
      <c r="C5" s="70"/>
      <c r="D5" s="70"/>
      <c r="E5" s="70"/>
      <c r="F5" s="70"/>
      <c r="G5" s="70"/>
      <c r="H5" s="70"/>
      <c r="I5" s="70"/>
      <c r="J5" s="70"/>
      <c r="K5" s="70"/>
      <c r="L5" s="70"/>
      <c r="M5" s="70"/>
      <c r="N5" s="70"/>
      <c r="O5" s="305"/>
      <c r="P5" s="305"/>
      <c r="Q5" s="305"/>
      <c r="R5" s="305"/>
      <c r="S5" s="317"/>
      <c r="T5" s="317"/>
      <c r="U5" s="317"/>
      <c r="V5" s="317"/>
      <c r="W5" s="321"/>
      <c r="X5" s="321"/>
      <c r="Y5" s="317"/>
      <c r="Z5" s="318"/>
      <c r="AA5" s="318"/>
      <c r="AB5" s="319"/>
      <c r="AC5" s="329"/>
      <c r="AD5" s="329"/>
      <c r="AE5" s="319"/>
      <c r="AF5" s="333"/>
      <c r="AG5" s="333"/>
      <c r="AH5" s="333"/>
      <c r="AI5" s="333"/>
      <c r="AJ5" s="317"/>
      <c r="AK5" s="70"/>
      <c r="AL5" s="70"/>
      <c r="AM5" s="70"/>
      <c r="AN5" s="70"/>
      <c r="AO5" s="70"/>
      <c r="AP5" s="70"/>
      <c r="AQ5" s="70"/>
      <c r="AR5" s="70"/>
      <c r="AS5" s="70"/>
    </row>
    <row r="6" spans="1:45">
      <c r="A6" s="31"/>
      <c r="B6" s="57"/>
      <c r="C6" s="266">
        <v>40909</v>
      </c>
      <c r="D6" s="70"/>
      <c r="E6" s="339" t="s">
        <v>1961</v>
      </c>
      <c r="F6" s="70"/>
      <c r="G6" s="339" t="s">
        <v>1962</v>
      </c>
      <c r="H6" s="70"/>
      <c r="I6" s="339" t="s">
        <v>1963</v>
      </c>
      <c r="J6" s="271"/>
      <c r="K6" s="271"/>
      <c r="L6" s="70"/>
      <c r="M6" s="70"/>
      <c r="N6" s="70"/>
      <c r="O6" s="305"/>
      <c r="P6" s="305"/>
      <c r="Q6" s="305"/>
      <c r="R6" s="305"/>
      <c r="S6" s="317"/>
      <c r="T6" s="317"/>
      <c r="U6" s="317"/>
      <c r="V6" s="317"/>
      <c r="W6" s="320"/>
      <c r="X6" s="321"/>
      <c r="Y6" s="320"/>
      <c r="Z6" s="318"/>
      <c r="AA6" s="318"/>
      <c r="AB6" s="319"/>
      <c r="AC6" s="329"/>
      <c r="AD6" s="329"/>
      <c r="AE6" s="330"/>
      <c r="AF6" s="333"/>
      <c r="AG6" s="333"/>
      <c r="AH6" s="333"/>
      <c r="AI6" s="333"/>
      <c r="AJ6" s="317"/>
      <c r="AK6" s="333"/>
      <c r="AL6" s="70"/>
      <c r="AM6" s="70"/>
      <c r="AN6" s="9"/>
      <c r="AO6" s="70"/>
      <c r="AP6" s="70"/>
      <c r="AQ6" s="70"/>
      <c r="AR6" s="70"/>
      <c r="AS6" s="70"/>
    </row>
    <row r="7" spans="1:45">
      <c r="A7" s="31"/>
      <c r="B7" s="9"/>
      <c r="C7" s="84" t="s">
        <v>612</v>
      </c>
      <c r="D7" s="84"/>
      <c r="E7" s="84" t="s">
        <v>612</v>
      </c>
      <c r="F7" s="22"/>
      <c r="G7" s="84" t="s">
        <v>612</v>
      </c>
      <c r="H7" s="84"/>
      <c r="I7" s="84" t="s">
        <v>612</v>
      </c>
      <c r="J7" s="84"/>
      <c r="K7" s="84" t="s">
        <v>612</v>
      </c>
      <c r="L7" s="84"/>
      <c r="M7" s="84" t="s">
        <v>612</v>
      </c>
      <c r="N7" s="84"/>
      <c r="O7" s="84" t="s">
        <v>612</v>
      </c>
      <c r="P7" s="22"/>
      <c r="Q7" s="84" t="s">
        <v>612</v>
      </c>
      <c r="R7" s="22"/>
      <c r="S7" s="84" t="s">
        <v>612</v>
      </c>
      <c r="T7" s="22"/>
      <c r="U7" s="84" t="s">
        <v>612</v>
      </c>
      <c r="V7" s="22"/>
      <c r="W7" s="84" t="s">
        <v>612</v>
      </c>
      <c r="X7" s="22"/>
      <c r="Y7" s="84" t="s">
        <v>612</v>
      </c>
      <c r="Z7" s="22"/>
      <c r="AA7" s="84" t="s">
        <v>612</v>
      </c>
      <c r="AB7" s="22"/>
      <c r="AC7" s="84" t="s">
        <v>612</v>
      </c>
      <c r="AD7" s="22"/>
      <c r="AE7" s="84" t="s">
        <v>612</v>
      </c>
      <c r="AF7" s="22"/>
      <c r="AG7" s="84" t="s">
        <v>612</v>
      </c>
      <c r="AH7" s="22"/>
      <c r="AI7" s="84" t="s">
        <v>612</v>
      </c>
      <c r="AJ7" s="22"/>
      <c r="AK7" s="84" t="s">
        <v>612</v>
      </c>
      <c r="AL7" s="22"/>
      <c r="AM7" s="84" t="s">
        <v>26</v>
      </c>
      <c r="AN7" s="70"/>
      <c r="AO7" s="70"/>
      <c r="AP7" s="70"/>
      <c r="AQ7" s="70"/>
      <c r="AR7" s="70"/>
    </row>
    <row r="8" spans="1:45">
      <c r="A8" s="59"/>
      <c r="B8" s="12"/>
      <c r="C8" s="43" t="s">
        <v>613</v>
      </c>
      <c r="D8" s="85"/>
      <c r="E8" s="43" t="s">
        <v>613</v>
      </c>
      <c r="F8" s="23"/>
      <c r="G8" s="43" t="s">
        <v>613</v>
      </c>
      <c r="H8" s="85"/>
      <c r="I8" s="43" t="s">
        <v>613</v>
      </c>
      <c r="J8" s="85"/>
      <c r="K8" s="43" t="s">
        <v>613</v>
      </c>
      <c r="L8" s="85"/>
      <c r="M8" s="43" t="s">
        <v>613</v>
      </c>
      <c r="N8" s="85"/>
      <c r="O8" s="43" t="s">
        <v>613</v>
      </c>
      <c r="P8" s="23"/>
      <c r="Q8" s="43" t="s">
        <v>613</v>
      </c>
      <c r="R8" s="23"/>
      <c r="S8" s="43" t="s">
        <v>613</v>
      </c>
      <c r="T8" s="23"/>
      <c r="U8" s="43" t="s">
        <v>613</v>
      </c>
      <c r="V8" s="23"/>
      <c r="W8" s="43" t="s">
        <v>613</v>
      </c>
      <c r="X8" s="23"/>
      <c r="Y8" s="43" t="s">
        <v>613</v>
      </c>
      <c r="Z8" s="23"/>
      <c r="AA8" s="43" t="s">
        <v>613</v>
      </c>
      <c r="AB8" s="23"/>
      <c r="AC8" s="43" t="s">
        <v>613</v>
      </c>
      <c r="AD8" s="23"/>
      <c r="AE8" s="43" t="s">
        <v>613</v>
      </c>
      <c r="AF8" s="23"/>
      <c r="AG8" s="43" t="s">
        <v>613</v>
      </c>
      <c r="AH8" s="23"/>
      <c r="AI8" s="43" t="s">
        <v>613</v>
      </c>
      <c r="AJ8" s="23"/>
      <c r="AK8" s="43" t="s">
        <v>613</v>
      </c>
      <c r="AL8" s="23"/>
      <c r="AM8" s="43" t="s">
        <v>27</v>
      </c>
      <c r="AN8" s="70"/>
      <c r="AO8" s="70"/>
      <c r="AP8" s="70"/>
      <c r="AQ8" s="70"/>
      <c r="AR8" s="70"/>
    </row>
    <row r="9" spans="1:45">
      <c r="A9" s="59"/>
      <c r="B9" s="12"/>
      <c r="C9" s="85"/>
      <c r="D9" s="85"/>
      <c r="E9" s="85"/>
      <c r="F9" s="23"/>
      <c r="G9" s="85"/>
      <c r="H9" s="85"/>
      <c r="I9" s="85"/>
      <c r="J9" s="85"/>
      <c r="K9" s="85"/>
      <c r="L9" s="85"/>
      <c r="M9" s="85"/>
      <c r="N9" s="85"/>
      <c r="O9" s="85"/>
      <c r="P9" s="23"/>
      <c r="Q9" s="85"/>
      <c r="R9" s="23"/>
      <c r="S9" s="85"/>
      <c r="T9" s="23"/>
      <c r="U9" s="85"/>
      <c r="V9" s="23"/>
      <c r="W9" s="85"/>
      <c r="X9" s="23"/>
      <c r="Y9" s="85"/>
      <c r="Z9" s="23"/>
      <c r="AA9" s="85"/>
      <c r="AB9" s="23"/>
      <c r="AC9" s="85"/>
      <c r="AD9" s="23"/>
      <c r="AE9" s="85"/>
      <c r="AF9" s="23"/>
      <c r="AG9" s="85"/>
      <c r="AH9" s="23"/>
      <c r="AI9" s="85"/>
      <c r="AJ9" s="23"/>
      <c r="AK9" s="85"/>
      <c r="AL9" s="23"/>
      <c r="AM9" s="85"/>
      <c r="AN9" s="321"/>
      <c r="AO9" s="321"/>
      <c r="AP9" s="321"/>
      <c r="AQ9" s="321"/>
      <c r="AR9" s="321"/>
    </row>
    <row r="10" spans="1:45">
      <c r="A10" s="59" t="s">
        <v>1450</v>
      </c>
      <c r="C10" s="85" t="s">
        <v>1853</v>
      </c>
      <c r="D10" s="85"/>
      <c r="E10" s="85" t="s">
        <v>1967</v>
      </c>
      <c r="F10" s="23"/>
      <c r="G10" s="85" t="s">
        <v>1967</v>
      </c>
      <c r="H10" s="85"/>
      <c r="I10" s="85" t="s">
        <v>1966</v>
      </c>
      <c r="J10" s="85"/>
      <c r="K10" s="85"/>
      <c r="L10" s="85"/>
      <c r="M10" s="85"/>
      <c r="N10" s="85"/>
      <c r="O10" s="85"/>
      <c r="P10" s="23"/>
      <c r="Q10" s="85"/>
      <c r="R10" s="23"/>
      <c r="S10" s="85"/>
      <c r="T10" s="23"/>
      <c r="U10" s="85"/>
      <c r="V10" s="23"/>
      <c r="W10" s="85"/>
      <c r="X10" s="23"/>
      <c r="Y10" s="85"/>
      <c r="Z10" s="23"/>
      <c r="AA10" s="85"/>
      <c r="AB10" s="23"/>
      <c r="AC10" s="85"/>
      <c r="AD10" s="23"/>
      <c r="AE10" s="85"/>
      <c r="AF10" s="23"/>
      <c r="AG10" s="85"/>
      <c r="AH10" s="23"/>
      <c r="AI10" s="85"/>
      <c r="AJ10" s="23"/>
      <c r="AK10" s="85"/>
      <c r="AL10" s="23"/>
      <c r="AM10" s="85"/>
      <c r="AN10" s="321"/>
      <c r="AO10" s="321"/>
      <c r="AP10" s="321"/>
      <c r="AQ10" s="321"/>
      <c r="AR10" s="321"/>
    </row>
    <row r="11" spans="1:45">
      <c r="A11" s="59"/>
      <c r="B11" s="12"/>
      <c r="C11" s="85"/>
      <c r="D11" s="85"/>
      <c r="E11" s="85"/>
      <c r="F11" s="23"/>
      <c r="G11" s="85"/>
      <c r="H11" s="85"/>
      <c r="I11" s="85"/>
      <c r="J11" s="85"/>
      <c r="K11" s="85"/>
      <c r="L11" s="85"/>
      <c r="M11" s="85"/>
      <c r="N11" s="85"/>
      <c r="O11" s="85"/>
      <c r="P11" s="23"/>
      <c r="Q11" s="85"/>
      <c r="R11" s="23"/>
      <c r="S11" s="85"/>
      <c r="T11" s="23"/>
      <c r="U11" s="85"/>
      <c r="V11" s="23"/>
      <c r="W11" s="85"/>
      <c r="X11" s="23"/>
      <c r="Y11" s="85"/>
      <c r="Z11" s="23"/>
      <c r="AA11" s="85"/>
      <c r="AB11" s="23"/>
      <c r="AC11" s="85"/>
      <c r="AD11" s="23"/>
      <c r="AE11" s="85"/>
      <c r="AF11" s="23"/>
      <c r="AG11" s="85"/>
      <c r="AH11" s="23"/>
      <c r="AI11" s="85"/>
      <c r="AJ11" s="23"/>
      <c r="AK11" s="85"/>
      <c r="AL11" s="23"/>
      <c r="AM11" s="85"/>
      <c r="AN11" s="321"/>
      <c r="AO11" s="321"/>
      <c r="AP11" s="321"/>
      <c r="AQ11" s="321"/>
      <c r="AR11" s="321"/>
    </row>
    <row r="12" spans="1:45">
      <c r="A12" s="32">
        <v>101</v>
      </c>
      <c r="B12" s="12" t="s">
        <v>610</v>
      </c>
      <c r="AO12" s="70"/>
      <c r="AP12" s="70"/>
      <c r="AQ12" s="70"/>
      <c r="AR12" s="70"/>
      <c r="AS12" s="70"/>
    </row>
    <row r="13" spans="1:45">
      <c r="A13" s="32"/>
      <c r="B13" s="58" t="s">
        <v>652</v>
      </c>
      <c r="AO13" s="70"/>
      <c r="AP13" s="70"/>
      <c r="AQ13" s="70"/>
      <c r="AR13" s="70"/>
      <c r="AS13" s="70"/>
    </row>
    <row r="14" spans="1:45">
      <c r="A14" s="32"/>
      <c r="B14" s="10" t="s">
        <v>455</v>
      </c>
      <c r="C14" s="24">
        <v>0</v>
      </c>
      <c r="D14" s="24"/>
      <c r="E14" s="24">
        <v>0</v>
      </c>
      <c r="F14" s="24"/>
      <c r="G14" s="24">
        <v>0</v>
      </c>
      <c r="H14" s="24"/>
      <c r="I14" s="24">
        <v>0</v>
      </c>
      <c r="J14" s="24"/>
      <c r="K14" s="24">
        <v>0</v>
      </c>
      <c r="L14" s="24"/>
      <c r="M14" s="24">
        <v>0</v>
      </c>
      <c r="N14" s="24"/>
      <c r="O14" s="24">
        <v>0</v>
      </c>
      <c r="P14" s="24"/>
      <c r="Q14" s="24">
        <v>0</v>
      </c>
      <c r="R14" s="24"/>
      <c r="S14" s="24">
        <v>0</v>
      </c>
      <c r="T14" s="24"/>
      <c r="U14" s="24">
        <v>0</v>
      </c>
      <c r="V14" s="24"/>
      <c r="W14" s="24">
        <v>0</v>
      </c>
      <c r="X14" s="24"/>
      <c r="Y14" s="24">
        <v>0</v>
      </c>
      <c r="Z14" s="24"/>
      <c r="AA14" s="24">
        <v>0</v>
      </c>
      <c r="AB14" s="24"/>
      <c r="AC14" s="24">
        <v>0</v>
      </c>
      <c r="AD14" s="24"/>
      <c r="AE14" s="24">
        <v>0</v>
      </c>
      <c r="AF14" s="24"/>
      <c r="AG14" s="24">
        <v>0</v>
      </c>
      <c r="AH14" s="24"/>
      <c r="AI14" s="24">
        <v>0</v>
      </c>
      <c r="AJ14" s="24"/>
      <c r="AK14" s="24">
        <v>0</v>
      </c>
      <c r="AL14" s="24"/>
      <c r="AM14" s="24">
        <f>SUM(C14:AL14)</f>
        <v>0</v>
      </c>
      <c r="AN14" s="70"/>
      <c r="AO14" s="70"/>
      <c r="AP14" s="70"/>
      <c r="AQ14" s="70"/>
      <c r="AR14" s="70"/>
    </row>
    <row r="15" spans="1:45">
      <c r="A15" s="32"/>
      <c r="B15" s="10" t="s">
        <v>111</v>
      </c>
      <c r="C15" s="28">
        <v>0</v>
      </c>
      <c r="D15" s="27"/>
      <c r="E15" s="28">
        <v>0</v>
      </c>
      <c r="F15" s="27"/>
      <c r="G15" s="28">
        <v>0</v>
      </c>
      <c r="H15" s="27"/>
      <c r="I15" s="28">
        <v>0</v>
      </c>
      <c r="J15" s="27"/>
      <c r="K15" s="28">
        <v>0</v>
      </c>
      <c r="L15" s="27"/>
      <c r="M15" s="28">
        <v>0</v>
      </c>
      <c r="N15" s="27"/>
      <c r="O15" s="28">
        <v>0</v>
      </c>
      <c r="P15" s="27"/>
      <c r="Q15" s="28">
        <v>0</v>
      </c>
      <c r="R15" s="27"/>
      <c r="S15" s="28">
        <v>0</v>
      </c>
      <c r="T15" s="27"/>
      <c r="U15" s="28">
        <v>0</v>
      </c>
      <c r="V15" s="27"/>
      <c r="W15" s="28">
        <v>0</v>
      </c>
      <c r="X15" s="27"/>
      <c r="Y15" s="28">
        <v>0</v>
      </c>
      <c r="Z15" s="27"/>
      <c r="AA15" s="28">
        <v>0</v>
      </c>
      <c r="AB15" s="27"/>
      <c r="AC15" s="28">
        <v>0</v>
      </c>
      <c r="AD15" s="27"/>
      <c r="AE15" s="28">
        <v>0</v>
      </c>
      <c r="AF15" s="27"/>
      <c r="AG15" s="28">
        <v>0</v>
      </c>
      <c r="AH15" s="27"/>
      <c r="AI15" s="28">
        <v>0</v>
      </c>
      <c r="AJ15" s="27"/>
      <c r="AK15" s="28">
        <v>0</v>
      </c>
      <c r="AL15" s="27"/>
      <c r="AM15" s="28">
        <f>SUM(C15:AL15)</f>
        <v>0</v>
      </c>
      <c r="AN15" s="70"/>
      <c r="AO15" s="70"/>
      <c r="AP15" s="70"/>
      <c r="AQ15" s="70"/>
      <c r="AR15" s="70"/>
    </row>
    <row r="16" spans="1:45">
      <c r="A16" s="32"/>
      <c r="B16" s="11"/>
      <c r="C16" s="27">
        <f>C14+C15</f>
        <v>0</v>
      </c>
      <c r="D16" s="27"/>
      <c r="E16" s="27">
        <f>E14+E15</f>
        <v>0</v>
      </c>
      <c r="F16" s="27"/>
      <c r="G16" s="27">
        <f>G14+G15</f>
        <v>0</v>
      </c>
      <c r="H16" s="27"/>
      <c r="I16" s="27">
        <f>I14+I15</f>
        <v>0</v>
      </c>
      <c r="J16" s="27"/>
      <c r="K16" s="27">
        <f>K14+K15</f>
        <v>0</v>
      </c>
      <c r="L16" s="27"/>
      <c r="M16" s="27">
        <f>M14+M15</f>
        <v>0</v>
      </c>
      <c r="N16" s="27"/>
      <c r="O16" s="27">
        <f>O14+O15</f>
        <v>0</v>
      </c>
      <c r="P16" s="27"/>
      <c r="Q16" s="27">
        <f>Q14+Q15</f>
        <v>0</v>
      </c>
      <c r="R16" s="27"/>
      <c r="S16" s="27">
        <f>S14+S15</f>
        <v>0</v>
      </c>
      <c r="T16" s="27"/>
      <c r="U16" s="27">
        <f>U14+U15</f>
        <v>0</v>
      </c>
      <c r="V16" s="27"/>
      <c r="W16" s="27">
        <f>W14+W15</f>
        <v>0</v>
      </c>
      <c r="X16" s="27"/>
      <c r="Y16" s="27">
        <f>Y14+Y15</f>
        <v>0</v>
      </c>
      <c r="Z16" s="27"/>
      <c r="AA16" s="27">
        <f>AA14+AA15</f>
        <v>0</v>
      </c>
      <c r="AB16" s="27"/>
      <c r="AC16" s="27">
        <f>AC14+AC15</f>
        <v>0</v>
      </c>
      <c r="AD16" s="27"/>
      <c r="AE16" s="27">
        <f>AE14+AE15</f>
        <v>0</v>
      </c>
      <c r="AF16" s="27"/>
      <c r="AG16" s="27">
        <f>AG14+AG15</f>
        <v>0</v>
      </c>
      <c r="AH16" s="27"/>
      <c r="AI16" s="27">
        <f>AI14+AI15</f>
        <v>0</v>
      </c>
      <c r="AJ16" s="27"/>
      <c r="AK16" s="27">
        <f>AK14+AK15</f>
        <v>0</v>
      </c>
      <c r="AL16" s="27"/>
      <c r="AM16" s="27">
        <f>AM14+AM15</f>
        <v>0</v>
      </c>
      <c r="AN16" s="70"/>
      <c r="AO16" s="70"/>
      <c r="AP16" s="70"/>
      <c r="AQ16" s="70"/>
      <c r="AR16" s="70"/>
    </row>
    <row r="17" spans="1:45">
      <c r="A17" s="32"/>
      <c r="B17" s="12"/>
      <c r="F17" s="27"/>
      <c r="H17" s="27"/>
      <c r="J17" s="27"/>
      <c r="L17" s="27"/>
      <c r="N17" s="27"/>
      <c r="P17" s="27"/>
      <c r="R17" s="27"/>
      <c r="T17" s="27"/>
      <c r="V17" s="27"/>
      <c r="X17" s="27"/>
      <c r="Z17" s="27"/>
      <c r="AB17" s="27"/>
      <c r="AD17" s="27"/>
      <c r="AF17" s="27"/>
      <c r="AH17" s="27"/>
      <c r="AJ17" s="27"/>
      <c r="AL17" s="27"/>
      <c r="AM17" s="27"/>
      <c r="AN17" s="27"/>
      <c r="AO17" s="70"/>
      <c r="AP17" s="70"/>
      <c r="AQ17" s="70"/>
      <c r="AR17" s="70"/>
      <c r="AS17" s="70"/>
    </row>
    <row r="18" spans="1:45">
      <c r="A18" s="32"/>
      <c r="B18" s="58" t="s">
        <v>112</v>
      </c>
      <c r="F18" s="27"/>
      <c r="H18" s="27"/>
      <c r="J18" s="27"/>
      <c r="L18" s="27"/>
      <c r="N18" s="27"/>
      <c r="P18" s="27"/>
      <c r="R18" s="27"/>
      <c r="T18" s="27"/>
      <c r="V18" s="27"/>
      <c r="X18" s="27"/>
      <c r="Z18" s="27"/>
      <c r="AB18" s="27"/>
      <c r="AD18" s="27"/>
      <c r="AF18" s="27"/>
      <c r="AH18" s="27"/>
      <c r="AJ18" s="27"/>
      <c r="AL18" s="27"/>
      <c r="AM18" s="27"/>
      <c r="AN18" s="27"/>
      <c r="AO18" s="70"/>
      <c r="AP18" s="70"/>
      <c r="AQ18" s="70"/>
      <c r="AR18" s="70"/>
      <c r="AS18" s="70"/>
    </row>
    <row r="19" spans="1:45">
      <c r="A19" s="32"/>
      <c r="B19" s="10" t="s">
        <v>113</v>
      </c>
      <c r="C19" s="27">
        <v>-23.74</v>
      </c>
      <c r="D19" s="27"/>
      <c r="E19" s="27">
        <v>21926.880000000001</v>
      </c>
      <c r="F19" s="27"/>
      <c r="G19" s="27">
        <v>0</v>
      </c>
      <c r="H19" s="27"/>
      <c r="I19" s="27">
        <v>0</v>
      </c>
      <c r="J19" s="27"/>
      <c r="K19" s="27">
        <v>0</v>
      </c>
      <c r="L19" s="27"/>
      <c r="M19" s="27">
        <v>0</v>
      </c>
      <c r="N19" s="27"/>
      <c r="O19" s="27">
        <v>0</v>
      </c>
      <c r="P19" s="27"/>
      <c r="Q19" s="27">
        <v>0</v>
      </c>
      <c r="R19" s="27"/>
      <c r="S19" s="27">
        <v>0</v>
      </c>
      <c r="T19" s="27"/>
      <c r="U19" s="27">
        <v>0</v>
      </c>
      <c r="V19" s="27"/>
      <c r="W19" s="27">
        <v>0</v>
      </c>
      <c r="X19" s="27"/>
      <c r="Y19" s="27">
        <v>0</v>
      </c>
      <c r="Z19" s="27"/>
      <c r="AA19" s="27">
        <v>0</v>
      </c>
      <c r="AB19" s="27"/>
      <c r="AC19" s="27">
        <v>0</v>
      </c>
      <c r="AD19" s="27"/>
      <c r="AE19" s="27">
        <v>0</v>
      </c>
      <c r="AF19" s="27"/>
      <c r="AG19" s="27">
        <v>0</v>
      </c>
      <c r="AH19" s="27"/>
      <c r="AI19" s="27">
        <v>0</v>
      </c>
      <c r="AJ19" s="27"/>
      <c r="AK19" s="27">
        <v>0</v>
      </c>
      <c r="AL19" s="27"/>
      <c r="AM19" s="27">
        <f t="shared" ref="AM19:AM25" si="0">SUM(C19:AL19)</f>
        <v>21903.14</v>
      </c>
      <c r="AN19" s="70"/>
      <c r="AO19" s="70"/>
      <c r="AP19" s="70"/>
      <c r="AQ19" s="70"/>
      <c r="AR19" s="70"/>
    </row>
    <row r="20" spans="1:45">
      <c r="A20" s="32"/>
      <c r="B20" s="10" t="s">
        <v>114</v>
      </c>
      <c r="C20" s="27">
        <v>0</v>
      </c>
      <c r="D20" s="27"/>
      <c r="E20" s="27">
        <v>0</v>
      </c>
      <c r="F20" s="27"/>
      <c r="G20" s="27">
        <v>0</v>
      </c>
      <c r="H20" s="27"/>
      <c r="I20" s="27">
        <v>0</v>
      </c>
      <c r="J20" s="27"/>
      <c r="K20" s="27">
        <v>0</v>
      </c>
      <c r="L20" s="27"/>
      <c r="M20" s="27">
        <v>0</v>
      </c>
      <c r="N20" s="27"/>
      <c r="O20" s="27">
        <v>0</v>
      </c>
      <c r="P20" s="27"/>
      <c r="Q20" s="27">
        <v>0</v>
      </c>
      <c r="R20" s="27"/>
      <c r="S20" s="27">
        <v>0</v>
      </c>
      <c r="T20" s="27"/>
      <c r="U20" s="27">
        <v>0</v>
      </c>
      <c r="V20" s="27"/>
      <c r="W20" s="27">
        <v>0</v>
      </c>
      <c r="X20" s="27"/>
      <c r="Y20" s="27">
        <v>0</v>
      </c>
      <c r="Z20" s="27"/>
      <c r="AA20" s="27">
        <v>0</v>
      </c>
      <c r="AB20" s="27"/>
      <c r="AC20" s="27">
        <v>0</v>
      </c>
      <c r="AD20" s="27"/>
      <c r="AE20" s="27">
        <v>0</v>
      </c>
      <c r="AF20" s="27"/>
      <c r="AG20" s="27">
        <v>0</v>
      </c>
      <c r="AH20" s="27"/>
      <c r="AI20" s="27">
        <v>0</v>
      </c>
      <c r="AJ20" s="27"/>
      <c r="AK20" s="27">
        <v>0</v>
      </c>
      <c r="AL20" s="27"/>
      <c r="AM20" s="27">
        <f t="shared" si="0"/>
        <v>0</v>
      </c>
      <c r="AN20" s="70"/>
      <c r="AO20" s="70"/>
      <c r="AP20" s="70"/>
      <c r="AQ20" s="70"/>
      <c r="AR20" s="70"/>
    </row>
    <row r="21" spans="1:45">
      <c r="A21" s="32"/>
      <c r="B21" s="10" t="s">
        <v>115</v>
      </c>
      <c r="C21" s="27">
        <v>0</v>
      </c>
      <c r="D21" s="27"/>
      <c r="E21" s="27">
        <v>0</v>
      </c>
      <c r="F21" s="27"/>
      <c r="G21" s="27">
        <v>0</v>
      </c>
      <c r="H21" s="27"/>
      <c r="I21" s="27">
        <v>0</v>
      </c>
      <c r="J21" s="27"/>
      <c r="K21" s="27">
        <v>0</v>
      </c>
      <c r="L21" s="27"/>
      <c r="M21" s="27">
        <v>0</v>
      </c>
      <c r="N21" s="27"/>
      <c r="O21" s="27">
        <v>0</v>
      </c>
      <c r="P21" s="27"/>
      <c r="Q21" s="27">
        <v>0</v>
      </c>
      <c r="R21" s="27"/>
      <c r="S21" s="27">
        <v>0</v>
      </c>
      <c r="T21" s="27"/>
      <c r="U21" s="27">
        <v>0</v>
      </c>
      <c r="V21" s="27"/>
      <c r="W21" s="27">
        <v>0</v>
      </c>
      <c r="X21" s="27"/>
      <c r="Y21" s="27">
        <v>0</v>
      </c>
      <c r="Z21" s="27"/>
      <c r="AA21" s="27">
        <v>0</v>
      </c>
      <c r="AB21" s="27"/>
      <c r="AC21" s="27">
        <v>0</v>
      </c>
      <c r="AD21" s="27"/>
      <c r="AE21" s="27">
        <v>0</v>
      </c>
      <c r="AF21" s="27"/>
      <c r="AG21" s="27">
        <v>0</v>
      </c>
      <c r="AH21" s="27"/>
      <c r="AI21" s="27">
        <v>0</v>
      </c>
      <c r="AJ21" s="27"/>
      <c r="AK21" s="27">
        <v>0</v>
      </c>
      <c r="AL21" s="27"/>
      <c r="AM21" s="27">
        <f t="shared" si="0"/>
        <v>0</v>
      </c>
      <c r="AN21" s="70"/>
      <c r="AO21" s="70"/>
      <c r="AP21" s="70"/>
      <c r="AQ21" s="70"/>
      <c r="AR21" s="70"/>
    </row>
    <row r="22" spans="1:45">
      <c r="A22" s="32"/>
      <c r="B22" s="10" t="s">
        <v>116</v>
      </c>
      <c r="C22" s="27">
        <v>0</v>
      </c>
      <c r="D22" s="27"/>
      <c r="E22" s="27">
        <v>0</v>
      </c>
      <c r="F22" s="27"/>
      <c r="G22" s="27">
        <v>0</v>
      </c>
      <c r="H22" s="27"/>
      <c r="I22" s="27">
        <v>0</v>
      </c>
      <c r="J22" s="27"/>
      <c r="K22" s="27">
        <v>0</v>
      </c>
      <c r="L22" s="27"/>
      <c r="M22" s="27">
        <v>0</v>
      </c>
      <c r="N22" s="27"/>
      <c r="O22" s="27">
        <v>0</v>
      </c>
      <c r="P22" s="27"/>
      <c r="Q22" s="27">
        <v>0</v>
      </c>
      <c r="R22" s="27"/>
      <c r="S22" s="27">
        <v>0</v>
      </c>
      <c r="T22" s="27"/>
      <c r="U22" s="27">
        <v>0</v>
      </c>
      <c r="V22" s="27"/>
      <c r="W22" s="27">
        <v>0</v>
      </c>
      <c r="X22" s="27"/>
      <c r="Y22" s="27">
        <v>0</v>
      </c>
      <c r="Z22" s="27"/>
      <c r="AA22" s="27">
        <v>0</v>
      </c>
      <c r="AB22" s="27"/>
      <c r="AC22" s="27">
        <v>0</v>
      </c>
      <c r="AD22" s="27"/>
      <c r="AE22" s="27">
        <v>0</v>
      </c>
      <c r="AF22" s="27"/>
      <c r="AG22" s="27">
        <v>0</v>
      </c>
      <c r="AH22" s="27"/>
      <c r="AI22" s="27">
        <v>0</v>
      </c>
      <c r="AJ22" s="27"/>
      <c r="AK22" s="27">
        <v>0</v>
      </c>
      <c r="AL22" s="27"/>
      <c r="AM22" s="27">
        <f t="shared" si="0"/>
        <v>0</v>
      </c>
      <c r="AN22" s="70"/>
      <c r="AO22" s="70"/>
      <c r="AP22" s="70"/>
      <c r="AQ22" s="70"/>
      <c r="AR22" s="70"/>
    </row>
    <row r="23" spans="1:45">
      <c r="A23" s="32"/>
      <c r="B23" s="10" t="s">
        <v>117</v>
      </c>
      <c r="C23" s="27">
        <v>0</v>
      </c>
      <c r="D23" s="27"/>
      <c r="E23" s="27">
        <v>0</v>
      </c>
      <c r="F23" s="27"/>
      <c r="G23" s="27">
        <v>0</v>
      </c>
      <c r="H23" s="27"/>
      <c r="I23" s="27">
        <v>0</v>
      </c>
      <c r="J23" s="27"/>
      <c r="K23" s="27">
        <v>0</v>
      </c>
      <c r="L23" s="27"/>
      <c r="M23" s="27">
        <v>0</v>
      </c>
      <c r="N23" s="27"/>
      <c r="O23" s="27">
        <v>0</v>
      </c>
      <c r="P23" s="27"/>
      <c r="Q23" s="27">
        <v>0</v>
      </c>
      <c r="R23" s="27"/>
      <c r="S23" s="27">
        <v>0</v>
      </c>
      <c r="T23" s="27"/>
      <c r="U23" s="27">
        <v>0</v>
      </c>
      <c r="V23" s="27"/>
      <c r="W23" s="27">
        <v>0</v>
      </c>
      <c r="X23" s="27"/>
      <c r="Y23" s="27">
        <v>0</v>
      </c>
      <c r="Z23" s="27"/>
      <c r="AA23" s="27">
        <v>0</v>
      </c>
      <c r="AB23" s="27"/>
      <c r="AC23" s="27">
        <v>0</v>
      </c>
      <c r="AD23" s="27"/>
      <c r="AE23" s="27">
        <v>0</v>
      </c>
      <c r="AF23" s="27"/>
      <c r="AG23" s="27">
        <v>0</v>
      </c>
      <c r="AH23" s="27"/>
      <c r="AI23" s="27">
        <v>0</v>
      </c>
      <c r="AJ23" s="27"/>
      <c r="AK23" s="27">
        <v>0</v>
      </c>
      <c r="AL23" s="27"/>
      <c r="AM23" s="27">
        <f t="shared" si="0"/>
        <v>0</v>
      </c>
      <c r="AN23" s="70"/>
      <c r="AO23" s="70"/>
      <c r="AP23" s="70"/>
      <c r="AQ23" s="70"/>
      <c r="AR23" s="70"/>
    </row>
    <row r="24" spans="1:45">
      <c r="A24" s="32"/>
      <c r="B24" s="10" t="s">
        <v>118</v>
      </c>
      <c r="C24" s="27">
        <v>0</v>
      </c>
      <c r="D24" s="27"/>
      <c r="E24" s="27">
        <v>0</v>
      </c>
      <c r="F24" s="27"/>
      <c r="G24" s="27">
        <v>0</v>
      </c>
      <c r="H24" s="27"/>
      <c r="I24" s="27">
        <v>0</v>
      </c>
      <c r="J24" s="27"/>
      <c r="K24" s="27">
        <v>0</v>
      </c>
      <c r="L24" s="27"/>
      <c r="M24" s="27">
        <v>0</v>
      </c>
      <c r="N24" s="27"/>
      <c r="O24" s="27">
        <v>0</v>
      </c>
      <c r="P24" s="27"/>
      <c r="Q24" s="27">
        <v>0</v>
      </c>
      <c r="R24" s="27"/>
      <c r="S24" s="27">
        <v>0</v>
      </c>
      <c r="T24" s="27"/>
      <c r="U24" s="27">
        <v>0</v>
      </c>
      <c r="V24" s="27"/>
      <c r="W24" s="27">
        <v>0</v>
      </c>
      <c r="X24" s="27"/>
      <c r="Y24" s="27">
        <v>0</v>
      </c>
      <c r="Z24" s="27"/>
      <c r="AA24" s="27">
        <v>0</v>
      </c>
      <c r="AB24" s="27"/>
      <c r="AC24" s="27">
        <v>0</v>
      </c>
      <c r="AD24" s="27"/>
      <c r="AE24" s="27">
        <v>0</v>
      </c>
      <c r="AF24" s="27"/>
      <c r="AG24" s="27">
        <v>0</v>
      </c>
      <c r="AH24" s="27"/>
      <c r="AI24" s="27">
        <v>0</v>
      </c>
      <c r="AJ24" s="27"/>
      <c r="AK24" s="27">
        <v>0</v>
      </c>
      <c r="AL24" s="27"/>
      <c r="AM24" s="27">
        <f t="shared" si="0"/>
        <v>0</v>
      </c>
      <c r="AN24" s="70"/>
      <c r="AO24" s="70"/>
      <c r="AP24" s="70"/>
      <c r="AQ24" s="70"/>
      <c r="AR24" s="70"/>
    </row>
    <row r="25" spans="1:45">
      <c r="A25" s="32"/>
      <c r="B25" s="10" t="s">
        <v>119</v>
      </c>
      <c r="C25" s="28">
        <v>0</v>
      </c>
      <c r="D25" s="27"/>
      <c r="E25" s="28">
        <v>0</v>
      </c>
      <c r="F25" s="27"/>
      <c r="G25" s="28">
        <v>0</v>
      </c>
      <c r="H25" s="27"/>
      <c r="I25" s="28">
        <v>0</v>
      </c>
      <c r="J25" s="27"/>
      <c r="K25" s="28">
        <v>0</v>
      </c>
      <c r="L25" s="27"/>
      <c r="M25" s="28">
        <v>0</v>
      </c>
      <c r="N25" s="27"/>
      <c r="O25" s="28">
        <v>0</v>
      </c>
      <c r="P25" s="27"/>
      <c r="Q25" s="28">
        <v>0</v>
      </c>
      <c r="R25" s="27"/>
      <c r="S25" s="28">
        <v>0</v>
      </c>
      <c r="T25" s="27"/>
      <c r="U25" s="28">
        <v>0</v>
      </c>
      <c r="V25" s="27"/>
      <c r="W25" s="28">
        <v>0</v>
      </c>
      <c r="X25" s="27"/>
      <c r="Y25" s="28">
        <v>0</v>
      </c>
      <c r="Z25" s="27"/>
      <c r="AA25" s="28">
        <v>0</v>
      </c>
      <c r="AB25" s="27"/>
      <c r="AC25" s="28">
        <v>0</v>
      </c>
      <c r="AD25" s="27"/>
      <c r="AE25" s="28">
        <v>0</v>
      </c>
      <c r="AF25" s="27"/>
      <c r="AG25" s="28">
        <v>0</v>
      </c>
      <c r="AH25" s="27"/>
      <c r="AI25" s="28">
        <v>0</v>
      </c>
      <c r="AJ25" s="27"/>
      <c r="AK25" s="28">
        <v>0</v>
      </c>
      <c r="AL25" s="27"/>
      <c r="AM25" s="28">
        <f t="shared" si="0"/>
        <v>0</v>
      </c>
      <c r="AN25" s="70"/>
      <c r="AO25" s="70"/>
      <c r="AP25" s="70"/>
      <c r="AQ25" s="70"/>
      <c r="AR25" s="70"/>
    </row>
    <row r="26" spans="1:45">
      <c r="A26" s="32"/>
      <c r="B26" s="11"/>
      <c r="C26" s="27">
        <f>SUM(C19:C25)</f>
        <v>-23.74</v>
      </c>
      <c r="D26" s="27"/>
      <c r="E26" s="27">
        <f>SUM(E19:E25)</f>
        <v>21926.880000000001</v>
      </c>
      <c r="F26" s="27"/>
      <c r="G26" s="27">
        <f>SUM(G19:G25)</f>
        <v>0</v>
      </c>
      <c r="H26" s="27"/>
      <c r="I26" s="27">
        <f>SUM(I19:I25)</f>
        <v>0</v>
      </c>
      <c r="J26" s="27"/>
      <c r="K26" s="27">
        <f>SUM(K19:K25)</f>
        <v>0</v>
      </c>
      <c r="L26" s="27"/>
      <c r="M26" s="27">
        <f>SUM(M19:M25)</f>
        <v>0</v>
      </c>
      <c r="N26" s="27"/>
      <c r="O26" s="27">
        <f>SUM(O19:O25)</f>
        <v>0</v>
      </c>
      <c r="P26" s="27"/>
      <c r="Q26" s="27">
        <f>SUM(Q19:Q25)</f>
        <v>0</v>
      </c>
      <c r="R26" s="27"/>
      <c r="S26" s="27">
        <f>SUM(S19:S25)</f>
        <v>0</v>
      </c>
      <c r="T26" s="27"/>
      <c r="U26" s="27">
        <f>SUM(U19:U25)</f>
        <v>0</v>
      </c>
      <c r="V26" s="27"/>
      <c r="W26" s="27">
        <f>SUM(W19:W25)</f>
        <v>0</v>
      </c>
      <c r="X26" s="27"/>
      <c r="Y26" s="27">
        <f>SUM(Y19:Y25)</f>
        <v>0</v>
      </c>
      <c r="Z26" s="27"/>
      <c r="AA26" s="27">
        <f>SUM(AA19:AA25)</f>
        <v>0</v>
      </c>
      <c r="AB26" s="27"/>
      <c r="AC26" s="27">
        <f>SUM(AC19:AC25)</f>
        <v>0</v>
      </c>
      <c r="AD26" s="27"/>
      <c r="AE26" s="27">
        <f>SUM(AE19:AE25)</f>
        <v>0</v>
      </c>
      <c r="AF26" s="27"/>
      <c r="AG26" s="27">
        <f>SUM(AG19:AG25)</f>
        <v>0</v>
      </c>
      <c r="AH26" s="27"/>
      <c r="AI26" s="27">
        <f>SUM(AI19:AI25)</f>
        <v>0</v>
      </c>
      <c r="AJ26" s="27"/>
      <c r="AK26" s="27">
        <f>SUM(AK19:AK25)</f>
        <v>0</v>
      </c>
      <c r="AL26" s="27"/>
      <c r="AM26" s="27">
        <f>SUM(AM19:AM25)</f>
        <v>21903.14</v>
      </c>
      <c r="AN26" s="70"/>
      <c r="AO26" s="70"/>
      <c r="AP26" s="70"/>
      <c r="AQ26" s="70"/>
      <c r="AR26" s="70"/>
    </row>
    <row r="27" spans="1:45">
      <c r="A27" s="32"/>
      <c r="B27" s="12"/>
      <c r="F27" s="27"/>
      <c r="H27" s="27"/>
      <c r="J27" s="27"/>
      <c r="L27" s="27"/>
      <c r="N27" s="27"/>
      <c r="P27" s="27"/>
      <c r="R27" s="27"/>
      <c r="T27" s="27"/>
      <c r="V27" s="27"/>
      <c r="X27" s="27"/>
      <c r="Z27" s="27"/>
      <c r="AB27" s="27"/>
      <c r="AD27" s="27"/>
      <c r="AF27" s="27"/>
      <c r="AH27" s="27"/>
      <c r="AJ27" s="27"/>
      <c r="AL27" s="27"/>
      <c r="AM27" s="27"/>
      <c r="AN27" s="27"/>
      <c r="AO27" s="70"/>
      <c r="AP27" s="70"/>
      <c r="AQ27" s="70"/>
      <c r="AR27" s="70"/>
      <c r="AS27" s="70"/>
    </row>
    <row r="28" spans="1:45">
      <c r="A28" s="32"/>
      <c r="B28" s="58" t="s">
        <v>120</v>
      </c>
      <c r="F28" s="24"/>
      <c r="H28" s="24"/>
      <c r="J28" s="24"/>
      <c r="L28" s="24"/>
      <c r="N28" s="24"/>
      <c r="P28" s="24"/>
      <c r="R28" s="24"/>
      <c r="T28" s="24"/>
      <c r="V28" s="24"/>
      <c r="X28" s="24"/>
      <c r="Z28" s="24"/>
      <c r="AB28" s="24"/>
      <c r="AD28" s="24"/>
      <c r="AF28" s="24"/>
      <c r="AH28" s="24"/>
      <c r="AJ28" s="24"/>
      <c r="AL28" s="24"/>
      <c r="AM28" s="24"/>
      <c r="AN28" s="24"/>
      <c r="AO28" s="70"/>
      <c r="AP28" s="70"/>
      <c r="AQ28" s="70"/>
      <c r="AR28" s="70"/>
      <c r="AS28" s="70"/>
    </row>
    <row r="29" spans="1:45">
      <c r="A29" s="32"/>
      <c r="B29" s="10" t="s">
        <v>121</v>
      </c>
      <c r="C29" s="24">
        <v>0</v>
      </c>
      <c r="D29" s="24"/>
      <c r="E29" s="24">
        <v>0</v>
      </c>
      <c r="F29" s="24"/>
      <c r="G29" s="24">
        <v>-134900.23000000001</v>
      </c>
      <c r="H29" s="24"/>
      <c r="I29" s="24">
        <v>0</v>
      </c>
      <c r="J29" s="24"/>
      <c r="K29" s="24">
        <v>0</v>
      </c>
      <c r="L29" s="24"/>
      <c r="M29" s="24">
        <v>0</v>
      </c>
      <c r="N29" s="24"/>
      <c r="O29" s="24">
        <v>0</v>
      </c>
      <c r="P29" s="24"/>
      <c r="Q29" s="24">
        <v>0</v>
      </c>
      <c r="R29" s="24"/>
      <c r="S29" s="24">
        <v>0</v>
      </c>
      <c r="T29" s="24"/>
      <c r="U29" s="24">
        <v>0</v>
      </c>
      <c r="V29" s="24"/>
      <c r="W29" s="24">
        <v>0</v>
      </c>
      <c r="X29" s="24"/>
      <c r="Y29" s="24">
        <v>0</v>
      </c>
      <c r="Z29" s="24"/>
      <c r="AA29" s="24">
        <v>0</v>
      </c>
      <c r="AB29" s="24"/>
      <c r="AC29" s="24">
        <v>0</v>
      </c>
      <c r="AD29" s="24"/>
      <c r="AE29" s="24">
        <v>0</v>
      </c>
      <c r="AF29" s="24"/>
      <c r="AG29" s="24">
        <v>0</v>
      </c>
      <c r="AH29" s="24"/>
      <c r="AI29" s="24">
        <v>0</v>
      </c>
      <c r="AJ29" s="24"/>
      <c r="AK29" s="24">
        <v>0</v>
      </c>
      <c r="AL29" s="24"/>
      <c r="AM29" s="24">
        <f>SUM(C29:AL29)</f>
        <v>-134900.23000000001</v>
      </c>
      <c r="AN29" s="70"/>
      <c r="AO29" s="70"/>
      <c r="AP29" s="70"/>
      <c r="AQ29" s="70"/>
      <c r="AR29" s="70"/>
    </row>
    <row r="30" spans="1:45">
      <c r="A30" s="32"/>
      <c r="B30" s="10" t="s">
        <v>122</v>
      </c>
      <c r="C30" s="24">
        <v>0</v>
      </c>
      <c r="D30" s="24"/>
      <c r="E30" s="24">
        <v>0</v>
      </c>
      <c r="F30" s="24"/>
      <c r="G30" s="24">
        <v>0</v>
      </c>
      <c r="H30" s="24"/>
      <c r="I30" s="24">
        <v>0</v>
      </c>
      <c r="J30" s="24"/>
      <c r="K30" s="24">
        <v>0</v>
      </c>
      <c r="L30" s="24"/>
      <c r="M30" s="24">
        <v>0</v>
      </c>
      <c r="N30" s="24"/>
      <c r="O30" s="24">
        <v>0</v>
      </c>
      <c r="P30" s="24"/>
      <c r="Q30" s="24">
        <v>0</v>
      </c>
      <c r="R30" s="24"/>
      <c r="S30" s="24">
        <v>0</v>
      </c>
      <c r="T30" s="24"/>
      <c r="U30" s="24">
        <v>0</v>
      </c>
      <c r="V30" s="24"/>
      <c r="W30" s="24">
        <v>0</v>
      </c>
      <c r="X30" s="24"/>
      <c r="Y30" s="24">
        <v>0</v>
      </c>
      <c r="Z30" s="24"/>
      <c r="AA30" s="24">
        <v>0</v>
      </c>
      <c r="AB30" s="24"/>
      <c r="AC30" s="24">
        <v>0</v>
      </c>
      <c r="AD30" s="24"/>
      <c r="AE30" s="24">
        <v>0</v>
      </c>
      <c r="AF30" s="24"/>
      <c r="AG30" s="24">
        <v>0</v>
      </c>
      <c r="AH30" s="24"/>
      <c r="AI30" s="24">
        <v>0</v>
      </c>
      <c r="AJ30" s="24"/>
      <c r="AK30" s="24">
        <v>0</v>
      </c>
      <c r="AL30" s="24"/>
      <c r="AM30" s="24">
        <f>SUM(C30:AL30)</f>
        <v>0</v>
      </c>
      <c r="AN30" s="70"/>
      <c r="AO30" s="70"/>
      <c r="AP30" s="70"/>
      <c r="AQ30" s="70"/>
      <c r="AR30" s="70"/>
    </row>
    <row r="31" spans="1:45">
      <c r="A31" s="32"/>
      <c r="B31" s="10" t="s">
        <v>123</v>
      </c>
      <c r="C31" s="24">
        <v>0</v>
      </c>
      <c r="D31" s="24"/>
      <c r="E31" s="24">
        <v>0</v>
      </c>
      <c r="F31" s="24"/>
      <c r="G31" s="24">
        <v>0</v>
      </c>
      <c r="H31" s="24"/>
      <c r="I31" s="24">
        <v>0</v>
      </c>
      <c r="J31" s="24"/>
      <c r="K31" s="24">
        <v>0</v>
      </c>
      <c r="L31" s="24"/>
      <c r="M31" s="24">
        <v>0</v>
      </c>
      <c r="N31" s="24"/>
      <c r="O31" s="24">
        <v>0</v>
      </c>
      <c r="P31" s="24"/>
      <c r="Q31" s="24">
        <v>0</v>
      </c>
      <c r="R31" s="24"/>
      <c r="S31" s="24">
        <v>0</v>
      </c>
      <c r="T31" s="24"/>
      <c r="U31" s="24">
        <v>0</v>
      </c>
      <c r="V31" s="24"/>
      <c r="W31" s="24">
        <v>0</v>
      </c>
      <c r="X31" s="24"/>
      <c r="Y31" s="24">
        <v>0</v>
      </c>
      <c r="Z31" s="24"/>
      <c r="AA31" s="24">
        <v>0</v>
      </c>
      <c r="AB31" s="24"/>
      <c r="AC31" s="24">
        <v>0</v>
      </c>
      <c r="AD31" s="24"/>
      <c r="AE31" s="24">
        <v>0</v>
      </c>
      <c r="AF31" s="24"/>
      <c r="AG31" s="24">
        <v>0</v>
      </c>
      <c r="AH31" s="24"/>
      <c r="AI31" s="24">
        <v>0</v>
      </c>
      <c r="AJ31" s="24"/>
      <c r="AK31" s="24">
        <v>0</v>
      </c>
      <c r="AL31" s="24"/>
      <c r="AM31" s="24">
        <f>SUM(C31:AL31)</f>
        <v>0</v>
      </c>
      <c r="AN31" s="70"/>
      <c r="AO31" s="70"/>
      <c r="AP31" s="70"/>
      <c r="AQ31" s="70"/>
      <c r="AR31" s="70"/>
    </row>
    <row r="32" spans="1:45">
      <c r="A32" s="32"/>
      <c r="B32" s="10" t="s">
        <v>124</v>
      </c>
      <c r="C32" s="24">
        <v>0</v>
      </c>
      <c r="D32" s="24"/>
      <c r="E32" s="24">
        <v>0</v>
      </c>
      <c r="F32" s="24"/>
      <c r="G32" s="24">
        <v>0</v>
      </c>
      <c r="H32" s="24"/>
      <c r="I32" s="24">
        <v>0</v>
      </c>
      <c r="J32" s="24"/>
      <c r="K32" s="24">
        <v>0</v>
      </c>
      <c r="L32" s="24"/>
      <c r="M32" s="24">
        <v>0</v>
      </c>
      <c r="N32" s="24"/>
      <c r="O32" s="24">
        <v>0</v>
      </c>
      <c r="P32" s="24"/>
      <c r="Q32" s="24">
        <v>0</v>
      </c>
      <c r="R32" s="24"/>
      <c r="S32" s="24">
        <v>0</v>
      </c>
      <c r="T32" s="24"/>
      <c r="U32" s="24">
        <v>0</v>
      </c>
      <c r="V32" s="24"/>
      <c r="W32" s="24">
        <v>0</v>
      </c>
      <c r="X32" s="24"/>
      <c r="Y32" s="24">
        <v>0</v>
      </c>
      <c r="Z32" s="24"/>
      <c r="AA32" s="24">
        <v>0</v>
      </c>
      <c r="AB32" s="24"/>
      <c r="AC32" s="24">
        <v>0</v>
      </c>
      <c r="AD32" s="24"/>
      <c r="AE32" s="24">
        <v>0</v>
      </c>
      <c r="AF32" s="24"/>
      <c r="AG32" s="24">
        <v>0</v>
      </c>
      <c r="AH32" s="24"/>
      <c r="AI32" s="24">
        <v>0</v>
      </c>
      <c r="AJ32" s="24"/>
      <c r="AK32" s="24">
        <v>0</v>
      </c>
      <c r="AL32" s="24"/>
      <c r="AM32" s="24">
        <f>SUM(C32:AL32)</f>
        <v>0</v>
      </c>
      <c r="AN32" s="70"/>
      <c r="AO32" s="70"/>
      <c r="AP32" s="70"/>
      <c r="AQ32" s="70"/>
      <c r="AR32" s="70"/>
    </row>
    <row r="33" spans="1:45">
      <c r="A33" s="32"/>
      <c r="B33" s="10" t="s">
        <v>125</v>
      </c>
      <c r="C33" s="28">
        <v>0</v>
      </c>
      <c r="D33" s="27"/>
      <c r="E33" s="28">
        <v>0</v>
      </c>
      <c r="F33" s="24"/>
      <c r="G33" s="28">
        <v>134900.23000000001</v>
      </c>
      <c r="H33" s="27"/>
      <c r="I33" s="28">
        <v>0</v>
      </c>
      <c r="J33" s="27"/>
      <c r="K33" s="28">
        <v>0</v>
      </c>
      <c r="L33" s="27"/>
      <c r="M33" s="28">
        <v>0</v>
      </c>
      <c r="N33" s="27"/>
      <c r="O33" s="28">
        <v>0</v>
      </c>
      <c r="P33" s="24"/>
      <c r="Q33" s="28">
        <v>0</v>
      </c>
      <c r="R33" s="24"/>
      <c r="S33" s="28">
        <v>0</v>
      </c>
      <c r="T33" s="24"/>
      <c r="U33" s="28">
        <v>0</v>
      </c>
      <c r="V33" s="24"/>
      <c r="W33" s="28">
        <v>0</v>
      </c>
      <c r="X33" s="24"/>
      <c r="Y33" s="28">
        <v>0</v>
      </c>
      <c r="Z33" s="24"/>
      <c r="AA33" s="28">
        <v>0</v>
      </c>
      <c r="AB33" s="24"/>
      <c r="AC33" s="28">
        <v>0</v>
      </c>
      <c r="AD33" s="24"/>
      <c r="AE33" s="28">
        <v>0</v>
      </c>
      <c r="AF33" s="24"/>
      <c r="AG33" s="28">
        <v>0</v>
      </c>
      <c r="AH33" s="24"/>
      <c r="AI33" s="28">
        <v>0</v>
      </c>
      <c r="AJ33" s="24"/>
      <c r="AK33" s="28">
        <v>0</v>
      </c>
      <c r="AL33" s="24"/>
      <c r="AM33" s="28">
        <f>SUM(C33:AL33)</f>
        <v>134900.23000000001</v>
      </c>
      <c r="AN33" s="70"/>
      <c r="AO33" s="70"/>
      <c r="AP33" s="70"/>
      <c r="AQ33" s="70"/>
      <c r="AR33" s="70"/>
    </row>
    <row r="34" spans="1:45">
      <c r="A34" s="32"/>
      <c r="B34" s="11"/>
      <c r="C34" s="27">
        <f>SUM(C29:C33)</f>
        <v>0</v>
      </c>
      <c r="D34" s="27"/>
      <c r="E34" s="27">
        <f>SUM(E29:E33)</f>
        <v>0</v>
      </c>
      <c r="F34" s="27"/>
      <c r="G34" s="27">
        <f>SUM(G29:G33)</f>
        <v>0</v>
      </c>
      <c r="H34" s="27"/>
      <c r="I34" s="27">
        <f>SUM(I29:I33)</f>
        <v>0</v>
      </c>
      <c r="J34" s="27"/>
      <c r="K34" s="27">
        <f>SUM(K29:K33)</f>
        <v>0</v>
      </c>
      <c r="L34" s="27"/>
      <c r="M34" s="27">
        <f>SUM(M29:M33)</f>
        <v>0</v>
      </c>
      <c r="N34" s="27"/>
      <c r="O34" s="27">
        <f>SUM(O29:O33)</f>
        <v>0</v>
      </c>
      <c r="P34" s="27"/>
      <c r="Q34" s="27">
        <f>SUM(Q29:Q33)</f>
        <v>0</v>
      </c>
      <c r="R34" s="27"/>
      <c r="S34" s="27">
        <f>SUM(S29:S33)</f>
        <v>0</v>
      </c>
      <c r="T34" s="27"/>
      <c r="U34" s="27">
        <f>SUM(U29:U33)</f>
        <v>0</v>
      </c>
      <c r="V34" s="27"/>
      <c r="W34" s="27">
        <f>SUM(W29:W33)</f>
        <v>0</v>
      </c>
      <c r="X34" s="27"/>
      <c r="Y34" s="27">
        <f>SUM(Y29:Y33)</f>
        <v>0</v>
      </c>
      <c r="Z34" s="27"/>
      <c r="AA34" s="27">
        <f>SUM(AA29:AA33)</f>
        <v>0</v>
      </c>
      <c r="AB34" s="27"/>
      <c r="AC34" s="27">
        <f>SUM(AC29:AC33)</f>
        <v>0</v>
      </c>
      <c r="AD34" s="27"/>
      <c r="AE34" s="27">
        <f>SUM(AE29:AE33)</f>
        <v>0</v>
      </c>
      <c r="AF34" s="27"/>
      <c r="AG34" s="27">
        <f>SUM(AG29:AG33)</f>
        <v>0</v>
      </c>
      <c r="AH34" s="27"/>
      <c r="AI34" s="27">
        <f>SUM(AI29:AI33)</f>
        <v>0</v>
      </c>
      <c r="AJ34" s="27"/>
      <c r="AK34" s="27">
        <f>SUM(AK29:AK33)</f>
        <v>0</v>
      </c>
      <c r="AL34" s="27"/>
      <c r="AM34" s="27">
        <f>SUM(AM29:AM33)</f>
        <v>0</v>
      </c>
      <c r="AN34" s="70"/>
      <c r="AO34" s="70"/>
      <c r="AP34" s="70"/>
      <c r="AQ34" s="70"/>
      <c r="AR34" s="70"/>
    </row>
    <row r="35" spans="1:45">
      <c r="A35" s="32"/>
      <c r="C35" s="24"/>
      <c r="D35" s="24"/>
      <c r="E35" s="24"/>
      <c r="F35" s="24"/>
      <c r="G35" s="24"/>
      <c r="H35" s="24"/>
      <c r="I35" s="24"/>
      <c r="J35" s="24"/>
      <c r="K35" s="24"/>
      <c r="L35" s="24"/>
      <c r="M35" s="24"/>
      <c r="N35" s="24"/>
      <c r="O35" s="24"/>
      <c r="P35" s="24"/>
      <c r="Q35" s="24"/>
      <c r="R35" s="24"/>
      <c r="S35" s="24"/>
      <c r="T35" s="24"/>
      <c r="U35" s="24"/>
      <c r="V35" s="24"/>
      <c r="W35" s="24"/>
      <c r="X35" s="24"/>
      <c r="Y35" s="24"/>
      <c r="Z35" s="24"/>
      <c r="AA35" s="24"/>
      <c r="AB35" s="24"/>
      <c r="AC35" s="24"/>
      <c r="AD35" s="24"/>
      <c r="AE35" s="24"/>
      <c r="AF35" s="24"/>
      <c r="AG35" s="24"/>
      <c r="AH35" s="24"/>
      <c r="AI35" s="24"/>
      <c r="AJ35" s="24"/>
      <c r="AK35" s="24"/>
      <c r="AL35" s="24"/>
      <c r="AM35" s="24"/>
      <c r="AN35" s="70"/>
      <c r="AO35" s="70"/>
      <c r="AP35" s="70"/>
      <c r="AQ35" s="70"/>
      <c r="AR35" s="70"/>
    </row>
    <row r="36" spans="1:45">
      <c r="A36" s="32"/>
      <c r="B36" s="12" t="s">
        <v>126</v>
      </c>
      <c r="C36" s="25">
        <f>C16+C26+C34</f>
        <v>-23.74</v>
      </c>
      <c r="D36" s="27"/>
      <c r="E36" s="25">
        <f>E16+E26+E34</f>
        <v>21926.880000000001</v>
      </c>
      <c r="F36" s="24"/>
      <c r="G36" s="25">
        <f>G16+G26+G34</f>
        <v>0</v>
      </c>
      <c r="H36" s="27"/>
      <c r="I36" s="25">
        <f>I16+I26+I34</f>
        <v>0</v>
      </c>
      <c r="J36" s="27"/>
      <c r="K36" s="25">
        <f>K16+K26+K34</f>
        <v>0</v>
      </c>
      <c r="L36" s="27"/>
      <c r="M36" s="25">
        <f>M16+M26+M34</f>
        <v>0</v>
      </c>
      <c r="N36" s="27"/>
      <c r="O36" s="25">
        <f>O16+O26+O34</f>
        <v>0</v>
      </c>
      <c r="P36" s="24"/>
      <c r="Q36" s="25">
        <f>Q16+Q26+Q34</f>
        <v>0</v>
      </c>
      <c r="R36" s="24"/>
      <c r="S36" s="25">
        <f>S16+S26+S34</f>
        <v>0</v>
      </c>
      <c r="T36" s="24"/>
      <c r="U36" s="25">
        <f>U16+U26+U34</f>
        <v>0</v>
      </c>
      <c r="V36" s="24"/>
      <c r="W36" s="25">
        <f>W16+W26+W34</f>
        <v>0</v>
      </c>
      <c r="X36" s="24"/>
      <c r="Y36" s="25">
        <f>Y16+Y26+Y34</f>
        <v>0</v>
      </c>
      <c r="Z36" s="24"/>
      <c r="AA36" s="25">
        <f>AA16+AA26+AA34</f>
        <v>0</v>
      </c>
      <c r="AB36" s="24"/>
      <c r="AC36" s="25">
        <f>AC16+AC26+AC34</f>
        <v>0</v>
      </c>
      <c r="AD36" s="24"/>
      <c r="AE36" s="25">
        <f>AE16+AE26+AE34</f>
        <v>0</v>
      </c>
      <c r="AF36" s="24"/>
      <c r="AG36" s="25">
        <f>AG16+AG26+AG34</f>
        <v>0</v>
      </c>
      <c r="AH36" s="24"/>
      <c r="AI36" s="25">
        <f>AI16+AI26+AI34</f>
        <v>0</v>
      </c>
      <c r="AJ36" s="24"/>
      <c r="AK36" s="25">
        <f>AK16+AK26+AK34</f>
        <v>0</v>
      </c>
      <c r="AL36" s="24"/>
      <c r="AM36" s="25">
        <f>AM16+AM26+AM34</f>
        <v>21903.14</v>
      </c>
      <c r="AN36" s="70"/>
      <c r="AO36" s="70"/>
      <c r="AP36" s="70"/>
      <c r="AQ36" s="70"/>
      <c r="AR36" s="70"/>
    </row>
    <row r="37" spans="1:45">
      <c r="A37" s="32"/>
      <c r="B37" s="58"/>
      <c r="C37" s="12"/>
      <c r="D37" s="12"/>
      <c r="E37" s="12"/>
      <c r="F37" s="27"/>
      <c r="G37" s="12"/>
      <c r="H37" s="24"/>
      <c r="I37" s="12"/>
      <c r="J37" s="24"/>
      <c r="K37" s="12"/>
      <c r="L37" s="24"/>
      <c r="M37" s="12"/>
      <c r="N37" s="24"/>
      <c r="O37" s="12"/>
      <c r="P37" s="27"/>
      <c r="Q37" s="12"/>
      <c r="R37" s="27"/>
      <c r="S37" s="12"/>
      <c r="T37" s="27"/>
      <c r="U37" s="12"/>
      <c r="V37" s="27"/>
      <c r="W37" s="12"/>
      <c r="X37" s="27"/>
      <c r="Y37" s="12"/>
      <c r="Z37" s="27"/>
      <c r="AA37" s="12"/>
      <c r="AB37" s="27"/>
      <c r="AC37" s="12"/>
      <c r="AD37" s="27"/>
      <c r="AE37" s="12"/>
      <c r="AF37" s="27"/>
      <c r="AG37" s="12"/>
      <c r="AH37" s="27"/>
      <c r="AI37" s="12"/>
      <c r="AJ37" s="27"/>
      <c r="AK37" s="12"/>
      <c r="AL37" s="27"/>
      <c r="AM37" s="24"/>
      <c r="AN37" s="27"/>
      <c r="AO37" s="70"/>
      <c r="AP37" s="70"/>
      <c r="AQ37" s="70"/>
      <c r="AR37" s="70"/>
      <c r="AS37" s="70"/>
    </row>
    <row r="38" spans="1:45">
      <c r="A38" s="32"/>
      <c r="B38" s="58"/>
      <c r="F38" s="24"/>
      <c r="H38" s="24"/>
      <c r="J38" s="24"/>
      <c r="L38" s="24"/>
      <c r="N38" s="24"/>
      <c r="P38" s="24"/>
      <c r="R38" s="24"/>
      <c r="T38" s="24"/>
      <c r="V38" s="24"/>
      <c r="X38" s="24"/>
      <c r="Z38" s="24"/>
      <c r="AB38" s="24"/>
      <c r="AD38" s="24"/>
      <c r="AF38" s="24"/>
      <c r="AH38" s="24"/>
      <c r="AJ38" s="24"/>
      <c r="AL38" s="24"/>
      <c r="AM38" s="24"/>
      <c r="AN38" s="24"/>
      <c r="AO38" s="70"/>
      <c r="AP38" s="70"/>
      <c r="AQ38" s="70"/>
      <c r="AR38" s="70"/>
      <c r="AS38" s="70"/>
    </row>
    <row r="39" spans="1:45">
      <c r="A39" s="32">
        <v>102</v>
      </c>
      <c r="B39" s="12" t="s">
        <v>1108</v>
      </c>
      <c r="F39" s="24"/>
      <c r="H39" s="24"/>
      <c r="J39" s="24"/>
      <c r="L39" s="24"/>
      <c r="N39" s="24"/>
      <c r="P39" s="24"/>
      <c r="R39" s="24"/>
      <c r="T39" s="24"/>
      <c r="V39" s="24"/>
      <c r="X39" s="24"/>
      <c r="Z39" s="24"/>
      <c r="AB39" s="24"/>
      <c r="AD39" s="24"/>
      <c r="AF39" s="24"/>
      <c r="AH39" s="24"/>
      <c r="AJ39" s="24"/>
      <c r="AL39" s="24"/>
      <c r="AM39" s="24"/>
      <c r="AN39" s="24"/>
      <c r="AO39" s="70"/>
      <c r="AP39" s="70"/>
      <c r="AQ39" s="70"/>
      <c r="AR39" s="70"/>
      <c r="AS39" s="70"/>
    </row>
    <row r="40" spans="1:45">
      <c r="A40" s="32"/>
      <c r="B40" s="12" t="s">
        <v>112</v>
      </c>
      <c r="F40" s="24"/>
      <c r="H40" s="24"/>
      <c r="J40" s="24"/>
      <c r="L40" s="24"/>
      <c r="N40" s="24"/>
      <c r="P40" s="24"/>
      <c r="R40" s="24"/>
      <c r="T40" s="24"/>
      <c r="V40" s="24"/>
      <c r="X40" s="24"/>
      <c r="Z40" s="24"/>
      <c r="AB40" s="24"/>
      <c r="AD40" s="24"/>
      <c r="AF40" s="24"/>
      <c r="AH40" s="24"/>
      <c r="AJ40" s="24"/>
      <c r="AL40" s="24"/>
      <c r="AM40" s="24"/>
      <c r="AN40" s="24"/>
      <c r="AO40" s="70"/>
      <c r="AP40" s="70"/>
      <c r="AQ40" s="70"/>
      <c r="AR40" s="70"/>
      <c r="AS40" s="70"/>
    </row>
    <row r="41" spans="1:45">
      <c r="A41" s="32"/>
      <c r="B41" s="10" t="s">
        <v>118</v>
      </c>
      <c r="C41" s="28">
        <v>0</v>
      </c>
      <c r="D41" s="27"/>
      <c r="E41" s="28">
        <v>0</v>
      </c>
      <c r="F41" s="24"/>
      <c r="G41" s="28">
        <v>0</v>
      </c>
      <c r="H41" s="27"/>
      <c r="I41" s="28">
        <v>0</v>
      </c>
      <c r="J41" s="27"/>
      <c r="K41" s="28"/>
      <c r="L41" s="27"/>
      <c r="M41" s="28"/>
      <c r="N41" s="27"/>
      <c r="O41" s="28"/>
      <c r="P41" s="24"/>
      <c r="Q41" s="28"/>
      <c r="R41" s="24"/>
      <c r="S41" s="28">
        <v>0</v>
      </c>
      <c r="T41" s="24"/>
      <c r="U41" s="28"/>
      <c r="V41" s="24"/>
      <c r="W41" s="28">
        <v>0</v>
      </c>
      <c r="X41" s="24"/>
      <c r="Y41" s="28">
        <v>0</v>
      </c>
      <c r="Z41" s="24"/>
      <c r="AA41" s="28">
        <v>0</v>
      </c>
      <c r="AB41" s="24"/>
      <c r="AC41" s="28">
        <v>0</v>
      </c>
      <c r="AD41" s="24"/>
      <c r="AE41" s="28">
        <v>0</v>
      </c>
      <c r="AF41" s="24"/>
      <c r="AG41" s="28">
        <v>0</v>
      </c>
      <c r="AH41" s="24"/>
      <c r="AI41" s="28">
        <v>0</v>
      </c>
      <c r="AJ41" s="24"/>
      <c r="AK41" s="28"/>
      <c r="AL41" s="24"/>
      <c r="AM41" s="28">
        <f>SUM(C41:AL41)</f>
        <v>0</v>
      </c>
      <c r="AN41" s="70"/>
      <c r="AO41" s="70"/>
      <c r="AP41" s="70"/>
      <c r="AQ41" s="70"/>
      <c r="AR41" s="70"/>
    </row>
    <row r="42" spans="1:45">
      <c r="A42" s="32"/>
      <c r="B42" s="11"/>
      <c r="C42" s="27">
        <f>SUM(C41)</f>
        <v>0</v>
      </c>
      <c r="D42" s="27"/>
      <c r="E42" s="27">
        <f>SUM(E41)</f>
        <v>0</v>
      </c>
      <c r="F42" s="27"/>
      <c r="G42" s="27">
        <f>SUM(G41)</f>
        <v>0</v>
      </c>
      <c r="H42" s="27"/>
      <c r="I42" s="27">
        <f>SUM(I41)</f>
        <v>0</v>
      </c>
      <c r="J42" s="27"/>
      <c r="K42" s="27">
        <f>SUM(K41)</f>
        <v>0</v>
      </c>
      <c r="L42" s="27"/>
      <c r="M42" s="27">
        <f>SUM(M41)</f>
        <v>0</v>
      </c>
      <c r="N42" s="27"/>
      <c r="O42" s="27">
        <f>SUM(O41)</f>
        <v>0</v>
      </c>
      <c r="P42" s="27"/>
      <c r="Q42" s="27">
        <f>SUM(Q41)</f>
        <v>0</v>
      </c>
      <c r="R42" s="27"/>
      <c r="S42" s="27">
        <f>SUM(S41)</f>
        <v>0</v>
      </c>
      <c r="T42" s="27"/>
      <c r="U42" s="27">
        <f>SUM(U41)</f>
        <v>0</v>
      </c>
      <c r="V42" s="27"/>
      <c r="W42" s="27">
        <f>SUM(W41)</f>
        <v>0</v>
      </c>
      <c r="X42" s="27"/>
      <c r="Y42" s="27">
        <f>SUM(Y41)</f>
        <v>0</v>
      </c>
      <c r="Z42" s="27"/>
      <c r="AA42" s="27">
        <f>SUM(AA41)</f>
        <v>0</v>
      </c>
      <c r="AB42" s="27"/>
      <c r="AC42" s="27">
        <f>SUM(AC41)</f>
        <v>0</v>
      </c>
      <c r="AD42" s="27"/>
      <c r="AE42" s="27">
        <f>SUM(AE41)</f>
        <v>0</v>
      </c>
      <c r="AF42" s="27"/>
      <c r="AG42" s="27">
        <f>SUM(AG41)</f>
        <v>0</v>
      </c>
      <c r="AH42" s="27"/>
      <c r="AI42" s="27">
        <f>SUM(AI41)</f>
        <v>0</v>
      </c>
      <c r="AJ42" s="27"/>
      <c r="AK42" s="27">
        <f>SUM(AK41)</f>
        <v>0</v>
      </c>
      <c r="AL42" s="27"/>
      <c r="AM42" s="27">
        <f>SUM(AM41)</f>
        <v>0</v>
      </c>
      <c r="AN42" s="70"/>
      <c r="AO42" s="70"/>
      <c r="AP42" s="70"/>
      <c r="AQ42" s="70"/>
      <c r="AR42" s="70"/>
    </row>
    <row r="43" spans="1:45">
      <c r="A43" s="32"/>
      <c r="C43" s="24"/>
      <c r="D43" s="24"/>
      <c r="E43" s="24"/>
      <c r="F43" s="24"/>
      <c r="G43" s="24"/>
      <c r="H43" s="24"/>
      <c r="I43" s="24"/>
      <c r="J43" s="24"/>
      <c r="K43" s="24"/>
      <c r="L43" s="24"/>
      <c r="M43" s="24"/>
      <c r="N43" s="24"/>
      <c r="O43" s="24"/>
      <c r="P43" s="24"/>
      <c r="Q43" s="24"/>
      <c r="R43" s="24"/>
      <c r="S43" s="24"/>
      <c r="T43" s="24"/>
      <c r="U43" s="24"/>
      <c r="V43" s="24"/>
      <c r="W43" s="24"/>
      <c r="X43" s="24"/>
      <c r="Y43" s="24"/>
      <c r="Z43" s="24"/>
      <c r="AA43" s="24"/>
      <c r="AB43" s="24"/>
      <c r="AC43" s="24"/>
      <c r="AD43" s="24"/>
      <c r="AE43" s="24"/>
      <c r="AF43" s="24"/>
      <c r="AG43" s="24"/>
      <c r="AH43" s="24"/>
      <c r="AI43" s="24"/>
      <c r="AJ43" s="24"/>
      <c r="AK43" s="24"/>
      <c r="AL43" s="24"/>
      <c r="AM43" s="24"/>
      <c r="AN43" s="70"/>
      <c r="AO43" s="70"/>
      <c r="AP43" s="70"/>
      <c r="AQ43" s="70"/>
      <c r="AR43" s="70"/>
    </row>
    <row r="44" spans="1:45">
      <c r="A44" s="32"/>
      <c r="B44" s="12" t="s">
        <v>127</v>
      </c>
      <c r="C44" s="25">
        <f>C42</f>
        <v>0</v>
      </c>
      <c r="D44" s="27"/>
      <c r="E44" s="25">
        <f>E42</f>
        <v>0</v>
      </c>
      <c r="F44" s="24"/>
      <c r="G44" s="25">
        <f>G42</f>
        <v>0</v>
      </c>
      <c r="H44" s="27"/>
      <c r="I44" s="25">
        <f>I42</f>
        <v>0</v>
      </c>
      <c r="J44" s="27"/>
      <c r="K44" s="25">
        <f>K42</f>
        <v>0</v>
      </c>
      <c r="L44" s="27"/>
      <c r="M44" s="25">
        <f>M42</f>
        <v>0</v>
      </c>
      <c r="N44" s="27"/>
      <c r="O44" s="25">
        <f>O42</f>
        <v>0</v>
      </c>
      <c r="P44" s="24"/>
      <c r="Q44" s="25">
        <f>Q42</f>
        <v>0</v>
      </c>
      <c r="R44" s="24"/>
      <c r="S44" s="25">
        <f>S42</f>
        <v>0</v>
      </c>
      <c r="T44" s="24"/>
      <c r="U44" s="25">
        <f>U42</f>
        <v>0</v>
      </c>
      <c r="V44" s="24"/>
      <c r="W44" s="25">
        <f>W42</f>
        <v>0</v>
      </c>
      <c r="X44" s="24"/>
      <c r="Y44" s="25">
        <f>Y42</f>
        <v>0</v>
      </c>
      <c r="Z44" s="24"/>
      <c r="AA44" s="25">
        <f>AA42</f>
        <v>0</v>
      </c>
      <c r="AB44" s="24"/>
      <c r="AC44" s="25">
        <f>AC42</f>
        <v>0</v>
      </c>
      <c r="AD44" s="24"/>
      <c r="AE44" s="25">
        <f>AE42</f>
        <v>0</v>
      </c>
      <c r="AF44" s="24"/>
      <c r="AG44" s="25">
        <f>AG42</f>
        <v>0</v>
      </c>
      <c r="AH44" s="24"/>
      <c r="AI44" s="25">
        <f>AI42</f>
        <v>0</v>
      </c>
      <c r="AJ44" s="24"/>
      <c r="AK44" s="25">
        <f>AK42</f>
        <v>0</v>
      </c>
      <c r="AL44" s="24"/>
      <c r="AM44" s="25">
        <f>AM42</f>
        <v>0</v>
      </c>
      <c r="AN44" s="70"/>
      <c r="AO44" s="70"/>
      <c r="AP44" s="70"/>
      <c r="AQ44" s="70"/>
      <c r="AR44" s="70"/>
    </row>
    <row r="45" spans="1:45">
      <c r="A45" s="32"/>
      <c r="C45" s="24"/>
      <c r="D45" s="24"/>
      <c r="E45" s="24"/>
      <c r="F45" s="24"/>
      <c r="G45" s="24"/>
      <c r="H45" s="24"/>
      <c r="I45" s="24"/>
      <c r="J45" s="24"/>
      <c r="K45" s="24"/>
      <c r="L45" s="24"/>
      <c r="M45" s="24"/>
      <c r="N45" s="24"/>
      <c r="O45" s="24"/>
      <c r="P45" s="24"/>
      <c r="Q45" s="24"/>
      <c r="R45" s="24"/>
      <c r="S45" s="24"/>
      <c r="T45" s="24"/>
      <c r="U45" s="24"/>
      <c r="V45" s="24"/>
      <c r="W45" s="24"/>
      <c r="X45" s="24"/>
      <c r="Y45" s="24"/>
      <c r="Z45" s="24"/>
      <c r="AA45" s="24"/>
      <c r="AB45" s="24"/>
      <c r="AC45" s="24"/>
      <c r="AD45" s="24"/>
      <c r="AE45" s="24"/>
      <c r="AF45" s="24"/>
      <c r="AG45" s="24"/>
      <c r="AH45" s="24"/>
      <c r="AI45" s="24"/>
      <c r="AJ45" s="24"/>
      <c r="AK45" s="24"/>
      <c r="AL45" s="24"/>
      <c r="AM45" s="24"/>
      <c r="AN45" s="70"/>
      <c r="AO45" s="70"/>
      <c r="AP45" s="70"/>
      <c r="AQ45" s="70"/>
      <c r="AR45" s="70"/>
    </row>
    <row r="46" spans="1:45">
      <c r="A46" s="32"/>
      <c r="B46" s="58"/>
      <c r="F46" s="24"/>
      <c r="H46" s="24"/>
      <c r="J46" s="24"/>
      <c r="L46" s="24"/>
      <c r="N46" s="24"/>
      <c r="P46" s="24"/>
      <c r="R46" s="24"/>
      <c r="T46" s="24"/>
      <c r="V46" s="24"/>
      <c r="X46" s="24"/>
      <c r="Z46" s="24"/>
      <c r="AB46" s="24"/>
      <c r="AD46" s="24"/>
      <c r="AF46" s="24"/>
      <c r="AH46" s="24"/>
      <c r="AJ46" s="24"/>
      <c r="AL46" s="24"/>
      <c r="AM46" s="24"/>
      <c r="AN46" s="24"/>
      <c r="AO46" s="70"/>
      <c r="AP46" s="70"/>
      <c r="AQ46" s="70"/>
      <c r="AR46" s="70"/>
      <c r="AS46" s="70"/>
    </row>
    <row r="47" spans="1:45">
      <c r="A47" s="32">
        <v>105</v>
      </c>
      <c r="B47" s="12" t="s">
        <v>611</v>
      </c>
      <c r="F47" s="24"/>
      <c r="H47" s="24"/>
      <c r="J47" s="24"/>
      <c r="L47" s="24"/>
      <c r="N47" s="24"/>
      <c r="P47" s="24"/>
      <c r="R47" s="24"/>
      <c r="T47" s="24"/>
      <c r="V47" s="24"/>
      <c r="X47" s="24"/>
      <c r="Z47" s="24"/>
      <c r="AB47" s="24"/>
      <c r="AD47" s="24"/>
      <c r="AF47" s="24"/>
      <c r="AH47" s="24"/>
      <c r="AJ47" s="24"/>
      <c r="AL47" s="24"/>
      <c r="AM47" s="24"/>
      <c r="AN47" s="24"/>
      <c r="AO47" s="70"/>
      <c r="AP47" s="70"/>
      <c r="AQ47" s="70"/>
      <c r="AR47" s="70"/>
      <c r="AS47" s="70"/>
    </row>
    <row r="48" spans="1:45">
      <c r="A48" s="32"/>
      <c r="B48" s="58" t="s">
        <v>112</v>
      </c>
      <c r="F48" s="24"/>
      <c r="H48" s="24"/>
      <c r="J48" s="24"/>
      <c r="L48" s="24"/>
      <c r="N48" s="24"/>
      <c r="P48" s="24"/>
      <c r="R48" s="24"/>
      <c r="T48" s="24"/>
      <c r="V48" s="24"/>
      <c r="X48" s="24"/>
      <c r="Z48" s="24"/>
      <c r="AB48" s="24"/>
      <c r="AD48" s="24"/>
      <c r="AF48" s="24"/>
      <c r="AH48" s="24"/>
      <c r="AJ48" s="24"/>
      <c r="AL48" s="24"/>
      <c r="AM48" s="24"/>
      <c r="AN48" s="24"/>
      <c r="AO48" s="70"/>
      <c r="AP48" s="70"/>
      <c r="AQ48" s="70"/>
      <c r="AR48" s="70"/>
      <c r="AS48" s="70"/>
    </row>
    <row r="49" spans="1:45">
      <c r="A49" s="32"/>
      <c r="B49" s="10" t="s">
        <v>113</v>
      </c>
      <c r="C49" s="24">
        <v>0</v>
      </c>
      <c r="D49" s="24"/>
      <c r="E49" s="24">
        <v>-21926.880000000001</v>
      </c>
      <c r="F49" s="24"/>
      <c r="G49" s="24">
        <v>0</v>
      </c>
      <c r="H49" s="24"/>
      <c r="I49" s="24">
        <v>0</v>
      </c>
      <c r="J49" s="24"/>
      <c r="K49" s="24">
        <v>0</v>
      </c>
      <c r="L49" s="24"/>
      <c r="M49" s="24">
        <v>0</v>
      </c>
      <c r="N49" s="24"/>
      <c r="O49" s="24">
        <v>0</v>
      </c>
      <c r="P49" s="24"/>
      <c r="Q49" s="24">
        <v>0</v>
      </c>
      <c r="R49" s="24"/>
      <c r="S49" s="24">
        <v>0</v>
      </c>
      <c r="T49" s="24"/>
      <c r="U49" s="24">
        <v>0</v>
      </c>
      <c r="V49" s="24"/>
      <c r="W49" s="24">
        <v>0</v>
      </c>
      <c r="X49" s="24"/>
      <c r="Y49" s="24">
        <v>0</v>
      </c>
      <c r="Z49" s="24"/>
      <c r="AA49" s="24">
        <v>0</v>
      </c>
      <c r="AB49" s="24"/>
      <c r="AC49" s="24">
        <v>0</v>
      </c>
      <c r="AD49" s="24"/>
      <c r="AE49" s="24">
        <v>0</v>
      </c>
      <c r="AF49" s="24"/>
      <c r="AG49" s="24">
        <v>0</v>
      </c>
      <c r="AH49" s="24"/>
      <c r="AI49" s="24">
        <v>0</v>
      </c>
      <c r="AJ49" s="24"/>
      <c r="AK49" s="24">
        <v>0</v>
      </c>
      <c r="AL49" s="24"/>
      <c r="AM49" s="27">
        <f>SUM(C49:AL49)</f>
        <v>-21926.880000000001</v>
      </c>
      <c r="AN49" s="70"/>
      <c r="AO49" s="70"/>
      <c r="AP49" s="70"/>
      <c r="AQ49" s="70"/>
      <c r="AR49" s="70"/>
    </row>
    <row r="50" spans="1:45">
      <c r="A50" s="32"/>
      <c r="B50" s="10" t="s">
        <v>118</v>
      </c>
      <c r="C50" s="28">
        <v>0</v>
      </c>
      <c r="D50" s="27"/>
      <c r="E50" s="28">
        <v>0</v>
      </c>
      <c r="F50" s="27"/>
      <c r="G50" s="28">
        <v>0</v>
      </c>
      <c r="H50" s="27"/>
      <c r="I50" s="28">
        <v>0</v>
      </c>
      <c r="J50" s="27"/>
      <c r="K50" s="28">
        <v>0</v>
      </c>
      <c r="L50" s="27"/>
      <c r="M50" s="28">
        <v>0</v>
      </c>
      <c r="N50" s="27"/>
      <c r="O50" s="28">
        <v>0</v>
      </c>
      <c r="P50" s="27"/>
      <c r="Q50" s="28">
        <v>0</v>
      </c>
      <c r="R50" s="27"/>
      <c r="S50" s="28">
        <v>0</v>
      </c>
      <c r="T50" s="27"/>
      <c r="U50" s="28">
        <v>0</v>
      </c>
      <c r="V50" s="27"/>
      <c r="W50" s="28">
        <v>0</v>
      </c>
      <c r="X50" s="27"/>
      <c r="Y50" s="28">
        <v>0</v>
      </c>
      <c r="Z50" s="27"/>
      <c r="AA50" s="28">
        <v>0</v>
      </c>
      <c r="AB50" s="27"/>
      <c r="AC50" s="28">
        <v>0</v>
      </c>
      <c r="AD50" s="27"/>
      <c r="AE50" s="28">
        <v>0</v>
      </c>
      <c r="AF50" s="27"/>
      <c r="AG50" s="28">
        <v>0</v>
      </c>
      <c r="AH50" s="27"/>
      <c r="AI50" s="28">
        <v>0</v>
      </c>
      <c r="AJ50" s="27"/>
      <c r="AK50" s="28">
        <v>0</v>
      </c>
      <c r="AL50" s="27"/>
      <c r="AM50" s="28">
        <f>SUM(C50:AL50)</f>
        <v>0</v>
      </c>
      <c r="AN50" s="70"/>
      <c r="AO50" s="70"/>
      <c r="AP50" s="70"/>
      <c r="AQ50" s="70"/>
      <c r="AR50" s="70"/>
    </row>
    <row r="51" spans="1:45">
      <c r="A51" s="32"/>
      <c r="B51" s="11"/>
      <c r="C51" s="27">
        <f>SUM(C49:C50)</f>
        <v>0</v>
      </c>
      <c r="D51" s="27"/>
      <c r="E51" s="27">
        <f>SUM(E49:E50)</f>
        <v>-21926.880000000001</v>
      </c>
      <c r="F51" s="27"/>
      <c r="G51" s="27">
        <f>SUM(G49:G50)</f>
        <v>0</v>
      </c>
      <c r="H51" s="27"/>
      <c r="I51" s="27">
        <f>SUM(I49:I50)</f>
        <v>0</v>
      </c>
      <c r="J51" s="27"/>
      <c r="K51" s="27">
        <f>SUM(K49:K50)</f>
        <v>0</v>
      </c>
      <c r="L51" s="27"/>
      <c r="M51" s="27">
        <f>SUM(M49:M50)</f>
        <v>0</v>
      </c>
      <c r="N51" s="27"/>
      <c r="O51" s="27">
        <f>SUM(O49:O50)</f>
        <v>0</v>
      </c>
      <c r="P51" s="27"/>
      <c r="Q51" s="27">
        <f>SUM(Q49:Q50)</f>
        <v>0</v>
      </c>
      <c r="R51" s="27"/>
      <c r="S51" s="27">
        <f>SUM(S49:S50)</f>
        <v>0</v>
      </c>
      <c r="T51" s="27"/>
      <c r="U51" s="27">
        <f>SUM(U49:U50)</f>
        <v>0</v>
      </c>
      <c r="V51" s="27"/>
      <c r="W51" s="27">
        <f>SUM(W49:W50)</f>
        <v>0</v>
      </c>
      <c r="X51" s="27"/>
      <c r="Y51" s="27">
        <f>SUM(Y49:Y50)</f>
        <v>0</v>
      </c>
      <c r="Z51" s="27"/>
      <c r="AA51" s="27">
        <f>SUM(AA49:AA50)</f>
        <v>0</v>
      </c>
      <c r="AB51" s="27"/>
      <c r="AC51" s="27">
        <f>SUM(AC49:AC50)</f>
        <v>0</v>
      </c>
      <c r="AD51" s="27"/>
      <c r="AE51" s="27">
        <f>SUM(AE49:AE50)</f>
        <v>0</v>
      </c>
      <c r="AF51" s="27"/>
      <c r="AG51" s="27">
        <f>SUM(AG49:AG50)</f>
        <v>0</v>
      </c>
      <c r="AH51" s="27"/>
      <c r="AI51" s="27">
        <f>SUM(AI49:AI50)</f>
        <v>0</v>
      </c>
      <c r="AJ51" s="27"/>
      <c r="AK51" s="27">
        <f>SUM(AK49:AK50)</f>
        <v>0</v>
      </c>
      <c r="AL51" s="27"/>
      <c r="AM51" s="27">
        <f>SUM(AM49:AM50)</f>
        <v>-21926.880000000001</v>
      </c>
      <c r="AN51" s="70"/>
      <c r="AO51" s="70"/>
      <c r="AP51" s="70"/>
      <c r="AQ51" s="70"/>
      <c r="AR51" s="70"/>
    </row>
    <row r="52" spans="1:45">
      <c r="A52" s="32"/>
      <c r="C52" s="24"/>
      <c r="D52" s="24"/>
      <c r="E52" s="24"/>
      <c r="F52" s="24"/>
      <c r="G52" s="24"/>
      <c r="H52" s="24"/>
      <c r="I52" s="24"/>
      <c r="J52" s="24"/>
      <c r="K52" s="24"/>
      <c r="L52" s="24"/>
      <c r="M52" s="24"/>
      <c r="N52" s="24"/>
      <c r="O52" s="24"/>
      <c r="P52" s="24"/>
      <c r="Q52" s="24"/>
      <c r="R52" s="24"/>
      <c r="S52" s="24"/>
      <c r="T52" s="24"/>
      <c r="U52" s="24"/>
      <c r="V52" s="24"/>
      <c r="W52" s="24"/>
      <c r="X52" s="24"/>
      <c r="Y52" s="24"/>
      <c r="Z52" s="24"/>
      <c r="AA52" s="24"/>
      <c r="AB52" s="24"/>
      <c r="AC52" s="24"/>
      <c r="AD52" s="24"/>
      <c r="AE52" s="24"/>
      <c r="AF52" s="24"/>
      <c r="AG52" s="24"/>
      <c r="AH52" s="24"/>
      <c r="AI52" s="24"/>
      <c r="AJ52" s="24"/>
      <c r="AK52" s="24"/>
      <c r="AL52" s="24"/>
      <c r="AM52" s="24"/>
      <c r="AN52" s="70"/>
      <c r="AO52" s="70"/>
      <c r="AP52" s="70"/>
      <c r="AQ52" s="70"/>
      <c r="AR52" s="70"/>
    </row>
    <row r="53" spans="1:45">
      <c r="A53" s="32"/>
      <c r="B53" s="12" t="s">
        <v>128</v>
      </c>
      <c r="C53" s="25">
        <f>C51</f>
        <v>0</v>
      </c>
      <c r="D53" s="27"/>
      <c r="E53" s="25">
        <f>E51</f>
        <v>-21926.880000000001</v>
      </c>
      <c r="F53" s="24"/>
      <c r="G53" s="25">
        <f>G51</f>
        <v>0</v>
      </c>
      <c r="H53" s="27"/>
      <c r="I53" s="25">
        <f>I51</f>
        <v>0</v>
      </c>
      <c r="J53" s="27"/>
      <c r="K53" s="25">
        <f>K51</f>
        <v>0</v>
      </c>
      <c r="L53" s="27"/>
      <c r="M53" s="25">
        <f>M51</f>
        <v>0</v>
      </c>
      <c r="N53" s="27"/>
      <c r="O53" s="25">
        <f>O51</f>
        <v>0</v>
      </c>
      <c r="P53" s="24"/>
      <c r="Q53" s="25">
        <f>Q51</f>
        <v>0</v>
      </c>
      <c r="R53" s="24"/>
      <c r="S53" s="25">
        <f>S51</f>
        <v>0</v>
      </c>
      <c r="T53" s="24"/>
      <c r="U53" s="25">
        <f>U51</f>
        <v>0</v>
      </c>
      <c r="V53" s="24"/>
      <c r="W53" s="25">
        <f>W51</f>
        <v>0</v>
      </c>
      <c r="X53" s="24"/>
      <c r="Y53" s="25">
        <f>Y51</f>
        <v>0</v>
      </c>
      <c r="Z53" s="24"/>
      <c r="AA53" s="25">
        <f>AA51</f>
        <v>0</v>
      </c>
      <c r="AB53" s="24"/>
      <c r="AC53" s="25">
        <f>AC51</f>
        <v>0</v>
      </c>
      <c r="AD53" s="24"/>
      <c r="AE53" s="25">
        <f>AE51</f>
        <v>0</v>
      </c>
      <c r="AF53" s="24"/>
      <c r="AG53" s="25">
        <f>AG51</f>
        <v>0</v>
      </c>
      <c r="AH53" s="24"/>
      <c r="AI53" s="25">
        <f>AI51</f>
        <v>0</v>
      </c>
      <c r="AJ53" s="24"/>
      <c r="AK53" s="25">
        <f>AK51</f>
        <v>0</v>
      </c>
      <c r="AL53" s="24"/>
      <c r="AM53" s="25">
        <f>AM51</f>
        <v>-21926.880000000001</v>
      </c>
      <c r="AN53" s="70"/>
      <c r="AO53" s="70"/>
      <c r="AP53" s="70"/>
      <c r="AQ53" s="70"/>
      <c r="AR53" s="70"/>
    </row>
    <row r="54" spans="1:45">
      <c r="A54" s="32"/>
      <c r="B54" s="58"/>
      <c r="F54" s="24"/>
      <c r="H54" s="24"/>
      <c r="J54" s="24"/>
      <c r="L54" s="24"/>
      <c r="N54" s="24"/>
      <c r="P54" s="24"/>
      <c r="R54" s="24"/>
      <c r="T54" s="24"/>
      <c r="V54" s="24"/>
      <c r="X54" s="24"/>
      <c r="Z54" s="24"/>
      <c r="AB54" s="24"/>
      <c r="AD54" s="24"/>
      <c r="AF54" s="24"/>
      <c r="AH54" s="24"/>
      <c r="AJ54" s="24"/>
      <c r="AL54" s="24"/>
      <c r="AM54" s="24"/>
      <c r="AN54" s="24"/>
      <c r="AO54" s="70"/>
      <c r="AP54" s="70"/>
      <c r="AQ54" s="70"/>
      <c r="AR54" s="70"/>
      <c r="AS54" s="70"/>
    </row>
    <row r="55" spans="1:45">
      <c r="A55" s="32"/>
      <c r="B55" s="58"/>
      <c r="F55" s="24"/>
      <c r="H55" s="24"/>
      <c r="J55" s="24"/>
      <c r="L55" s="24"/>
      <c r="N55" s="24"/>
      <c r="P55" s="24"/>
      <c r="R55" s="24"/>
      <c r="T55" s="24"/>
      <c r="V55" s="24"/>
      <c r="X55" s="24"/>
      <c r="Z55" s="24"/>
      <c r="AB55" s="24"/>
      <c r="AD55" s="24"/>
      <c r="AF55" s="24"/>
      <c r="AH55" s="24"/>
      <c r="AJ55" s="24"/>
      <c r="AL55" s="24"/>
      <c r="AM55" s="24"/>
      <c r="AN55" s="24"/>
      <c r="AO55" s="70"/>
      <c r="AP55" s="70"/>
      <c r="AQ55" s="70"/>
      <c r="AR55" s="70"/>
      <c r="AS55" s="70"/>
    </row>
    <row r="56" spans="1:45">
      <c r="A56" s="32"/>
      <c r="B56" s="58"/>
      <c r="F56" s="24"/>
      <c r="H56" s="24"/>
      <c r="J56" s="24"/>
      <c r="L56" s="24"/>
      <c r="N56" s="24"/>
      <c r="P56" s="24"/>
      <c r="R56" s="24"/>
      <c r="T56" s="24"/>
      <c r="V56" s="24"/>
      <c r="X56" s="24"/>
      <c r="Z56" s="24"/>
      <c r="AB56" s="24"/>
      <c r="AD56" s="24"/>
      <c r="AF56" s="24"/>
      <c r="AH56" s="24"/>
      <c r="AJ56" s="24"/>
      <c r="AL56" s="24"/>
      <c r="AM56" s="24"/>
      <c r="AN56" s="24"/>
      <c r="AO56" s="70"/>
      <c r="AP56" s="70"/>
      <c r="AQ56" s="70"/>
      <c r="AR56" s="70"/>
      <c r="AS56" s="70"/>
    </row>
    <row r="57" spans="1:45">
      <c r="A57" s="32">
        <v>106</v>
      </c>
      <c r="B57" s="58"/>
      <c r="F57" s="24"/>
      <c r="H57" s="24"/>
      <c r="J57" s="24"/>
      <c r="L57" s="24"/>
      <c r="N57" s="24"/>
      <c r="P57" s="24"/>
      <c r="R57" s="24"/>
      <c r="T57" s="24"/>
      <c r="V57" s="24"/>
      <c r="X57" s="24"/>
      <c r="Z57" s="24"/>
      <c r="AB57" s="24"/>
      <c r="AD57" s="24"/>
      <c r="AF57" s="24"/>
      <c r="AH57" s="24"/>
      <c r="AJ57" s="24"/>
      <c r="AL57" s="24"/>
      <c r="AM57" s="24"/>
      <c r="AN57" s="24"/>
      <c r="AO57" s="70"/>
      <c r="AP57" s="70"/>
      <c r="AQ57" s="70"/>
      <c r="AR57" s="70"/>
      <c r="AS57" s="70"/>
    </row>
    <row r="58" spans="1:45">
      <c r="A58" s="32"/>
      <c r="B58" s="12" t="s">
        <v>450</v>
      </c>
      <c r="F58" s="24"/>
      <c r="H58" s="24"/>
      <c r="J58" s="24"/>
      <c r="L58" s="24"/>
      <c r="N58" s="24"/>
      <c r="P58" s="24"/>
      <c r="R58" s="24"/>
      <c r="T58" s="24"/>
      <c r="V58" s="24"/>
      <c r="X58" s="24"/>
      <c r="Z58" s="24"/>
      <c r="AB58" s="24"/>
      <c r="AD58" s="24"/>
      <c r="AF58" s="24"/>
      <c r="AH58" s="24"/>
      <c r="AJ58" s="24"/>
      <c r="AL58" s="24"/>
      <c r="AM58" s="24"/>
      <c r="AN58" s="24"/>
      <c r="AO58" s="70"/>
      <c r="AP58" s="70"/>
      <c r="AQ58" s="70"/>
      <c r="AR58" s="70"/>
      <c r="AS58" s="70"/>
    </row>
    <row r="59" spans="1:45">
      <c r="A59" s="32"/>
      <c r="B59" s="58" t="s">
        <v>652</v>
      </c>
      <c r="F59" s="24"/>
      <c r="H59" s="24"/>
      <c r="J59" s="24"/>
      <c r="L59" s="24"/>
      <c r="N59" s="24"/>
      <c r="P59" s="24"/>
      <c r="R59" s="24"/>
      <c r="T59" s="24"/>
      <c r="V59" s="24"/>
      <c r="X59" s="24"/>
      <c r="Z59" s="24"/>
      <c r="AB59" s="24"/>
      <c r="AD59" s="24"/>
      <c r="AF59" s="24"/>
      <c r="AH59" s="24"/>
      <c r="AJ59" s="24"/>
      <c r="AL59" s="24"/>
      <c r="AM59" s="24"/>
      <c r="AN59" s="24"/>
      <c r="AO59" s="70"/>
      <c r="AP59" s="70"/>
      <c r="AQ59" s="70"/>
      <c r="AR59" s="70"/>
      <c r="AS59" s="70"/>
    </row>
    <row r="60" spans="1:45">
      <c r="A60" s="32"/>
      <c r="B60" s="10" t="s">
        <v>455</v>
      </c>
      <c r="C60" s="24">
        <v>0</v>
      </c>
      <c r="D60" s="24"/>
      <c r="E60" s="24">
        <v>0</v>
      </c>
      <c r="F60" s="24"/>
      <c r="G60" s="24">
        <v>0</v>
      </c>
      <c r="H60" s="24"/>
      <c r="I60" s="24">
        <v>0</v>
      </c>
      <c r="J60" s="24"/>
      <c r="K60" s="24">
        <v>0</v>
      </c>
      <c r="L60" s="24"/>
      <c r="M60" s="24">
        <v>0</v>
      </c>
      <c r="N60" s="24"/>
      <c r="O60" s="24">
        <v>0</v>
      </c>
      <c r="P60" s="24"/>
      <c r="Q60" s="24">
        <v>0</v>
      </c>
      <c r="R60" s="24"/>
      <c r="S60" s="24">
        <v>0</v>
      </c>
      <c r="T60" s="24"/>
      <c r="U60" s="24">
        <v>0</v>
      </c>
      <c r="V60" s="24"/>
      <c r="W60" s="24">
        <v>0</v>
      </c>
      <c r="X60" s="24"/>
      <c r="Y60" s="24">
        <v>0</v>
      </c>
      <c r="Z60" s="24"/>
      <c r="AA60" s="24">
        <v>0</v>
      </c>
      <c r="AB60" s="24"/>
      <c r="AC60" s="24">
        <v>0</v>
      </c>
      <c r="AD60" s="24"/>
      <c r="AE60" s="24">
        <v>0</v>
      </c>
      <c r="AF60" s="24"/>
      <c r="AG60" s="24">
        <v>0</v>
      </c>
      <c r="AH60" s="24"/>
      <c r="AI60" s="24">
        <v>0</v>
      </c>
      <c r="AJ60" s="24"/>
      <c r="AK60" s="24">
        <v>0</v>
      </c>
      <c r="AL60" s="24"/>
      <c r="AM60" s="24">
        <f>SUM(C60:AL60)</f>
        <v>0</v>
      </c>
      <c r="AN60" s="70"/>
      <c r="AO60" s="70"/>
      <c r="AP60" s="70"/>
      <c r="AQ60" s="70"/>
      <c r="AR60" s="70"/>
    </row>
    <row r="61" spans="1:45">
      <c r="A61" s="32"/>
      <c r="B61" s="10" t="s">
        <v>111</v>
      </c>
      <c r="C61" s="28">
        <v>0</v>
      </c>
      <c r="D61" s="27"/>
      <c r="E61" s="28">
        <v>0</v>
      </c>
      <c r="F61" s="27"/>
      <c r="G61" s="28">
        <v>0</v>
      </c>
      <c r="H61" s="27"/>
      <c r="I61" s="28">
        <v>0</v>
      </c>
      <c r="J61" s="27"/>
      <c r="K61" s="28">
        <v>0</v>
      </c>
      <c r="L61" s="27"/>
      <c r="M61" s="28">
        <v>0</v>
      </c>
      <c r="N61" s="27"/>
      <c r="O61" s="28">
        <v>0</v>
      </c>
      <c r="P61" s="27"/>
      <c r="Q61" s="28">
        <v>0</v>
      </c>
      <c r="R61" s="27"/>
      <c r="S61" s="28">
        <v>0</v>
      </c>
      <c r="T61" s="27"/>
      <c r="U61" s="28">
        <v>0</v>
      </c>
      <c r="V61" s="27"/>
      <c r="W61" s="28">
        <v>0</v>
      </c>
      <c r="X61" s="27"/>
      <c r="Y61" s="28">
        <v>0</v>
      </c>
      <c r="Z61" s="27"/>
      <c r="AA61" s="28">
        <v>0</v>
      </c>
      <c r="AB61" s="27"/>
      <c r="AC61" s="28">
        <v>0</v>
      </c>
      <c r="AD61" s="27"/>
      <c r="AE61" s="28">
        <v>0</v>
      </c>
      <c r="AF61" s="27"/>
      <c r="AG61" s="28">
        <v>0</v>
      </c>
      <c r="AH61" s="27"/>
      <c r="AI61" s="28">
        <v>0</v>
      </c>
      <c r="AJ61" s="27"/>
      <c r="AK61" s="28">
        <v>0</v>
      </c>
      <c r="AL61" s="27"/>
      <c r="AM61" s="28">
        <f>SUM(C61:AL61)</f>
        <v>0</v>
      </c>
      <c r="AN61" s="70"/>
      <c r="AO61" s="70"/>
      <c r="AP61" s="70"/>
      <c r="AQ61" s="70"/>
      <c r="AR61" s="70"/>
    </row>
    <row r="62" spans="1:45">
      <c r="C62" s="27">
        <f>C60+C61</f>
        <v>0</v>
      </c>
      <c r="D62" s="27"/>
      <c r="E62" s="27">
        <f>E60+E61</f>
        <v>0</v>
      </c>
      <c r="F62" s="27"/>
      <c r="G62" s="27">
        <f>G60+G61</f>
        <v>0</v>
      </c>
      <c r="H62" s="27"/>
      <c r="I62" s="27">
        <f>I60+I61</f>
        <v>0</v>
      </c>
      <c r="J62" s="27"/>
      <c r="K62" s="27">
        <f>K60+K61</f>
        <v>0</v>
      </c>
      <c r="L62" s="27"/>
      <c r="M62" s="27">
        <f>M60+M61</f>
        <v>0</v>
      </c>
      <c r="N62" s="27"/>
      <c r="O62" s="27">
        <f>O60+O61</f>
        <v>0</v>
      </c>
      <c r="P62" s="27"/>
      <c r="Q62" s="27">
        <f>Q60+Q61</f>
        <v>0</v>
      </c>
      <c r="R62" s="27"/>
      <c r="S62" s="27">
        <f>S60+S61</f>
        <v>0</v>
      </c>
      <c r="T62" s="27"/>
      <c r="U62" s="27">
        <f>U60+U61</f>
        <v>0</v>
      </c>
      <c r="V62" s="27"/>
      <c r="W62" s="27">
        <f>W60+W61</f>
        <v>0</v>
      </c>
      <c r="X62" s="27"/>
      <c r="Y62" s="27">
        <f>Y60+Y61</f>
        <v>0</v>
      </c>
      <c r="Z62" s="27"/>
      <c r="AA62" s="27">
        <f>AA60+AA61</f>
        <v>0</v>
      </c>
      <c r="AB62" s="27"/>
      <c r="AC62" s="27">
        <f>AC60+AC61</f>
        <v>0</v>
      </c>
      <c r="AD62" s="27"/>
      <c r="AE62" s="27">
        <f>AE60+AE61</f>
        <v>0</v>
      </c>
      <c r="AF62" s="27"/>
      <c r="AG62" s="27">
        <f>AG60+AG61</f>
        <v>0</v>
      </c>
      <c r="AH62" s="27"/>
      <c r="AI62" s="27">
        <f>AI60+AI61</f>
        <v>0</v>
      </c>
      <c r="AJ62" s="27"/>
      <c r="AK62" s="27">
        <f>AK60+AK61</f>
        <v>0</v>
      </c>
      <c r="AL62" s="27"/>
      <c r="AM62" s="27">
        <f>AM60+AM61</f>
        <v>0</v>
      </c>
      <c r="AN62" s="70"/>
      <c r="AO62" s="70"/>
      <c r="AP62" s="70"/>
      <c r="AQ62" s="70"/>
      <c r="AR62" s="70"/>
    </row>
    <row r="63" spans="1:45">
      <c r="A63" s="32"/>
      <c r="B63" s="11"/>
      <c r="F63" s="27"/>
      <c r="H63" s="27"/>
      <c r="J63" s="27"/>
      <c r="L63" s="27"/>
      <c r="N63" s="27"/>
      <c r="P63" s="27"/>
      <c r="R63" s="27"/>
      <c r="T63" s="27"/>
      <c r="V63" s="27"/>
      <c r="X63" s="27"/>
      <c r="Z63" s="27"/>
      <c r="AB63" s="27"/>
      <c r="AD63" s="27"/>
      <c r="AF63" s="27"/>
      <c r="AH63" s="27"/>
      <c r="AJ63" s="27"/>
      <c r="AL63" s="27"/>
      <c r="AM63" s="27"/>
      <c r="AN63" s="27"/>
      <c r="AO63" s="70"/>
      <c r="AP63" s="70"/>
      <c r="AQ63" s="70"/>
      <c r="AR63" s="70"/>
      <c r="AS63" s="70"/>
    </row>
    <row r="64" spans="1:45">
      <c r="A64" s="32"/>
      <c r="B64" s="12"/>
      <c r="F64" s="27"/>
      <c r="H64" s="27"/>
      <c r="J64" s="27"/>
      <c r="L64" s="27"/>
      <c r="N64" s="27"/>
      <c r="P64" s="27"/>
      <c r="R64" s="27"/>
      <c r="T64" s="27"/>
      <c r="V64" s="27"/>
      <c r="X64" s="27"/>
      <c r="Z64" s="27"/>
      <c r="AB64" s="27"/>
      <c r="AD64" s="27"/>
      <c r="AF64" s="27"/>
      <c r="AH64" s="27"/>
      <c r="AJ64" s="27"/>
      <c r="AL64" s="27"/>
      <c r="AM64" s="27"/>
      <c r="AN64" s="27"/>
      <c r="AO64" s="70"/>
      <c r="AP64" s="70"/>
      <c r="AQ64" s="70"/>
      <c r="AR64" s="70"/>
      <c r="AS64" s="70"/>
    </row>
    <row r="65" spans="1:45">
      <c r="A65" s="32"/>
      <c r="B65" s="58" t="s">
        <v>112</v>
      </c>
      <c r="C65" s="27">
        <v>0</v>
      </c>
      <c r="D65" s="27"/>
      <c r="E65" s="27">
        <v>0</v>
      </c>
      <c r="F65" s="27"/>
      <c r="G65" s="27">
        <v>0</v>
      </c>
      <c r="H65" s="27"/>
      <c r="I65" s="27">
        <v>0</v>
      </c>
      <c r="J65" s="27"/>
      <c r="K65" s="27">
        <v>0</v>
      </c>
      <c r="L65" s="27"/>
      <c r="M65" s="27">
        <v>0</v>
      </c>
      <c r="N65" s="27"/>
      <c r="O65" s="27">
        <v>0</v>
      </c>
      <c r="P65" s="27"/>
      <c r="Q65" s="27">
        <v>0</v>
      </c>
      <c r="R65" s="27"/>
      <c r="S65" s="27">
        <v>0</v>
      </c>
      <c r="T65" s="27"/>
      <c r="U65" s="27">
        <v>0</v>
      </c>
      <c r="V65" s="27"/>
      <c r="W65" s="27">
        <v>0</v>
      </c>
      <c r="X65" s="27"/>
      <c r="Y65" s="27">
        <v>0</v>
      </c>
      <c r="Z65" s="27"/>
      <c r="AA65" s="27">
        <v>0</v>
      </c>
      <c r="AB65" s="27"/>
      <c r="AC65" s="27">
        <v>0</v>
      </c>
      <c r="AD65" s="27"/>
      <c r="AE65" s="27">
        <v>0</v>
      </c>
      <c r="AF65" s="27"/>
      <c r="AG65" s="27">
        <v>0</v>
      </c>
      <c r="AH65" s="27"/>
      <c r="AI65" s="27">
        <v>0</v>
      </c>
      <c r="AJ65" s="27"/>
      <c r="AK65" s="27">
        <v>0</v>
      </c>
      <c r="AL65" s="27"/>
      <c r="AM65" s="27">
        <f t="shared" ref="AM65:AM71" si="1">SUM(C65:AL65)</f>
        <v>0</v>
      </c>
      <c r="AN65" s="70"/>
      <c r="AO65" s="70"/>
      <c r="AP65" s="70"/>
      <c r="AQ65" s="70"/>
      <c r="AR65" s="70"/>
    </row>
    <row r="66" spans="1:45">
      <c r="A66" s="32"/>
      <c r="B66" s="10" t="s">
        <v>113</v>
      </c>
      <c r="C66" s="27">
        <v>0</v>
      </c>
      <c r="D66" s="27"/>
      <c r="E66" s="27">
        <v>0</v>
      </c>
      <c r="F66" s="27"/>
      <c r="G66" s="27">
        <v>0</v>
      </c>
      <c r="H66" s="27"/>
      <c r="I66" s="27">
        <v>0</v>
      </c>
      <c r="J66" s="27"/>
      <c r="K66" s="27">
        <v>0</v>
      </c>
      <c r="L66" s="27"/>
      <c r="M66" s="27">
        <v>0</v>
      </c>
      <c r="N66" s="27"/>
      <c r="O66" s="27">
        <v>0</v>
      </c>
      <c r="P66" s="27"/>
      <c r="Q66" s="27">
        <v>0</v>
      </c>
      <c r="R66" s="27"/>
      <c r="S66" s="27">
        <v>0</v>
      </c>
      <c r="T66" s="27"/>
      <c r="U66" s="27">
        <v>0</v>
      </c>
      <c r="V66" s="27"/>
      <c r="W66" s="27">
        <v>0</v>
      </c>
      <c r="X66" s="27"/>
      <c r="Y66" s="27">
        <v>0</v>
      </c>
      <c r="Z66" s="27"/>
      <c r="AA66" s="27">
        <v>0</v>
      </c>
      <c r="AB66" s="27"/>
      <c r="AC66" s="27">
        <v>0</v>
      </c>
      <c r="AD66" s="27"/>
      <c r="AE66" s="27">
        <v>0</v>
      </c>
      <c r="AF66" s="27"/>
      <c r="AG66" s="27">
        <v>0</v>
      </c>
      <c r="AH66" s="27"/>
      <c r="AI66" s="27">
        <v>0</v>
      </c>
      <c r="AJ66" s="27"/>
      <c r="AK66" s="27">
        <v>0</v>
      </c>
      <c r="AL66" s="27"/>
      <c r="AM66" s="27">
        <f t="shared" si="1"/>
        <v>0</v>
      </c>
      <c r="AN66" s="70"/>
      <c r="AO66" s="70"/>
      <c r="AP66" s="70"/>
      <c r="AQ66" s="70"/>
      <c r="AR66" s="70"/>
    </row>
    <row r="67" spans="1:45">
      <c r="A67" s="32"/>
      <c r="B67" s="10" t="s">
        <v>114</v>
      </c>
      <c r="C67" s="27">
        <v>0</v>
      </c>
      <c r="D67" s="27"/>
      <c r="E67" s="27">
        <v>0</v>
      </c>
      <c r="F67" s="27"/>
      <c r="G67" s="27">
        <v>0</v>
      </c>
      <c r="H67" s="27"/>
      <c r="I67" s="27">
        <v>0</v>
      </c>
      <c r="J67" s="27"/>
      <c r="K67" s="27">
        <v>0</v>
      </c>
      <c r="L67" s="27"/>
      <c r="M67" s="27">
        <v>0</v>
      </c>
      <c r="N67" s="27"/>
      <c r="O67" s="27">
        <v>0</v>
      </c>
      <c r="P67" s="27"/>
      <c r="Q67" s="27">
        <v>0</v>
      </c>
      <c r="R67" s="27"/>
      <c r="S67" s="27">
        <v>0</v>
      </c>
      <c r="T67" s="27"/>
      <c r="U67" s="27">
        <v>0</v>
      </c>
      <c r="V67" s="27"/>
      <c r="W67" s="27">
        <v>0</v>
      </c>
      <c r="X67" s="27"/>
      <c r="Y67" s="27">
        <v>0</v>
      </c>
      <c r="Z67" s="27"/>
      <c r="AA67" s="27">
        <v>0</v>
      </c>
      <c r="AB67" s="27"/>
      <c r="AC67" s="27">
        <v>0</v>
      </c>
      <c r="AD67" s="27"/>
      <c r="AE67" s="27">
        <v>0</v>
      </c>
      <c r="AF67" s="27"/>
      <c r="AG67" s="27">
        <v>0</v>
      </c>
      <c r="AH67" s="27"/>
      <c r="AI67" s="27">
        <v>0</v>
      </c>
      <c r="AJ67" s="27"/>
      <c r="AK67" s="27">
        <v>0</v>
      </c>
      <c r="AL67" s="27"/>
      <c r="AM67" s="27">
        <f t="shared" si="1"/>
        <v>0</v>
      </c>
      <c r="AN67" s="70"/>
      <c r="AO67" s="70"/>
      <c r="AP67" s="70"/>
      <c r="AQ67" s="70"/>
      <c r="AR67" s="70"/>
    </row>
    <row r="68" spans="1:45">
      <c r="A68" s="32"/>
      <c r="B68" s="10" t="s">
        <v>115</v>
      </c>
      <c r="C68" s="27">
        <v>0</v>
      </c>
      <c r="D68" s="27"/>
      <c r="E68" s="27">
        <v>0</v>
      </c>
      <c r="F68" s="27"/>
      <c r="G68" s="27">
        <v>0</v>
      </c>
      <c r="H68" s="27"/>
      <c r="I68" s="27">
        <v>0</v>
      </c>
      <c r="J68" s="27"/>
      <c r="K68" s="27">
        <v>0</v>
      </c>
      <c r="L68" s="27"/>
      <c r="M68" s="27">
        <v>0</v>
      </c>
      <c r="N68" s="27"/>
      <c r="O68" s="27">
        <v>0</v>
      </c>
      <c r="P68" s="27"/>
      <c r="Q68" s="27">
        <v>0</v>
      </c>
      <c r="R68" s="27"/>
      <c r="S68" s="27">
        <v>0</v>
      </c>
      <c r="T68" s="27"/>
      <c r="U68" s="27">
        <v>0</v>
      </c>
      <c r="V68" s="27"/>
      <c r="W68" s="27">
        <v>0</v>
      </c>
      <c r="X68" s="27"/>
      <c r="Y68" s="27">
        <v>0</v>
      </c>
      <c r="Z68" s="27"/>
      <c r="AA68" s="27">
        <v>0</v>
      </c>
      <c r="AB68" s="27"/>
      <c r="AC68" s="27">
        <v>0</v>
      </c>
      <c r="AD68" s="27"/>
      <c r="AE68" s="27">
        <v>0</v>
      </c>
      <c r="AF68" s="27"/>
      <c r="AG68" s="27">
        <v>0</v>
      </c>
      <c r="AH68" s="27"/>
      <c r="AI68" s="27">
        <v>0</v>
      </c>
      <c r="AJ68" s="27"/>
      <c r="AK68" s="27">
        <v>0</v>
      </c>
      <c r="AL68" s="27"/>
      <c r="AM68" s="27">
        <f t="shared" si="1"/>
        <v>0</v>
      </c>
      <c r="AN68" s="70"/>
      <c r="AO68" s="70"/>
      <c r="AP68" s="70"/>
      <c r="AQ68" s="70"/>
      <c r="AR68" s="70"/>
    </row>
    <row r="69" spans="1:45">
      <c r="A69" s="32"/>
      <c r="B69" s="10" t="s">
        <v>116</v>
      </c>
      <c r="C69" s="27">
        <v>0</v>
      </c>
      <c r="D69" s="27"/>
      <c r="E69" s="27">
        <v>0</v>
      </c>
      <c r="F69" s="27"/>
      <c r="G69" s="27">
        <v>0</v>
      </c>
      <c r="H69" s="27"/>
      <c r="I69" s="27">
        <v>0</v>
      </c>
      <c r="J69" s="27"/>
      <c r="K69" s="27">
        <v>0</v>
      </c>
      <c r="L69" s="27"/>
      <c r="M69" s="27">
        <v>0</v>
      </c>
      <c r="N69" s="27"/>
      <c r="O69" s="27">
        <v>0</v>
      </c>
      <c r="P69" s="27"/>
      <c r="Q69" s="27">
        <v>0</v>
      </c>
      <c r="R69" s="27"/>
      <c r="S69" s="27">
        <v>0</v>
      </c>
      <c r="T69" s="27"/>
      <c r="U69" s="27">
        <v>0</v>
      </c>
      <c r="V69" s="27"/>
      <c r="W69" s="27">
        <v>0</v>
      </c>
      <c r="X69" s="27"/>
      <c r="Y69" s="27">
        <v>0</v>
      </c>
      <c r="Z69" s="27"/>
      <c r="AA69" s="27">
        <v>0</v>
      </c>
      <c r="AB69" s="27"/>
      <c r="AC69" s="27">
        <v>0</v>
      </c>
      <c r="AD69" s="27"/>
      <c r="AE69" s="27">
        <v>0</v>
      </c>
      <c r="AF69" s="27"/>
      <c r="AG69" s="27">
        <v>0</v>
      </c>
      <c r="AH69" s="27"/>
      <c r="AI69" s="27">
        <v>0</v>
      </c>
      <c r="AJ69" s="27"/>
      <c r="AK69" s="27">
        <v>0</v>
      </c>
      <c r="AL69" s="27"/>
      <c r="AM69" s="27">
        <f t="shared" si="1"/>
        <v>0</v>
      </c>
      <c r="AN69" s="70"/>
      <c r="AO69" s="70"/>
      <c r="AP69" s="70"/>
      <c r="AQ69" s="70"/>
      <c r="AR69" s="70"/>
    </row>
    <row r="70" spans="1:45">
      <c r="A70" s="32"/>
      <c r="B70" s="10" t="s">
        <v>117</v>
      </c>
      <c r="C70" s="27">
        <v>0</v>
      </c>
      <c r="D70" s="27"/>
      <c r="E70" s="27">
        <v>0</v>
      </c>
      <c r="F70" s="27"/>
      <c r="G70" s="27">
        <v>0</v>
      </c>
      <c r="H70" s="27"/>
      <c r="I70" s="27">
        <v>0</v>
      </c>
      <c r="J70" s="27"/>
      <c r="K70" s="27">
        <v>0</v>
      </c>
      <c r="L70" s="27"/>
      <c r="M70" s="27">
        <v>0</v>
      </c>
      <c r="N70" s="27"/>
      <c r="O70" s="27">
        <v>0</v>
      </c>
      <c r="P70" s="27"/>
      <c r="Q70" s="27">
        <v>0</v>
      </c>
      <c r="R70" s="27"/>
      <c r="S70" s="27">
        <v>0</v>
      </c>
      <c r="T70" s="27"/>
      <c r="U70" s="27">
        <v>0</v>
      </c>
      <c r="V70" s="27"/>
      <c r="W70" s="27">
        <v>0</v>
      </c>
      <c r="X70" s="27"/>
      <c r="Y70" s="27">
        <v>0</v>
      </c>
      <c r="Z70" s="27"/>
      <c r="AA70" s="27">
        <v>0</v>
      </c>
      <c r="AB70" s="27"/>
      <c r="AC70" s="27">
        <v>0</v>
      </c>
      <c r="AD70" s="27"/>
      <c r="AE70" s="27">
        <v>0</v>
      </c>
      <c r="AF70" s="27"/>
      <c r="AG70" s="27">
        <v>0</v>
      </c>
      <c r="AH70" s="27"/>
      <c r="AI70" s="27">
        <v>0</v>
      </c>
      <c r="AJ70" s="27"/>
      <c r="AK70" s="27">
        <v>0</v>
      </c>
      <c r="AL70" s="27"/>
      <c r="AM70" s="27">
        <f t="shared" si="1"/>
        <v>0</v>
      </c>
      <c r="AN70" s="70"/>
      <c r="AO70" s="70"/>
      <c r="AP70" s="70"/>
      <c r="AQ70" s="70"/>
      <c r="AR70" s="70"/>
    </row>
    <row r="71" spans="1:45">
      <c r="A71" s="32"/>
      <c r="B71" s="10" t="s">
        <v>118</v>
      </c>
      <c r="C71" s="28">
        <v>0</v>
      </c>
      <c r="D71" s="27"/>
      <c r="E71" s="28">
        <v>0</v>
      </c>
      <c r="F71" s="27"/>
      <c r="G71" s="28">
        <v>0</v>
      </c>
      <c r="H71" s="27"/>
      <c r="I71" s="28">
        <v>0</v>
      </c>
      <c r="J71" s="27"/>
      <c r="K71" s="28">
        <v>0</v>
      </c>
      <c r="L71" s="27"/>
      <c r="M71" s="28">
        <v>0</v>
      </c>
      <c r="N71" s="27"/>
      <c r="O71" s="28">
        <v>0</v>
      </c>
      <c r="P71" s="27"/>
      <c r="Q71" s="28">
        <v>0</v>
      </c>
      <c r="R71" s="27"/>
      <c r="S71" s="28">
        <v>0</v>
      </c>
      <c r="T71" s="27"/>
      <c r="U71" s="28">
        <v>0</v>
      </c>
      <c r="V71" s="27"/>
      <c r="W71" s="28">
        <v>0</v>
      </c>
      <c r="X71" s="27"/>
      <c r="Y71" s="28">
        <v>0</v>
      </c>
      <c r="Z71" s="27"/>
      <c r="AA71" s="28">
        <v>0</v>
      </c>
      <c r="AB71" s="27"/>
      <c r="AC71" s="28">
        <v>0</v>
      </c>
      <c r="AD71" s="27"/>
      <c r="AE71" s="28">
        <v>0</v>
      </c>
      <c r="AF71" s="27"/>
      <c r="AG71" s="28">
        <v>0</v>
      </c>
      <c r="AH71" s="27"/>
      <c r="AI71" s="28">
        <v>0</v>
      </c>
      <c r="AJ71" s="27"/>
      <c r="AK71" s="28">
        <v>0</v>
      </c>
      <c r="AL71" s="27"/>
      <c r="AM71" s="28">
        <f t="shared" si="1"/>
        <v>0</v>
      </c>
      <c r="AN71" s="70"/>
      <c r="AO71" s="70"/>
      <c r="AP71" s="70"/>
      <c r="AQ71" s="70"/>
      <c r="AR71" s="70"/>
    </row>
    <row r="72" spans="1:45">
      <c r="A72" s="32"/>
      <c r="B72" s="10" t="s">
        <v>119</v>
      </c>
      <c r="C72" s="27">
        <f>SUM(C65:C71)</f>
        <v>0</v>
      </c>
      <c r="D72" s="27"/>
      <c r="E72" s="27">
        <f>SUM(E65:E71)</f>
        <v>0</v>
      </c>
      <c r="F72" s="27"/>
      <c r="G72" s="27">
        <f>SUM(G65:G71)</f>
        <v>0</v>
      </c>
      <c r="H72" s="27"/>
      <c r="I72" s="27">
        <f>SUM(I65:I71)</f>
        <v>0</v>
      </c>
      <c r="J72" s="27"/>
      <c r="K72" s="27">
        <f>SUM(K65:K71)</f>
        <v>0</v>
      </c>
      <c r="L72" s="27"/>
      <c r="M72" s="27">
        <f>SUM(M65:M71)</f>
        <v>0</v>
      </c>
      <c r="N72" s="27"/>
      <c r="O72" s="27">
        <f>SUM(O65:O71)</f>
        <v>0</v>
      </c>
      <c r="P72" s="27"/>
      <c r="Q72" s="27">
        <f>SUM(Q65:Q71)</f>
        <v>0</v>
      </c>
      <c r="R72" s="27"/>
      <c r="S72" s="27">
        <f>SUM(S65:S71)</f>
        <v>0</v>
      </c>
      <c r="T72" s="27"/>
      <c r="U72" s="27">
        <f>SUM(U65:U71)</f>
        <v>0</v>
      </c>
      <c r="V72" s="27"/>
      <c r="W72" s="27">
        <f>SUM(W65:W71)</f>
        <v>0</v>
      </c>
      <c r="X72" s="27"/>
      <c r="Y72" s="27">
        <f>SUM(Y65:Y71)</f>
        <v>0</v>
      </c>
      <c r="Z72" s="27"/>
      <c r="AA72" s="27">
        <f>SUM(AA65:AA71)</f>
        <v>0</v>
      </c>
      <c r="AB72" s="27"/>
      <c r="AC72" s="27">
        <f>SUM(AC65:AC71)</f>
        <v>0</v>
      </c>
      <c r="AD72" s="27"/>
      <c r="AE72" s="27">
        <f>SUM(AE65:AE71)</f>
        <v>0</v>
      </c>
      <c r="AF72" s="27"/>
      <c r="AG72" s="27">
        <f>SUM(AG65:AG71)</f>
        <v>0</v>
      </c>
      <c r="AH72" s="27"/>
      <c r="AI72" s="27">
        <f>SUM(AI65:AI71)</f>
        <v>0</v>
      </c>
      <c r="AJ72" s="27"/>
      <c r="AK72" s="27">
        <f>SUM(AK65:AK71)</f>
        <v>0</v>
      </c>
      <c r="AL72" s="27"/>
      <c r="AM72" s="27">
        <f>SUM(AM65:AM71)</f>
        <v>0</v>
      </c>
      <c r="AN72" s="70"/>
      <c r="AO72" s="70"/>
      <c r="AP72" s="70"/>
      <c r="AQ72" s="70"/>
      <c r="AR72" s="70"/>
    </row>
    <row r="73" spans="1:45">
      <c r="A73" s="32"/>
      <c r="B73" s="11"/>
      <c r="F73" s="27"/>
      <c r="H73" s="27"/>
      <c r="J73" s="27"/>
      <c r="L73" s="27"/>
      <c r="N73" s="27"/>
      <c r="P73" s="27"/>
      <c r="R73" s="27"/>
      <c r="T73" s="27"/>
      <c r="V73" s="27"/>
      <c r="X73" s="27"/>
      <c r="Z73" s="27"/>
      <c r="AB73" s="27"/>
      <c r="AD73" s="27"/>
      <c r="AF73" s="27"/>
      <c r="AH73" s="27"/>
      <c r="AJ73" s="27"/>
      <c r="AL73" s="27"/>
      <c r="AM73" s="27"/>
      <c r="AN73" s="27"/>
      <c r="AO73" s="70"/>
      <c r="AP73" s="70"/>
      <c r="AQ73" s="70"/>
      <c r="AR73" s="70"/>
      <c r="AS73" s="70"/>
    </row>
    <row r="74" spans="1:45">
      <c r="A74" s="32"/>
      <c r="B74" s="12"/>
      <c r="F74" s="27"/>
      <c r="H74" s="27"/>
      <c r="J74" s="27"/>
      <c r="L74" s="27"/>
      <c r="N74" s="27"/>
      <c r="P74" s="27"/>
      <c r="R74" s="27"/>
      <c r="T74" s="27"/>
      <c r="V74" s="27"/>
      <c r="X74" s="27"/>
      <c r="Z74" s="27"/>
      <c r="AB74" s="27"/>
      <c r="AD74" s="27"/>
      <c r="AF74" s="27"/>
      <c r="AH74" s="27"/>
      <c r="AJ74" s="27"/>
      <c r="AL74" s="27"/>
      <c r="AM74" s="27"/>
      <c r="AN74" s="27"/>
      <c r="AO74" s="70"/>
      <c r="AP74" s="70"/>
      <c r="AQ74" s="70"/>
      <c r="AR74" s="70"/>
      <c r="AS74" s="70"/>
    </row>
    <row r="75" spans="1:45">
      <c r="A75" s="32"/>
      <c r="B75" s="58" t="s">
        <v>120</v>
      </c>
      <c r="C75" s="24">
        <v>0</v>
      </c>
      <c r="D75" s="24"/>
      <c r="E75" s="24">
        <v>0</v>
      </c>
      <c r="F75" s="24"/>
      <c r="G75" s="24">
        <v>0</v>
      </c>
      <c r="H75" s="24"/>
      <c r="I75" s="24">
        <v>0</v>
      </c>
      <c r="J75" s="24"/>
      <c r="K75" s="24">
        <v>0</v>
      </c>
      <c r="L75" s="24"/>
      <c r="M75" s="24">
        <v>0</v>
      </c>
      <c r="N75" s="24"/>
      <c r="O75" s="24">
        <v>0</v>
      </c>
      <c r="P75" s="24"/>
      <c r="Q75" s="24">
        <v>0</v>
      </c>
      <c r="R75" s="24"/>
      <c r="S75" s="24">
        <v>0</v>
      </c>
      <c r="T75" s="24"/>
      <c r="U75" s="24">
        <v>0</v>
      </c>
      <c r="V75" s="24"/>
      <c r="W75" s="24">
        <v>0</v>
      </c>
      <c r="X75" s="24"/>
      <c r="Y75" s="24">
        <v>0</v>
      </c>
      <c r="Z75" s="24"/>
      <c r="AA75" s="24">
        <v>0</v>
      </c>
      <c r="AB75" s="24"/>
      <c r="AC75" s="24">
        <v>0</v>
      </c>
      <c r="AD75" s="24"/>
      <c r="AE75" s="24">
        <v>0</v>
      </c>
      <c r="AF75" s="24"/>
      <c r="AG75" s="24">
        <v>0</v>
      </c>
      <c r="AH75" s="24"/>
      <c r="AI75" s="24">
        <v>0</v>
      </c>
      <c r="AJ75" s="24"/>
      <c r="AK75" s="24">
        <v>0</v>
      </c>
      <c r="AL75" s="24"/>
      <c r="AM75" s="24">
        <f>SUM(C75:AL75)</f>
        <v>0</v>
      </c>
      <c r="AN75" s="70"/>
      <c r="AO75" s="70"/>
      <c r="AP75" s="70"/>
      <c r="AQ75" s="70"/>
      <c r="AR75" s="70"/>
    </row>
    <row r="76" spans="1:45">
      <c r="A76" s="32"/>
      <c r="B76" s="10" t="s">
        <v>121</v>
      </c>
      <c r="C76" s="24">
        <v>0</v>
      </c>
      <c r="D76" s="24"/>
      <c r="E76" s="24">
        <v>0</v>
      </c>
      <c r="F76" s="24"/>
      <c r="G76" s="24">
        <v>0</v>
      </c>
      <c r="H76" s="24"/>
      <c r="I76" s="24">
        <v>0</v>
      </c>
      <c r="J76" s="24"/>
      <c r="K76" s="24">
        <v>0</v>
      </c>
      <c r="L76" s="24"/>
      <c r="M76" s="24">
        <v>0</v>
      </c>
      <c r="N76" s="24"/>
      <c r="O76" s="24">
        <v>0</v>
      </c>
      <c r="P76" s="24"/>
      <c r="Q76" s="24">
        <v>0</v>
      </c>
      <c r="R76" s="24"/>
      <c r="S76" s="24">
        <v>0</v>
      </c>
      <c r="T76" s="24"/>
      <c r="U76" s="24">
        <v>0</v>
      </c>
      <c r="V76" s="24"/>
      <c r="W76" s="24">
        <v>0</v>
      </c>
      <c r="X76" s="24"/>
      <c r="Y76" s="24">
        <v>0</v>
      </c>
      <c r="Z76" s="24"/>
      <c r="AA76" s="24">
        <v>0</v>
      </c>
      <c r="AB76" s="24"/>
      <c r="AC76" s="24">
        <v>0</v>
      </c>
      <c r="AD76" s="24"/>
      <c r="AE76" s="24">
        <v>0</v>
      </c>
      <c r="AF76" s="24"/>
      <c r="AG76" s="24">
        <v>0</v>
      </c>
      <c r="AH76" s="24"/>
      <c r="AI76" s="24">
        <v>0</v>
      </c>
      <c r="AJ76" s="24"/>
      <c r="AK76" s="24">
        <v>0</v>
      </c>
      <c r="AL76" s="24"/>
      <c r="AM76" s="24">
        <f>SUM(C76:AL76)</f>
        <v>0</v>
      </c>
      <c r="AN76" s="70"/>
      <c r="AO76" s="70"/>
      <c r="AP76" s="70"/>
      <c r="AQ76" s="70"/>
      <c r="AR76" s="70"/>
    </row>
    <row r="77" spans="1:45">
      <c r="A77" s="32"/>
      <c r="B77" s="10" t="s">
        <v>122</v>
      </c>
      <c r="C77" s="24">
        <v>0</v>
      </c>
      <c r="D77" s="24"/>
      <c r="E77" s="24">
        <v>0</v>
      </c>
      <c r="F77" s="24"/>
      <c r="G77" s="24">
        <v>0</v>
      </c>
      <c r="H77" s="24"/>
      <c r="I77" s="24">
        <v>0</v>
      </c>
      <c r="J77" s="24"/>
      <c r="K77" s="24">
        <v>0</v>
      </c>
      <c r="L77" s="24"/>
      <c r="M77" s="24">
        <v>0</v>
      </c>
      <c r="N77" s="24"/>
      <c r="O77" s="24">
        <v>0</v>
      </c>
      <c r="P77" s="24"/>
      <c r="Q77" s="24">
        <v>0</v>
      </c>
      <c r="R77" s="24"/>
      <c r="S77" s="24">
        <v>0</v>
      </c>
      <c r="T77" s="24"/>
      <c r="U77" s="24">
        <v>0</v>
      </c>
      <c r="V77" s="24"/>
      <c r="W77" s="24">
        <v>0</v>
      </c>
      <c r="X77" s="24"/>
      <c r="Y77" s="24">
        <v>0</v>
      </c>
      <c r="Z77" s="24"/>
      <c r="AA77" s="24">
        <v>0</v>
      </c>
      <c r="AB77" s="24"/>
      <c r="AC77" s="24">
        <v>0</v>
      </c>
      <c r="AD77" s="24"/>
      <c r="AE77" s="24">
        <v>0</v>
      </c>
      <c r="AF77" s="24"/>
      <c r="AG77" s="24">
        <v>0</v>
      </c>
      <c r="AH77" s="24"/>
      <c r="AI77" s="24">
        <v>0</v>
      </c>
      <c r="AJ77" s="24"/>
      <c r="AK77" s="24">
        <v>0</v>
      </c>
      <c r="AL77" s="24"/>
      <c r="AM77" s="24">
        <f>SUM(C77:AL77)</f>
        <v>0</v>
      </c>
      <c r="AN77" s="70"/>
      <c r="AO77" s="70"/>
      <c r="AP77" s="70"/>
      <c r="AQ77" s="70"/>
      <c r="AR77" s="70"/>
    </row>
    <row r="78" spans="1:45">
      <c r="A78" s="32"/>
      <c r="B78" s="10" t="s">
        <v>123</v>
      </c>
      <c r="C78" s="24">
        <v>0</v>
      </c>
      <c r="D78" s="24"/>
      <c r="E78" s="24">
        <v>0</v>
      </c>
      <c r="F78" s="24"/>
      <c r="G78" s="24">
        <v>0</v>
      </c>
      <c r="H78" s="24"/>
      <c r="I78" s="24">
        <v>0</v>
      </c>
      <c r="J78" s="24"/>
      <c r="K78" s="24">
        <v>0</v>
      </c>
      <c r="L78" s="24"/>
      <c r="M78" s="24">
        <v>0</v>
      </c>
      <c r="N78" s="24"/>
      <c r="O78" s="24">
        <v>0</v>
      </c>
      <c r="P78" s="24"/>
      <c r="Q78" s="24">
        <v>0</v>
      </c>
      <c r="R78" s="24"/>
      <c r="S78" s="24">
        <v>0</v>
      </c>
      <c r="T78" s="24"/>
      <c r="U78" s="24">
        <v>0</v>
      </c>
      <c r="V78" s="24"/>
      <c r="W78" s="24">
        <v>0</v>
      </c>
      <c r="X78" s="24"/>
      <c r="Y78" s="24">
        <v>0</v>
      </c>
      <c r="Z78" s="24"/>
      <c r="AA78" s="24">
        <v>0</v>
      </c>
      <c r="AB78" s="24"/>
      <c r="AC78" s="24">
        <v>0</v>
      </c>
      <c r="AD78" s="24"/>
      <c r="AE78" s="24">
        <v>0</v>
      </c>
      <c r="AF78" s="24"/>
      <c r="AG78" s="24">
        <v>0</v>
      </c>
      <c r="AH78" s="24"/>
      <c r="AI78" s="24">
        <v>0</v>
      </c>
      <c r="AJ78" s="24"/>
      <c r="AK78" s="24">
        <v>0</v>
      </c>
      <c r="AL78" s="24"/>
      <c r="AM78" s="24">
        <f>SUM(C78:AL78)</f>
        <v>0</v>
      </c>
      <c r="AN78" s="70"/>
      <c r="AO78" s="70"/>
      <c r="AP78" s="70"/>
      <c r="AQ78" s="70"/>
      <c r="AR78" s="70"/>
    </row>
    <row r="79" spans="1:45">
      <c r="A79" s="32"/>
      <c r="B79" s="10" t="s">
        <v>124</v>
      </c>
      <c r="C79" s="28">
        <v>0</v>
      </c>
      <c r="D79" s="27"/>
      <c r="E79" s="28">
        <v>0</v>
      </c>
      <c r="F79" s="24"/>
      <c r="G79" s="28">
        <v>0</v>
      </c>
      <c r="H79" s="27"/>
      <c r="I79" s="28">
        <v>0</v>
      </c>
      <c r="J79" s="27"/>
      <c r="K79" s="28">
        <v>0</v>
      </c>
      <c r="L79" s="27"/>
      <c r="M79" s="28">
        <v>0</v>
      </c>
      <c r="N79" s="24"/>
      <c r="O79" s="28">
        <v>0</v>
      </c>
      <c r="P79" s="24"/>
      <c r="Q79" s="28">
        <v>0</v>
      </c>
      <c r="R79" s="24"/>
      <c r="S79" s="28">
        <v>0</v>
      </c>
      <c r="T79" s="24"/>
      <c r="U79" s="28">
        <v>0</v>
      </c>
      <c r="V79" s="24"/>
      <c r="W79" s="28">
        <v>0</v>
      </c>
      <c r="X79" s="24"/>
      <c r="Y79" s="28">
        <v>0</v>
      </c>
      <c r="Z79" s="24"/>
      <c r="AA79" s="28">
        <v>0</v>
      </c>
      <c r="AB79" s="24"/>
      <c r="AC79" s="28">
        <v>0</v>
      </c>
      <c r="AD79" s="24"/>
      <c r="AE79" s="28">
        <v>0</v>
      </c>
      <c r="AF79" s="24"/>
      <c r="AG79" s="28">
        <v>0</v>
      </c>
      <c r="AH79" s="24"/>
      <c r="AI79" s="28">
        <v>0</v>
      </c>
      <c r="AJ79" s="24"/>
      <c r="AK79" s="28">
        <v>0</v>
      </c>
      <c r="AL79" s="24"/>
      <c r="AM79" s="28">
        <f>SUM(C79:AL79)</f>
        <v>0</v>
      </c>
      <c r="AN79" s="70"/>
      <c r="AO79" s="70"/>
      <c r="AP79" s="70"/>
      <c r="AQ79" s="70"/>
      <c r="AR79" s="70"/>
    </row>
    <row r="80" spans="1:45">
      <c r="A80" s="32"/>
      <c r="B80" s="10" t="s">
        <v>125</v>
      </c>
      <c r="C80" s="27">
        <f>SUM(C75:C79)</f>
        <v>0</v>
      </c>
      <c r="D80" s="27"/>
      <c r="E80" s="27">
        <f>SUM(E75:E79)</f>
        <v>0</v>
      </c>
      <c r="F80" s="27"/>
      <c r="G80" s="27">
        <f>SUM(G75:G79)</f>
        <v>0</v>
      </c>
      <c r="H80" s="27"/>
      <c r="I80" s="27">
        <f>SUM(I75:I79)</f>
        <v>0</v>
      </c>
      <c r="J80" s="27"/>
      <c r="K80" s="27">
        <f>SUM(K75:K79)</f>
        <v>0</v>
      </c>
      <c r="L80" s="27"/>
      <c r="M80" s="27">
        <f>SUM(M75:M79)</f>
        <v>0</v>
      </c>
      <c r="N80" s="27"/>
      <c r="O80" s="27">
        <f>SUM(O75:O79)</f>
        <v>0</v>
      </c>
      <c r="P80" s="27"/>
      <c r="Q80" s="27">
        <f>SUM(Q75:Q79)</f>
        <v>0</v>
      </c>
      <c r="R80" s="27"/>
      <c r="S80" s="27">
        <f>SUM(S75:S79)</f>
        <v>0</v>
      </c>
      <c r="T80" s="27"/>
      <c r="U80" s="27">
        <f>SUM(U75:U79)</f>
        <v>0</v>
      </c>
      <c r="V80" s="27"/>
      <c r="W80" s="27">
        <f>SUM(W75:W79)</f>
        <v>0</v>
      </c>
      <c r="X80" s="27"/>
      <c r="Y80" s="27">
        <f>SUM(Y75:Y79)</f>
        <v>0</v>
      </c>
      <c r="Z80" s="27"/>
      <c r="AA80" s="27">
        <f>SUM(AA75:AA79)</f>
        <v>0</v>
      </c>
      <c r="AB80" s="27"/>
      <c r="AC80" s="27">
        <f>SUM(AC75:AC79)</f>
        <v>0</v>
      </c>
      <c r="AD80" s="27"/>
      <c r="AE80" s="27">
        <f>SUM(AE75:AE79)</f>
        <v>0</v>
      </c>
      <c r="AF80" s="27"/>
      <c r="AG80" s="27">
        <f>SUM(AG75:AG79)</f>
        <v>0</v>
      </c>
      <c r="AH80" s="27"/>
      <c r="AI80" s="27">
        <f>SUM(AI75:AI79)</f>
        <v>0</v>
      </c>
      <c r="AJ80" s="27"/>
      <c r="AK80" s="27">
        <f>SUM(AK75:AK79)</f>
        <v>0</v>
      </c>
      <c r="AL80" s="27"/>
      <c r="AM80" s="27">
        <f>SUM(AM75:AM79)</f>
        <v>0</v>
      </c>
      <c r="AN80" s="70"/>
      <c r="AO80" s="70"/>
      <c r="AP80" s="70"/>
      <c r="AQ80" s="70"/>
      <c r="AR80" s="70"/>
    </row>
    <row r="81" spans="1:45">
      <c r="A81" s="32"/>
      <c r="B81" s="11"/>
      <c r="C81" s="24"/>
      <c r="D81" s="24"/>
      <c r="E81" s="24"/>
      <c r="F81" s="24"/>
      <c r="G81" s="24"/>
      <c r="H81" s="24"/>
      <c r="I81" s="24"/>
      <c r="J81" s="24"/>
      <c r="K81" s="24"/>
      <c r="L81" s="24"/>
      <c r="M81" s="24"/>
      <c r="N81" s="24"/>
      <c r="O81" s="24"/>
      <c r="P81" s="24"/>
      <c r="Q81" s="24"/>
      <c r="R81" s="24"/>
      <c r="S81" s="24"/>
      <c r="T81" s="24"/>
      <c r="U81" s="24"/>
      <c r="V81" s="24"/>
      <c r="W81" s="24"/>
      <c r="X81" s="24"/>
      <c r="Y81" s="24"/>
      <c r="Z81" s="24"/>
      <c r="AA81" s="24"/>
      <c r="AB81" s="24"/>
      <c r="AC81" s="24"/>
      <c r="AD81" s="24"/>
      <c r="AE81" s="24"/>
      <c r="AF81" s="24"/>
      <c r="AG81" s="24"/>
      <c r="AH81" s="24"/>
      <c r="AI81" s="24"/>
      <c r="AJ81" s="24"/>
      <c r="AK81" s="24"/>
      <c r="AL81" s="24"/>
      <c r="AM81" s="24"/>
      <c r="AN81" s="70"/>
      <c r="AO81" s="70"/>
      <c r="AP81" s="70"/>
      <c r="AQ81" s="70"/>
      <c r="AR81" s="70"/>
    </row>
    <row r="82" spans="1:45">
      <c r="A82" s="32"/>
      <c r="C82" s="25">
        <f>C62+C72+C80</f>
        <v>0</v>
      </c>
      <c r="D82" s="27"/>
      <c r="E82" s="25">
        <f>E62+E72+E80</f>
        <v>0</v>
      </c>
      <c r="F82" s="24"/>
      <c r="G82" s="25">
        <f>G62+G72+G80</f>
        <v>0</v>
      </c>
      <c r="H82" s="27"/>
      <c r="I82" s="25">
        <f>I62+I72+I80</f>
        <v>0</v>
      </c>
      <c r="J82" s="27"/>
      <c r="K82" s="25">
        <f>K62+K72+K80</f>
        <v>0</v>
      </c>
      <c r="L82" s="27"/>
      <c r="M82" s="25">
        <f>M62+M72+M80</f>
        <v>0</v>
      </c>
      <c r="N82" s="24"/>
      <c r="O82" s="25">
        <f>O62+O72+O80</f>
        <v>0</v>
      </c>
      <c r="P82" s="24"/>
      <c r="Q82" s="25">
        <f>Q62+Q72+Q80</f>
        <v>0</v>
      </c>
      <c r="R82" s="24"/>
      <c r="S82" s="25">
        <f>S62+S72+S80</f>
        <v>0</v>
      </c>
      <c r="T82" s="24"/>
      <c r="U82" s="25">
        <f>U62+U72+U80</f>
        <v>0</v>
      </c>
      <c r="V82" s="24"/>
      <c r="W82" s="25">
        <f>W62+W72+W80</f>
        <v>0</v>
      </c>
      <c r="X82" s="24"/>
      <c r="Y82" s="25">
        <f>Y62+Y72+Y80</f>
        <v>0</v>
      </c>
      <c r="Z82" s="24"/>
      <c r="AA82" s="25">
        <f>AA62+AA72+AA80</f>
        <v>0</v>
      </c>
      <c r="AB82" s="24"/>
      <c r="AC82" s="25">
        <f>AC62+AC72+AC80</f>
        <v>0</v>
      </c>
      <c r="AD82" s="24"/>
      <c r="AE82" s="25">
        <f>AE62+AE72+AE80</f>
        <v>0</v>
      </c>
      <c r="AF82" s="24"/>
      <c r="AG82" s="25">
        <f>AG62+AG72+AG80</f>
        <v>0</v>
      </c>
      <c r="AH82" s="24"/>
      <c r="AI82" s="25">
        <f>AI62+AI72+AI80</f>
        <v>0</v>
      </c>
      <c r="AJ82" s="24"/>
      <c r="AK82" s="25">
        <f>AK62+AK72+AK80</f>
        <v>0</v>
      </c>
      <c r="AL82" s="24"/>
      <c r="AM82" s="25">
        <f>AM62+AM72+AM80</f>
        <v>0</v>
      </c>
      <c r="AN82" s="70"/>
      <c r="AO82" s="70"/>
      <c r="AP82" s="70"/>
      <c r="AQ82" s="70"/>
      <c r="AR82" s="70"/>
    </row>
    <row r="83" spans="1:45">
      <c r="A83" s="32"/>
      <c r="B83" s="12" t="s">
        <v>136</v>
      </c>
      <c r="C83" s="24"/>
      <c r="D83" s="24"/>
      <c r="E83" s="24"/>
      <c r="F83" s="24"/>
      <c r="G83" s="24"/>
      <c r="H83" s="24"/>
      <c r="I83" s="24"/>
      <c r="J83" s="24"/>
      <c r="K83" s="24"/>
      <c r="L83" s="24"/>
      <c r="M83" s="24"/>
      <c r="N83" s="24"/>
      <c r="O83" s="24"/>
      <c r="P83" s="24"/>
      <c r="Q83" s="24"/>
      <c r="R83" s="24"/>
      <c r="S83" s="24"/>
      <c r="T83" s="24"/>
      <c r="U83" s="24"/>
      <c r="V83" s="24"/>
      <c r="W83" s="24"/>
      <c r="X83" s="24"/>
      <c r="Y83" s="24"/>
      <c r="Z83" s="24"/>
      <c r="AA83" s="24"/>
      <c r="AB83" s="24"/>
      <c r="AC83" s="24"/>
      <c r="AD83" s="24"/>
      <c r="AE83" s="24"/>
      <c r="AF83" s="24"/>
      <c r="AG83" s="24"/>
      <c r="AH83" s="24"/>
      <c r="AI83" s="24"/>
      <c r="AJ83" s="24"/>
      <c r="AK83" s="24"/>
      <c r="AL83" s="24"/>
      <c r="AM83" s="24"/>
      <c r="AN83" s="70"/>
      <c r="AO83" s="70"/>
      <c r="AP83" s="70"/>
      <c r="AQ83" s="70"/>
      <c r="AR83" s="70"/>
    </row>
    <row r="84" spans="1:45">
      <c r="A84" s="32"/>
      <c r="F84" s="24"/>
      <c r="H84" s="24"/>
      <c r="J84" s="24"/>
      <c r="L84" s="24"/>
      <c r="N84" s="24"/>
      <c r="P84" s="24"/>
      <c r="R84" s="24"/>
      <c r="T84" s="24"/>
      <c r="V84" s="24"/>
      <c r="X84" s="24"/>
      <c r="Z84" s="24"/>
      <c r="AB84" s="24"/>
      <c r="AD84" s="24"/>
      <c r="AF84" s="24"/>
      <c r="AH84" s="24"/>
      <c r="AJ84" s="24"/>
      <c r="AL84" s="24"/>
      <c r="AM84" s="24"/>
      <c r="AN84" s="24"/>
      <c r="AO84" s="70"/>
      <c r="AP84" s="70"/>
      <c r="AQ84" s="70"/>
      <c r="AR84" s="70"/>
      <c r="AS84" s="70"/>
    </row>
    <row r="85" spans="1:45">
      <c r="A85" s="32">
        <v>117</v>
      </c>
      <c r="B85" s="58"/>
      <c r="F85" s="24"/>
      <c r="H85" s="24"/>
      <c r="J85" s="24"/>
      <c r="L85" s="24"/>
      <c r="N85" s="24"/>
      <c r="P85" s="24"/>
      <c r="R85" s="24"/>
      <c r="T85" s="24"/>
      <c r="V85" s="24"/>
      <c r="X85" s="24"/>
      <c r="Z85" s="24"/>
      <c r="AB85" s="24"/>
      <c r="AD85" s="24"/>
      <c r="AF85" s="24"/>
      <c r="AH85" s="24"/>
      <c r="AJ85" s="24"/>
      <c r="AL85" s="24"/>
      <c r="AM85" s="24"/>
      <c r="AN85" s="24"/>
      <c r="AO85" s="70"/>
      <c r="AP85" s="70"/>
      <c r="AQ85" s="70"/>
      <c r="AR85" s="70"/>
      <c r="AS85" s="70"/>
    </row>
    <row r="86" spans="1:45">
      <c r="A86" s="32"/>
      <c r="B86" s="12" t="s">
        <v>453</v>
      </c>
      <c r="F86" s="24"/>
      <c r="H86" s="24"/>
      <c r="J86" s="24"/>
      <c r="L86" s="24"/>
      <c r="N86" s="24"/>
      <c r="P86" s="24"/>
      <c r="R86" s="24"/>
      <c r="T86" s="24"/>
      <c r="V86" s="24"/>
      <c r="X86" s="24"/>
      <c r="Z86" s="24"/>
      <c r="AB86" s="24"/>
      <c r="AD86" s="24"/>
      <c r="AF86" s="24"/>
      <c r="AH86" s="24"/>
      <c r="AJ86" s="24"/>
      <c r="AL86" s="24"/>
      <c r="AM86" s="24"/>
      <c r="AN86" s="24"/>
      <c r="AO86" s="70"/>
      <c r="AP86" s="70"/>
      <c r="AQ86" s="70"/>
      <c r="AR86" s="70"/>
      <c r="AS86" s="70"/>
    </row>
    <row r="87" spans="1:45">
      <c r="A87" s="32"/>
      <c r="B87" s="58" t="s">
        <v>120</v>
      </c>
      <c r="C87" s="28">
        <v>0</v>
      </c>
      <c r="D87" s="27"/>
      <c r="E87" s="28">
        <v>0</v>
      </c>
      <c r="F87" s="27"/>
      <c r="G87" s="28">
        <v>0</v>
      </c>
      <c r="H87" s="27"/>
      <c r="I87" s="28">
        <v>0</v>
      </c>
      <c r="J87" s="27"/>
      <c r="K87" s="28">
        <v>0</v>
      </c>
      <c r="L87" s="27"/>
      <c r="M87" s="28">
        <v>0</v>
      </c>
      <c r="N87" s="27"/>
      <c r="O87" s="28">
        <v>0</v>
      </c>
      <c r="P87" s="27"/>
      <c r="Q87" s="28">
        <v>0</v>
      </c>
      <c r="R87" s="27"/>
      <c r="S87" s="28">
        <v>0</v>
      </c>
      <c r="T87" s="27"/>
      <c r="U87" s="28">
        <v>0</v>
      </c>
      <c r="V87" s="27"/>
      <c r="W87" s="28">
        <v>0</v>
      </c>
      <c r="X87" s="27"/>
      <c r="Y87" s="28">
        <v>0</v>
      </c>
      <c r="Z87" s="27"/>
      <c r="AA87" s="28">
        <v>0</v>
      </c>
      <c r="AB87" s="27"/>
      <c r="AC87" s="28">
        <v>0</v>
      </c>
      <c r="AD87" s="27"/>
      <c r="AE87" s="28">
        <v>0</v>
      </c>
      <c r="AF87" s="27"/>
      <c r="AG87" s="28">
        <v>0</v>
      </c>
      <c r="AH87" s="27"/>
      <c r="AI87" s="28">
        <v>0</v>
      </c>
      <c r="AJ87" s="27"/>
      <c r="AK87" s="28">
        <v>0</v>
      </c>
      <c r="AL87" s="27"/>
      <c r="AM87" s="28">
        <f>SUM(C87:AL87)</f>
        <v>0</v>
      </c>
      <c r="AN87" s="70"/>
      <c r="AO87" s="70"/>
      <c r="AP87" s="70"/>
      <c r="AQ87" s="70"/>
      <c r="AR87" s="70"/>
    </row>
    <row r="88" spans="1:45">
      <c r="A88" s="32"/>
      <c r="B88" s="10" t="s">
        <v>129</v>
      </c>
      <c r="C88" s="27">
        <f>SUM(C87)</f>
        <v>0</v>
      </c>
      <c r="D88" s="27"/>
      <c r="E88" s="27">
        <f>SUM(E87)</f>
        <v>0</v>
      </c>
      <c r="F88" s="27"/>
      <c r="G88" s="27">
        <f>SUM(G87)</f>
        <v>0</v>
      </c>
      <c r="H88" s="27"/>
      <c r="I88" s="27">
        <f>SUM(I87)</f>
        <v>0</v>
      </c>
      <c r="J88" s="27"/>
      <c r="K88" s="27">
        <f>SUM(K87)</f>
        <v>0</v>
      </c>
      <c r="L88" s="27"/>
      <c r="M88" s="27">
        <f>SUM(M87)</f>
        <v>0</v>
      </c>
      <c r="N88" s="27"/>
      <c r="O88" s="27">
        <f>SUM(O87)</f>
        <v>0</v>
      </c>
      <c r="P88" s="27"/>
      <c r="Q88" s="27">
        <f>SUM(Q87)</f>
        <v>0</v>
      </c>
      <c r="R88" s="27"/>
      <c r="S88" s="27">
        <f>SUM(S87)</f>
        <v>0</v>
      </c>
      <c r="T88" s="27"/>
      <c r="U88" s="27">
        <f>SUM(U87)</f>
        <v>0</v>
      </c>
      <c r="V88" s="27"/>
      <c r="W88" s="27">
        <f>SUM(W87)</f>
        <v>0</v>
      </c>
      <c r="X88" s="27"/>
      <c r="Y88" s="27">
        <f>SUM(Y87)</f>
        <v>0</v>
      </c>
      <c r="Z88" s="27"/>
      <c r="AA88" s="27">
        <f>SUM(AA87)</f>
        <v>0</v>
      </c>
      <c r="AB88" s="27"/>
      <c r="AC88" s="27">
        <f>SUM(AC87)</f>
        <v>0</v>
      </c>
      <c r="AD88" s="27"/>
      <c r="AE88" s="27">
        <f>SUM(AE87)</f>
        <v>0</v>
      </c>
      <c r="AF88" s="27"/>
      <c r="AG88" s="27">
        <f>SUM(AG87)</f>
        <v>0</v>
      </c>
      <c r="AH88" s="27"/>
      <c r="AI88" s="27">
        <f>SUM(AI87)</f>
        <v>0</v>
      </c>
      <c r="AJ88" s="27"/>
      <c r="AK88" s="27">
        <f>SUM(AK87)</f>
        <v>0</v>
      </c>
      <c r="AL88" s="27"/>
      <c r="AM88" s="27">
        <f>SUM(AM87)</f>
        <v>0</v>
      </c>
      <c r="AN88" s="70"/>
      <c r="AO88" s="70"/>
      <c r="AP88" s="70"/>
      <c r="AQ88" s="70"/>
      <c r="AR88" s="70"/>
    </row>
    <row r="89" spans="1:45">
      <c r="A89" s="32"/>
      <c r="B89" s="11"/>
      <c r="C89" s="24"/>
      <c r="D89" s="24"/>
      <c r="E89" s="24"/>
      <c r="F89" s="24"/>
      <c r="G89" s="24"/>
      <c r="H89" s="24"/>
      <c r="I89" s="24"/>
      <c r="J89" s="24"/>
      <c r="K89" s="24"/>
      <c r="L89" s="24"/>
      <c r="M89" s="24"/>
      <c r="N89" s="24"/>
      <c r="O89" s="24"/>
      <c r="P89" s="24"/>
      <c r="Q89" s="24"/>
      <c r="R89" s="24"/>
      <c r="S89" s="24"/>
      <c r="T89" s="24"/>
      <c r="U89" s="24"/>
      <c r="V89" s="24"/>
      <c r="W89" s="24"/>
      <c r="X89" s="24"/>
      <c r="Y89" s="24"/>
      <c r="Z89" s="24"/>
      <c r="AA89" s="24"/>
      <c r="AB89" s="24"/>
      <c r="AC89" s="24"/>
      <c r="AD89" s="24"/>
      <c r="AE89" s="24"/>
      <c r="AF89" s="24"/>
      <c r="AG89" s="24"/>
      <c r="AH89" s="24"/>
      <c r="AI89" s="24"/>
      <c r="AJ89" s="24"/>
      <c r="AK89" s="24"/>
      <c r="AL89" s="24"/>
      <c r="AM89" s="24"/>
      <c r="AN89" s="70"/>
      <c r="AO89" s="70"/>
      <c r="AP89" s="70"/>
      <c r="AQ89" s="70"/>
      <c r="AR89" s="70"/>
    </row>
    <row r="90" spans="1:45">
      <c r="A90" s="32"/>
      <c r="C90" s="25">
        <f>C88</f>
        <v>0</v>
      </c>
      <c r="D90" s="27"/>
      <c r="E90" s="25">
        <f>E88</f>
        <v>0</v>
      </c>
      <c r="F90" s="24"/>
      <c r="G90" s="25">
        <f>G88</f>
        <v>0</v>
      </c>
      <c r="H90" s="27"/>
      <c r="I90" s="25">
        <f>I88</f>
        <v>0</v>
      </c>
      <c r="J90" s="27"/>
      <c r="K90" s="25">
        <f>K88</f>
        <v>0</v>
      </c>
      <c r="L90" s="27"/>
      <c r="M90" s="25">
        <f>M88</f>
        <v>0</v>
      </c>
      <c r="N90" s="24"/>
      <c r="O90" s="25">
        <f>O88</f>
        <v>0</v>
      </c>
      <c r="P90" s="24"/>
      <c r="Q90" s="25">
        <f>Q88</f>
        <v>0</v>
      </c>
      <c r="R90" s="24"/>
      <c r="S90" s="25">
        <f>S88</f>
        <v>0</v>
      </c>
      <c r="T90" s="24"/>
      <c r="U90" s="25">
        <f>U88</f>
        <v>0</v>
      </c>
      <c r="V90" s="24"/>
      <c r="W90" s="25">
        <f>W88</f>
        <v>0</v>
      </c>
      <c r="X90" s="24"/>
      <c r="Y90" s="25">
        <f>Y88</f>
        <v>0</v>
      </c>
      <c r="Z90" s="24"/>
      <c r="AA90" s="25">
        <f>AA88</f>
        <v>0</v>
      </c>
      <c r="AB90" s="24"/>
      <c r="AC90" s="25">
        <f>AC88</f>
        <v>0</v>
      </c>
      <c r="AD90" s="24"/>
      <c r="AE90" s="25">
        <f>AE88</f>
        <v>0</v>
      </c>
      <c r="AF90" s="24"/>
      <c r="AG90" s="25">
        <f>AG88</f>
        <v>0</v>
      </c>
      <c r="AH90" s="24"/>
      <c r="AI90" s="25">
        <f>AI88</f>
        <v>0</v>
      </c>
      <c r="AJ90" s="24"/>
      <c r="AK90" s="25">
        <f>AK88</f>
        <v>0</v>
      </c>
      <c r="AL90" s="24"/>
      <c r="AM90" s="25">
        <f>AM88</f>
        <v>0</v>
      </c>
      <c r="AN90" s="70"/>
      <c r="AO90" s="70"/>
      <c r="AP90" s="70"/>
      <c r="AQ90" s="70"/>
      <c r="AR90" s="70"/>
    </row>
    <row r="91" spans="1:45">
      <c r="A91" s="32"/>
      <c r="B91" s="12" t="s">
        <v>130</v>
      </c>
      <c r="C91" s="24"/>
      <c r="D91" s="24"/>
      <c r="E91" s="24"/>
      <c r="F91" s="24"/>
      <c r="G91" s="24"/>
      <c r="H91" s="24"/>
      <c r="I91" s="24"/>
      <c r="J91" s="24"/>
      <c r="K91" s="24"/>
      <c r="L91" s="24"/>
      <c r="M91" s="24"/>
      <c r="N91" s="24"/>
      <c r="O91" s="24"/>
      <c r="P91" s="24"/>
      <c r="Q91" s="24"/>
      <c r="R91" s="24"/>
      <c r="S91" s="24"/>
      <c r="T91" s="24"/>
      <c r="U91" s="24"/>
      <c r="V91" s="24"/>
      <c r="W91" s="24"/>
      <c r="X91" s="24"/>
      <c r="Y91" s="24"/>
      <c r="Z91" s="24"/>
      <c r="AA91" s="24"/>
      <c r="AB91" s="24"/>
      <c r="AC91" s="24"/>
      <c r="AD91" s="24"/>
      <c r="AE91" s="24"/>
      <c r="AF91" s="24"/>
      <c r="AG91" s="24"/>
      <c r="AH91" s="24"/>
      <c r="AI91" s="24"/>
      <c r="AJ91" s="24"/>
      <c r="AK91" s="24"/>
      <c r="AL91" s="24"/>
      <c r="AM91" s="24"/>
      <c r="AN91" s="70"/>
      <c r="AO91" s="70"/>
      <c r="AP91" s="70"/>
      <c r="AQ91" s="70"/>
      <c r="AR91" s="70"/>
    </row>
    <row r="92" spans="1:45">
      <c r="A92" s="32"/>
      <c r="F92" s="24"/>
      <c r="H92" s="24"/>
      <c r="J92" s="24"/>
      <c r="L92" s="24"/>
      <c r="N92" s="24"/>
      <c r="P92" s="24"/>
      <c r="R92" s="24"/>
      <c r="T92" s="24"/>
      <c r="V92" s="24"/>
      <c r="X92" s="24"/>
      <c r="Z92" s="24"/>
      <c r="AB92" s="24"/>
      <c r="AD92" s="24"/>
      <c r="AF92" s="24"/>
      <c r="AH92" s="24"/>
      <c r="AJ92" s="24"/>
      <c r="AL92" s="24"/>
      <c r="AM92" s="24"/>
      <c r="AN92" s="24"/>
      <c r="AO92" s="70"/>
      <c r="AP92" s="70"/>
      <c r="AQ92" s="70"/>
      <c r="AR92" s="70"/>
      <c r="AS92" s="70"/>
    </row>
    <row r="93" spans="1:45">
      <c r="A93" s="32">
        <v>121</v>
      </c>
      <c r="B93" s="58"/>
      <c r="F93" s="24"/>
      <c r="H93" s="24"/>
      <c r="J93" s="24"/>
      <c r="L93" s="24"/>
      <c r="N93" s="24"/>
      <c r="P93" s="24"/>
      <c r="R93" s="24"/>
      <c r="T93" s="24"/>
      <c r="V93" s="24"/>
      <c r="X93" s="24"/>
      <c r="Z93" s="24"/>
      <c r="AB93" s="24"/>
      <c r="AD93" s="24"/>
      <c r="AF93" s="24"/>
      <c r="AH93" s="24"/>
      <c r="AJ93" s="24"/>
      <c r="AL93" s="24"/>
      <c r="AM93" s="24"/>
      <c r="AN93" s="24"/>
      <c r="AO93" s="70"/>
      <c r="AP93" s="70"/>
      <c r="AQ93" s="70"/>
      <c r="AR93" s="70"/>
      <c r="AS93" s="70"/>
    </row>
    <row r="94" spans="1:45">
      <c r="A94" s="32"/>
      <c r="B94" s="12" t="s">
        <v>451</v>
      </c>
      <c r="F94" s="24"/>
      <c r="H94" s="24"/>
      <c r="J94" s="24"/>
      <c r="L94" s="24"/>
      <c r="N94" s="24"/>
      <c r="P94" s="24"/>
      <c r="R94" s="24"/>
      <c r="T94" s="24"/>
      <c r="V94" s="24"/>
      <c r="X94" s="24"/>
      <c r="Z94" s="24"/>
      <c r="AB94" s="24"/>
      <c r="AD94" s="24"/>
      <c r="AF94" s="24"/>
      <c r="AH94" s="24"/>
      <c r="AJ94" s="24"/>
      <c r="AL94" s="24"/>
      <c r="AM94" s="24"/>
      <c r="AN94" s="24"/>
      <c r="AO94" s="70"/>
      <c r="AP94" s="70"/>
      <c r="AQ94" s="70"/>
      <c r="AR94" s="70"/>
      <c r="AS94" s="70"/>
    </row>
    <row r="95" spans="1:45">
      <c r="A95" s="32"/>
      <c r="B95" s="58" t="s">
        <v>652</v>
      </c>
      <c r="C95" s="28">
        <v>0</v>
      </c>
      <c r="D95" s="27"/>
      <c r="E95" s="28">
        <v>0</v>
      </c>
      <c r="F95" s="24"/>
      <c r="G95" s="28">
        <v>0</v>
      </c>
      <c r="H95" s="27"/>
      <c r="I95" s="28">
        <v>0</v>
      </c>
      <c r="J95" s="27"/>
      <c r="K95" s="28">
        <v>0</v>
      </c>
      <c r="L95" s="27"/>
      <c r="M95" s="28">
        <v>0</v>
      </c>
      <c r="N95" s="24"/>
      <c r="O95" s="28">
        <v>0</v>
      </c>
      <c r="P95" s="24"/>
      <c r="Q95" s="28">
        <v>0</v>
      </c>
      <c r="R95" s="24"/>
      <c r="S95" s="28">
        <v>0</v>
      </c>
      <c r="T95" s="24"/>
      <c r="U95" s="28">
        <v>0</v>
      </c>
      <c r="V95" s="24"/>
      <c r="W95" s="28">
        <v>0</v>
      </c>
      <c r="X95" s="24"/>
      <c r="Y95" s="28">
        <v>0</v>
      </c>
      <c r="Z95" s="24"/>
      <c r="AA95" s="28">
        <v>0</v>
      </c>
      <c r="AB95" s="24"/>
      <c r="AC95" s="28">
        <v>0</v>
      </c>
      <c r="AD95" s="24"/>
      <c r="AE95" s="28">
        <v>0</v>
      </c>
      <c r="AF95" s="24"/>
      <c r="AG95" s="28">
        <v>0</v>
      </c>
      <c r="AH95" s="24"/>
      <c r="AI95" s="28">
        <v>0</v>
      </c>
      <c r="AJ95" s="24"/>
      <c r="AK95" s="28">
        <v>0</v>
      </c>
      <c r="AL95" s="24"/>
      <c r="AM95" s="28">
        <f>SUM(C95:AL95)</f>
        <v>0</v>
      </c>
      <c r="AN95" s="70"/>
      <c r="AO95" s="70"/>
      <c r="AP95" s="70"/>
      <c r="AQ95" s="70"/>
      <c r="AR95" s="70"/>
    </row>
    <row r="96" spans="1:45">
      <c r="A96" s="32"/>
      <c r="B96" s="10" t="s">
        <v>131</v>
      </c>
      <c r="C96" s="27">
        <f>SUM(C95)</f>
        <v>0</v>
      </c>
      <c r="D96" s="27"/>
      <c r="E96" s="27">
        <f>SUM(E95)</f>
        <v>0</v>
      </c>
      <c r="F96" s="27"/>
      <c r="G96" s="27">
        <f>SUM(G95)</f>
        <v>0</v>
      </c>
      <c r="H96" s="27"/>
      <c r="I96" s="27">
        <f>SUM(I95)</f>
        <v>0</v>
      </c>
      <c r="J96" s="27"/>
      <c r="K96" s="27">
        <f>SUM(K95)</f>
        <v>0</v>
      </c>
      <c r="L96" s="27"/>
      <c r="M96" s="27">
        <f>SUM(M95)</f>
        <v>0</v>
      </c>
      <c r="N96" s="27"/>
      <c r="O96" s="27">
        <f>SUM(O95)</f>
        <v>0</v>
      </c>
      <c r="P96" s="27"/>
      <c r="Q96" s="27">
        <f>SUM(Q95)</f>
        <v>0</v>
      </c>
      <c r="R96" s="27"/>
      <c r="S96" s="27">
        <f>SUM(S95)</f>
        <v>0</v>
      </c>
      <c r="T96" s="27"/>
      <c r="U96" s="27">
        <f>SUM(U95)</f>
        <v>0</v>
      </c>
      <c r="V96" s="27"/>
      <c r="W96" s="27">
        <f>SUM(W95)</f>
        <v>0</v>
      </c>
      <c r="X96" s="27"/>
      <c r="Y96" s="27">
        <f>SUM(Y95)</f>
        <v>0</v>
      </c>
      <c r="Z96" s="27"/>
      <c r="AA96" s="27">
        <f>SUM(AA95)</f>
        <v>0</v>
      </c>
      <c r="AB96" s="27"/>
      <c r="AC96" s="27">
        <f>SUM(AC95)</f>
        <v>0</v>
      </c>
      <c r="AD96" s="27"/>
      <c r="AE96" s="27">
        <f>SUM(AE95)</f>
        <v>0</v>
      </c>
      <c r="AF96" s="27"/>
      <c r="AG96" s="27">
        <f>SUM(AG95)</f>
        <v>0</v>
      </c>
      <c r="AH96" s="27"/>
      <c r="AI96" s="27">
        <f>SUM(AI95)</f>
        <v>0</v>
      </c>
      <c r="AJ96" s="27"/>
      <c r="AK96" s="27">
        <f>SUM(AK95)</f>
        <v>0</v>
      </c>
      <c r="AL96" s="27"/>
      <c r="AM96" s="27">
        <f>SUM(AM95)</f>
        <v>0</v>
      </c>
      <c r="AN96" s="70"/>
      <c r="AO96" s="70"/>
      <c r="AP96" s="70"/>
      <c r="AQ96" s="70"/>
      <c r="AR96" s="70"/>
    </row>
    <row r="97" spans="1:45">
      <c r="A97" s="32"/>
      <c r="B97" s="11"/>
      <c r="C97" s="24"/>
      <c r="D97" s="24"/>
      <c r="E97" s="24"/>
      <c r="F97" s="24"/>
      <c r="G97" s="24"/>
      <c r="H97" s="24"/>
      <c r="I97" s="24"/>
      <c r="J97" s="24"/>
      <c r="K97" s="24"/>
      <c r="L97" s="24"/>
      <c r="M97" s="24"/>
      <c r="N97" s="24"/>
      <c r="O97" s="24"/>
      <c r="P97" s="24"/>
      <c r="Q97" s="24"/>
      <c r="R97" s="24"/>
      <c r="S97" s="24"/>
      <c r="T97" s="24"/>
      <c r="U97" s="24"/>
      <c r="V97" s="24"/>
      <c r="W97" s="24"/>
      <c r="X97" s="24"/>
      <c r="Y97" s="24"/>
      <c r="Z97" s="24"/>
      <c r="AA97" s="24"/>
      <c r="AB97" s="24"/>
      <c r="AC97" s="24"/>
      <c r="AD97" s="24"/>
      <c r="AE97" s="24"/>
      <c r="AF97" s="24"/>
      <c r="AG97" s="24"/>
      <c r="AH97" s="24"/>
      <c r="AI97" s="24"/>
      <c r="AJ97" s="24"/>
      <c r="AK97" s="24"/>
      <c r="AL97" s="24"/>
      <c r="AM97" s="24"/>
      <c r="AN97" s="70"/>
      <c r="AO97" s="70"/>
      <c r="AP97" s="70"/>
      <c r="AQ97" s="70"/>
      <c r="AR97" s="70"/>
    </row>
    <row r="98" spans="1:45">
      <c r="A98" s="32"/>
      <c r="C98" s="25">
        <f>C96</f>
        <v>0</v>
      </c>
      <c r="D98" s="27"/>
      <c r="E98" s="25">
        <f>E96</f>
        <v>0</v>
      </c>
      <c r="F98" s="24"/>
      <c r="G98" s="25">
        <f>G96</f>
        <v>0</v>
      </c>
      <c r="H98" s="27"/>
      <c r="I98" s="25">
        <f>I96</f>
        <v>0</v>
      </c>
      <c r="J98" s="27"/>
      <c r="K98" s="25">
        <f>K96</f>
        <v>0</v>
      </c>
      <c r="L98" s="27"/>
      <c r="M98" s="25">
        <f>M96</f>
        <v>0</v>
      </c>
      <c r="N98" s="24"/>
      <c r="O98" s="25">
        <f>O96</f>
        <v>0</v>
      </c>
      <c r="P98" s="24"/>
      <c r="Q98" s="25">
        <f>Q96</f>
        <v>0</v>
      </c>
      <c r="R98" s="24"/>
      <c r="S98" s="25">
        <f>S96</f>
        <v>0</v>
      </c>
      <c r="T98" s="24"/>
      <c r="U98" s="25">
        <f>U96</f>
        <v>0</v>
      </c>
      <c r="V98" s="24"/>
      <c r="W98" s="25">
        <f>W96</f>
        <v>0</v>
      </c>
      <c r="X98" s="24"/>
      <c r="Y98" s="25">
        <f>Y96</f>
        <v>0</v>
      </c>
      <c r="Z98" s="24"/>
      <c r="AA98" s="25">
        <f>AA96</f>
        <v>0</v>
      </c>
      <c r="AB98" s="24"/>
      <c r="AC98" s="25">
        <f>AC96</f>
        <v>0</v>
      </c>
      <c r="AD98" s="24"/>
      <c r="AE98" s="25">
        <f>AE96</f>
        <v>0</v>
      </c>
      <c r="AF98" s="24"/>
      <c r="AG98" s="25">
        <f>AG96</f>
        <v>0</v>
      </c>
      <c r="AH98" s="24"/>
      <c r="AI98" s="25">
        <f>AI96</f>
        <v>0</v>
      </c>
      <c r="AJ98" s="24"/>
      <c r="AK98" s="25">
        <f>AK96</f>
        <v>0</v>
      </c>
      <c r="AL98" s="24"/>
      <c r="AM98" s="25">
        <f>AM96</f>
        <v>0</v>
      </c>
      <c r="AN98" s="70"/>
      <c r="AO98" s="70"/>
      <c r="AP98" s="70"/>
      <c r="AQ98" s="70"/>
      <c r="AR98" s="70"/>
    </row>
    <row r="99" spans="1:45">
      <c r="A99" s="32"/>
      <c r="B99" s="12" t="s">
        <v>132</v>
      </c>
      <c r="C99" s="24"/>
      <c r="D99" s="24"/>
      <c r="E99" s="24"/>
      <c r="F99" s="24"/>
      <c r="G99" s="24"/>
      <c r="H99" s="24"/>
      <c r="I99" s="24"/>
      <c r="J99" s="24"/>
      <c r="K99" s="24"/>
      <c r="L99" s="24"/>
      <c r="M99" s="24"/>
      <c r="N99" s="24"/>
      <c r="O99" s="24"/>
      <c r="P99" s="24"/>
      <c r="Q99" s="24"/>
      <c r="R99" s="24"/>
      <c r="S99" s="24"/>
      <c r="T99" s="24"/>
      <c r="U99" s="24"/>
      <c r="V99" s="24"/>
      <c r="W99" s="24"/>
      <c r="X99" s="24"/>
      <c r="Y99" s="24"/>
      <c r="Z99" s="24"/>
      <c r="AA99" s="24"/>
      <c r="AB99" s="24"/>
      <c r="AC99" s="24"/>
      <c r="AD99" s="24"/>
      <c r="AE99" s="24"/>
      <c r="AF99" s="24"/>
      <c r="AG99" s="24"/>
      <c r="AH99" s="24"/>
      <c r="AI99" s="24"/>
      <c r="AJ99" s="24"/>
      <c r="AK99" s="24"/>
      <c r="AL99" s="24"/>
      <c r="AM99" s="24"/>
      <c r="AN99" s="70"/>
      <c r="AO99" s="70"/>
      <c r="AP99" s="70"/>
      <c r="AQ99" s="70"/>
      <c r="AR99" s="70"/>
    </row>
    <row r="100" spans="1:45">
      <c r="A100" s="32"/>
      <c r="F100" s="24"/>
      <c r="H100" s="24"/>
      <c r="J100" s="24"/>
      <c r="L100" s="24"/>
      <c r="N100" s="24"/>
      <c r="P100" s="24"/>
      <c r="R100" s="24"/>
      <c r="T100" s="24"/>
      <c r="V100" s="24"/>
      <c r="X100" s="24"/>
      <c r="Z100" s="24"/>
      <c r="AB100" s="24"/>
      <c r="AD100" s="24"/>
      <c r="AF100" s="24"/>
      <c r="AH100" s="24"/>
      <c r="AJ100" s="24"/>
      <c r="AL100" s="24"/>
      <c r="AM100" s="24"/>
      <c r="AN100" s="24"/>
      <c r="AO100" s="70"/>
      <c r="AP100" s="70"/>
      <c r="AQ100" s="70"/>
      <c r="AR100" s="70"/>
      <c r="AS100" s="70"/>
    </row>
    <row r="101" spans="1:45">
      <c r="A101" s="32">
        <v>107</v>
      </c>
      <c r="B101" s="58"/>
      <c r="F101" s="24"/>
      <c r="H101" s="24"/>
      <c r="J101" s="24"/>
      <c r="L101" s="24"/>
      <c r="N101" s="24"/>
      <c r="P101" s="24"/>
      <c r="R101" s="24"/>
      <c r="T101" s="24"/>
      <c r="V101" s="24"/>
      <c r="X101" s="24"/>
      <c r="Z101" s="24"/>
      <c r="AB101" s="24"/>
      <c r="AD101" s="24"/>
      <c r="AF101" s="24"/>
      <c r="AH101" s="24"/>
      <c r="AJ101" s="24"/>
      <c r="AL101" s="24"/>
      <c r="AM101" s="24"/>
      <c r="AN101" s="24"/>
      <c r="AO101" s="70"/>
      <c r="AP101" s="70"/>
      <c r="AQ101" s="70"/>
      <c r="AR101" s="70"/>
      <c r="AS101" s="70"/>
    </row>
    <row r="102" spans="1:45">
      <c r="A102" s="32"/>
      <c r="B102" s="12" t="s">
        <v>452</v>
      </c>
      <c r="F102" s="24"/>
      <c r="H102" s="24"/>
      <c r="J102" s="24"/>
      <c r="L102" s="24"/>
      <c r="N102" s="24"/>
      <c r="P102" s="24"/>
      <c r="R102" s="24"/>
      <c r="T102" s="24"/>
      <c r="V102" s="24"/>
      <c r="X102" s="24"/>
      <c r="Z102" s="24"/>
      <c r="AB102" s="24"/>
      <c r="AD102" s="24"/>
      <c r="AF102" s="24"/>
      <c r="AH102" s="24"/>
      <c r="AJ102" s="24"/>
      <c r="AL102" s="24"/>
      <c r="AM102" s="24"/>
      <c r="AN102" s="24"/>
      <c r="AO102" s="70"/>
      <c r="AP102" s="70"/>
      <c r="AQ102" s="70"/>
      <c r="AR102" s="70"/>
      <c r="AS102" s="70"/>
    </row>
    <row r="103" spans="1:45">
      <c r="A103" s="32"/>
      <c r="B103" s="58" t="s">
        <v>133</v>
      </c>
      <c r="F103" s="24"/>
      <c r="H103" s="24"/>
      <c r="J103" s="24"/>
      <c r="L103" s="24"/>
      <c r="N103" s="24"/>
      <c r="P103" s="24"/>
      <c r="R103" s="24"/>
      <c r="T103" s="24"/>
      <c r="V103" s="24"/>
      <c r="X103" s="24"/>
      <c r="Z103" s="24"/>
      <c r="AB103" s="24"/>
      <c r="AD103" s="24"/>
      <c r="AF103" s="24"/>
      <c r="AH103" s="24"/>
      <c r="AJ103" s="24"/>
      <c r="AL103" s="24"/>
      <c r="AM103" s="24"/>
      <c r="AN103" s="24"/>
      <c r="AO103" s="70"/>
      <c r="AP103" s="70"/>
      <c r="AQ103" s="70"/>
      <c r="AR103" s="70"/>
      <c r="AS103" s="70"/>
    </row>
    <row r="104" spans="1:45">
      <c r="A104" s="32"/>
      <c r="B104" s="58"/>
      <c r="C104" s="24">
        <v>0</v>
      </c>
      <c r="D104" s="24"/>
      <c r="E104" s="24">
        <v>0</v>
      </c>
      <c r="F104" s="24"/>
      <c r="G104" s="24">
        <v>0</v>
      </c>
      <c r="H104" s="24"/>
      <c r="I104" s="24">
        <v>0</v>
      </c>
      <c r="J104" s="24"/>
      <c r="K104" s="24">
        <v>0</v>
      </c>
      <c r="L104" s="24"/>
      <c r="M104" s="24">
        <v>0</v>
      </c>
      <c r="N104" s="24"/>
      <c r="O104" s="24">
        <v>0</v>
      </c>
      <c r="P104" s="24"/>
      <c r="Q104" s="24">
        <v>0</v>
      </c>
      <c r="R104" s="24"/>
      <c r="S104" s="24">
        <v>0</v>
      </c>
      <c r="T104" s="24"/>
      <c r="U104" s="24">
        <v>0</v>
      </c>
      <c r="V104" s="24"/>
      <c r="W104" s="24">
        <v>0</v>
      </c>
      <c r="X104" s="24"/>
      <c r="Y104" s="24">
        <v>0</v>
      </c>
      <c r="Z104" s="24"/>
      <c r="AA104" s="24">
        <v>0</v>
      </c>
      <c r="AB104" s="24"/>
      <c r="AC104" s="24">
        <v>0</v>
      </c>
      <c r="AD104" s="24"/>
      <c r="AE104" s="24">
        <v>0</v>
      </c>
      <c r="AF104" s="24"/>
      <c r="AG104" s="24">
        <v>0</v>
      </c>
      <c r="AH104" s="24"/>
      <c r="AI104" s="24">
        <v>0</v>
      </c>
      <c r="AJ104" s="24"/>
      <c r="AK104" s="24">
        <v>0</v>
      </c>
      <c r="AL104" s="24"/>
      <c r="AM104" s="24">
        <v>0</v>
      </c>
      <c r="AN104" s="70"/>
      <c r="AO104" s="70"/>
      <c r="AP104" s="70"/>
      <c r="AQ104" s="70"/>
      <c r="AR104" s="70"/>
    </row>
    <row r="105" spans="1:45">
      <c r="A105" s="32"/>
      <c r="B105" s="10" t="s">
        <v>652</v>
      </c>
      <c r="C105" s="24">
        <v>0</v>
      </c>
      <c r="D105" s="24"/>
      <c r="E105" s="24">
        <v>0</v>
      </c>
      <c r="F105" s="24"/>
      <c r="G105" s="24">
        <v>0</v>
      </c>
      <c r="H105" s="24"/>
      <c r="I105" s="24">
        <v>0</v>
      </c>
      <c r="J105" s="24"/>
      <c r="K105" s="24">
        <v>0</v>
      </c>
      <c r="L105" s="24"/>
      <c r="M105" s="24">
        <v>0</v>
      </c>
      <c r="N105" s="24"/>
      <c r="O105" s="24">
        <v>0</v>
      </c>
      <c r="P105" s="24"/>
      <c r="Q105" s="24">
        <v>0</v>
      </c>
      <c r="R105" s="24"/>
      <c r="S105" s="24">
        <v>0</v>
      </c>
      <c r="T105" s="24"/>
      <c r="U105" s="24">
        <v>0</v>
      </c>
      <c r="V105" s="24"/>
      <c r="W105" s="24">
        <v>0</v>
      </c>
      <c r="X105" s="24"/>
      <c r="Y105" s="24">
        <v>0</v>
      </c>
      <c r="Z105" s="24"/>
      <c r="AA105" s="24">
        <v>0</v>
      </c>
      <c r="AB105" s="24"/>
      <c r="AC105" s="24">
        <v>0</v>
      </c>
      <c r="AD105" s="24"/>
      <c r="AE105" s="24">
        <v>0</v>
      </c>
      <c r="AF105" s="24"/>
      <c r="AG105" s="24">
        <v>0</v>
      </c>
      <c r="AH105" s="24"/>
      <c r="AI105" s="24">
        <v>0</v>
      </c>
      <c r="AJ105" s="24"/>
      <c r="AK105" s="24">
        <v>0</v>
      </c>
      <c r="AL105" s="24"/>
      <c r="AM105" s="24">
        <v>0</v>
      </c>
      <c r="AN105" s="70"/>
      <c r="AO105" s="70"/>
      <c r="AP105" s="70"/>
      <c r="AQ105" s="70"/>
      <c r="AR105" s="70"/>
    </row>
    <row r="106" spans="1:45">
      <c r="A106" s="32"/>
      <c r="B106" s="10" t="s">
        <v>112</v>
      </c>
      <c r="C106" s="28">
        <v>0</v>
      </c>
      <c r="D106" s="27"/>
      <c r="E106" s="28">
        <v>0</v>
      </c>
      <c r="F106" s="24"/>
      <c r="G106" s="28">
        <v>0</v>
      </c>
      <c r="H106" s="27"/>
      <c r="I106" s="28">
        <v>0</v>
      </c>
      <c r="J106" s="27"/>
      <c r="K106" s="28">
        <v>0</v>
      </c>
      <c r="L106" s="27"/>
      <c r="M106" s="28">
        <v>0</v>
      </c>
      <c r="N106" s="24"/>
      <c r="O106" s="28">
        <v>0</v>
      </c>
      <c r="P106" s="24"/>
      <c r="Q106" s="28">
        <v>0</v>
      </c>
      <c r="R106" s="24"/>
      <c r="S106" s="28">
        <v>0</v>
      </c>
      <c r="T106" s="24"/>
      <c r="U106" s="28">
        <v>0</v>
      </c>
      <c r="V106" s="24"/>
      <c r="W106" s="28">
        <v>0</v>
      </c>
      <c r="X106" s="24"/>
      <c r="Y106" s="28">
        <v>0</v>
      </c>
      <c r="Z106" s="24"/>
      <c r="AA106" s="28">
        <v>0</v>
      </c>
      <c r="AB106" s="24"/>
      <c r="AC106" s="28">
        <v>0</v>
      </c>
      <c r="AD106" s="24"/>
      <c r="AE106" s="28">
        <v>0</v>
      </c>
      <c r="AF106" s="24"/>
      <c r="AG106" s="28">
        <v>0</v>
      </c>
      <c r="AH106" s="24"/>
      <c r="AI106" s="28">
        <v>0</v>
      </c>
      <c r="AJ106" s="24"/>
      <c r="AK106" s="28">
        <v>0</v>
      </c>
      <c r="AL106" s="24"/>
      <c r="AM106" s="28">
        <v>0</v>
      </c>
      <c r="AN106" s="70"/>
      <c r="AO106" s="70"/>
      <c r="AP106" s="70"/>
      <c r="AQ106" s="70"/>
      <c r="AR106" s="70"/>
    </row>
    <row r="107" spans="1:45">
      <c r="A107" s="32"/>
      <c r="B107" s="10" t="s">
        <v>120</v>
      </c>
      <c r="C107" s="27">
        <f>SUM(C104:C106)</f>
        <v>0</v>
      </c>
      <c r="D107" s="27"/>
      <c r="E107" s="27">
        <f>SUM(E104:E106)</f>
        <v>0</v>
      </c>
      <c r="F107" s="27"/>
      <c r="G107" s="27">
        <f>SUM(G104:G106)</f>
        <v>0</v>
      </c>
      <c r="H107" s="27"/>
      <c r="I107" s="27">
        <f>SUM(I104:I106)</f>
        <v>0</v>
      </c>
      <c r="J107" s="27"/>
      <c r="K107" s="27">
        <f>SUM(K104:K106)</f>
        <v>0</v>
      </c>
      <c r="L107" s="27"/>
      <c r="M107" s="27">
        <f>SUM(M104:M106)</f>
        <v>0</v>
      </c>
      <c r="N107" s="27"/>
      <c r="O107" s="27">
        <f>SUM(O104:O106)</f>
        <v>0</v>
      </c>
      <c r="P107" s="27"/>
      <c r="Q107" s="27">
        <f>SUM(Q104:Q106)</f>
        <v>0</v>
      </c>
      <c r="R107" s="27"/>
      <c r="S107" s="27">
        <f>SUM(S104:S106)</f>
        <v>0</v>
      </c>
      <c r="T107" s="27"/>
      <c r="U107" s="27">
        <f>SUM(U104:U106)</f>
        <v>0</v>
      </c>
      <c r="V107" s="27"/>
      <c r="W107" s="27">
        <f>SUM(W104:W106)</f>
        <v>0</v>
      </c>
      <c r="X107" s="27"/>
      <c r="Y107" s="27">
        <f>SUM(Y104:Y106)</f>
        <v>0</v>
      </c>
      <c r="Z107" s="27"/>
      <c r="AA107" s="27">
        <f>SUM(AA104:AA106)</f>
        <v>0</v>
      </c>
      <c r="AB107" s="27"/>
      <c r="AC107" s="27">
        <f>SUM(AC104:AC106)</f>
        <v>0</v>
      </c>
      <c r="AD107" s="27"/>
      <c r="AE107" s="27">
        <f>SUM(AE104:AE106)</f>
        <v>0</v>
      </c>
      <c r="AF107" s="27"/>
      <c r="AG107" s="27">
        <f>SUM(AG104:AG106)</f>
        <v>0</v>
      </c>
      <c r="AH107" s="27"/>
      <c r="AI107" s="27">
        <f>SUM(AI104:AI106)</f>
        <v>0</v>
      </c>
      <c r="AJ107" s="27"/>
      <c r="AK107" s="27">
        <f>SUM(AK104:AK106)</f>
        <v>0</v>
      </c>
      <c r="AL107" s="27"/>
      <c r="AM107" s="27">
        <f>SUM(AM104:AM106)</f>
        <v>0</v>
      </c>
      <c r="AN107" s="70"/>
      <c r="AO107" s="70"/>
      <c r="AP107" s="70"/>
      <c r="AQ107" s="70"/>
      <c r="AR107" s="70"/>
    </row>
    <row r="108" spans="1:45">
      <c r="A108" s="32"/>
      <c r="B108" s="11"/>
      <c r="C108" s="27"/>
      <c r="D108" s="27"/>
      <c r="E108" s="27"/>
      <c r="F108" s="24"/>
      <c r="G108" s="27"/>
      <c r="H108" s="27"/>
      <c r="I108" s="27"/>
      <c r="J108" s="27"/>
      <c r="K108" s="27"/>
      <c r="L108" s="27"/>
      <c r="M108" s="27"/>
      <c r="N108" s="24"/>
      <c r="O108" s="27"/>
      <c r="P108" s="24"/>
      <c r="Q108" s="27"/>
      <c r="R108" s="24"/>
      <c r="S108" s="27"/>
      <c r="T108" s="24"/>
      <c r="U108" s="27"/>
      <c r="V108" s="24"/>
      <c r="W108" s="27"/>
      <c r="X108" s="24"/>
      <c r="Y108" s="27"/>
      <c r="Z108" s="24"/>
      <c r="AA108" s="27"/>
      <c r="AB108" s="24"/>
      <c r="AC108" s="27"/>
      <c r="AD108" s="24"/>
      <c r="AE108" s="27"/>
      <c r="AF108" s="24"/>
      <c r="AG108" s="27"/>
      <c r="AH108" s="24"/>
      <c r="AI108" s="27"/>
      <c r="AJ108" s="24"/>
      <c r="AK108" s="27"/>
      <c r="AL108" s="24"/>
      <c r="AM108" s="27"/>
      <c r="AN108" s="70"/>
      <c r="AO108" s="70"/>
      <c r="AP108" s="70"/>
      <c r="AQ108" s="70"/>
      <c r="AR108" s="70"/>
    </row>
    <row r="109" spans="1:45">
      <c r="A109" s="70"/>
      <c r="B109" s="11"/>
      <c r="C109" s="70"/>
      <c r="D109" s="70"/>
      <c r="E109" s="70"/>
      <c r="F109" s="70"/>
      <c r="G109" s="70"/>
      <c r="H109" s="70"/>
      <c r="I109" s="70"/>
      <c r="J109" s="70"/>
      <c r="K109" s="70"/>
      <c r="L109" s="70"/>
      <c r="M109" s="70"/>
      <c r="N109" s="70"/>
      <c r="O109" s="305"/>
      <c r="P109" s="305"/>
      <c r="Q109" s="305"/>
      <c r="R109" s="305"/>
      <c r="S109" s="317"/>
      <c r="T109" s="317"/>
      <c r="U109" s="317"/>
      <c r="V109" s="317"/>
      <c r="W109" s="321"/>
      <c r="X109" s="321"/>
      <c r="Y109" s="317"/>
      <c r="Z109" s="318"/>
      <c r="AA109" s="318"/>
      <c r="AB109" s="319"/>
      <c r="AC109" s="329"/>
      <c r="AD109" s="329"/>
      <c r="AE109" s="319"/>
      <c r="AF109" s="333"/>
      <c r="AG109" s="333"/>
      <c r="AH109" s="333"/>
      <c r="AI109" s="333"/>
      <c r="AJ109" s="317"/>
      <c r="AK109" s="70"/>
      <c r="AL109" s="70"/>
      <c r="AM109" s="70"/>
      <c r="AN109" s="70"/>
      <c r="AO109" s="70"/>
      <c r="AP109" s="70"/>
      <c r="AQ109" s="70"/>
      <c r="AR109" s="70"/>
      <c r="AS109" s="70"/>
    </row>
    <row r="110" spans="1:45">
      <c r="B110" s="70"/>
    </row>
    <row r="111" spans="1:45">
      <c r="C111" s="84" t="s">
        <v>612</v>
      </c>
      <c r="D111" s="84"/>
      <c r="E111" s="84" t="s">
        <v>612</v>
      </c>
      <c r="G111" s="84" t="s">
        <v>612</v>
      </c>
      <c r="H111" s="84"/>
      <c r="I111" s="84" t="s">
        <v>612</v>
      </c>
      <c r="K111" s="84" t="s">
        <v>612</v>
      </c>
      <c r="M111" s="84" t="s">
        <v>612</v>
      </c>
      <c r="O111" s="84" t="s">
        <v>612</v>
      </c>
      <c r="Q111" s="84" t="s">
        <v>612</v>
      </c>
      <c r="S111" s="84" t="s">
        <v>612</v>
      </c>
      <c r="U111" s="84" t="s">
        <v>612</v>
      </c>
      <c r="W111" s="84" t="s">
        <v>612</v>
      </c>
      <c r="Y111" s="84" t="s">
        <v>612</v>
      </c>
      <c r="AA111" s="84" t="s">
        <v>612</v>
      </c>
      <c r="AC111" s="84" t="s">
        <v>612</v>
      </c>
      <c r="AE111" s="84" t="s">
        <v>612</v>
      </c>
      <c r="AG111" s="84" t="s">
        <v>612</v>
      </c>
      <c r="AI111" s="84" t="s">
        <v>612</v>
      </c>
      <c r="AK111" s="84" t="s">
        <v>612</v>
      </c>
      <c r="AM111" s="84" t="s">
        <v>26</v>
      </c>
    </row>
    <row r="112" spans="1:45">
      <c r="C112" s="43" t="s">
        <v>613</v>
      </c>
      <c r="D112" s="85"/>
      <c r="E112" s="43" t="s">
        <v>613</v>
      </c>
      <c r="G112" s="43" t="s">
        <v>613</v>
      </c>
      <c r="H112" s="85"/>
      <c r="I112" s="43" t="s">
        <v>613</v>
      </c>
      <c r="K112" s="43" t="s">
        <v>613</v>
      </c>
      <c r="M112" s="43" t="s">
        <v>613</v>
      </c>
      <c r="O112" s="43" t="s">
        <v>613</v>
      </c>
      <c r="Q112" s="43" t="s">
        <v>613</v>
      </c>
      <c r="S112" s="43" t="s">
        <v>613</v>
      </c>
      <c r="U112" s="43" t="s">
        <v>613</v>
      </c>
      <c r="W112" s="43" t="s">
        <v>613</v>
      </c>
      <c r="Y112" s="43" t="s">
        <v>613</v>
      </c>
      <c r="AA112" s="43" t="s">
        <v>613</v>
      </c>
      <c r="AC112" s="43" t="s">
        <v>613</v>
      </c>
      <c r="AE112" s="43" t="s">
        <v>613</v>
      </c>
      <c r="AG112" s="43" t="s">
        <v>613</v>
      </c>
      <c r="AI112" s="43" t="s">
        <v>613</v>
      </c>
      <c r="AK112" s="43" t="s">
        <v>613</v>
      </c>
      <c r="AM112" s="43" t="s">
        <v>27</v>
      </c>
    </row>
    <row r="113" spans="1:39">
      <c r="C113" s="85"/>
      <c r="D113" s="85"/>
      <c r="E113" s="85"/>
      <c r="G113" s="85"/>
      <c r="H113" s="85"/>
      <c r="I113" s="85"/>
      <c r="K113" s="85"/>
      <c r="M113" s="85"/>
      <c r="O113" s="85"/>
      <c r="Q113" s="85"/>
      <c r="S113" s="85"/>
      <c r="U113" s="85"/>
      <c r="W113" s="85"/>
      <c r="Y113" s="85"/>
      <c r="AA113" s="85"/>
      <c r="AC113" s="85"/>
      <c r="AE113" s="85"/>
      <c r="AG113" s="85"/>
      <c r="AI113" s="85"/>
      <c r="AK113" s="85"/>
      <c r="AM113" s="85"/>
    </row>
    <row r="114" spans="1:39">
      <c r="A114" s="12" t="s">
        <v>137</v>
      </c>
      <c r="C114" s="22"/>
      <c r="D114" s="22"/>
      <c r="E114" s="22"/>
      <c r="F114" s="22"/>
      <c r="G114" s="22"/>
      <c r="H114" s="22"/>
      <c r="I114" s="22"/>
      <c r="J114" s="22"/>
      <c r="K114" s="22"/>
      <c r="L114" s="22"/>
      <c r="M114" s="22"/>
      <c r="N114" s="22"/>
      <c r="O114" s="22"/>
      <c r="P114" s="22"/>
      <c r="Q114" s="22"/>
      <c r="R114" s="22"/>
      <c r="S114" s="22"/>
      <c r="T114" s="22"/>
      <c r="U114" s="22"/>
      <c r="V114" s="22"/>
      <c r="W114" s="22"/>
      <c r="X114" s="22"/>
      <c r="Y114" s="22"/>
      <c r="Z114" s="22"/>
      <c r="AA114" s="22"/>
      <c r="AB114" s="22"/>
      <c r="AC114" s="22"/>
      <c r="AD114" s="22"/>
      <c r="AE114" s="22"/>
      <c r="AF114" s="22"/>
      <c r="AG114" s="22"/>
      <c r="AH114" s="22"/>
      <c r="AI114" s="22"/>
      <c r="AJ114" s="22"/>
      <c r="AK114" s="22"/>
      <c r="AL114" s="22"/>
      <c r="AM114" s="22"/>
    </row>
    <row r="115" spans="1:39">
      <c r="C115" s="24"/>
      <c r="D115" s="24"/>
      <c r="E115" s="24"/>
      <c r="F115" s="24"/>
      <c r="G115" s="24"/>
      <c r="H115" s="24"/>
      <c r="I115" s="24"/>
      <c r="J115" s="24"/>
      <c r="K115" s="24"/>
      <c r="L115" s="24"/>
      <c r="M115" s="24"/>
      <c r="N115" s="24"/>
      <c r="O115" s="24"/>
      <c r="P115" s="24"/>
      <c r="Q115" s="24"/>
      <c r="R115" s="24"/>
      <c r="S115" s="24"/>
      <c r="T115" s="24"/>
      <c r="U115" s="24"/>
      <c r="V115" s="24"/>
      <c r="W115" s="24"/>
      <c r="X115" s="24"/>
      <c r="Y115" s="24"/>
      <c r="Z115" s="24"/>
      <c r="AA115" s="24"/>
      <c r="AB115" s="24"/>
      <c r="AC115" s="24"/>
      <c r="AD115" s="24"/>
      <c r="AE115" s="24"/>
      <c r="AF115" s="24"/>
      <c r="AG115" s="24"/>
      <c r="AH115" s="24"/>
      <c r="AI115" s="24"/>
      <c r="AJ115" s="24"/>
      <c r="AK115" s="24"/>
      <c r="AL115" s="24"/>
      <c r="AM115" s="24"/>
    </row>
    <row r="116" spans="1:39">
      <c r="B116" s="10" t="s">
        <v>455</v>
      </c>
      <c r="C116" s="24">
        <v>0</v>
      </c>
      <c r="D116" s="24"/>
      <c r="E116" s="24">
        <v>0</v>
      </c>
      <c r="F116" s="24"/>
      <c r="G116" s="24">
        <v>0</v>
      </c>
      <c r="H116" s="24"/>
      <c r="I116" s="24">
        <v>0</v>
      </c>
      <c r="J116" s="24"/>
      <c r="K116" s="24">
        <v>0</v>
      </c>
      <c r="L116" s="24"/>
      <c r="M116" s="24">
        <v>0</v>
      </c>
      <c r="N116" s="24"/>
      <c r="O116" s="24">
        <v>0</v>
      </c>
      <c r="P116" s="24"/>
      <c r="Q116" s="24">
        <v>0</v>
      </c>
      <c r="R116" s="24"/>
      <c r="S116" s="24">
        <v>0</v>
      </c>
      <c r="T116" s="24"/>
      <c r="U116" s="24">
        <v>0</v>
      </c>
      <c r="V116" s="24"/>
      <c r="W116" s="24">
        <v>0</v>
      </c>
      <c r="X116" s="24"/>
      <c r="Y116" s="24">
        <v>0</v>
      </c>
      <c r="Z116" s="24"/>
      <c r="AA116" s="24">
        <v>0</v>
      </c>
      <c r="AB116" s="24"/>
      <c r="AC116" s="24">
        <v>0</v>
      </c>
      <c r="AD116" s="24"/>
      <c r="AE116" s="24">
        <v>0</v>
      </c>
      <c r="AF116" s="24"/>
      <c r="AG116" s="24">
        <v>0</v>
      </c>
      <c r="AH116" s="24"/>
      <c r="AI116" s="24">
        <v>0</v>
      </c>
      <c r="AJ116" s="24"/>
      <c r="AK116" s="24">
        <v>0</v>
      </c>
      <c r="AL116" s="24"/>
      <c r="AM116" s="24">
        <f t="shared" ref="AM116:AM135" si="2">SUM(C116:AL116)</f>
        <v>0</v>
      </c>
    </row>
    <row r="117" spans="1:39">
      <c r="B117" s="10" t="s">
        <v>851</v>
      </c>
      <c r="C117" s="24">
        <v>0</v>
      </c>
      <c r="D117" s="24"/>
      <c r="E117" s="24">
        <v>0</v>
      </c>
      <c r="F117" s="24"/>
      <c r="G117" s="24">
        <v>0</v>
      </c>
      <c r="H117" s="24"/>
      <c r="I117" s="24">
        <v>0</v>
      </c>
      <c r="J117" s="24"/>
      <c r="K117" s="24">
        <v>0</v>
      </c>
      <c r="L117" s="24"/>
      <c r="M117" s="24">
        <v>0</v>
      </c>
      <c r="N117" s="24"/>
      <c r="O117" s="24">
        <v>0</v>
      </c>
      <c r="P117" s="24"/>
      <c r="Q117" s="24">
        <v>0</v>
      </c>
      <c r="R117" s="24"/>
      <c r="S117" s="24">
        <v>0</v>
      </c>
      <c r="T117" s="24"/>
      <c r="U117" s="24">
        <v>0</v>
      </c>
      <c r="V117" s="24"/>
      <c r="W117" s="24">
        <v>0</v>
      </c>
      <c r="X117" s="24"/>
      <c r="Y117" s="24">
        <v>0</v>
      </c>
      <c r="Z117" s="24"/>
      <c r="AA117" s="24">
        <v>0</v>
      </c>
      <c r="AB117" s="24"/>
      <c r="AC117" s="24">
        <v>0</v>
      </c>
      <c r="AD117" s="24"/>
      <c r="AE117" s="24">
        <v>0</v>
      </c>
      <c r="AF117" s="24"/>
      <c r="AG117" s="24">
        <v>0</v>
      </c>
      <c r="AH117" s="24"/>
      <c r="AI117" s="24">
        <v>0</v>
      </c>
      <c r="AJ117" s="24"/>
      <c r="AK117" s="24">
        <v>0</v>
      </c>
      <c r="AL117" s="24"/>
      <c r="AM117" s="24">
        <f t="shared" si="2"/>
        <v>0</v>
      </c>
    </row>
    <row r="118" spans="1:39">
      <c r="B118" s="10" t="s">
        <v>113</v>
      </c>
      <c r="C118" s="24">
        <v>0</v>
      </c>
      <c r="D118" s="24"/>
      <c r="E118" s="24">
        <v>0</v>
      </c>
      <c r="F118" s="24"/>
      <c r="G118" s="24">
        <v>0</v>
      </c>
      <c r="H118" s="24"/>
      <c r="I118" s="24">
        <v>0</v>
      </c>
      <c r="J118" s="24"/>
      <c r="K118" s="24">
        <v>0</v>
      </c>
      <c r="L118" s="24"/>
      <c r="M118" s="24">
        <v>0</v>
      </c>
      <c r="N118" s="24"/>
      <c r="O118" s="24">
        <v>0</v>
      </c>
      <c r="P118" s="24"/>
      <c r="Q118" s="24">
        <v>0</v>
      </c>
      <c r="R118" s="24"/>
      <c r="S118" s="24">
        <v>0</v>
      </c>
      <c r="T118" s="24"/>
      <c r="U118" s="24">
        <v>0</v>
      </c>
      <c r="V118" s="24"/>
      <c r="W118" s="24">
        <v>0</v>
      </c>
      <c r="X118" s="24"/>
      <c r="Y118" s="24">
        <v>0</v>
      </c>
      <c r="Z118" s="24"/>
      <c r="AA118" s="24">
        <v>0</v>
      </c>
      <c r="AB118" s="24"/>
      <c r="AC118" s="24">
        <v>0</v>
      </c>
      <c r="AD118" s="24"/>
      <c r="AE118" s="24">
        <v>0</v>
      </c>
      <c r="AF118" s="24"/>
      <c r="AG118" s="24">
        <v>0</v>
      </c>
      <c r="AH118" s="24"/>
      <c r="AI118" s="24">
        <v>0</v>
      </c>
      <c r="AJ118" s="24"/>
      <c r="AK118" s="24">
        <v>0</v>
      </c>
      <c r="AL118" s="24"/>
      <c r="AM118" s="24">
        <f t="shared" si="2"/>
        <v>0</v>
      </c>
    </row>
    <row r="119" spans="1:39">
      <c r="B119" s="10" t="s">
        <v>852</v>
      </c>
      <c r="C119" s="24">
        <v>-223.56</v>
      </c>
      <c r="D119" s="24"/>
      <c r="E119" s="24">
        <v>0</v>
      </c>
      <c r="F119" s="24"/>
      <c r="G119" s="24">
        <v>0</v>
      </c>
      <c r="H119" s="24"/>
      <c r="I119" s="24">
        <v>0</v>
      </c>
      <c r="J119" s="24"/>
      <c r="K119" s="24">
        <v>0</v>
      </c>
      <c r="L119" s="24"/>
      <c r="M119" s="24">
        <v>0</v>
      </c>
      <c r="N119" s="24"/>
      <c r="O119" s="24">
        <v>0</v>
      </c>
      <c r="P119" s="24"/>
      <c r="Q119" s="24">
        <v>0</v>
      </c>
      <c r="R119" s="24"/>
      <c r="S119" s="24">
        <v>0</v>
      </c>
      <c r="T119" s="24"/>
      <c r="U119" s="24">
        <v>0</v>
      </c>
      <c r="V119" s="24"/>
      <c r="W119" s="24">
        <v>0</v>
      </c>
      <c r="X119" s="24"/>
      <c r="Y119" s="24">
        <v>0</v>
      </c>
      <c r="Z119" s="24"/>
      <c r="AA119" s="24">
        <v>0</v>
      </c>
      <c r="AB119" s="24"/>
      <c r="AC119" s="24">
        <v>0</v>
      </c>
      <c r="AD119" s="24"/>
      <c r="AE119" s="24">
        <v>0</v>
      </c>
      <c r="AF119" s="24"/>
      <c r="AG119" s="24">
        <v>0</v>
      </c>
      <c r="AH119" s="24"/>
      <c r="AI119" s="24">
        <v>0</v>
      </c>
      <c r="AJ119" s="24"/>
      <c r="AK119" s="24">
        <v>0</v>
      </c>
      <c r="AL119" s="24"/>
      <c r="AM119" s="24">
        <f t="shared" si="2"/>
        <v>-223.56</v>
      </c>
    </row>
    <row r="120" spans="1:39">
      <c r="B120" s="10" t="s">
        <v>114</v>
      </c>
      <c r="C120" s="24">
        <v>0</v>
      </c>
      <c r="D120" s="24"/>
      <c r="E120" s="24">
        <v>0</v>
      </c>
      <c r="F120" s="24"/>
      <c r="G120" s="24">
        <v>0</v>
      </c>
      <c r="H120" s="24"/>
      <c r="I120" s="24">
        <v>0</v>
      </c>
      <c r="J120" s="24"/>
      <c r="K120" s="24">
        <v>0</v>
      </c>
      <c r="L120" s="24"/>
      <c r="M120" s="24">
        <v>0</v>
      </c>
      <c r="N120" s="24"/>
      <c r="O120" s="24">
        <v>0</v>
      </c>
      <c r="P120" s="24"/>
      <c r="Q120" s="24">
        <v>0</v>
      </c>
      <c r="R120" s="24"/>
      <c r="S120" s="24">
        <v>0</v>
      </c>
      <c r="T120" s="24"/>
      <c r="U120" s="24">
        <v>0</v>
      </c>
      <c r="V120" s="24"/>
      <c r="W120" s="24">
        <v>0</v>
      </c>
      <c r="X120" s="24"/>
      <c r="Y120" s="24">
        <v>0</v>
      </c>
      <c r="Z120" s="24"/>
      <c r="AA120" s="24">
        <v>0</v>
      </c>
      <c r="AB120" s="24"/>
      <c r="AC120" s="24">
        <v>0</v>
      </c>
      <c r="AD120" s="24"/>
      <c r="AE120" s="24">
        <v>0</v>
      </c>
      <c r="AF120" s="24"/>
      <c r="AG120" s="24">
        <v>0</v>
      </c>
      <c r="AH120" s="24"/>
      <c r="AI120" s="24">
        <v>0</v>
      </c>
      <c r="AJ120" s="24"/>
      <c r="AK120" s="24">
        <v>0</v>
      </c>
      <c r="AL120" s="24"/>
      <c r="AM120" s="24">
        <f t="shared" si="2"/>
        <v>0</v>
      </c>
    </row>
    <row r="121" spans="1:39">
      <c r="B121" s="10" t="s">
        <v>115</v>
      </c>
      <c r="C121" s="24">
        <v>0</v>
      </c>
      <c r="D121" s="24"/>
      <c r="E121" s="24">
        <v>0</v>
      </c>
      <c r="F121" s="24"/>
      <c r="G121" s="24">
        <v>0</v>
      </c>
      <c r="H121" s="24"/>
      <c r="I121" s="24">
        <v>0</v>
      </c>
      <c r="J121" s="24"/>
      <c r="K121" s="24">
        <v>0</v>
      </c>
      <c r="L121" s="24"/>
      <c r="M121" s="24">
        <v>0</v>
      </c>
      <c r="N121" s="24"/>
      <c r="O121" s="24">
        <v>0</v>
      </c>
      <c r="P121" s="24"/>
      <c r="Q121" s="24">
        <v>0</v>
      </c>
      <c r="R121" s="24"/>
      <c r="S121" s="24">
        <v>0</v>
      </c>
      <c r="T121" s="24"/>
      <c r="U121" s="24">
        <v>0</v>
      </c>
      <c r="V121" s="24"/>
      <c r="W121" s="24">
        <v>0</v>
      </c>
      <c r="X121" s="24"/>
      <c r="Y121" s="24">
        <v>0</v>
      </c>
      <c r="Z121" s="24"/>
      <c r="AA121" s="24">
        <v>0</v>
      </c>
      <c r="AB121" s="24"/>
      <c r="AC121" s="24">
        <v>0</v>
      </c>
      <c r="AD121" s="24"/>
      <c r="AE121" s="24">
        <v>0</v>
      </c>
      <c r="AF121" s="24"/>
      <c r="AG121" s="24">
        <v>0</v>
      </c>
      <c r="AH121" s="24"/>
      <c r="AI121" s="24">
        <v>0</v>
      </c>
      <c r="AJ121" s="24"/>
      <c r="AK121" s="24">
        <v>0</v>
      </c>
      <c r="AL121" s="24"/>
      <c r="AM121" s="24">
        <f t="shared" si="2"/>
        <v>0</v>
      </c>
    </row>
    <row r="122" spans="1:39">
      <c r="B122" s="10" t="s">
        <v>853</v>
      </c>
      <c r="C122" s="24">
        <v>0</v>
      </c>
      <c r="D122" s="24"/>
      <c r="E122" s="24">
        <v>0</v>
      </c>
      <c r="F122" s="24"/>
      <c r="G122" s="24">
        <v>0</v>
      </c>
      <c r="H122" s="24"/>
      <c r="I122" s="24">
        <v>0</v>
      </c>
      <c r="J122" s="24"/>
      <c r="K122" s="24">
        <v>0</v>
      </c>
      <c r="L122" s="24"/>
      <c r="M122" s="24">
        <v>0</v>
      </c>
      <c r="N122" s="24"/>
      <c r="O122" s="24">
        <v>0</v>
      </c>
      <c r="P122" s="24"/>
      <c r="Q122" s="24">
        <v>0</v>
      </c>
      <c r="R122" s="24"/>
      <c r="S122" s="24">
        <v>0</v>
      </c>
      <c r="T122" s="24"/>
      <c r="U122" s="24">
        <v>0</v>
      </c>
      <c r="V122" s="24"/>
      <c r="W122" s="24">
        <v>0</v>
      </c>
      <c r="X122" s="24"/>
      <c r="Y122" s="24">
        <v>0</v>
      </c>
      <c r="Z122" s="24"/>
      <c r="AA122" s="24">
        <v>0</v>
      </c>
      <c r="AB122" s="24"/>
      <c r="AC122" s="24">
        <v>0</v>
      </c>
      <c r="AD122" s="24"/>
      <c r="AE122" s="24">
        <v>0</v>
      </c>
      <c r="AF122" s="24"/>
      <c r="AG122" s="24">
        <v>0</v>
      </c>
      <c r="AH122" s="24"/>
      <c r="AI122" s="24">
        <v>0</v>
      </c>
      <c r="AJ122" s="24"/>
      <c r="AK122" s="24">
        <v>0</v>
      </c>
      <c r="AL122" s="24"/>
      <c r="AM122" s="24">
        <f t="shared" si="2"/>
        <v>0</v>
      </c>
    </row>
    <row r="123" spans="1:39">
      <c r="B123" s="10" t="s">
        <v>117</v>
      </c>
      <c r="C123" s="24">
        <v>0</v>
      </c>
      <c r="D123" s="24"/>
      <c r="E123" s="24">
        <v>0</v>
      </c>
      <c r="F123" s="24"/>
      <c r="G123" s="24">
        <v>0</v>
      </c>
      <c r="H123" s="24"/>
      <c r="I123" s="24">
        <v>0</v>
      </c>
      <c r="J123" s="24"/>
      <c r="K123" s="24">
        <v>0</v>
      </c>
      <c r="L123" s="24"/>
      <c r="M123" s="24">
        <v>0</v>
      </c>
      <c r="N123" s="24"/>
      <c r="O123" s="24">
        <v>0</v>
      </c>
      <c r="P123" s="24"/>
      <c r="Q123" s="24">
        <v>0</v>
      </c>
      <c r="R123" s="24"/>
      <c r="S123" s="24">
        <v>0</v>
      </c>
      <c r="T123" s="24"/>
      <c r="U123" s="24">
        <v>0</v>
      </c>
      <c r="V123" s="24"/>
      <c r="W123" s="24">
        <v>0</v>
      </c>
      <c r="X123" s="24"/>
      <c r="Y123" s="24">
        <v>0</v>
      </c>
      <c r="Z123" s="24"/>
      <c r="AA123" s="24">
        <v>0</v>
      </c>
      <c r="AB123" s="24"/>
      <c r="AC123" s="24">
        <v>0</v>
      </c>
      <c r="AD123" s="24"/>
      <c r="AE123" s="24">
        <v>0</v>
      </c>
      <c r="AF123" s="24"/>
      <c r="AG123" s="24">
        <v>0</v>
      </c>
      <c r="AH123" s="24"/>
      <c r="AI123" s="24">
        <v>0</v>
      </c>
      <c r="AJ123" s="24"/>
      <c r="AK123" s="24">
        <v>0</v>
      </c>
      <c r="AL123" s="24"/>
      <c r="AM123" s="24">
        <f t="shared" si="2"/>
        <v>0</v>
      </c>
    </row>
    <row r="124" spans="1:39">
      <c r="B124" s="10" t="s">
        <v>953</v>
      </c>
      <c r="C124" s="24">
        <v>0</v>
      </c>
      <c r="D124" s="24"/>
      <c r="E124" s="24">
        <v>0</v>
      </c>
      <c r="F124" s="24"/>
      <c r="G124" s="24">
        <v>0</v>
      </c>
      <c r="H124" s="24"/>
      <c r="I124" s="24">
        <v>0</v>
      </c>
      <c r="J124" s="24"/>
      <c r="K124" s="24">
        <v>0</v>
      </c>
      <c r="L124" s="24"/>
      <c r="M124" s="24">
        <v>0</v>
      </c>
      <c r="N124" s="24"/>
      <c r="O124" s="24">
        <v>0</v>
      </c>
      <c r="P124" s="24"/>
      <c r="Q124" s="24">
        <v>0</v>
      </c>
      <c r="R124" s="24"/>
      <c r="S124" s="24">
        <v>0</v>
      </c>
      <c r="T124" s="24"/>
      <c r="U124" s="24">
        <v>0</v>
      </c>
      <c r="V124" s="24"/>
      <c r="W124" s="24">
        <v>0</v>
      </c>
      <c r="X124" s="24"/>
      <c r="Y124" s="24">
        <v>0</v>
      </c>
      <c r="Z124" s="24"/>
      <c r="AA124" s="24">
        <v>0</v>
      </c>
      <c r="AB124" s="24"/>
      <c r="AC124" s="24">
        <v>0</v>
      </c>
      <c r="AD124" s="24"/>
      <c r="AE124" s="24">
        <v>0</v>
      </c>
      <c r="AF124" s="24"/>
      <c r="AG124" s="24">
        <v>0</v>
      </c>
      <c r="AH124" s="24"/>
      <c r="AI124" s="24">
        <v>0</v>
      </c>
      <c r="AJ124" s="24"/>
      <c r="AK124" s="24">
        <v>0</v>
      </c>
      <c r="AL124" s="24"/>
      <c r="AM124" s="24">
        <f t="shared" si="2"/>
        <v>0</v>
      </c>
    </row>
    <row r="125" spans="1:39">
      <c r="B125" s="10" t="s">
        <v>118</v>
      </c>
      <c r="C125" s="24">
        <v>0</v>
      </c>
      <c r="D125" s="24"/>
      <c r="E125" s="24">
        <v>0</v>
      </c>
      <c r="F125" s="24"/>
      <c r="G125" s="24">
        <v>0</v>
      </c>
      <c r="H125" s="24"/>
      <c r="I125" s="24">
        <v>0</v>
      </c>
      <c r="J125" s="24"/>
      <c r="K125" s="24">
        <v>0</v>
      </c>
      <c r="L125" s="24"/>
      <c r="M125" s="24">
        <v>0</v>
      </c>
      <c r="N125" s="24"/>
      <c r="O125" s="24">
        <v>0</v>
      </c>
      <c r="P125" s="24"/>
      <c r="Q125" s="24">
        <v>0</v>
      </c>
      <c r="R125" s="24"/>
      <c r="S125" s="24">
        <v>0</v>
      </c>
      <c r="T125" s="24"/>
      <c r="U125" s="24">
        <v>0</v>
      </c>
      <c r="V125" s="24"/>
      <c r="W125" s="24">
        <v>0</v>
      </c>
      <c r="X125" s="24"/>
      <c r="Y125" s="24">
        <v>0</v>
      </c>
      <c r="Z125" s="24"/>
      <c r="AA125" s="24">
        <v>0</v>
      </c>
      <c r="AB125" s="24"/>
      <c r="AC125" s="24">
        <v>0</v>
      </c>
      <c r="AD125" s="24"/>
      <c r="AE125" s="24">
        <v>0</v>
      </c>
      <c r="AF125" s="24"/>
      <c r="AG125" s="24">
        <v>0</v>
      </c>
      <c r="AH125" s="24"/>
      <c r="AI125" s="24">
        <v>0</v>
      </c>
      <c r="AJ125" s="24"/>
      <c r="AK125" s="24">
        <v>0</v>
      </c>
      <c r="AL125" s="24"/>
      <c r="AM125" s="24">
        <f t="shared" si="2"/>
        <v>0</v>
      </c>
    </row>
    <row r="126" spans="1:39">
      <c r="B126" s="10" t="s">
        <v>949</v>
      </c>
      <c r="C126" s="24">
        <v>0</v>
      </c>
      <c r="D126" s="24"/>
      <c r="E126" s="24">
        <v>0</v>
      </c>
      <c r="F126" s="24"/>
      <c r="G126" s="24">
        <v>0</v>
      </c>
      <c r="H126" s="24"/>
      <c r="I126" s="24">
        <v>0</v>
      </c>
      <c r="J126" s="24"/>
      <c r="K126" s="24">
        <v>0</v>
      </c>
      <c r="L126" s="24"/>
      <c r="M126" s="24">
        <v>0</v>
      </c>
      <c r="N126" s="24"/>
      <c r="O126" s="24">
        <v>0</v>
      </c>
      <c r="P126" s="24"/>
      <c r="Q126" s="24">
        <v>0</v>
      </c>
      <c r="R126" s="24"/>
      <c r="S126" s="24">
        <v>0</v>
      </c>
      <c r="T126" s="24"/>
      <c r="U126" s="24">
        <v>0</v>
      </c>
      <c r="V126" s="24"/>
      <c r="W126" s="24">
        <v>0</v>
      </c>
      <c r="X126" s="24"/>
      <c r="Y126" s="24">
        <v>0</v>
      </c>
      <c r="Z126" s="24"/>
      <c r="AA126" s="24">
        <v>0</v>
      </c>
      <c r="AB126" s="24"/>
      <c r="AC126" s="24">
        <v>0</v>
      </c>
      <c r="AD126" s="24"/>
      <c r="AE126" s="24">
        <v>0</v>
      </c>
      <c r="AF126" s="24"/>
      <c r="AG126" s="24">
        <v>0</v>
      </c>
      <c r="AH126" s="24"/>
      <c r="AI126" s="24">
        <v>0</v>
      </c>
      <c r="AJ126" s="24"/>
      <c r="AK126" s="24">
        <v>0</v>
      </c>
      <c r="AL126" s="24"/>
      <c r="AM126" s="24">
        <f t="shared" si="2"/>
        <v>0</v>
      </c>
    </row>
    <row r="127" spans="1:39">
      <c r="B127" s="10" t="s">
        <v>119</v>
      </c>
      <c r="C127" s="24">
        <v>0</v>
      </c>
      <c r="D127" s="24"/>
      <c r="E127" s="24">
        <v>0</v>
      </c>
      <c r="F127" s="24"/>
      <c r="G127" s="24">
        <v>0</v>
      </c>
      <c r="H127" s="24"/>
      <c r="I127" s="24">
        <v>0</v>
      </c>
      <c r="J127" s="24"/>
      <c r="K127" s="24">
        <v>0</v>
      </c>
      <c r="L127" s="24"/>
      <c r="M127" s="24">
        <v>0</v>
      </c>
      <c r="N127" s="24"/>
      <c r="O127" s="24">
        <v>0</v>
      </c>
      <c r="P127" s="24"/>
      <c r="Q127" s="24">
        <v>0</v>
      </c>
      <c r="R127" s="24"/>
      <c r="S127" s="24">
        <v>0</v>
      </c>
      <c r="T127" s="24"/>
      <c r="U127" s="24">
        <v>0</v>
      </c>
      <c r="V127" s="24"/>
      <c r="W127" s="24">
        <v>0</v>
      </c>
      <c r="X127" s="24"/>
      <c r="Y127" s="24">
        <v>0</v>
      </c>
      <c r="Z127" s="24"/>
      <c r="AA127" s="24">
        <v>0</v>
      </c>
      <c r="AB127" s="24"/>
      <c r="AC127" s="24">
        <v>0</v>
      </c>
      <c r="AD127" s="24"/>
      <c r="AE127" s="24">
        <v>0</v>
      </c>
      <c r="AF127" s="24"/>
      <c r="AG127" s="24">
        <v>0</v>
      </c>
      <c r="AH127" s="24"/>
      <c r="AI127" s="24">
        <v>0</v>
      </c>
      <c r="AJ127" s="24"/>
      <c r="AK127" s="24">
        <v>0</v>
      </c>
      <c r="AL127" s="24"/>
      <c r="AM127" s="24">
        <f t="shared" si="2"/>
        <v>0</v>
      </c>
    </row>
    <row r="128" spans="1:39">
      <c r="B128" s="10" t="s">
        <v>950</v>
      </c>
      <c r="C128" s="24">
        <v>0</v>
      </c>
      <c r="D128" s="24"/>
      <c r="E128" s="24">
        <v>0</v>
      </c>
      <c r="F128" s="24"/>
      <c r="G128" s="24">
        <v>0</v>
      </c>
      <c r="H128" s="24"/>
      <c r="I128" s="24">
        <v>0</v>
      </c>
      <c r="J128" s="24"/>
      <c r="K128" s="24">
        <v>0</v>
      </c>
      <c r="L128" s="24"/>
      <c r="M128" s="24">
        <v>0</v>
      </c>
      <c r="N128" s="24"/>
      <c r="O128" s="24">
        <v>0</v>
      </c>
      <c r="P128" s="24"/>
      <c r="Q128" s="24">
        <v>0</v>
      </c>
      <c r="R128" s="24"/>
      <c r="S128" s="24">
        <v>0</v>
      </c>
      <c r="T128" s="24"/>
      <c r="U128" s="24">
        <v>0</v>
      </c>
      <c r="V128" s="24"/>
      <c r="W128" s="24">
        <v>0</v>
      </c>
      <c r="X128" s="24"/>
      <c r="Y128" s="24">
        <v>0</v>
      </c>
      <c r="Z128" s="24"/>
      <c r="AA128" s="24">
        <v>0</v>
      </c>
      <c r="AB128" s="24"/>
      <c r="AC128" s="24">
        <v>0</v>
      </c>
      <c r="AD128" s="24"/>
      <c r="AE128" s="24">
        <v>0</v>
      </c>
      <c r="AF128" s="24"/>
      <c r="AG128" s="24">
        <v>0</v>
      </c>
      <c r="AH128" s="24"/>
      <c r="AI128" s="24">
        <v>0</v>
      </c>
      <c r="AJ128" s="24"/>
      <c r="AK128" s="24">
        <v>0</v>
      </c>
      <c r="AL128" s="24"/>
      <c r="AM128" s="24">
        <f t="shared" si="2"/>
        <v>0</v>
      </c>
    </row>
    <row r="129" spans="1:39">
      <c r="B129" s="10" t="s">
        <v>121</v>
      </c>
      <c r="C129" s="24">
        <v>0</v>
      </c>
      <c r="D129" s="24"/>
      <c r="E129" s="24">
        <v>0</v>
      </c>
      <c r="F129" s="24"/>
      <c r="G129" s="24">
        <v>1037.44</v>
      </c>
      <c r="H129" s="24"/>
      <c r="I129" s="24">
        <v>0</v>
      </c>
      <c r="J129" s="24"/>
      <c r="K129" s="24">
        <v>0</v>
      </c>
      <c r="L129" s="24"/>
      <c r="M129" s="24">
        <v>0</v>
      </c>
      <c r="N129" s="24"/>
      <c r="O129" s="24">
        <v>0</v>
      </c>
      <c r="P129" s="24"/>
      <c r="Q129" s="24">
        <v>0</v>
      </c>
      <c r="R129" s="24"/>
      <c r="S129" s="24">
        <v>0</v>
      </c>
      <c r="T129" s="24"/>
      <c r="U129" s="24">
        <v>0</v>
      </c>
      <c r="V129" s="24"/>
      <c r="W129" s="24">
        <v>0</v>
      </c>
      <c r="X129" s="24"/>
      <c r="Y129" s="24">
        <v>0</v>
      </c>
      <c r="Z129" s="24"/>
      <c r="AA129" s="24">
        <v>0</v>
      </c>
      <c r="AB129" s="24"/>
      <c r="AC129" s="24">
        <v>0</v>
      </c>
      <c r="AD129" s="24"/>
      <c r="AE129" s="24">
        <v>0</v>
      </c>
      <c r="AF129" s="24"/>
      <c r="AG129" s="24">
        <v>0</v>
      </c>
      <c r="AH129" s="24"/>
      <c r="AI129" s="24">
        <v>0</v>
      </c>
      <c r="AJ129" s="24"/>
      <c r="AK129" s="24">
        <v>0</v>
      </c>
      <c r="AL129" s="24"/>
      <c r="AM129" s="24">
        <f t="shared" si="2"/>
        <v>1037.44</v>
      </c>
    </row>
    <row r="130" spans="1:39">
      <c r="B130" s="10" t="s">
        <v>951</v>
      </c>
      <c r="C130" s="24">
        <v>0</v>
      </c>
      <c r="D130" s="24"/>
      <c r="E130" s="24">
        <v>0</v>
      </c>
      <c r="F130" s="24"/>
      <c r="G130" s="24">
        <v>0</v>
      </c>
      <c r="H130" s="24"/>
      <c r="I130" s="24">
        <v>0</v>
      </c>
      <c r="J130" s="24"/>
      <c r="K130" s="24">
        <v>0</v>
      </c>
      <c r="L130" s="24"/>
      <c r="M130" s="24">
        <v>0</v>
      </c>
      <c r="N130" s="24"/>
      <c r="O130" s="24">
        <v>0</v>
      </c>
      <c r="P130" s="24"/>
      <c r="Q130" s="24">
        <v>0</v>
      </c>
      <c r="R130" s="24"/>
      <c r="S130" s="24">
        <v>0</v>
      </c>
      <c r="T130" s="24"/>
      <c r="U130" s="24">
        <v>0</v>
      </c>
      <c r="V130" s="24"/>
      <c r="W130" s="24">
        <v>0</v>
      </c>
      <c r="X130" s="24"/>
      <c r="Y130" s="24">
        <v>0</v>
      </c>
      <c r="Z130" s="24"/>
      <c r="AA130" s="24">
        <v>0</v>
      </c>
      <c r="AB130" s="24"/>
      <c r="AC130" s="24">
        <v>0</v>
      </c>
      <c r="AD130" s="24"/>
      <c r="AE130" s="24">
        <v>0</v>
      </c>
      <c r="AF130" s="24"/>
      <c r="AG130" s="24">
        <v>0</v>
      </c>
      <c r="AH130" s="24"/>
      <c r="AI130" s="24">
        <v>0</v>
      </c>
      <c r="AJ130" s="24"/>
      <c r="AK130" s="24">
        <v>0</v>
      </c>
      <c r="AL130" s="24"/>
      <c r="AM130" s="24">
        <f t="shared" si="2"/>
        <v>0</v>
      </c>
    </row>
    <row r="131" spans="1:39">
      <c r="B131" s="10" t="s">
        <v>122</v>
      </c>
      <c r="C131" s="24">
        <v>0</v>
      </c>
      <c r="D131" s="24"/>
      <c r="E131" s="24">
        <v>0</v>
      </c>
      <c r="F131" s="24"/>
      <c r="G131" s="24">
        <v>0</v>
      </c>
      <c r="H131" s="24"/>
      <c r="I131" s="24">
        <v>0</v>
      </c>
      <c r="J131" s="24"/>
      <c r="K131" s="24">
        <v>0</v>
      </c>
      <c r="L131" s="24"/>
      <c r="M131" s="24">
        <v>0</v>
      </c>
      <c r="N131" s="24"/>
      <c r="O131" s="24">
        <v>0</v>
      </c>
      <c r="P131" s="24"/>
      <c r="Q131" s="24">
        <v>0</v>
      </c>
      <c r="R131" s="24"/>
      <c r="S131" s="24">
        <v>0</v>
      </c>
      <c r="T131" s="24"/>
      <c r="U131" s="24">
        <v>0</v>
      </c>
      <c r="V131" s="24"/>
      <c r="W131" s="24">
        <v>0</v>
      </c>
      <c r="X131" s="24"/>
      <c r="Y131" s="24">
        <v>0</v>
      </c>
      <c r="Z131" s="24"/>
      <c r="AA131" s="24">
        <v>0</v>
      </c>
      <c r="AB131" s="24"/>
      <c r="AC131" s="24">
        <v>0</v>
      </c>
      <c r="AD131" s="24"/>
      <c r="AE131" s="24">
        <v>0</v>
      </c>
      <c r="AF131" s="24"/>
      <c r="AG131" s="24">
        <v>0</v>
      </c>
      <c r="AH131" s="24"/>
      <c r="AI131" s="24">
        <v>0</v>
      </c>
      <c r="AJ131" s="24"/>
      <c r="AK131" s="24">
        <v>0</v>
      </c>
      <c r="AL131" s="24"/>
      <c r="AM131" s="24">
        <f t="shared" si="2"/>
        <v>0</v>
      </c>
    </row>
    <row r="132" spans="1:39">
      <c r="B132" s="10" t="s">
        <v>124</v>
      </c>
      <c r="C132" s="24">
        <v>0</v>
      </c>
      <c r="D132" s="24"/>
      <c r="E132" s="24">
        <v>0</v>
      </c>
      <c r="F132" s="24"/>
      <c r="G132" s="24">
        <v>0</v>
      </c>
      <c r="H132" s="24"/>
      <c r="I132" s="24">
        <v>0</v>
      </c>
      <c r="J132" s="24"/>
      <c r="K132" s="24">
        <v>0</v>
      </c>
      <c r="L132" s="24"/>
      <c r="M132" s="24">
        <v>0</v>
      </c>
      <c r="N132" s="24"/>
      <c r="O132" s="24">
        <v>0</v>
      </c>
      <c r="P132" s="24"/>
      <c r="Q132" s="24">
        <v>0</v>
      </c>
      <c r="R132" s="24"/>
      <c r="S132" s="24">
        <v>0</v>
      </c>
      <c r="T132" s="24"/>
      <c r="U132" s="24">
        <v>0</v>
      </c>
      <c r="V132" s="24"/>
      <c r="W132" s="24">
        <v>0</v>
      </c>
      <c r="X132" s="24"/>
      <c r="Y132" s="24">
        <v>0</v>
      </c>
      <c r="Z132" s="24"/>
      <c r="AA132" s="24">
        <v>0</v>
      </c>
      <c r="AB132" s="24"/>
      <c r="AC132" s="24">
        <v>0</v>
      </c>
      <c r="AD132" s="24"/>
      <c r="AE132" s="24">
        <v>0</v>
      </c>
      <c r="AF132" s="24"/>
      <c r="AG132" s="24">
        <v>0</v>
      </c>
      <c r="AH132" s="24"/>
      <c r="AI132" s="24">
        <v>0</v>
      </c>
      <c r="AJ132" s="24"/>
      <c r="AK132" s="24">
        <v>0</v>
      </c>
      <c r="AL132" s="24"/>
      <c r="AM132" s="24">
        <f t="shared" si="2"/>
        <v>0</v>
      </c>
    </row>
    <row r="133" spans="1:39">
      <c r="B133" s="10" t="s">
        <v>952</v>
      </c>
      <c r="C133" s="24">
        <v>0</v>
      </c>
      <c r="D133" s="24"/>
      <c r="E133" s="24">
        <v>0</v>
      </c>
      <c r="F133" s="24"/>
      <c r="G133" s="24">
        <v>0</v>
      </c>
      <c r="H133" s="24"/>
      <c r="I133" s="24">
        <v>0</v>
      </c>
      <c r="J133" s="24"/>
      <c r="K133" s="24">
        <v>0</v>
      </c>
      <c r="L133" s="24"/>
      <c r="M133" s="24">
        <v>0</v>
      </c>
      <c r="N133" s="24"/>
      <c r="O133" s="24">
        <v>0</v>
      </c>
      <c r="P133" s="24"/>
      <c r="Q133" s="24">
        <v>0</v>
      </c>
      <c r="R133" s="24"/>
      <c r="S133" s="24">
        <v>0</v>
      </c>
      <c r="T133" s="24"/>
      <c r="U133" s="24">
        <v>0</v>
      </c>
      <c r="V133" s="24"/>
      <c r="W133" s="24">
        <v>0</v>
      </c>
      <c r="X133" s="24"/>
      <c r="Y133" s="24">
        <v>0</v>
      </c>
      <c r="Z133" s="24"/>
      <c r="AA133" s="24">
        <v>0</v>
      </c>
      <c r="AB133" s="24"/>
      <c r="AC133" s="24">
        <v>0</v>
      </c>
      <c r="AD133" s="24"/>
      <c r="AE133" s="24">
        <v>0</v>
      </c>
      <c r="AF133" s="24"/>
      <c r="AG133" s="24">
        <v>0</v>
      </c>
      <c r="AH133" s="24"/>
      <c r="AI133" s="24">
        <v>0</v>
      </c>
      <c r="AJ133" s="24"/>
      <c r="AK133" s="24">
        <v>0</v>
      </c>
      <c r="AL133" s="24"/>
      <c r="AM133" s="24">
        <f t="shared" si="2"/>
        <v>0</v>
      </c>
    </row>
    <row r="134" spans="1:39">
      <c r="B134" s="10" t="s">
        <v>129</v>
      </c>
      <c r="C134" s="27">
        <v>0</v>
      </c>
      <c r="D134" s="27"/>
      <c r="E134" s="27">
        <v>0</v>
      </c>
      <c r="F134" s="27"/>
      <c r="G134" s="27">
        <v>0</v>
      </c>
      <c r="H134" s="27"/>
      <c r="I134" s="27">
        <v>0</v>
      </c>
      <c r="J134" s="27"/>
      <c r="K134" s="27">
        <v>0</v>
      </c>
      <c r="L134" s="27"/>
      <c r="M134" s="27">
        <v>0</v>
      </c>
      <c r="N134" s="27"/>
      <c r="O134" s="27">
        <v>0</v>
      </c>
      <c r="P134" s="27"/>
      <c r="Q134" s="27">
        <v>0</v>
      </c>
      <c r="R134" s="27"/>
      <c r="S134" s="27">
        <v>0</v>
      </c>
      <c r="T134" s="27"/>
      <c r="U134" s="27">
        <v>0</v>
      </c>
      <c r="V134" s="27"/>
      <c r="W134" s="27">
        <v>0</v>
      </c>
      <c r="X134" s="27"/>
      <c r="Y134" s="27">
        <v>0</v>
      </c>
      <c r="Z134" s="27"/>
      <c r="AA134" s="27">
        <v>0</v>
      </c>
      <c r="AB134" s="27"/>
      <c r="AC134" s="27">
        <v>0</v>
      </c>
      <c r="AD134" s="27"/>
      <c r="AE134" s="27">
        <v>0</v>
      </c>
      <c r="AF134" s="27"/>
      <c r="AG134" s="27">
        <v>0</v>
      </c>
      <c r="AH134" s="27"/>
      <c r="AI134" s="27">
        <v>0</v>
      </c>
      <c r="AJ134" s="27"/>
      <c r="AK134" s="27">
        <v>0</v>
      </c>
      <c r="AL134" s="27"/>
      <c r="AM134" s="27">
        <f t="shared" si="2"/>
        <v>0</v>
      </c>
    </row>
    <row r="135" spans="1:39">
      <c r="B135" s="10" t="s">
        <v>125</v>
      </c>
      <c r="C135" s="28">
        <v>0</v>
      </c>
      <c r="D135" s="27"/>
      <c r="E135" s="28">
        <v>0</v>
      </c>
      <c r="F135" s="27"/>
      <c r="G135" s="28">
        <v>-1037.44</v>
      </c>
      <c r="H135" s="27"/>
      <c r="I135" s="28">
        <v>0</v>
      </c>
      <c r="J135" s="27"/>
      <c r="K135" s="28">
        <v>0</v>
      </c>
      <c r="L135" s="27"/>
      <c r="M135" s="28">
        <v>0</v>
      </c>
      <c r="N135" s="27"/>
      <c r="O135" s="28">
        <v>0</v>
      </c>
      <c r="P135" s="27"/>
      <c r="Q135" s="28">
        <v>0</v>
      </c>
      <c r="R135" s="27"/>
      <c r="S135" s="28">
        <v>0</v>
      </c>
      <c r="T135" s="27"/>
      <c r="U135" s="28">
        <v>0</v>
      </c>
      <c r="V135" s="27"/>
      <c r="W135" s="28">
        <v>0</v>
      </c>
      <c r="X135" s="27"/>
      <c r="Y135" s="28">
        <v>0</v>
      </c>
      <c r="Z135" s="27"/>
      <c r="AA135" s="28">
        <v>0</v>
      </c>
      <c r="AB135" s="27"/>
      <c r="AC135" s="28">
        <v>0</v>
      </c>
      <c r="AD135" s="27"/>
      <c r="AE135" s="28">
        <v>0</v>
      </c>
      <c r="AF135" s="27"/>
      <c r="AG135" s="28">
        <v>0</v>
      </c>
      <c r="AH135" s="27"/>
      <c r="AI135" s="28">
        <v>0</v>
      </c>
      <c r="AJ135" s="27"/>
      <c r="AK135" s="28">
        <v>0</v>
      </c>
      <c r="AL135" s="27"/>
      <c r="AM135" s="28">
        <f t="shared" si="2"/>
        <v>-1037.44</v>
      </c>
    </row>
    <row r="136" spans="1:39">
      <c r="B136" s="10" t="s">
        <v>147</v>
      </c>
      <c r="C136" s="27">
        <f>SUM(C115:C135)</f>
        <v>-223.56</v>
      </c>
      <c r="D136" s="27"/>
      <c r="E136" s="27">
        <f>SUM(E115:E135)</f>
        <v>0</v>
      </c>
      <c r="F136" s="27"/>
      <c r="G136" s="27">
        <f>SUM(G115:G135)</f>
        <v>0</v>
      </c>
      <c r="H136" s="27"/>
      <c r="I136" s="27">
        <f>SUM(I115:I135)</f>
        <v>0</v>
      </c>
      <c r="J136" s="27"/>
      <c r="K136" s="27">
        <f>SUM(K115:K135)</f>
        <v>0</v>
      </c>
      <c r="L136" s="27"/>
      <c r="M136" s="27">
        <f>SUM(M115:M135)</f>
        <v>0</v>
      </c>
      <c r="N136" s="27"/>
      <c r="O136" s="27">
        <f>SUM(O115:O135)</f>
        <v>0</v>
      </c>
      <c r="P136" s="27"/>
      <c r="Q136" s="27">
        <f>SUM(Q115:Q135)</f>
        <v>0</v>
      </c>
      <c r="R136" s="27"/>
      <c r="S136" s="27">
        <f>SUM(S115:S135)</f>
        <v>0</v>
      </c>
      <c r="T136" s="27"/>
      <c r="U136" s="27">
        <f>SUM(U115:U135)</f>
        <v>0</v>
      </c>
      <c r="V136" s="27"/>
      <c r="W136" s="27">
        <f>SUM(W115:W135)</f>
        <v>0</v>
      </c>
      <c r="X136" s="27"/>
      <c r="Y136" s="27">
        <f>SUM(Y115:Y135)</f>
        <v>0</v>
      </c>
      <c r="Z136" s="27"/>
      <c r="AA136" s="27">
        <f>SUM(AA115:AA135)</f>
        <v>0</v>
      </c>
      <c r="AB136" s="27"/>
      <c r="AC136" s="27">
        <f>SUM(AC115:AC135)</f>
        <v>0</v>
      </c>
      <c r="AD136" s="27"/>
      <c r="AE136" s="27">
        <f>SUM(AE115:AE135)</f>
        <v>0</v>
      </c>
      <c r="AF136" s="27"/>
      <c r="AG136" s="27">
        <f>SUM(AG115:AG135)</f>
        <v>0</v>
      </c>
      <c r="AH136" s="27"/>
      <c r="AI136" s="27">
        <f>SUM(AI115:AI135)</f>
        <v>0</v>
      </c>
      <c r="AJ136" s="27"/>
      <c r="AK136" s="27">
        <f>SUM(AK115:AK135)</f>
        <v>0</v>
      </c>
      <c r="AL136" s="27"/>
      <c r="AM136" s="27">
        <f>SUM(AM115:AM135)</f>
        <v>-223.55999999999995</v>
      </c>
    </row>
    <row r="137" spans="1:39">
      <c r="B137" s="11"/>
      <c r="C137" s="71"/>
      <c r="D137" s="71"/>
      <c r="E137" s="71"/>
      <c r="F137" s="71"/>
      <c r="G137" s="71"/>
      <c r="H137" s="71"/>
      <c r="I137" s="71"/>
      <c r="J137" s="71"/>
      <c r="K137" s="71"/>
      <c r="L137" s="71"/>
      <c r="M137" s="71"/>
      <c r="N137" s="71"/>
      <c r="O137" s="71"/>
      <c r="P137" s="71"/>
      <c r="Q137" s="71"/>
      <c r="R137" s="71"/>
      <c r="S137" s="71"/>
      <c r="T137" s="71"/>
      <c r="U137" s="71"/>
      <c r="V137" s="71"/>
      <c r="W137" s="71"/>
      <c r="X137" s="71"/>
      <c r="Y137" s="71"/>
      <c r="Z137" s="71"/>
      <c r="AA137" s="71"/>
      <c r="AB137" s="71"/>
      <c r="AC137" s="71"/>
      <c r="AD137" s="71"/>
      <c r="AE137" s="71"/>
      <c r="AF137" s="71"/>
      <c r="AG137" s="71"/>
      <c r="AH137" s="71"/>
      <c r="AI137" s="71"/>
      <c r="AJ137" s="71"/>
      <c r="AK137" s="71"/>
      <c r="AL137" s="71"/>
      <c r="AM137" s="71"/>
    </row>
    <row r="138" spans="1:39" ht="15">
      <c r="A138" s="12" t="s">
        <v>653</v>
      </c>
      <c r="C138" s="87"/>
      <c r="D138" s="87"/>
      <c r="E138" s="87"/>
      <c r="F138" s="74"/>
      <c r="G138" s="87"/>
      <c r="H138" s="87"/>
      <c r="I138" s="87"/>
      <c r="J138" s="74"/>
      <c r="K138" s="87"/>
      <c r="L138" s="74"/>
      <c r="M138" s="87"/>
      <c r="N138" s="74"/>
      <c r="O138" s="87"/>
      <c r="P138" s="74"/>
      <c r="Q138" s="87"/>
      <c r="R138" s="74"/>
      <c r="S138" s="87"/>
      <c r="T138" s="74"/>
      <c r="U138" s="87"/>
      <c r="V138" s="74"/>
      <c r="W138" s="87"/>
      <c r="X138" s="74"/>
      <c r="Y138" s="87"/>
      <c r="Z138" s="74"/>
      <c r="AA138" s="87"/>
      <c r="AB138" s="74"/>
      <c r="AC138" s="87"/>
      <c r="AD138" s="74"/>
      <c r="AE138" s="87"/>
      <c r="AF138" s="74"/>
      <c r="AG138" s="87"/>
      <c r="AH138" s="74"/>
      <c r="AI138" s="87"/>
      <c r="AJ138" s="74"/>
      <c r="AK138" s="87"/>
      <c r="AL138" s="74"/>
      <c r="AM138" s="87"/>
    </row>
    <row r="139" spans="1:39">
      <c r="C139" s="27"/>
      <c r="D139" s="27"/>
      <c r="E139" s="27"/>
      <c r="F139" s="27"/>
      <c r="G139" s="27"/>
      <c r="H139" s="27"/>
      <c r="I139" s="27"/>
      <c r="J139" s="27"/>
      <c r="K139" s="27"/>
      <c r="L139" s="27"/>
      <c r="M139" s="27"/>
      <c r="N139" s="27"/>
      <c r="O139" s="27"/>
      <c r="P139" s="27"/>
      <c r="Q139" s="27"/>
      <c r="R139" s="27"/>
      <c r="S139" s="27"/>
      <c r="T139" s="27"/>
      <c r="U139" s="27"/>
      <c r="V139" s="27"/>
      <c r="W139" s="27"/>
      <c r="X139" s="27"/>
      <c r="Y139" s="27"/>
      <c r="Z139" s="27"/>
      <c r="AA139" s="27"/>
      <c r="AB139" s="27"/>
      <c r="AC139" s="27"/>
      <c r="AD139" s="27"/>
      <c r="AE139" s="27"/>
      <c r="AF139" s="27"/>
      <c r="AG139" s="27"/>
      <c r="AH139" s="27"/>
      <c r="AI139" s="27"/>
      <c r="AJ139" s="27"/>
      <c r="AK139" s="27"/>
      <c r="AL139" s="27"/>
      <c r="AM139" s="27"/>
    </row>
    <row r="140" spans="1:39">
      <c r="B140" s="10" t="s">
        <v>455</v>
      </c>
      <c r="C140" s="27">
        <v>0</v>
      </c>
      <c r="D140" s="27"/>
      <c r="E140" s="27">
        <v>0</v>
      </c>
      <c r="F140" s="27"/>
      <c r="G140" s="27">
        <v>0</v>
      </c>
      <c r="H140" s="27"/>
      <c r="I140" s="27">
        <v>0</v>
      </c>
      <c r="J140" s="27"/>
      <c r="K140" s="27">
        <v>0</v>
      </c>
      <c r="L140" s="27"/>
      <c r="M140" s="27">
        <v>0</v>
      </c>
      <c r="N140" s="27"/>
      <c r="O140" s="27">
        <v>0</v>
      </c>
      <c r="P140" s="27"/>
      <c r="Q140" s="27">
        <v>0</v>
      </c>
      <c r="R140" s="27"/>
      <c r="S140" s="27">
        <v>0</v>
      </c>
      <c r="T140" s="27"/>
      <c r="U140" s="27">
        <v>0</v>
      </c>
      <c r="V140" s="27"/>
      <c r="W140" s="27">
        <v>0</v>
      </c>
      <c r="X140" s="27"/>
      <c r="Y140" s="27">
        <v>0</v>
      </c>
      <c r="Z140" s="27"/>
      <c r="AA140" s="27">
        <v>0</v>
      </c>
      <c r="AB140" s="27"/>
      <c r="AC140" s="27">
        <v>0</v>
      </c>
      <c r="AD140" s="27"/>
      <c r="AE140" s="27">
        <v>0</v>
      </c>
      <c r="AF140" s="27"/>
      <c r="AG140" s="27">
        <v>0</v>
      </c>
      <c r="AH140" s="27"/>
      <c r="AI140" s="27">
        <v>0</v>
      </c>
      <c r="AJ140" s="27"/>
      <c r="AK140" s="27">
        <v>0</v>
      </c>
      <c r="AL140" s="27"/>
      <c r="AM140" s="27">
        <f t="shared" ref="AM140:AM151" si="3">SUM(C140:AL140)</f>
        <v>0</v>
      </c>
    </row>
    <row r="141" spans="1:39">
      <c r="B141" s="10" t="s">
        <v>113</v>
      </c>
      <c r="C141" s="27">
        <v>0</v>
      </c>
      <c r="D141" s="27"/>
      <c r="E141" s="27">
        <v>0</v>
      </c>
      <c r="F141" s="27"/>
      <c r="G141" s="27">
        <v>0</v>
      </c>
      <c r="H141" s="27"/>
      <c r="I141" s="27">
        <v>0</v>
      </c>
      <c r="J141" s="27"/>
      <c r="K141" s="27">
        <v>0</v>
      </c>
      <c r="L141" s="27"/>
      <c r="M141" s="27">
        <v>0</v>
      </c>
      <c r="N141" s="27"/>
      <c r="O141" s="27">
        <v>0</v>
      </c>
      <c r="P141" s="27"/>
      <c r="Q141" s="27">
        <v>0</v>
      </c>
      <c r="R141" s="27"/>
      <c r="S141" s="27">
        <v>0</v>
      </c>
      <c r="T141" s="27"/>
      <c r="U141" s="27">
        <v>0</v>
      </c>
      <c r="V141" s="27"/>
      <c r="W141" s="27">
        <v>0</v>
      </c>
      <c r="X141" s="27"/>
      <c r="Y141" s="27">
        <v>0</v>
      </c>
      <c r="Z141" s="27"/>
      <c r="AA141" s="27">
        <v>0</v>
      </c>
      <c r="AB141" s="27"/>
      <c r="AC141" s="27">
        <v>0</v>
      </c>
      <c r="AD141" s="27"/>
      <c r="AE141" s="27">
        <v>0</v>
      </c>
      <c r="AF141" s="27"/>
      <c r="AG141" s="27">
        <v>0</v>
      </c>
      <c r="AH141" s="27"/>
      <c r="AI141" s="27">
        <v>0</v>
      </c>
      <c r="AJ141" s="27"/>
      <c r="AK141" s="27">
        <v>0</v>
      </c>
      <c r="AL141" s="27"/>
      <c r="AM141" s="27">
        <f t="shared" si="3"/>
        <v>0</v>
      </c>
    </row>
    <row r="142" spans="1:39">
      <c r="B142" s="10" t="s">
        <v>114</v>
      </c>
      <c r="C142" s="27">
        <v>0</v>
      </c>
      <c r="D142" s="27"/>
      <c r="E142" s="27">
        <v>0</v>
      </c>
      <c r="F142" s="27"/>
      <c r="G142" s="27">
        <v>0</v>
      </c>
      <c r="H142" s="27"/>
      <c r="I142" s="27">
        <v>0</v>
      </c>
      <c r="J142" s="27"/>
      <c r="K142" s="27">
        <v>0</v>
      </c>
      <c r="L142" s="27"/>
      <c r="M142" s="27">
        <v>0</v>
      </c>
      <c r="N142" s="27"/>
      <c r="O142" s="27">
        <v>0</v>
      </c>
      <c r="P142" s="27"/>
      <c r="Q142" s="27">
        <v>0</v>
      </c>
      <c r="R142" s="27"/>
      <c r="S142" s="27">
        <v>0</v>
      </c>
      <c r="T142" s="27"/>
      <c r="U142" s="27">
        <v>0</v>
      </c>
      <c r="V142" s="27"/>
      <c r="W142" s="27">
        <v>0</v>
      </c>
      <c r="X142" s="27"/>
      <c r="Y142" s="27">
        <v>0</v>
      </c>
      <c r="Z142" s="27"/>
      <c r="AA142" s="27">
        <v>0</v>
      </c>
      <c r="AB142" s="27"/>
      <c r="AC142" s="27">
        <v>0</v>
      </c>
      <c r="AD142" s="27"/>
      <c r="AE142" s="27">
        <v>0</v>
      </c>
      <c r="AF142" s="27"/>
      <c r="AG142" s="27">
        <v>0</v>
      </c>
      <c r="AH142" s="27"/>
      <c r="AI142" s="27">
        <v>0</v>
      </c>
      <c r="AJ142" s="27"/>
      <c r="AK142" s="27">
        <v>0</v>
      </c>
      <c r="AL142" s="27"/>
      <c r="AM142" s="27">
        <f t="shared" si="3"/>
        <v>0</v>
      </c>
    </row>
    <row r="143" spans="1:39">
      <c r="B143" s="10" t="s">
        <v>115</v>
      </c>
      <c r="C143" s="27">
        <v>0</v>
      </c>
      <c r="D143" s="27"/>
      <c r="E143" s="27">
        <v>0</v>
      </c>
      <c r="F143" s="27"/>
      <c r="G143" s="27">
        <v>0</v>
      </c>
      <c r="H143" s="27"/>
      <c r="I143" s="27">
        <v>0</v>
      </c>
      <c r="J143" s="27"/>
      <c r="K143" s="27">
        <v>0</v>
      </c>
      <c r="L143" s="27"/>
      <c r="M143" s="27">
        <v>0</v>
      </c>
      <c r="N143" s="27"/>
      <c r="O143" s="27">
        <v>0</v>
      </c>
      <c r="P143" s="27"/>
      <c r="Q143" s="27">
        <v>0</v>
      </c>
      <c r="R143" s="27"/>
      <c r="S143" s="27">
        <v>0</v>
      </c>
      <c r="T143" s="27"/>
      <c r="U143" s="27">
        <v>0</v>
      </c>
      <c r="V143" s="27"/>
      <c r="W143" s="27">
        <v>0</v>
      </c>
      <c r="X143" s="27"/>
      <c r="Y143" s="27">
        <v>0</v>
      </c>
      <c r="Z143" s="27"/>
      <c r="AA143" s="27">
        <v>0</v>
      </c>
      <c r="AB143" s="27"/>
      <c r="AC143" s="27">
        <v>0</v>
      </c>
      <c r="AD143" s="27"/>
      <c r="AE143" s="27">
        <v>0</v>
      </c>
      <c r="AF143" s="27"/>
      <c r="AG143" s="27">
        <v>0</v>
      </c>
      <c r="AH143" s="27"/>
      <c r="AI143" s="27">
        <v>0</v>
      </c>
      <c r="AJ143" s="27"/>
      <c r="AK143" s="27">
        <v>0</v>
      </c>
      <c r="AL143" s="27"/>
      <c r="AM143" s="27">
        <f t="shared" si="3"/>
        <v>0</v>
      </c>
    </row>
    <row r="144" spans="1:39">
      <c r="B144" s="10" t="s">
        <v>117</v>
      </c>
      <c r="C144" s="27">
        <v>0</v>
      </c>
      <c r="D144" s="27"/>
      <c r="E144" s="27">
        <v>0</v>
      </c>
      <c r="F144" s="27"/>
      <c r="G144" s="27">
        <v>0</v>
      </c>
      <c r="H144" s="27"/>
      <c r="I144" s="27">
        <v>0</v>
      </c>
      <c r="J144" s="27"/>
      <c r="K144" s="27">
        <v>0</v>
      </c>
      <c r="L144" s="27"/>
      <c r="M144" s="27">
        <v>0</v>
      </c>
      <c r="N144" s="27"/>
      <c r="O144" s="27">
        <v>0</v>
      </c>
      <c r="P144" s="27"/>
      <c r="Q144" s="27">
        <v>0</v>
      </c>
      <c r="R144" s="27"/>
      <c r="S144" s="27">
        <v>0</v>
      </c>
      <c r="T144" s="27"/>
      <c r="U144" s="27">
        <v>0</v>
      </c>
      <c r="V144" s="27"/>
      <c r="W144" s="27">
        <v>0</v>
      </c>
      <c r="X144" s="27"/>
      <c r="Y144" s="27">
        <v>0</v>
      </c>
      <c r="Z144" s="27"/>
      <c r="AA144" s="27">
        <v>0</v>
      </c>
      <c r="AB144" s="27"/>
      <c r="AC144" s="27">
        <v>0</v>
      </c>
      <c r="AD144" s="27"/>
      <c r="AE144" s="27">
        <v>0</v>
      </c>
      <c r="AF144" s="27"/>
      <c r="AG144" s="27">
        <v>0</v>
      </c>
      <c r="AH144" s="27"/>
      <c r="AI144" s="27">
        <v>0</v>
      </c>
      <c r="AJ144" s="27"/>
      <c r="AK144" s="27">
        <v>0</v>
      </c>
      <c r="AL144" s="27"/>
      <c r="AM144" s="27">
        <f t="shared" si="3"/>
        <v>0</v>
      </c>
    </row>
    <row r="145" spans="1:39">
      <c r="B145" s="10" t="s">
        <v>118</v>
      </c>
      <c r="C145" s="27">
        <v>0</v>
      </c>
      <c r="D145" s="27"/>
      <c r="E145" s="27">
        <v>0</v>
      </c>
      <c r="F145" s="27"/>
      <c r="G145" s="27">
        <v>0</v>
      </c>
      <c r="H145" s="27"/>
      <c r="I145" s="27">
        <v>0</v>
      </c>
      <c r="J145" s="27"/>
      <c r="K145" s="27">
        <v>0</v>
      </c>
      <c r="L145" s="27"/>
      <c r="M145" s="27">
        <v>0</v>
      </c>
      <c r="N145" s="27"/>
      <c r="O145" s="27">
        <v>0</v>
      </c>
      <c r="P145" s="27"/>
      <c r="Q145" s="27">
        <v>0</v>
      </c>
      <c r="R145" s="27"/>
      <c r="S145" s="27">
        <v>0</v>
      </c>
      <c r="T145" s="27"/>
      <c r="U145" s="27">
        <v>0</v>
      </c>
      <c r="V145" s="27"/>
      <c r="W145" s="27">
        <v>0</v>
      </c>
      <c r="X145" s="27"/>
      <c r="Y145" s="27">
        <v>0</v>
      </c>
      <c r="Z145" s="27"/>
      <c r="AA145" s="27">
        <v>0</v>
      </c>
      <c r="AB145" s="27"/>
      <c r="AC145" s="27">
        <v>0</v>
      </c>
      <c r="AD145" s="27"/>
      <c r="AE145" s="27">
        <v>0</v>
      </c>
      <c r="AF145" s="27"/>
      <c r="AG145" s="27">
        <v>0</v>
      </c>
      <c r="AH145" s="27"/>
      <c r="AI145" s="27">
        <v>0</v>
      </c>
      <c r="AJ145" s="27"/>
      <c r="AK145" s="27">
        <v>0</v>
      </c>
      <c r="AL145" s="27"/>
      <c r="AM145" s="27">
        <f t="shared" si="3"/>
        <v>0</v>
      </c>
    </row>
    <row r="146" spans="1:39">
      <c r="B146" s="10" t="s">
        <v>119</v>
      </c>
      <c r="C146" s="27">
        <v>0</v>
      </c>
      <c r="D146" s="27"/>
      <c r="E146" s="27">
        <v>0</v>
      </c>
      <c r="F146" s="27"/>
      <c r="G146" s="27">
        <v>0</v>
      </c>
      <c r="H146" s="27"/>
      <c r="I146" s="27">
        <v>0</v>
      </c>
      <c r="J146" s="27"/>
      <c r="K146" s="27">
        <v>0</v>
      </c>
      <c r="L146" s="27"/>
      <c r="M146" s="27">
        <v>0</v>
      </c>
      <c r="N146" s="27"/>
      <c r="O146" s="27">
        <v>0</v>
      </c>
      <c r="P146" s="27"/>
      <c r="Q146" s="27">
        <v>0</v>
      </c>
      <c r="R146" s="27"/>
      <c r="S146" s="27">
        <v>0</v>
      </c>
      <c r="T146" s="27"/>
      <c r="U146" s="27">
        <v>0</v>
      </c>
      <c r="V146" s="27"/>
      <c r="W146" s="27">
        <v>0</v>
      </c>
      <c r="X146" s="27"/>
      <c r="Y146" s="27">
        <v>0</v>
      </c>
      <c r="Z146" s="27"/>
      <c r="AA146" s="27">
        <v>0</v>
      </c>
      <c r="AB146" s="27"/>
      <c r="AC146" s="27">
        <v>0</v>
      </c>
      <c r="AD146" s="27"/>
      <c r="AE146" s="27">
        <v>0</v>
      </c>
      <c r="AF146" s="27"/>
      <c r="AG146" s="27">
        <v>0</v>
      </c>
      <c r="AH146" s="27"/>
      <c r="AI146" s="27">
        <v>0</v>
      </c>
      <c r="AJ146" s="27"/>
      <c r="AK146" s="27">
        <v>0</v>
      </c>
      <c r="AL146" s="27"/>
      <c r="AM146" s="27">
        <f t="shared" si="3"/>
        <v>0</v>
      </c>
    </row>
    <row r="147" spans="1:39">
      <c r="B147" s="10" t="s">
        <v>121</v>
      </c>
      <c r="C147" s="27">
        <v>0</v>
      </c>
      <c r="D147" s="27"/>
      <c r="E147" s="27">
        <v>0</v>
      </c>
      <c r="F147" s="27"/>
      <c r="G147" s="27">
        <v>300.39</v>
      </c>
      <c r="H147" s="27"/>
      <c r="I147" s="27">
        <v>0</v>
      </c>
      <c r="J147" s="27"/>
      <c r="K147" s="27">
        <v>0</v>
      </c>
      <c r="L147" s="27"/>
      <c r="M147" s="27">
        <v>0</v>
      </c>
      <c r="N147" s="27"/>
      <c r="O147" s="27">
        <v>0</v>
      </c>
      <c r="P147" s="27"/>
      <c r="Q147" s="27">
        <v>0</v>
      </c>
      <c r="R147" s="27"/>
      <c r="S147" s="27">
        <v>0</v>
      </c>
      <c r="T147" s="27"/>
      <c r="U147" s="27">
        <v>0</v>
      </c>
      <c r="V147" s="27"/>
      <c r="W147" s="27">
        <v>0</v>
      </c>
      <c r="X147" s="27"/>
      <c r="Y147" s="27">
        <v>0</v>
      </c>
      <c r="Z147" s="27"/>
      <c r="AA147" s="27">
        <v>0</v>
      </c>
      <c r="AB147" s="27"/>
      <c r="AC147" s="27">
        <v>0</v>
      </c>
      <c r="AD147" s="27"/>
      <c r="AE147" s="27">
        <v>0</v>
      </c>
      <c r="AF147" s="27"/>
      <c r="AG147" s="27">
        <v>0</v>
      </c>
      <c r="AH147" s="27"/>
      <c r="AI147" s="27">
        <v>0</v>
      </c>
      <c r="AJ147" s="27"/>
      <c r="AK147" s="27">
        <v>0</v>
      </c>
      <c r="AL147" s="27"/>
      <c r="AM147" s="27">
        <f t="shared" si="3"/>
        <v>300.39</v>
      </c>
    </row>
    <row r="148" spans="1:39">
      <c r="B148" s="10" t="s">
        <v>122</v>
      </c>
      <c r="C148" s="27">
        <v>0</v>
      </c>
      <c r="D148" s="27"/>
      <c r="E148" s="27">
        <v>0</v>
      </c>
      <c r="F148" s="27"/>
      <c r="G148" s="27">
        <v>0</v>
      </c>
      <c r="H148" s="27"/>
      <c r="I148" s="27">
        <v>0</v>
      </c>
      <c r="J148" s="27"/>
      <c r="K148" s="27">
        <v>0</v>
      </c>
      <c r="L148" s="27"/>
      <c r="M148" s="27">
        <v>0</v>
      </c>
      <c r="N148" s="27"/>
      <c r="O148" s="27">
        <v>0</v>
      </c>
      <c r="P148" s="27"/>
      <c r="Q148" s="27">
        <v>0</v>
      </c>
      <c r="R148" s="27"/>
      <c r="S148" s="27">
        <v>0</v>
      </c>
      <c r="T148" s="27"/>
      <c r="U148" s="27">
        <v>0</v>
      </c>
      <c r="V148" s="27"/>
      <c r="W148" s="27">
        <v>0</v>
      </c>
      <c r="X148" s="27"/>
      <c r="Y148" s="27">
        <v>0</v>
      </c>
      <c r="Z148" s="27"/>
      <c r="AA148" s="27">
        <v>0</v>
      </c>
      <c r="AB148" s="27"/>
      <c r="AC148" s="27">
        <v>0</v>
      </c>
      <c r="AD148" s="27"/>
      <c r="AE148" s="27">
        <v>0</v>
      </c>
      <c r="AF148" s="27"/>
      <c r="AG148" s="27">
        <v>0</v>
      </c>
      <c r="AH148" s="27"/>
      <c r="AI148" s="27">
        <v>0</v>
      </c>
      <c r="AJ148" s="27"/>
      <c r="AK148" s="27">
        <v>0</v>
      </c>
      <c r="AL148" s="27"/>
      <c r="AM148" s="27">
        <f t="shared" si="3"/>
        <v>0</v>
      </c>
    </row>
    <row r="149" spans="1:39">
      <c r="B149" s="10" t="s">
        <v>124</v>
      </c>
      <c r="C149" s="27">
        <v>0</v>
      </c>
      <c r="D149" s="27"/>
      <c r="E149" s="27">
        <v>0</v>
      </c>
      <c r="F149" s="27"/>
      <c r="G149" s="27">
        <v>0</v>
      </c>
      <c r="H149" s="27"/>
      <c r="I149" s="27">
        <v>0</v>
      </c>
      <c r="J149" s="27"/>
      <c r="K149" s="27">
        <v>0</v>
      </c>
      <c r="L149" s="27"/>
      <c r="M149" s="27">
        <v>0</v>
      </c>
      <c r="N149" s="27"/>
      <c r="O149" s="27">
        <v>0</v>
      </c>
      <c r="P149" s="27"/>
      <c r="Q149" s="27">
        <v>0</v>
      </c>
      <c r="R149" s="27"/>
      <c r="S149" s="27">
        <v>0</v>
      </c>
      <c r="T149" s="27"/>
      <c r="U149" s="27">
        <v>0</v>
      </c>
      <c r="V149" s="27"/>
      <c r="W149" s="27">
        <v>0</v>
      </c>
      <c r="X149" s="27"/>
      <c r="Y149" s="27">
        <v>0</v>
      </c>
      <c r="Z149" s="27"/>
      <c r="AA149" s="27">
        <v>0</v>
      </c>
      <c r="AB149" s="27"/>
      <c r="AC149" s="27">
        <v>0</v>
      </c>
      <c r="AD149" s="27"/>
      <c r="AE149" s="27">
        <v>0</v>
      </c>
      <c r="AF149" s="27"/>
      <c r="AG149" s="27">
        <v>0</v>
      </c>
      <c r="AH149" s="27"/>
      <c r="AI149" s="27">
        <v>0</v>
      </c>
      <c r="AJ149" s="27"/>
      <c r="AK149" s="27">
        <v>0</v>
      </c>
      <c r="AL149" s="27"/>
      <c r="AM149" s="27">
        <f t="shared" si="3"/>
        <v>0</v>
      </c>
    </row>
    <row r="150" spans="1:39">
      <c r="B150" s="10" t="s">
        <v>129</v>
      </c>
      <c r="C150" s="27">
        <v>0</v>
      </c>
      <c r="D150" s="27"/>
      <c r="E150" s="27">
        <v>0</v>
      </c>
      <c r="F150" s="27"/>
      <c r="G150" s="27">
        <v>0</v>
      </c>
      <c r="H150" s="27"/>
      <c r="I150" s="27">
        <v>0</v>
      </c>
      <c r="J150" s="27"/>
      <c r="K150" s="27">
        <v>0</v>
      </c>
      <c r="L150" s="27"/>
      <c r="M150" s="27">
        <v>0</v>
      </c>
      <c r="N150" s="27"/>
      <c r="O150" s="27">
        <v>0</v>
      </c>
      <c r="P150" s="27"/>
      <c r="Q150" s="27">
        <v>0</v>
      </c>
      <c r="R150" s="27"/>
      <c r="S150" s="27">
        <v>0</v>
      </c>
      <c r="T150" s="27"/>
      <c r="U150" s="27">
        <v>0</v>
      </c>
      <c r="V150" s="27"/>
      <c r="W150" s="27">
        <v>0</v>
      </c>
      <c r="X150" s="27"/>
      <c r="Y150" s="27">
        <v>0</v>
      </c>
      <c r="Z150" s="27"/>
      <c r="AA150" s="27">
        <v>0</v>
      </c>
      <c r="AB150" s="27"/>
      <c r="AC150" s="27">
        <v>0</v>
      </c>
      <c r="AD150" s="27"/>
      <c r="AE150" s="27">
        <v>0</v>
      </c>
      <c r="AF150" s="27"/>
      <c r="AG150" s="27">
        <v>0</v>
      </c>
      <c r="AH150" s="27"/>
      <c r="AI150" s="27">
        <v>0</v>
      </c>
      <c r="AJ150" s="27"/>
      <c r="AK150" s="27">
        <v>0</v>
      </c>
      <c r="AL150" s="27"/>
      <c r="AM150" s="27">
        <f t="shared" si="3"/>
        <v>0</v>
      </c>
    </row>
    <row r="151" spans="1:39">
      <c r="B151" s="10" t="s">
        <v>125</v>
      </c>
      <c r="C151" s="28">
        <v>0</v>
      </c>
      <c r="D151" s="27"/>
      <c r="E151" s="28">
        <v>0</v>
      </c>
      <c r="F151" s="27"/>
      <c r="G151" s="28">
        <v>-300.39</v>
      </c>
      <c r="H151" s="27"/>
      <c r="I151" s="28">
        <v>0</v>
      </c>
      <c r="J151" s="27"/>
      <c r="K151" s="28">
        <v>0</v>
      </c>
      <c r="L151" s="27"/>
      <c r="M151" s="28">
        <v>0</v>
      </c>
      <c r="N151" s="27"/>
      <c r="O151" s="28">
        <v>0</v>
      </c>
      <c r="P151" s="27"/>
      <c r="Q151" s="28">
        <v>0</v>
      </c>
      <c r="R151" s="27"/>
      <c r="S151" s="28">
        <v>0</v>
      </c>
      <c r="T151" s="27"/>
      <c r="U151" s="28">
        <v>0</v>
      </c>
      <c r="V151" s="27"/>
      <c r="W151" s="28">
        <v>0</v>
      </c>
      <c r="X151" s="27"/>
      <c r="Y151" s="28">
        <v>0</v>
      </c>
      <c r="Z151" s="27"/>
      <c r="AA151" s="28">
        <v>0</v>
      </c>
      <c r="AB151" s="27"/>
      <c r="AC151" s="28">
        <v>0</v>
      </c>
      <c r="AD151" s="27"/>
      <c r="AE151" s="28">
        <v>0</v>
      </c>
      <c r="AF151" s="27"/>
      <c r="AG151" s="28">
        <v>0</v>
      </c>
      <c r="AH151" s="27"/>
      <c r="AI151" s="28">
        <v>0</v>
      </c>
      <c r="AJ151" s="27"/>
      <c r="AK151" s="28">
        <v>0</v>
      </c>
      <c r="AL151" s="27"/>
      <c r="AM151" s="28">
        <f t="shared" si="3"/>
        <v>-300.39</v>
      </c>
    </row>
    <row r="152" spans="1:39">
      <c r="B152" s="10" t="s">
        <v>147</v>
      </c>
      <c r="C152" s="27">
        <f>SUM(C139:C151)</f>
        <v>0</v>
      </c>
      <c r="D152" s="27"/>
      <c r="E152" s="27">
        <f>SUM(E139:E151)</f>
        <v>0</v>
      </c>
      <c r="F152" s="27"/>
      <c r="G152" s="27">
        <f>SUM(G139:G151)</f>
        <v>0</v>
      </c>
      <c r="H152" s="27"/>
      <c r="I152" s="27">
        <f>SUM(I139:I151)</f>
        <v>0</v>
      </c>
      <c r="J152" s="27"/>
      <c r="K152" s="27">
        <f>SUM(K139:K151)</f>
        <v>0</v>
      </c>
      <c r="L152" s="27"/>
      <c r="M152" s="27">
        <f>SUM(M139:M151)</f>
        <v>0</v>
      </c>
      <c r="N152" s="27"/>
      <c r="O152" s="27">
        <f>SUM(O139:O151)</f>
        <v>0</v>
      </c>
      <c r="P152" s="27"/>
      <c r="Q152" s="27">
        <f>SUM(Q139:Q151)</f>
        <v>0</v>
      </c>
      <c r="R152" s="27"/>
      <c r="S152" s="27">
        <f>SUM(S139:S151)</f>
        <v>0</v>
      </c>
      <c r="T152" s="27"/>
      <c r="U152" s="27">
        <f>SUM(U139:U151)</f>
        <v>0</v>
      </c>
      <c r="V152" s="27"/>
      <c r="W152" s="27">
        <f>SUM(W139:W151)</f>
        <v>0</v>
      </c>
      <c r="X152" s="27"/>
      <c r="Y152" s="27">
        <f>SUM(Y139:Y151)</f>
        <v>0</v>
      </c>
      <c r="Z152" s="27"/>
      <c r="AA152" s="27">
        <f>SUM(AA139:AA151)</f>
        <v>0</v>
      </c>
      <c r="AB152" s="27"/>
      <c r="AC152" s="27">
        <f>SUM(AC139:AC151)</f>
        <v>0</v>
      </c>
      <c r="AD152" s="27"/>
      <c r="AE152" s="27">
        <f>SUM(AE139:AE151)</f>
        <v>0</v>
      </c>
      <c r="AF152" s="27"/>
      <c r="AG152" s="27">
        <f>SUM(AG139:AG151)</f>
        <v>0</v>
      </c>
      <c r="AH152" s="27"/>
      <c r="AI152" s="27">
        <f>SUM(AI139:AI151)</f>
        <v>0</v>
      </c>
      <c r="AJ152" s="27"/>
      <c r="AK152" s="27">
        <f>SUM(AK139:AK151)</f>
        <v>0</v>
      </c>
      <c r="AL152" s="27"/>
      <c r="AM152" s="27">
        <f>SUM(AM139:AM151)</f>
        <v>0</v>
      </c>
    </row>
    <row r="153" spans="1:39">
      <c r="B153" s="11"/>
      <c r="C153" s="71"/>
      <c r="D153" s="71"/>
      <c r="E153" s="71"/>
      <c r="F153" s="71"/>
      <c r="G153" s="71"/>
      <c r="H153" s="71"/>
      <c r="I153" s="71"/>
      <c r="J153" s="71"/>
      <c r="K153" s="71"/>
      <c r="L153" s="71"/>
      <c r="M153" s="71"/>
      <c r="N153" s="71"/>
      <c r="O153" s="71"/>
      <c r="P153" s="71"/>
      <c r="Q153" s="71"/>
      <c r="R153" s="71"/>
      <c r="S153" s="71"/>
      <c r="T153" s="71"/>
      <c r="U153" s="71"/>
      <c r="V153" s="71"/>
      <c r="W153" s="71"/>
      <c r="X153" s="71"/>
      <c r="Y153" s="71"/>
      <c r="Z153" s="71"/>
      <c r="AA153" s="71"/>
      <c r="AB153" s="71"/>
      <c r="AC153" s="71"/>
      <c r="AD153" s="71"/>
      <c r="AE153" s="71"/>
      <c r="AF153" s="71"/>
      <c r="AG153" s="71"/>
      <c r="AH153" s="71"/>
      <c r="AI153" s="71"/>
      <c r="AJ153" s="71"/>
      <c r="AK153" s="71"/>
      <c r="AL153" s="71"/>
      <c r="AM153" s="71"/>
    </row>
    <row r="154" spans="1:39" ht="15">
      <c r="A154" s="12" t="s">
        <v>654</v>
      </c>
      <c r="C154" s="87"/>
      <c r="D154" s="87"/>
      <c r="E154" s="87"/>
      <c r="F154" s="74"/>
      <c r="G154" s="87"/>
      <c r="H154" s="87"/>
      <c r="I154" s="87"/>
      <c r="J154" s="74"/>
      <c r="K154" s="87"/>
      <c r="L154" s="74"/>
      <c r="M154" s="87"/>
      <c r="N154" s="74"/>
      <c r="O154" s="87"/>
      <c r="P154" s="74"/>
      <c r="Q154" s="87"/>
      <c r="R154" s="74"/>
      <c r="S154" s="87"/>
      <c r="T154" s="74"/>
      <c r="U154" s="87"/>
      <c r="V154" s="74"/>
      <c r="W154" s="87"/>
      <c r="X154" s="74"/>
      <c r="Y154" s="87"/>
      <c r="Z154" s="74"/>
      <c r="AA154" s="87"/>
      <c r="AB154" s="74"/>
      <c r="AC154" s="87"/>
      <c r="AD154" s="74"/>
      <c r="AE154" s="87"/>
      <c r="AF154" s="74"/>
      <c r="AG154" s="87"/>
      <c r="AH154" s="74"/>
      <c r="AI154" s="87"/>
      <c r="AJ154" s="74"/>
      <c r="AK154" s="87"/>
      <c r="AL154" s="74"/>
      <c r="AM154" s="87"/>
    </row>
    <row r="155" spans="1:39">
      <c r="B155" s="10" t="s">
        <v>455</v>
      </c>
      <c r="C155" s="27">
        <v>0</v>
      </c>
      <c r="D155" s="27"/>
      <c r="E155" s="27">
        <v>0</v>
      </c>
      <c r="F155" s="27"/>
      <c r="G155" s="27">
        <v>0</v>
      </c>
      <c r="H155" s="27"/>
      <c r="I155" s="27">
        <v>0</v>
      </c>
      <c r="J155" s="27"/>
      <c r="K155" s="27">
        <v>0</v>
      </c>
      <c r="L155" s="27"/>
      <c r="M155" s="27">
        <v>0</v>
      </c>
      <c r="N155" s="27"/>
      <c r="O155" s="27">
        <v>0</v>
      </c>
      <c r="P155" s="27"/>
      <c r="Q155" s="27">
        <v>0</v>
      </c>
      <c r="R155" s="27"/>
      <c r="S155" s="27">
        <v>0</v>
      </c>
      <c r="T155" s="27"/>
      <c r="U155" s="27">
        <v>0</v>
      </c>
      <c r="V155" s="27"/>
      <c r="W155" s="27">
        <v>0</v>
      </c>
      <c r="X155" s="27"/>
      <c r="Y155" s="27">
        <v>0</v>
      </c>
      <c r="Z155" s="27"/>
      <c r="AA155" s="27">
        <v>0</v>
      </c>
      <c r="AB155" s="27"/>
      <c r="AC155" s="27">
        <v>0</v>
      </c>
      <c r="AD155" s="27"/>
      <c r="AE155" s="27">
        <v>0</v>
      </c>
      <c r="AF155" s="27"/>
      <c r="AG155" s="27">
        <v>0</v>
      </c>
      <c r="AH155" s="27"/>
      <c r="AI155" s="27">
        <v>0</v>
      </c>
      <c r="AJ155" s="27"/>
      <c r="AK155" s="27">
        <v>0</v>
      </c>
      <c r="AL155" s="27"/>
      <c r="AM155" s="27">
        <f t="shared" ref="AM155:AM167" si="4">SUM(C155:AL155)</f>
        <v>0</v>
      </c>
    </row>
    <row r="156" spans="1:39">
      <c r="B156" s="10" t="s">
        <v>113</v>
      </c>
      <c r="C156" s="27">
        <v>0</v>
      </c>
      <c r="D156" s="27"/>
      <c r="E156" s="27">
        <v>0</v>
      </c>
      <c r="F156" s="27"/>
      <c r="G156" s="27">
        <v>0</v>
      </c>
      <c r="H156" s="27"/>
      <c r="I156" s="27">
        <v>0</v>
      </c>
      <c r="J156" s="27"/>
      <c r="K156" s="27">
        <v>0</v>
      </c>
      <c r="L156" s="27"/>
      <c r="M156" s="27">
        <v>0</v>
      </c>
      <c r="N156" s="27"/>
      <c r="O156" s="27">
        <v>0</v>
      </c>
      <c r="P156" s="27"/>
      <c r="Q156" s="27">
        <v>0</v>
      </c>
      <c r="R156" s="27"/>
      <c r="S156" s="27">
        <v>0</v>
      </c>
      <c r="T156" s="27"/>
      <c r="U156" s="27">
        <v>0</v>
      </c>
      <c r="V156" s="27"/>
      <c r="W156" s="27">
        <v>0</v>
      </c>
      <c r="X156" s="27"/>
      <c r="Y156" s="27">
        <v>0</v>
      </c>
      <c r="Z156" s="27"/>
      <c r="AA156" s="27">
        <v>0</v>
      </c>
      <c r="AB156" s="27"/>
      <c r="AC156" s="27">
        <v>0</v>
      </c>
      <c r="AD156" s="27"/>
      <c r="AE156" s="27">
        <v>0</v>
      </c>
      <c r="AF156" s="27"/>
      <c r="AG156" s="27">
        <v>0</v>
      </c>
      <c r="AH156" s="27"/>
      <c r="AI156" s="27">
        <v>0</v>
      </c>
      <c r="AJ156" s="27"/>
      <c r="AK156" s="27">
        <v>0</v>
      </c>
      <c r="AL156" s="27"/>
      <c r="AM156" s="27">
        <f t="shared" si="4"/>
        <v>0</v>
      </c>
    </row>
    <row r="157" spans="1:39">
      <c r="B157" s="10" t="s">
        <v>114</v>
      </c>
      <c r="C157" s="27">
        <v>0</v>
      </c>
      <c r="D157" s="27"/>
      <c r="E157" s="27">
        <v>0</v>
      </c>
      <c r="F157" s="27"/>
      <c r="G157" s="27">
        <v>0</v>
      </c>
      <c r="H157" s="27"/>
      <c r="I157" s="27">
        <v>0</v>
      </c>
      <c r="J157" s="27"/>
      <c r="K157" s="27">
        <v>0</v>
      </c>
      <c r="L157" s="27"/>
      <c r="M157" s="27">
        <v>0</v>
      </c>
      <c r="N157" s="27"/>
      <c r="O157" s="27">
        <v>0</v>
      </c>
      <c r="P157" s="27"/>
      <c r="Q157" s="27">
        <v>0</v>
      </c>
      <c r="R157" s="27"/>
      <c r="S157" s="27">
        <v>0</v>
      </c>
      <c r="T157" s="27"/>
      <c r="U157" s="27">
        <v>0</v>
      </c>
      <c r="V157" s="27"/>
      <c r="W157" s="27">
        <v>0</v>
      </c>
      <c r="X157" s="27"/>
      <c r="Y157" s="27">
        <v>0</v>
      </c>
      <c r="Z157" s="27"/>
      <c r="AA157" s="27">
        <v>0</v>
      </c>
      <c r="AB157" s="27"/>
      <c r="AC157" s="27">
        <v>0</v>
      </c>
      <c r="AD157" s="27"/>
      <c r="AE157" s="27">
        <v>0</v>
      </c>
      <c r="AF157" s="27"/>
      <c r="AG157" s="27">
        <v>0</v>
      </c>
      <c r="AH157" s="27"/>
      <c r="AI157" s="27">
        <v>0</v>
      </c>
      <c r="AJ157" s="27"/>
      <c r="AK157" s="27">
        <v>0</v>
      </c>
      <c r="AL157" s="27"/>
      <c r="AM157" s="27">
        <f t="shared" si="4"/>
        <v>0</v>
      </c>
    </row>
    <row r="158" spans="1:39">
      <c r="B158" s="10" t="s">
        <v>115</v>
      </c>
      <c r="C158" s="27">
        <v>0</v>
      </c>
      <c r="D158" s="27"/>
      <c r="E158" s="27">
        <v>0</v>
      </c>
      <c r="F158" s="27"/>
      <c r="G158" s="27">
        <v>0</v>
      </c>
      <c r="H158" s="27"/>
      <c r="I158" s="27">
        <v>0</v>
      </c>
      <c r="J158" s="27"/>
      <c r="K158" s="27">
        <v>0</v>
      </c>
      <c r="L158" s="27"/>
      <c r="M158" s="27">
        <v>0</v>
      </c>
      <c r="N158" s="27"/>
      <c r="O158" s="27">
        <v>0</v>
      </c>
      <c r="P158" s="27"/>
      <c r="Q158" s="27">
        <v>0</v>
      </c>
      <c r="R158" s="27"/>
      <c r="S158" s="27">
        <v>0</v>
      </c>
      <c r="T158" s="27"/>
      <c r="U158" s="27">
        <v>0</v>
      </c>
      <c r="V158" s="27"/>
      <c r="W158" s="27">
        <v>0</v>
      </c>
      <c r="X158" s="27"/>
      <c r="Y158" s="27">
        <v>0</v>
      </c>
      <c r="Z158" s="27"/>
      <c r="AA158" s="27">
        <v>0</v>
      </c>
      <c r="AB158" s="27"/>
      <c r="AC158" s="27">
        <v>0</v>
      </c>
      <c r="AD158" s="27"/>
      <c r="AE158" s="27">
        <v>0</v>
      </c>
      <c r="AF158" s="27"/>
      <c r="AG158" s="27">
        <v>0</v>
      </c>
      <c r="AH158" s="27"/>
      <c r="AI158" s="27">
        <v>0</v>
      </c>
      <c r="AJ158" s="27"/>
      <c r="AK158" s="27">
        <v>0</v>
      </c>
      <c r="AL158" s="27"/>
      <c r="AM158" s="27">
        <f t="shared" si="4"/>
        <v>0</v>
      </c>
    </row>
    <row r="159" spans="1:39">
      <c r="B159" s="10" t="s">
        <v>117</v>
      </c>
      <c r="C159" s="27">
        <v>0</v>
      </c>
      <c r="D159" s="27"/>
      <c r="E159" s="27">
        <v>0</v>
      </c>
      <c r="F159" s="27"/>
      <c r="G159" s="27">
        <v>0</v>
      </c>
      <c r="H159" s="27"/>
      <c r="I159" s="27">
        <v>0</v>
      </c>
      <c r="J159" s="27"/>
      <c r="K159" s="27">
        <v>0</v>
      </c>
      <c r="L159" s="27"/>
      <c r="M159" s="27">
        <v>0</v>
      </c>
      <c r="N159" s="27"/>
      <c r="O159" s="27">
        <v>0</v>
      </c>
      <c r="P159" s="27"/>
      <c r="Q159" s="27">
        <v>0</v>
      </c>
      <c r="R159" s="27"/>
      <c r="S159" s="27">
        <v>0</v>
      </c>
      <c r="T159" s="27"/>
      <c r="U159" s="27">
        <v>0</v>
      </c>
      <c r="V159" s="27"/>
      <c r="W159" s="27">
        <v>0</v>
      </c>
      <c r="X159" s="27"/>
      <c r="Y159" s="27">
        <v>0</v>
      </c>
      <c r="Z159" s="27"/>
      <c r="AA159" s="27">
        <v>0</v>
      </c>
      <c r="AB159" s="27"/>
      <c r="AC159" s="27">
        <v>0</v>
      </c>
      <c r="AD159" s="27"/>
      <c r="AE159" s="27">
        <v>0</v>
      </c>
      <c r="AF159" s="27"/>
      <c r="AG159" s="27">
        <v>0</v>
      </c>
      <c r="AH159" s="27"/>
      <c r="AI159" s="27">
        <v>0</v>
      </c>
      <c r="AJ159" s="27"/>
      <c r="AK159" s="27">
        <v>0</v>
      </c>
      <c r="AL159" s="27"/>
      <c r="AM159" s="27">
        <f t="shared" si="4"/>
        <v>0</v>
      </c>
    </row>
    <row r="160" spans="1:39">
      <c r="B160" s="10" t="s">
        <v>118</v>
      </c>
      <c r="C160" s="27">
        <v>0</v>
      </c>
      <c r="D160" s="27"/>
      <c r="E160" s="27">
        <v>0</v>
      </c>
      <c r="F160" s="27"/>
      <c r="G160" s="27">
        <v>0</v>
      </c>
      <c r="H160" s="27"/>
      <c r="I160" s="27">
        <v>0</v>
      </c>
      <c r="J160" s="27"/>
      <c r="K160" s="27">
        <v>0</v>
      </c>
      <c r="L160" s="27"/>
      <c r="M160" s="27">
        <v>0</v>
      </c>
      <c r="N160" s="27"/>
      <c r="O160" s="27">
        <v>0</v>
      </c>
      <c r="P160" s="27"/>
      <c r="Q160" s="27">
        <v>0</v>
      </c>
      <c r="R160" s="27"/>
      <c r="S160" s="27">
        <v>0</v>
      </c>
      <c r="T160" s="27"/>
      <c r="U160" s="27">
        <v>0</v>
      </c>
      <c r="V160" s="27"/>
      <c r="W160" s="27">
        <v>0</v>
      </c>
      <c r="X160" s="27"/>
      <c r="Y160" s="27">
        <v>0</v>
      </c>
      <c r="Z160" s="27"/>
      <c r="AA160" s="27">
        <v>0</v>
      </c>
      <c r="AB160" s="27"/>
      <c r="AC160" s="27">
        <v>0</v>
      </c>
      <c r="AD160" s="27"/>
      <c r="AE160" s="27">
        <v>0</v>
      </c>
      <c r="AF160" s="27"/>
      <c r="AG160" s="27">
        <v>0</v>
      </c>
      <c r="AH160" s="27"/>
      <c r="AI160" s="27">
        <v>0</v>
      </c>
      <c r="AJ160" s="27"/>
      <c r="AK160" s="27">
        <v>0</v>
      </c>
      <c r="AL160" s="27"/>
      <c r="AM160" s="27">
        <f t="shared" si="4"/>
        <v>0</v>
      </c>
    </row>
    <row r="161" spans="1:39">
      <c r="B161" s="10" t="s">
        <v>119</v>
      </c>
      <c r="C161" s="27">
        <v>0</v>
      </c>
      <c r="D161" s="27"/>
      <c r="E161" s="27">
        <v>0</v>
      </c>
      <c r="F161" s="27"/>
      <c r="G161" s="27">
        <v>0</v>
      </c>
      <c r="H161" s="27"/>
      <c r="I161" s="27">
        <v>0</v>
      </c>
      <c r="J161" s="27"/>
      <c r="K161" s="27">
        <v>0</v>
      </c>
      <c r="L161" s="27"/>
      <c r="M161" s="27">
        <v>0</v>
      </c>
      <c r="N161" s="27"/>
      <c r="O161" s="27">
        <v>0</v>
      </c>
      <c r="P161" s="27"/>
      <c r="Q161" s="27">
        <v>0</v>
      </c>
      <c r="R161" s="27"/>
      <c r="S161" s="27">
        <v>0</v>
      </c>
      <c r="T161" s="27"/>
      <c r="U161" s="27">
        <v>0</v>
      </c>
      <c r="V161" s="27"/>
      <c r="W161" s="27">
        <v>0</v>
      </c>
      <c r="X161" s="27"/>
      <c r="Y161" s="27">
        <v>0</v>
      </c>
      <c r="Z161" s="27"/>
      <c r="AA161" s="27">
        <v>0</v>
      </c>
      <c r="AB161" s="27"/>
      <c r="AC161" s="27">
        <v>0</v>
      </c>
      <c r="AD161" s="27"/>
      <c r="AE161" s="27">
        <v>0</v>
      </c>
      <c r="AF161" s="27"/>
      <c r="AG161" s="27">
        <v>0</v>
      </c>
      <c r="AH161" s="27"/>
      <c r="AI161" s="27">
        <v>0</v>
      </c>
      <c r="AJ161" s="27"/>
      <c r="AK161" s="27">
        <v>0</v>
      </c>
      <c r="AL161" s="27"/>
      <c r="AM161" s="27">
        <f t="shared" si="4"/>
        <v>0</v>
      </c>
    </row>
    <row r="162" spans="1:39">
      <c r="B162" s="10" t="s">
        <v>121</v>
      </c>
      <c r="C162" s="27">
        <v>0</v>
      </c>
      <c r="D162" s="27"/>
      <c r="E162" s="27">
        <v>0</v>
      </c>
      <c r="F162" s="27"/>
      <c r="G162" s="27">
        <v>0</v>
      </c>
      <c r="H162" s="27"/>
      <c r="I162" s="27">
        <v>0</v>
      </c>
      <c r="J162" s="27"/>
      <c r="K162" s="27">
        <v>0</v>
      </c>
      <c r="L162" s="27"/>
      <c r="M162" s="27">
        <v>0</v>
      </c>
      <c r="N162" s="27"/>
      <c r="O162" s="27">
        <v>0</v>
      </c>
      <c r="P162" s="27"/>
      <c r="Q162" s="27">
        <v>0</v>
      </c>
      <c r="R162" s="27"/>
      <c r="S162" s="27">
        <v>0</v>
      </c>
      <c r="T162" s="27"/>
      <c r="U162" s="27">
        <v>0</v>
      </c>
      <c r="V162" s="27"/>
      <c r="W162" s="27">
        <v>0</v>
      </c>
      <c r="X162" s="27"/>
      <c r="Y162" s="27">
        <v>0</v>
      </c>
      <c r="Z162" s="27"/>
      <c r="AA162" s="27">
        <v>0</v>
      </c>
      <c r="AB162" s="27"/>
      <c r="AC162" s="27">
        <v>0</v>
      </c>
      <c r="AD162" s="27"/>
      <c r="AE162" s="27">
        <v>0</v>
      </c>
      <c r="AF162" s="27"/>
      <c r="AG162" s="27">
        <v>0</v>
      </c>
      <c r="AH162" s="27"/>
      <c r="AI162" s="27">
        <v>0</v>
      </c>
      <c r="AJ162" s="27"/>
      <c r="AK162" s="27">
        <v>0</v>
      </c>
      <c r="AL162" s="27"/>
      <c r="AM162" s="27">
        <f t="shared" si="4"/>
        <v>0</v>
      </c>
    </row>
    <row r="163" spans="1:39">
      <c r="B163" s="10" t="s">
        <v>122</v>
      </c>
      <c r="C163" s="27">
        <v>0</v>
      </c>
      <c r="D163" s="27"/>
      <c r="E163" s="27">
        <v>0</v>
      </c>
      <c r="F163" s="27"/>
      <c r="G163" s="27">
        <v>0</v>
      </c>
      <c r="H163" s="27"/>
      <c r="I163" s="27">
        <v>0</v>
      </c>
      <c r="J163" s="27"/>
      <c r="K163" s="27">
        <v>0</v>
      </c>
      <c r="L163" s="27"/>
      <c r="M163" s="27">
        <v>0</v>
      </c>
      <c r="N163" s="27"/>
      <c r="O163" s="27">
        <v>0</v>
      </c>
      <c r="P163" s="27"/>
      <c r="Q163" s="27">
        <v>0</v>
      </c>
      <c r="R163" s="27"/>
      <c r="S163" s="27">
        <v>0</v>
      </c>
      <c r="T163" s="27"/>
      <c r="U163" s="27">
        <v>0</v>
      </c>
      <c r="V163" s="27"/>
      <c r="W163" s="27">
        <v>0</v>
      </c>
      <c r="X163" s="27"/>
      <c r="Y163" s="27">
        <v>0</v>
      </c>
      <c r="Z163" s="27"/>
      <c r="AA163" s="27">
        <v>0</v>
      </c>
      <c r="AB163" s="27"/>
      <c r="AC163" s="27">
        <v>0</v>
      </c>
      <c r="AD163" s="27"/>
      <c r="AE163" s="27">
        <v>0</v>
      </c>
      <c r="AF163" s="27"/>
      <c r="AG163" s="27">
        <v>0</v>
      </c>
      <c r="AH163" s="27"/>
      <c r="AI163" s="27">
        <v>0</v>
      </c>
      <c r="AJ163" s="27"/>
      <c r="AK163" s="27">
        <v>0</v>
      </c>
      <c r="AL163" s="27"/>
      <c r="AM163" s="27">
        <f t="shared" si="4"/>
        <v>0</v>
      </c>
    </row>
    <row r="164" spans="1:39">
      <c r="B164" s="10" t="s">
        <v>124</v>
      </c>
      <c r="C164" s="27">
        <v>0</v>
      </c>
      <c r="D164" s="27"/>
      <c r="E164" s="27">
        <v>0</v>
      </c>
      <c r="F164" s="27"/>
      <c r="G164" s="27">
        <v>0</v>
      </c>
      <c r="H164" s="27"/>
      <c r="I164" s="27">
        <v>0</v>
      </c>
      <c r="J164" s="27"/>
      <c r="K164" s="27">
        <v>0</v>
      </c>
      <c r="L164" s="27"/>
      <c r="M164" s="27">
        <v>0</v>
      </c>
      <c r="N164" s="27"/>
      <c r="O164" s="27">
        <v>0</v>
      </c>
      <c r="P164" s="27"/>
      <c r="Q164" s="27">
        <v>0</v>
      </c>
      <c r="R164" s="27"/>
      <c r="S164" s="27">
        <v>0</v>
      </c>
      <c r="T164" s="27"/>
      <c r="U164" s="27">
        <v>0</v>
      </c>
      <c r="V164" s="27"/>
      <c r="W164" s="27">
        <v>0</v>
      </c>
      <c r="X164" s="27"/>
      <c r="Y164" s="27">
        <v>0</v>
      </c>
      <c r="Z164" s="27"/>
      <c r="AA164" s="27">
        <v>0</v>
      </c>
      <c r="AB164" s="27"/>
      <c r="AC164" s="27">
        <v>0</v>
      </c>
      <c r="AD164" s="27"/>
      <c r="AE164" s="27">
        <v>0</v>
      </c>
      <c r="AF164" s="27"/>
      <c r="AG164" s="27">
        <v>0</v>
      </c>
      <c r="AH164" s="27"/>
      <c r="AI164" s="27">
        <v>0</v>
      </c>
      <c r="AJ164" s="27"/>
      <c r="AK164" s="27">
        <v>0</v>
      </c>
      <c r="AL164" s="27"/>
      <c r="AM164" s="27">
        <f t="shared" si="4"/>
        <v>0</v>
      </c>
    </row>
    <row r="165" spans="1:39">
      <c r="B165" s="10" t="s">
        <v>129</v>
      </c>
      <c r="C165" s="27">
        <v>0</v>
      </c>
      <c r="D165" s="27"/>
      <c r="E165" s="27">
        <v>0</v>
      </c>
      <c r="F165" s="27"/>
      <c r="G165" s="27">
        <v>0</v>
      </c>
      <c r="H165" s="27"/>
      <c r="I165" s="27">
        <v>0</v>
      </c>
      <c r="J165" s="27"/>
      <c r="K165" s="27">
        <v>0</v>
      </c>
      <c r="L165" s="27"/>
      <c r="M165" s="27">
        <v>0</v>
      </c>
      <c r="N165" s="27"/>
      <c r="O165" s="27">
        <v>0</v>
      </c>
      <c r="P165" s="27"/>
      <c r="Q165" s="27">
        <v>0</v>
      </c>
      <c r="R165" s="27"/>
      <c r="S165" s="27">
        <v>0</v>
      </c>
      <c r="T165" s="27"/>
      <c r="U165" s="27">
        <v>0</v>
      </c>
      <c r="V165" s="27"/>
      <c r="W165" s="27">
        <v>0</v>
      </c>
      <c r="X165" s="27"/>
      <c r="Y165" s="27">
        <v>0</v>
      </c>
      <c r="Z165" s="27"/>
      <c r="AA165" s="27">
        <v>0</v>
      </c>
      <c r="AB165" s="27"/>
      <c r="AC165" s="27">
        <v>0</v>
      </c>
      <c r="AD165" s="27"/>
      <c r="AE165" s="27">
        <v>0</v>
      </c>
      <c r="AF165" s="27"/>
      <c r="AG165" s="27">
        <v>0</v>
      </c>
      <c r="AH165" s="27"/>
      <c r="AI165" s="27">
        <v>0</v>
      </c>
      <c r="AJ165" s="27"/>
      <c r="AK165" s="27">
        <v>0</v>
      </c>
      <c r="AL165" s="27"/>
      <c r="AM165" s="27">
        <f t="shared" si="4"/>
        <v>0</v>
      </c>
    </row>
    <row r="166" spans="1:39">
      <c r="B166" s="10" t="s">
        <v>125</v>
      </c>
      <c r="C166" s="27">
        <v>0</v>
      </c>
      <c r="D166" s="27"/>
      <c r="E166" s="27">
        <v>0</v>
      </c>
      <c r="F166" s="27"/>
      <c r="G166" s="27">
        <v>0</v>
      </c>
      <c r="H166" s="27"/>
      <c r="I166" s="27">
        <v>0</v>
      </c>
      <c r="J166" s="27"/>
      <c r="K166" s="27">
        <v>0</v>
      </c>
      <c r="L166" s="27"/>
      <c r="M166" s="27">
        <v>0</v>
      </c>
      <c r="N166" s="27"/>
      <c r="O166" s="27">
        <v>0</v>
      </c>
      <c r="P166" s="27"/>
      <c r="Q166" s="27">
        <v>0</v>
      </c>
      <c r="R166" s="27"/>
      <c r="S166" s="27">
        <v>0</v>
      </c>
      <c r="T166" s="27"/>
      <c r="U166" s="27">
        <v>0</v>
      </c>
      <c r="V166" s="27"/>
      <c r="W166" s="27">
        <v>0</v>
      </c>
      <c r="X166" s="27"/>
      <c r="Y166" s="27">
        <v>0</v>
      </c>
      <c r="Z166" s="27"/>
      <c r="AA166" s="27">
        <v>0</v>
      </c>
      <c r="AB166" s="27"/>
      <c r="AC166" s="27">
        <v>0</v>
      </c>
      <c r="AD166" s="27"/>
      <c r="AE166" s="27">
        <v>0</v>
      </c>
      <c r="AF166" s="27"/>
      <c r="AG166" s="27">
        <v>0</v>
      </c>
      <c r="AH166" s="27"/>
      <c r="AI166" s="27">
        <v>0</v>
      </c>
      <c r="AJ166" s="27"/>
      <c r="AK166" s="27">
        <v>0</v>
      </c>
      <c r="AL166" s="27"/>
      <c r="AM166" s="27">
        <f t="shared" si="4"/>
        <v>0</v>
      </c>
    </row>
    <row r="167" spans="1:39">
      <c r="B167" s="10" t="s">
        <v>131</v>
      </c>
      <c r="C167" s="28">
        <v>0</v>
      </c>
      <c r="D167" s="27"/>
      <c r="E167" s="28">
        <v>0</v>
      </c>
      <c r="F167" s="27"/>
      <c r="G167" s="28">
        <v>0</v>
      </c>
      <c r="H167" s="27"/>
      <c r="I167" s="28">
        <v>0</v>
      </c>
      <c r="J167" s="27"/>
      <c r="K167" s="28">
        <v>0</v>
      </c>
      <c r="L167" s="27"/>
      <c r="M167" s="28">
        <v>0</v>
      </c>
      <c r="N167" s="27"/>
      <c r="O167" s="28">
        <v>0</v>
      </c>
      <c r="P167" s="27"/>
      <c r="Q167" s="28">
        <v>0</v>
      </c>
      <c r="R167" s="27"/>
      <c r="S167" s="28">
        <v>0</v>
      </c>
      <c r="T167" s="27"/>
      <c r="U167" s="28">
        <v>0</v>
      </c>
      <c r="V167" s="27"/>
      <c r="W167" s="28">
        <v>0</v>
      </c>
      <c r="X167" s="27"/>
      <c r="Y167" s="28">
        <v>0</v>
      </c>
      <c r="Z167" s="27"/>
      <c r="AA167" s="28">
        <v>0</v>
      </c>
      <c r="AB167" s="27"/>
      <c r="AC167" s="28">
        <v>0</v>
      </c>
      <c r="AD167" s="27"/>
      <c r="AE167" s="28">
        <v>0</v>
      </c>
      <c r="AF167" s="27"/>
      <c r="AG167" s="28">
        <v>0</v>
      </c>
      <c r="AH167" s="27"/>
      <c r="AI167" s="28">
        <v>0</v>
      </c>
      <c r="AJ167" s="27"/>
      <c r="AK167" s="28">
        <v>0</v>
      </c>
      <c r="AL167" s="27"/>
      <c r="AM167" s="28">
        <f t="shared" si="4"/>
        <v>0</v>
      </c>
    </row>
    <row r="168" spans="1:39">
      <c r="B168" s="11"/>
      <c r="C168" s="27">
        <f>SUM(C155:C167)</f>
        <v>0</v>
      </c>
      <c r="D168" s="27"/>
      <c r="E168" s="27">
        <f>SUM(E155:E167)</f>
        <v>0</v>
      </c>
      <c r="F168" s="27"/>
      <c r="G168" s="27">
        <f>SUM(G155:G167)</f>
        <v>0</v>
      </c>
      <c r="H168" s="27"/>
      <c r="I168" s="27">
        <f>SUM(I155:I167)</f>
        <v>0</v>
      </c>
      <c r="J168" s="27"/>
      <c r="K168" s="27">
        <f>SUM(K155:K167)</f>
        <v>0</v>
      </c>
      <c r="L168" s="27"/>
      <c r="M168" s="27">
        <f>SUM(M155:M167)</f>
        <v>0</v>
      </c>
      <c r="N168" s="27"/>
      <c r="O168" s="27">
        <f>SUM(O155:O167)</f>
        <v>0</v>
      </c>
      <c r="P168" s="27"/>
      <c r="Q168" s="27">
        <f>SUM(Q155:Q167)</f>
        <v>0</v>
      </c>
      <c r="R168" s="27"/>
      <c r="S168" s="27">
        <f>SUM(S155:S167)</f>
        <v>0</v>
      </c>
      <c r="T168" s="27"/>
      <c r="U168" s="27">
        <f>SUM(U155:U167)</f>
        <v>0</v>
      </c>
      <c r="V168" s="27"/>
      <c r="W168" s="27">
        <f>SUM(W155:W167)</f>
        <v>0</v>
      </c>
      <c r="X168" s="27"/>
      <c r="Y168" s="27">
        <f>SUM(Y155:Y167)</f>
        <v>0</v>
      </c>
      <c r="Z168" s="27"/>
      <c r="AA168" s="27">
        <f>SUM(AA155:AA167)</f>
        <v>0</v>
      </c>
      <c r="AB168" s="27"/>
      <c r="AC168" s="27">
        <f>SUM(AC155:AC167)</f>
        <v>0</v>
      </c>
      <c r="AD168" s="27"/>
      <c r="AE168" s="27">
        <f>SUM(AE155:AE167)</f>
        <v>0</v>
      </c>
      <c r="AF168" s="27"/>
      <c r="AG168" s="27">
        <f>SUM(AG155:AG167)</f>
        <v>0</v>
      </c>
      <c r="AH168" s="27"/>
      <c r="AI168" s="27">
        <f>SUM(AI155:AI167)</f>
        <v>0</v>
      </c>
      <c r="AJ168" s="27"/>
      <c r="AK168" s="27">
        <f>SUM(AK155:AK167)</f>
        <v>0</v>
      </c>
      <c r="AL168" s="27"/>
      <c r="AM168" s="27">
        <f>SUM(AM155:AM167)</f>
        <v>0</v>
      </c>
    </row>
    <row r="169" spans="1:39">
      <c r="C169" s="27"/>
      <c r="D169" s="27"/>
      <c r="E169" s="27"/>
      <c r="F169" s="27"/>
      <c r="G169" s="27"/>
      <c r="H169" s="27"/>
      <c r="I169" s="27"/>
      <c r="J169" s="27"/>
      <c r="K169" s="27"/>
      <c r="L169" s="27"/>
      <c r="M169" s="27"/>
      <c r="N169" s="27"/>
      <c r="O169" s="27"/>
      <c r="P169" s="27"/>
      <c r="Q169" s="27"/>
      <c r="R169" s="27"/>
      <c r="S169" s="27"/>
      <c r="T169" s="27"/>
      <c r="U169" s="27"/>
      <c r="V169" s="27"/>
      <c r="W169" s="27"/>
      <c r="X169" s="27"/>
      <c r="Y169" s="27"/>
      <c r="Z169" s="27"/>
      <c r="AA169" s="27"/>
      <c r="AB169" s="27"/>
      <c r="AC169" s="27"/>
      <c r="AD169" s="27"/>
      <c r="AE169" s="27"/>
      <c r="AF169" s="27"/>
      <c r="AG169" s="27"/>
      <c r="AH169" s="27"/>
      <c r="AI169" s="27"/>
      <c r="AJ169" s="27"/>
      <c r="AK169" s="27"/>
      <c r="AL169" s="27"/>
      <c r="AM169" s="27"/>
    </row>
    <row r="170" spans="1:39">
      <c r="A170" s="12" t="s">
        <v>655</v>
      </c>
      <c r="C170" s="24"/>
      <c r="D170" s="24"/>
      <c r="E170" s="24"/>
      <c r="F170" s="24"/>
      <c r="G170" s="24"/>
      <c r="H170" s="24"/>
      <c r="I170" s="24"/>
      <c r="J170" s="24"/>
      <c r="K170" s="24"/>
      <c r="L170" s="24"/>
      <c r="M170" s="24"/>
      <c r="N170" s="24"/>
      <c r="O170" s="24"/>
      <c r="P170" s="24"/>
      <c r="Q170" s="24"/>
      <c r="R170" s="24"/>
      <c r="S170" s="24"/>
      <c r="T170" s="24"/>
      <c r="U170" s="24"/>
      <c r="V170" s="24"/>
      <c r="W170" s="24"/>
      <c r="X170" s="24"/>
      <c r="Y170" s="24"/>
      <c r="Z170" s="24"/>
      <c r="AA170" s="24"/>
      <c r="AB170" s="24"/>
      <c r="AC170" s="24"/>
      <c r="AD170" s="24"/>
      <c r="AE170" s="24"/>
      <c r="AF170" s="24"/>
      <c r="AG170" s="24"/>
      <c r="AH170" s="24"/>
      <c r="AI170" s="24"/>
      <c r="AJ170" s="24"/>
      <c r="AK170" s="24"/>
      <c r="AL170" s="24"/>
      <c r="AM170" s="24"/>
    </row>
    <row r="171" spans="1:39">
      <c r="B171" s="10" t="s">
        <v>652</v>
      </c>
      <c r="C171" s="24">
        <f>C155+C139+C115+C116+C167+C151+C135</f>
        <v>0</v>
      </c>
      <c r="D171" s="24"/>
      <c r="E171" s="24">
        <f>E155+E139+E115+E116+E167+E151+E135</f>
        <v>0</v>
      </c>
      <c r="F171" s="24"/>
      <c r="G171" s="24">
        <f>G155+G139+G115+G116+G167</f>
        <v>0</v>
      </c>
      <c r="H171" s="24"/>
      <c r="I171" s="24">
        <f>I155+I139+I115+I116+I167+I151+I135</f>
        <v>0</v>
      </c>
      <c r="J171" s="24"/>
      <c r="K171" s="24">
        <f>K155+K139+K115+K116+K167+K151+K135</f>
        <v>0</v>
      </c>
      <c r="L171" s="24"/>
      <c r="M171" s="24">
        <f>M155+M139+M115+M116+M167+M151+M135</f>
        <v>0</v>
      </c>
      <c r="N171" s="24"/>
      <c r="O171" s="24">
        <f>O155+O139+O115+O116+O167+O151+O135</f>
        <v>0</v>
      </c>
      <c r="P171" s="24"/>
      <c r="Q171" s="24">
        <f>Q155+Q139+Q115+Q116+Q167+Q151+Q135</f>
        <v>0</v>
      </c>
      <c r="R171" s="24"/>
      <c r="S171" s="24">
        <f>S155+S139+S115+S116+S167+S151+S135</f>
        <v>0</v>
      </c>
      <c r="T171" s="24"/>
      <c r="U171" s="24">
        <f>U155+U139+U115+U116+U167+U151+U135</f>
        <v>0</v>
      </c>
      <c r="V171" s="24"/>
      <c r="W171" s="24">
        <f>W155+W139+W115+W116+W167+W151+W135</f>
        <v>0</v>
      </c>
      <c r="X171" s="24"/>
      <c r="Y171" s="24">
        <f>Y155+Y139+Y115+Y116+Y167+Y151+Y135</f>
        <v>0</v>
      </c>
      <c r="Z171" s="24"/>
      <c r="AA171" s="24">
        <f>AA155+AA139+AA115+AA116+AA167+AA151+AA135</f>
        <v>0</v>
      </c>
      <c r="AB171" s="24"/>
      <c r="AC171" s="24">
        <f>AC155+AC139+AC115+AC116+AC167+AC151+AC135</f>
        <v>0</v>
      </c>
      <c r="AD171" s="24"/>
      <c r="AE171" s="24">
        <f>AE155+AE139+AE115+AE116+AE167+AE151+AE135</f>
        <v>0</v>
      </c>
      <c r="AF171" s="24"/>
      <c r="AG171" s="24">
        <f>AG155+AG139+AG115+AG116+AG167+AG151+AG135</f>
        <v>0</v>
      </c>
      <c r="AH171" s="24"/>
      <c r="AI171" s="24">
        <f>AI155+AI139+AI115+AI116+AI167+AI151+AI135</f>
        <v>0</v>
      </c>
      <c r="AJ171" s="24"/>
      <c r="AK171" s="24">
        <f>AK155+AK139+AK115+AK116+AK167+AK151+AK135</f>
        <v>0</v>
      </c>
      <c r="AL171" s="24"/>
      <c r="AM171" s="24">
        <f>SUM(C171:AL171)</f>
        <v>0</v>
      </c>
    </row>
    <row r="172" spans="1:39">
      <c r="B172" s="10" t="s">
        <v>112</v>
      </c>
      <c r="C172" s="27">
        <f>C156+C157+C158+C159+C160+C161+C140+C141+C142+C143+C144+C145+C117+C118+C119+C120+C121+C122+C123+C124+C125+C126+C127+C146+C128</f>
        <v>-223.56</v>
      </c>
      <c r="D172" s="27"/>
      <c r="E172" s="27">
        <f>E156+E157+E158+E159+E160+E161+E140+E141+E142+E143+E144+E145+E117+E118+E119+E120+E121+E122+E123+E124+E125+E126+E127+E146+E128</f>
        <v>0</v>
      </c>
      <c r="F172" s="27"/>
      <c r="G172" s="27">
        <f>G156+G157+G158+G159+G160+G161+G140+G141+G142+G143+G144+G145+G117+G118+G119+G120+G121+G122+G123+G124+G125+G126+G127+G146+G128</f>
        <v>0</v>
      </c>
      <c r="H172" s="27"/>
      <c r="I172" s="27">
        <f>I156+I157+I158+I159+I160+I161+I140+I141+I142+I143+I144+I145+I117+I118+I119+I120+I121+I122+I123+I124+I125+I126+I127+I146+I128</f>
        <v>0</v>
      </c>
      <c r="J172" s="27"/>
      <c r="K172" s="27">
        <f>K156+K157+K158+K159+K160+K161+K140+K141+K142+K143+K144+K145+K117+K118+K119+K120+K121+K122+K123+K124+K125+K126+K127+K146+K128</f>
        <v>0</v>
      </c>
      <c r="L172" s="27"/>
      <c r="M172" s="27">
        <f>M156+M157+M158+M159+M160+M161+M140+M141+M142+M143+M144+M145+M117+M118+M119+M120+M121+M122+M123+M124+M125+M126+M127+M146+M128</f>
        <v>0</v>
      </c>
      <c r="N172" s="27"/>
      <c r="O172" s="27">
        <f>O156+O157+O158+O159+O160+O161+O140+O141+O142+O143+O144+O145+O117+O118+O119+O120+O121+O122+O123+O124+O125+O126+O127+O146+O128</f>
        <v>0</v>
      </c>
      <c r="P172" s="27"/>
      <c r="Q172" s="27">
        <f>Q156+Q157+Q158+Q159+Q160+Q161+Q140+Q141+Q142+Q143+Q144+Q145+Q117+Q118+Q119+Q120+Q121+Q122+Q123+Q124+Q125+Q126+Q127+Q146+Q128</f>
        <v>0</v>
      </c>
      <c r="R172" s="27"/>
      <c r="S172" s="27">
        <f>S156+S157+S158+S159+S160+S161+S140+S141+S142+S143+S144+S145+S117+S118+S119+S120+S121+S122+S123+S124+S125+S126+S127+S146+S128</f>
        <v>0</v>
      </c>
      <c r="T172" s="27"/>
      <c r="U172" s="27">
        <f>U156+U157+U158+U159+U160+U161+U140+U141+U142+U143+U144+U145+U117+U118+U119+U120+U121+U122+U123+U124+U125+U126+U127+U146+U128</f>
        <v>0</v>
      </c>
      <c r="V172" s="27"/>
      <c r="W172" s="27">
        <f>W156+W157+W158+W159+W160+W161+W140+W141+W142+W143+W144+W145+W117+W118+W119+W120+W121+W122+W123+W124+W125+W126+W127+W146+W128</f>
        <v>0</v>
      </c>
      <c r="X172" s="27"/>
      <c r="Y172" s="27">
        <f>Y156+Y157+Y158+Y159+Y160+Y161+Y140+Y141+Y142+Y143+Y144+Y145+Y117+Y118+Y119+Y120+Y121+Y122+Y123+Y124+Y125+Y126+Y127+Y146+Y128</f>
        <v>0</v>
      </c>
      <c r="Z172" s="27"/>
      <c r="AA172" s="27">
        <f>AA156+AA157+AA158+AA159+AA160+AA161+AA140+AA141+AA142+AA143+AA144+AA145+AA117+AA118+AA119+AA120+AA121+AA122+AA123+AA124+AA125+AA126+AA127+AA146+AA128</f>
        <v>0</v>
      </c>
      <c r="AB172" s="27"/>
      <c r="AC172" s="27">
        <f>AC156+AC157+AC158+AC159+AC160+AC161+AC140+AC141+AC142+AC143+AC144+AC145+AC117+AC118+AC119+AC120+AC121+AC122+AC123+AC124+AC125+AC126+AC127+AC146+AC128</f>
        <v>0</v>
      </c>
      <c r="AD172" s="27"/>
      <c r="AE172" s="27">
        <f>AE156+AE157+AE158+AE159+AE160+AE161+AE140+AE141+AE142+AE143+AE144+AE145+AE117+AE118+AE119+AE120+AE121+AE122+AE123+AE124+AE125+AE126+AE127+AE146+AE128</f>
        <v>0</v>
      </c>
      <c r="AF172" s="27"/>
      <c r="AG172" s="27">
        <f>AG156+AG157+AG158+AG159+AG160+AG161+AG140+AG141+AG142+AG143+AG144+AG145+AG117+AG118+AG119+AG120+AG121+AG122+AG123+AG124+AG125+AG126+AG127+AG146+AG128</f>
        <v>0</v>
      </c>
      <c r="AH172" s="27"/>
      <c r="AI172" s="27">
        <f>AI156+AI157+AI158+AI159+AI160+AI161+AI140+AI141+AI142+AI143+AI144+AI145+AI117+AI118+AI119+AI120+AI121+AI122+AI123+AI124+AI125+AI126+AI127+AI146+AI128</f>
        <v>0</v>
      </c>
      <c r="AJ172" s="27"/>
      <c r="AK172" s="27">
        <f>AK156+AK157+AK158+AK159+AK160+AK161+AK140+AK141+AK142+AK143+AK144+AK145+AK117+AK118+AK119+AK120+AK121+AK122+AK123+AK124+AK125+AK126+AK127+AK146+AK128</f>
        <v>0</v>
      </c>
      <c r="AL172" s="27"/>
      <c r="AM172" s="27">
        <f>SUM(C172:AL172)</f>
        <v>-223.56</v>
      </c>
    </row>
    <row r="173" spans="1:39">
      <c r="B173" s="10" t="s">
        <v>120</v>
      </c>
      <c r="C173" s="28">
        <f>C162+C163+C164+C165+C166+C147+C148+C149+C150+C129+C130+C131+C132+C133+C134</f>
        <v>0</v>
      </c>
      <c r="D173" s="27"/>
      <c r="E173" s="28">
        <f>E162+E163+E164+E165+E166+E147+E148+E149+E150+E129+E130+E131+E132+E133+E134</f>
        <v>0</v>
      </c>
      <c r="F173" s="27"/>
      <c r="G173" s="28">
        <f>G162+G163+G164+G165+G166+G147+G148+G149+G150+G129+G130+G131+G132+G133+G134+G151+G135</f>
        <v>0</v>
      </c>
      <c r="H173" s="27"/>
      <c r="I173" s="28">
        <f>I162+I163+I164+I165+I166+I147+I148+I149+I150+I129+I130+I131+I132+I133+I134</f>
        <v>0</v>
      </c>
      <c r="J173" s="27"/>
      <c r="K173" s="28">
        <f>K162+K163+K164+K165+K166+K147+K148+K149+K150+K129+K130+K131+K132+K133+K134</f>
        <v>0</v>
      </c>
      <c r="L173" s="27"/>
      <c r="M173" s="28">
        <f>M162+M163+M164+M165+M166+M147+M148+M149+M150+M129+M130+M131+M132+M133+M134</f>
        <v>0</v>
      </c>
      <c r="N173" s="27"/>
      <c r="O173" s="28">
        <f>O162+O163+O164+O165+O166+O147+O148+O149+O150+O129+O130+O131+O132+O133+O134</f>
        <v>0</v>
      </c>
      <c r="P173" s="27"/>
      <c r="Q173" s="28">
        <f>Q162+Q163+Q164+Q165+Q166+Q147+Q148+Q149+Q150+Q129+Q130+Q131+Q132+Q133+Q134</f>
        <v>0</v>
      </c>
      <c r="R173" s="27"/>
      <c r="S173" s="28">
        <f>S162+S163+S164+S165+S166+S147+S148+S149+S150+S129+S130+S131+S132+S133+S134</f>
        <v>0</v>
      </c>
      <c r="T173" s="27"/>
      <c r="U173" s="28">
        <f>U162+U163+U164+U165+U166+U147+U148+U149+U150+U129+U130+U131+U132+U133+U134</f>
        <v>0</v>
      </c>
      <c r="V173" s="27"/>
      <c r="W173" s="28">
        <f>W162+W163+W164+W165+W166+W147+W148+W149+W150+W129+W130+W131+W132+W133+W134</f>
        <v>0</v>
      </c>
      <c r="X173" s="27"/>
      <c r="Y173" s="28">
        <f>Y162+Y163+Y164+Y165+Y166+Y147+Y148+Y149+Y150+Y129+Y130+Y131+Y132+Y133+Y134</f>
        <v>0</v>
      </c>
      <c r="Z173" s="27"/>
      <c r="AA173" s="28">
        <f>AA162+AA163+AA164+AA165+AA166+AA147+AA148+AA149+AA150+AA129+AA130+AA131+AA132+AA133+AA134</f>
        <v>0</v>
      </c>
      <c r="AB173" s="27"/>
      <c r="AC173" s="28">
        <f>AC162+AC163+AC164+AC165+AC166+AC147+AC148+AC149+AC150+AC129+AC130+AC131+AC132+AC133+AC134</f>
        <v>0</v>
      </c>
      <c r="AD173" s="27"/>
      <c r="AE173" s="28">
        <f>AE162+AE163+AE164+AE165+AE166+AE147+AE148+AE149+AE150+AE129+AE130+AE131+AE132+AE133+AE134</f>
        <v>0</v>
      </c>
      <c r="AF173" s="27"/>
      <c r="AG173" s="28">
        <f>AG162+AG163+AG164+AG165+AG166+AG147+AG148+AG149+AG150+AG129+AG130+AG131+AG132+AG133+AG134</f>
        <v>0</v>
      </c>
      <c r="AH173" s="27"/>
      <c r="AI173" s="28">
        <f>AI162+AI163+AI164+AI165+AI166+AI147+AI148+AI149+AI150+AI129+AI130+AI131+AI132+AI133+AI134</f>
        <v>0</v>
      </c>
      <c r="AJ173" s="27"/>
      <c r="AK173" s="28">
        <f>AK162+AK163+AK164+AK165+AK166+AK147+AK148+AK149+AK150+AK129+AK130+AK131+AK132+AK133+AK134</f>
        <v>0</v>
      </c>
      <c r="AL173" s="27"/>
      <c r="AM173" s="28">
        <f>SUM(C173:AL173)</f>
        <v>0</v>
      </c>
    </row>
    <row r="174" spans="1:39">
      <c r="B174" s="11"/>
      <c r="C174" s="27">
        <f>SUM(C171:C173)</f>
        <v>-223.56</v>
      </c>
      <c r="D174" s="27"/>
      <c r="E174" s="27">
        <f>SUM(E171:E173)</f>
        <v>0</v>
      </c>
      <c r="F174" s="27"/>
      <c r="G174" s="27">
        <f>SUM(G171:G173)</f>
        <v>0</v>
      </c>
      <c r="H174" s="27"/>
      <c r="I174" s="27">
        <f>SUM(I171:I173)</f>
        <v>0</v>
      </c>
      <c r="J174" s="27"/>
      <c r="K174" s="27">
        <f>SUM(K171:K173)</f>
        <v>0</v>
      </c>
      <c r="L174" s="27"/>
      <c r="M174" s="27">
        <f>SUM(M171:M173)</f>
        <v>0</v>
      </c>
      <c r="N174" s="27"/>
      <c r="O174" s="27">
        <f>SUM(O171:O173)</f>
        <v>0</v>
      </c>
      <c r="P174" s="27"/>
      <c r="Q174" s="27">
        <f>SUM(Q171:Q173)</f>
        <v>0</v>
      </c>
      <c r="R174" s="27"/>
      <c r="S174" s="27">
        <f>SUM(S171:S173)</f>
        <v>0</v>
      </c>
      <c r="T174" s="27"/>
      <c r="U174" s="27">
        <f>SUM(U171:U173)</f>
        <v>0</v>
      </c>
      <c r="V174" s="27"/>
      <c r="W174" s="27">
        <f>SUM(W171:W173)</f>
        <v>0</v>
      </c>
      <c r="X174" s="27"/>
      <c r="Y174" s="27">
        <f>SUM(Y171:Y173)</f>
        <v>0</v>
      </c>
      <c r="Z174" s="27"/>
      <c r="AA174" s="27">
        <f>SUM(AA171:AA173)</f>
        <v>0</v>
      </c>
      <c r="AB174" s="27"/>
      <c r="AC174" s="27">
        <f>SUM(AC171:AC173)</f>
        <v>0</v>
      </c>
      <c r="AD174" s="27"/>
      <c r="AE174" s="27">
        <f>SUM(AE171:AE173)</f>
        <v>0</v>
      </c>
      <c r="AF174" s="27"/>
      <c r="AG174" s="27">
        <f>SUM(AG171:AG173)</f>
        <v>0</v>
      </c>
      <c r="AH174" s="27"/>
      <c r="AI174" s="27">
        <f>SUM(AI171:AI173)</f>
        <v>0</v>
      </c>
      <c r="AJ174" s="27"/>
      <c r="AK174" s="27">
        <f>SUM(AK171:AK173)</f>
        <v>0</v>
      </c>
      <c r="AL174" s="27"/>
      <c r="AM174" s="27">
        <f>SUM(AM171:AM173)</f>
        <v>-223.56</v>
      </c>
    </row>
    <row r="175" spans="1:39">
      <c r="C175" s="27"/>
      <c r="D175" s="27"/>
      <c r="E175" s="27"/>
      <c r="F175" s="27"/>
      <c r="G175" s="27"/>
      <c r="H175" s="27"/>
      <c r="I175" s="27"/>
      <c r="J175" s="27"/>
      <c r="K175" s="27"/>
      <c r="L175" s="27"/>
      <c r="M175" s="27"/>
      <c r="N175" s="27"/>
      <c r="O175" s="27"/>
      <c r="P175" s="27"/>
      <c r="Q175" s="27"/>
      <c r="R175" s="27"/>
      <c r="S175" s="27"/>
      <c r="T175" s="27"/>
      <c r="U175" s="27"/>
      <c r="V175" s="27"/>
      <c r="W175" s="27"/>
      <c r="X175" s="27"/>
      <c r="Y175" s="27"/>
      <c r="Z175" s="27"/>
      <c r="AA175" s="27"/>
      <c r="AB175" s="27"/>
      <c r="AC175" s="27"/>
      <c r="AD175" s="27"/>
      <c r="AE175" s="27"/>
      <c r="AF175" s="27"/>
      <c r="AG175" s="27"/>
      <c r="AH175" s="27"/>
      <c r="AI175" s="27"/>
      <c r="AJ175" s="27"/>
      <c r="AK175" s="27"/>
      <c r="AL175" s="27"/>
      <c r="AM175" s="27"/>
    </row>
    <row r="176" spans="1:39">
      <c r="A176" s="12" t="s">
        <v>656</v>
      </c>
      <c r="C176" s="24"/>
      <c r="D176" s="24"/>
      <c r="E176" s="24"/>
      <c r="F176" s="24"/>
      <c r="G176" s="24"/>
      <c r="H176" s="24"/>
      <c r="I176" s="24"/>
      <c r="J176" s="24"/>
      <c r="K176" s="24"/>
      <c r="L176" s="24"/>
      <c r="M176" s="24"/>
      <c r="N176" s="24"/>
      <c r="O176" s="24"/>
      <c r="P176" s="24"/>
      <c r="Q176" s="24"/>
      <c r="R176" s="24"/>
      <c r="S176" s="24"/>
      <c r="T176" s="24"/>
      <c r="U176" s="24"/>
      <c r="V176" s="24"/>
      <c r="W176" s="24"/>
      <c r="X176" s="24"/>
      <c r="Y176" s="24"/>
      <c r="Z176" s="24"/>
      <c r="AA176" s="24"/>
      <c r="AB176" s="24"/>
      <c r="AC176" s="24"/>
      <c r="AD176" s="24"/>
      <c r="AE176" s="24"/>
      <c r="AF176" s="24"/>
      <c r="AG176" s="24"/>
      <c r="AH176" s="24"/>
      <c r="AI176" s="24"/>
      <c r="AJ176" s="24"/>
      <c r="AK176" s="24"/>
      <c r="AL176" s="24"/>
      <c r="AM176" s="24"/>
    </row>
    <row r="177" spans="1:40">
      <c r="B177" s="10" t="s">
        <v>652</v>
      </c>
      <c r="C177" s="24">
        <v>0</v>
      </c>
      <c r="D177" s="24"/>
      <c r="E177" s="24">
        <v>0</v>
      </c>
      <c r="F177" s="24"/>
      <c r="G177" s="24">
        <v>0</v>
      </c>
      <c r="H177" s="24"/>
      <c r="I177" s="24">
        <v>0</v>
      </c>
      <c r="J177" s="24"/>
      <c r="K177" s="24">
        <v>0</v>
      </c>
      <c r="L177" s="24"/>
      <c r="M177" s="24">
        <v>0</v>
      </c>
      <c r="N177" s="24"/>
      <c r="O177" s="24">
        <v>0</v>
      </c>
      <c r="P177" s="24"/>
      <c r="Q177" s="24">
        <v>0</v>
      </c>
      <c r="R177" s="24"/>
      <c r="S177" s="24">
        <v>0</v>
      </c>
      <c r="T177" s="24"/>
      <c r="U177" s="24">
        <v>0</v>
      </c>
      <c r="V177" s="24"/>
      <c r="W177" s="24">
        <v>0</v>
      </c>
      <c r="X177" s="24"/>
      <c r="Y177" s="24">
        <v>0</v>
      </c>
      <c r="Z177" s="24"/>
      <c r="AA177" s="24">
        <v>0</v>
      </c>
      <c r="AB177" s="24"/>
      <c r="AC177" s="24">
        <v>0</v>
      </c>
      <c r="AD177" s="24"/>
      <c r="AE177" s="24">
        <v>0</v>
      </c>
      <c r="AF177" s="24"/>
      <c r="AG177" s="24">
        <v>0</v>
      </c>
      <c r="AH177" s="24"/>
      <c r="AI177" s="24">
        <v>0</v>
      </c>
      <c r="AJ177" s="24"/>
      <c r="AK177" s="24">
        <v>0</v>
      </c>
      <c r="AL177" s="24"/>
      <c r="AM177" s="24">
        <f>SUM(C177:AL177)</f>
        <v>0</v>
      </c>
      <c r="AN177" s="21"/>
    </row>
    <row r="178" spans="1:40">
      <c r="B178" s="10" t="s">
        <v>112</v>
      </c>
      <c r="C178" s="24">
        <v>0</v>
      </c>
      <c r="D178" s="24"/>
      <c r="E178" s="24">
        <v>0</v>
      </c>
      <c r="F178" s="24"/>
      <c r="G178" s="24">
        <v>0</v>
      </c>
      <c r="H178" s="24"/>
      <c r="I178" s="24">
        <v>-14615.87</v>
      </c>
      <c r="J178" s="119"/>
      <c r="K178" s="24">
        <v>0</v>
      </c>
      <c r="L178" s="119"/>
      <c r="M178" s="24">
        <v>0</v>
      </c>
      <c r="N178" s="24"/>
      <c r="O178" s="24">
        <v>0</v>
      </c>
      <c r="P178" s="24"/>
      <c r="Q178" s="24">
        <v>0</v>
      </c>
      <c r="R178" s="24"/>
      <c r="S178" s="24">
        <v>0</v>
      </c>
      <c r="T178" s="24"/>
      <c r="U178" s="24">
        <v>0</v>
      </c>
      <c r="V178" s="24"/>
      <c r="W178" s="24">
        <v>0</v>
      </c>
      <c r="X178" s="24"/>
      <c r="Y178" s="24">
        <v>0</v>
      </c>
      <c r="Z178" s="24"/>
      <c r="AA178" s="24">
        <v>0</v>
      </c>
      <c r="AB178" s="24"/>
      <c r="AC178" s="24">
        <v>0</v>
      </c>
      <c r="AD178" s="24"/>
      <c r="AE178" s="24">
        <v>0</v>
      </c>
      <c r="AF178" s="24"/>
      <c r="AG178" s="24">
        <v>0</v>
      </c>
      <c r="AH178" s="24"/>
      <c r="AI178" s="24">
        <v>0</v>
      </c>
      <c r="AJ178" s="24"/>
      <c r="AK178" s="24">
        <v>0</v>
      </c>
      <c r="AL178" s="24"/>
      <c r="AM178" s="27">
        <f>SUM(C178:AL178)</f>
        <v>-14615.87</v>
      </c>
      <c r="AN178" s="21"/>
    </row>
    <row r="179" spans="1:40">
      <c r="B179" s="10" t="s">
        <v>120</v>
      </c>
      <c r="C179" s="24">
        <v>0</v>
      </c>
      <c r="D179" s="24"/>
      <c r="E179" s="24">
        <v>0</v>
      </c>
      <c r="F179" s="24"/>
      <c r="G179" s="24">
        <v>0</v>
      </c>
      <c r="H179" s="24"/>
      <c r="I179" s="28">
        <v>14615.87</v>
      </c>
      <c r="J179" s="119"/>
      <c r="K179" s="24">
        <v>0</v>
      </c>
      <c r="L179" s="24"/>
      <c r="M179" s="24">
        <v>0</v>
      </c>
      <c r="N179" s="24"/>
      <c r="O179" s="24">
        <v>0</v>
      </c>
      <c r="P179" s="24"/>
      <c r="Q179" s="24">
        <v>0</v>
      </c>
      <c r="R179" s="24"/>
      <c r="S179" s="24">
        <v>0</v>
      </c>
      <c r="T179" s="24"/>
      <c r="U179" s="24">
        <v>0</v>
      </c>
      <c r="V179" s="24"/>
      <c r="W179" s="24">
        <v>0</v>
      </c>
      <c r="X179" s="24"/>
      <c r="Y179" s="24">
        <v>0</v>
      </c>
      <c r="Z179" s="24"/>
      <c r="AA179" s="24">
        <v>0</v>
      </c>
      <c r="AB179" s="24"/>
      <c r="AC179" s="24">
        <v>0</v>
      </c>
      <c r="AD179" s="24"/>
      <c r="AE179" s="24">
        <v>0</v>
      </c>
      <c r="AF179" s="24"/>
      <c r="AG179" s="24">
        <v>0</v>
      </c>
      <c r="AH179" s="24"/>
      <c r="AI179" s="24">
        <v>0</v>
      </c>
      <c r="AJ179" s="24"/>
      <c r="AK179" s="24">
        <v>0</v>
      </c>
      <c r="AL179" s="24"/>
      <c r="AM179" s="28">
        <f>SUM(C179:AL179)</f>
        <v>14615.87</v>
      </c>
      <c r="AN179" s="21"/>
    </row>
    <row r="180" spans="1:40">
      <c r="B180" s="11"/>
      <c r="C180" s="25">
        <f>SUM(C177:C179)</f>
        <v>0</v>
      </c>
      <c r="D180" s="27"/>
      <c r="E180" s="25">
        <f>SUM(E177:E179)</f>
        <v>0</v>
      </c>
      <c r="F180" s="24"/>
      <c r="G180" s="25">
        <f>SUM(G177:G179)</f>
        <v>0</v>
      </c>
      <c r="H180" s="27"/>
      <c r="I180" s="25">
        <f>SUM(I177:I179)</f>
        <v>0</v>
      </c>
      <c r="J180" s="24"/>
      <c r="K180" s="25">
        <f>SUM(K177:K179)</f>
        <v>0</v>
      </c>
      <c r="L180" s="24"/>
      <c r="M180" s="25">
        <f>SUM(M177:M179)</f>
        <v>0</v>
      </c>
      <c r="N180" s="24"/>
      <c r="O180" s="25">
        <f>SUM(O177:O179)</f>
        <v>0</v>
      </c>
      <c r="P180" s="24"/>
      <c r="Q180" s="25">
        <f>SUM(Q177:Q179)</f>
        <v>0</v>
      </c>
      <c r="R180" s="24"/>
      <c r="S180" s="25">
        <f>SUM(S177:S179)</f>
        <v>0</v>
      </c>
      <c r="T180" s="24"/>
      <c r="U180" s="25">
        <f>SUM(U177:U179)</f>
        <v>0</v>
      </c>
      <c r="V180" s="24"/>
      <c r="W180" s="25">
        <f>SUM(W177:W179)</f>
        <v>0</v>
      </c>
      <c r="X180" s="24"/>
      <c r="Y180" s="25">
        <f>SUM(Y177:Y179)</f>
        <v>0</v>
      </c>
      <c r="Z180" s="24"/>
      <c r="AA180" s="25">
        <f>SUM(AA177:AA179)</f>
        <v>0</v>
      </c>
      <c r="AB180" s="24"/>
      <c r="AC180" s="25">
        <f>SUM(AC177:AC179)</f>
        <v>0</v>
      </c>
      <c r="AD180" s="24"/>
      <c r="AE180" s="25">
        <f>SUM(AE177:AE179)</f>
        <v>0</v>
      </c>
      <c r="AF180" s="24"/>
      <c r="AG180" s="25">
        <f>SUM(AG177:AG179)</f>
        <v>0</v>
      </c>
      <c r="AH180" s="24"/>
      <c r="AI180" s="25">
        <f>SUM(AI177:AI179)</f>
        <v>0</v>
      </c>
      <c r="AJ180" s="24"/>
      <c r="AK180" s="25">
        <f>SUM(AK177:AK179)</f>
        <v>0</v>
      </c>
      <c r="AL180" s="24"/>
      <c r="AM180" s="25">
        <f>SUM(AM177:AM179)</f>
        <v>0</v>
      </c>
      <c r="AN180" s="21"/>
    </row>
    <row r="181" spans="1:40">
      <c r="C181" s="24"/>
      <c r="D181" s="24"/>
      <c r="E181" s="24"/>
      <c r="F181" s="24"/>
      <c r="G181" s="24"/>
      <c r="H181" s="24"/>
      <c r="I181" s="24"/>
      <c r="J181" s="24"/>
      <c r="K181" s="24"/>
      <c r="L181" s="24"/>
      <c r="M181" s="24"/>
      <c r="N181" s="24"/>
      <c r="O181" s="24"/>
      <c r="P181" s="24"/>
      <c r="Q181" s="24"/>
      <c r="R181" s="24"/>
      <c r="S181" s="24"/>
      <c r="T181" s="24"/>
      <c r="U181" s="24"/>
      <c r="V181" s="24"/>
      <c r="W181" s="24"/>
      <c r="X181" s="24"/>
      <c r="Y181" s="24"/>
      <c r="Z181" s="24"/>
      <c r="AA181" s="24"/>
      <c r="AB181" s="24"/>
      <c r="AC181" s="24"/>
      <c r="AD181" s="24"/>
      <c r="AE181" s="24"/>
      <c r="AF181" s="24"/>
      <c r="AG181" s="24"/>
      <c r="AH181" s="24"/>
      <c r="AI181" s="24"/>
      <c r="AJ181" s="24"/>
      <c r="AK181" s="24"/>
      <c r="AL181" s="24"/>
      <c r="AM181" s="24"/>
      <c r="AN181" s="21"/>
    </row>
    <row r="182" spans="1:40">
      <c r="B182" s="11" t="s">
        <v>657</v>
      </c>
      <c r="C182" s="28">
        <f>C174+C180</f>
        <v>-223.56</v>
      </c>
      <c r="D182" s="27"/>
      <c r="E182" s="28">
        <f>E174+E180</f>
        <v>0</v>
      </c>
      <c r="F182" s="24"/>
      <c r="G182" s="28">
        <f>G174+G180</f>
        <v>0</v>
      </c>
      <c r="H182" s="27"/>
      <c r="I182" s="28">
        <f>I174+I180</f>
        <v>0</v>
      </c>
      <c r="J182" s="24"/>
      <c r="K182" s="28">
        <f>K174+K180</f>
        <v>0</v>
      </c>
      <c r="L182" s="24"/>
      <c r="M182" s="28">
        <f>M174+M180</f>
        <v>0</v>
      </c>
      <c r="N182" s="24"/>
      <c r="O182" s="28">
        <f>O174+O180</f>
        <v>0</v>
      </c>
      <c r="P182" s="24"/>
      <c r="Q182" s="28">
        <f>Q174+Q180</f>
        <v>0</v>
      </c>
      <c r="R182" s="24"/>
      <c r="S182" s="28">
        <f>S174+S180</f>
        <v>0</v>
      </c>
      <c r="T182" s="24"/>
      <c r="U182" s="28">
        <f>U174+U180</f>
        <v>0</v>
      </c>
      <c r="V182" s="24"/>
      <c r="W182" s="28">
        <f>W174+W180</f>
        <v>0</v>
      </c>
      <c r="X182" s="24"/>
      <c r="Y182" s="28">
        <f>Y174+Y180</f>
        <v>0</v>
      </c>
      <c r="Z182" s="24"/>
      <c r="AA182" s="28">
        <f>AA174+AA180</f>
        <v>0</v>
      </c>
      <c r="AB182" s="24"/>
      <c r="AC182" s="28">
        <f>AC174+AC180</f>
        <v>0</v>
      </c>
      <c r="AD182" s="24"/>
      <c r="AE182" s="28">
        <f>AE174+AE180</f>
        <v>0</v>
      </c>
      <c r="AF182" s="24"/>
      <c r="AG182" s="28">
        <f>AG174+AG180</f>
        <v>0</v>
      </c>
      <c r="AH182" s="24"/>
      <c r="AI182" s="28">
        <f>AI174+AI180</f>
        <v>0</v>
      </c>
      <c r="AJ182" s="24"/>
      <c r="AK182" s="28">
        <f>AK174+AK180</f>
        <v>0</v>
      </c>
      <c r="AL182" s="24"/>
      <c r="AM182" s="28">
        <f>AM174+AM180</f>
        <v>-223.56</v>
      </c>
      <c r="AN182" s="21"/>
    </row>
    <row r="183" spans="1:40">
      <c r="C183" s="24"/>
      <c r="D183" s="24"/>
      <c r="E183" s="24"/>
      <c r="F183" s="24"/>
      <c r="G183" s="24"/>
      <c r="H183" s="24"/>
      <c r="I183" s="24"/>
      <c r="J183" s="24"/>
      <c r="K183" s="24"/>
      <c r="L183" s="24"/>
      <c r="M183" s="24"/>
      <c r="N183" s="24"/>
      <c r="O183" s="24"/>
      <c r="P183" s="24"/>
      <c r="Q183" s="24"/>
      <c r="R183" s="24"/>
      <c r="S183" s="24"/>
      <c r="T183" s="24"/>
      <c r="U183" s="24"/>
      <c r="V183" s="24"/>
      <c r="W183" s="24"/>
      <c r="X183" s="24"/>
      <c r="Y183" s="24"/>
      <c r="Z183" s="24"/>
      <c r="AA183" s="24"/>
      <c r="AB183" s="24"/>
      <c r="AC183" s="24"/>
      <c r="AD183" s="24"/>
      <c r="AE183" s="24"/>
      <c r="AF183" s="24"/>
      <c r="AG183" s="24"/>
      <c r="AH183" s="24"/>
      <c r="AI183" s="24"/>
      <c r="AJ183" s="24"/>
      <c r="AK183" s="24"/>
      <c r="AL183" s="24"/>
      <c r="AM183" s="24"/>
      <c r="AN183" s="21"/>
    </row>
    <row r="184" spans="1:40">
      <c r="A184" s="12" t="s">
        <v>658</v>
      </c>
      <c r="C184" s="24"/>
      <c r="D184" s="24"/>
      <c r="E184" s="24"/>
      <c r="F184" s="24"/>
      <c r="G184" s="24"/>
      <c r="H184" s="24"/>
      <c r="I184" s="24"/>
      <c r="J184" s="24"/>
      <c r="K184" s="24"/>
      <c r="L184" s="24"/>
      <c r="M184" s="24"/>
      <c r="N184" s="24"/>
      <c r="O184" s="24"/>
      <c r="P184" s="24"/>
      <c r="Q184" s="24"/>
      <c r="R184" s="24"/>
      <c r="S184" s="24"/>
      <c r="T184" s="24"/>
      <c r="U184" s="24"/>
      <c r="V184" s="24"/>
      <c r="W184" s="24"/>
      <c r="X184" s="24"/>
      <c r="Y184" s="24"/>
      <c r="Z184" s="24"/>
      <c r="AA184" s="24"/>
      <c r="AB184" s="24"/>
      <c r="AC184" s="24"/>
      <c r="AD184" s="24"/>
      <c r="AE184" s="24"/>
      <c r="AF184" s="24"/>
      <c r="AG184" s="24"/>
      <c r="AH184" s="24"/>
      <c r="AI184" s="24"/>
      <c r="AJ184" s="24"/>
      <c r="AK184" s="24"/>
      <c r="AL184" s="24"/>
      <c r="AM184" s="24"/>
      <c r="AN184" s="21"/>
    </row>
    <row r="185" spans="1:40">
      <c r="B185" s="10" t="s">
        <v>652</v>
      </c>
      <c r="C185" s="24">
        <v>0</v>
      </c>
      <c r="D185" s="24"/>
      <c r="E185" s="24">
        <v>0</v>
      </c>
      <c r="F185" s="24"/>
      <c r="G185" s="24">
        <v>0</v>
      </c>
      <c r="H185" s="24"/>
      <c r="I185" s="24">
        <v>0</v>
      </c>
      <c r="J185" s="24"/>
      <c r="K185" s="24"/>
      <c r="L185" s="24"/>
      <c r="M185" s="24"/>
      <c r="N185" s="24"/>
      <c r="O185" s="24"/>
      <c r="P185" s="24"/>
      <c r="Q185" s="24"/>
      <c r="R185" s="24"/>
      <c r="S185" s="24"/>
      <c r="T185" s="24"/>
      <c r="U185" s="24"/>
      <c r="V185" s="24"/>
      <c r="W185" s="24"/>
      <c r="X185" s="24"/>
      <c r="Y185" s="24"/>
      <c r="Z185" s="24"/>
      <c r="AA185" s="24"/>
      <c r="AB185" s="24"/>
      <c r="AC185" s="24"/>
      <c r="AD185" s="24"/>
      <c r="AE185" s="24"/>
      <c r="AF185" s="24"/>
      <c r="AG185" s="24"/>
      <c r="AH185" s="24"/>
      <c r="AI185" s="24"/>
      <c r="AJ185" s="24"/>
      <c r="AK185" s="24">
        <v>0</v>
      </c>
      <c r="AL185" s="24"/>
      <c r="AM185" s="27">
        <f t="shared" ref="AM185:AM187" si="5">SUM(C185:AL185)</f>
        <v>0</v>
      </c>
      <c r="AN185" s="21"/>
    </row>
    <row r="186" spans="1:40">
      <c r="B186" s="10" t="s">
        <v>112</v>
      </c>
      <c r="C186" s="24">
        <v>0</v>
      </c>
      <c r="D186" s="24"/>
      <c r="E186" s="24">
        <v>0</v>
      </c>
      <c r="F186" s="24"/>
      <c r="G186" s="24">
        <v>0</v>
      </c>
      <c r="H186" s="24"/>
      <c r="I186" s="24">
        <v>0</v>
      </c>
      <c r="J186" s="24"/>
      <c r="K186" s="24"/>
      <c r="L186" s="24"/>
      <c r="M186" s="24"/>
      <c r="N186" s="24"/>
      <c r="O186" s="24"/>
      <c r="P186" s="24"/>
      <c r="Q186" s="24"/>
      <c r="R186" s="24"/>
      <c r="S186" s="24"/>
      <c r="T186" s="24"/>
      <c r="U186" s="24"/>
      <c r="V186" s="24"/>
      <c r="W186" s="24"/>
      <c r="X186" s="24"/>
      <c r="Y186" s="24"/>
      <c r="Z186" s="24"/>
      <c r="AA186" s="24"/>
      <c r="AB186" s="24"/>
      <c r="AC186" s="24"/>
      <c r="AD186" s="24"/>
      <c r="AE186" s="24"/>
      <c r="AF186" s="24"/>
      <c r="AG186" s="24"/>
      <c r="AH186" s="24"/>
      <c r="AI186" s="24"/>
      <c r="AJ186" s="24"/>
      <c r="AK186" s="24">
        <v>0</v>
      </c>
      <c r="AL186" s="24"/>
      <c r="AM186" s="27">
        <f t="shared" si="5"/>
        <v>0</v>
      </c>
      <c r="AN186" s="21"/>
    </row>
    <row r="187" spans="1:40">
      <c r="B187" s="10" t="s">
        <v>120</v>
      </c>
      <c r="C187" s="28">
        <v>0</v>
      </c>
      <c r="D187" s="27"/>
      <c r="E187" s="28">
        <v>0</v>
      </c>
      <c r="F187" s="24"/>
      <c r="G187" s="28">
        <v>0</v>
      </c>
      <c r="H187" s="27"/>
      <c r="I187" s="28">
        <v>0</v>
      </c>
      <c r="J187" s="24"/>
      <c r="K187" s="28"/>
      <c r="L187" s="24"/>
      <c r="M187" s="28"/>
      <c r="N187" s="24"/>
      <c r="O187" s="28"/>
      <c r="P187" s="24"/>
      <c r="Q187" s="28"/>
      <c r="R187" s="24"/>
      <c r="S187" s="28"/>
      <c r="T187" s="24"/>
      <c r="U187" s="28"/>
      <c r="V187" s="24"/>
      <c r="W187" s="28"/>
      <c r="X187" s="24"/>
      <c r="Y187" s="28"/>
      <c r="Z187" s="24"/>
      <c r="AA187" s="28"/>
      <c r="AB187" s="24"/>
      <c r="AC187" s="28"/>
      <c r="AD187" s="24"/>
      <c r="AE187" s="28"/>
      <c r="AF187" s="24"/>
      <c r="AG187" s="28"/>
      <c r="AH187" s="24"/>
      <c r="AI187" s="28"/>
      <c r="AJ187" s="24"/>
      <c r="AK187" s="28">
        <v>0</v>
      </c>
      <c r="AL187" s="24"/>
      <c r="AM187" s="28">
        <f t="shared" si="5"/>
        <v>0</v>
      </c>
      <c r="AN187" s="21"/>
    </row>
    <row r="188" spans="1:40">
      <c r="B188" s="11" t="s">
        <v>659</v>
      </c>
      <c r="C188" s="27">
        <f>SUM(C185:C187)</f>
        <v>0</v>
      </c>
      <c r="D188" s="27"/>
      <c r="E188" s="27">
        <f>SUM(E185:E187)</f>
        <v>0</v>
      </c>
      <c r="F188" s="27"/>
      <c r="G188" s="27">
        <f>SUM(G185:G187)</f>
        <v>0</v>
      </c>
      <c r="H188" s="27"/>
      <c r="I188" s="27">
        <f>SUM(I185:I187)</f>
        <v>0</v>
      </c>
      <c r="J188" s="27"/>
      <c r="K188" s="27">
        <f>SUM(K185:K187)</f>
        <v>0</v>
      </c>
      <c r="L188" s="27"/>
      <c r="M188" s="27">
        <f>SUM(M185:M187)</f>
        <v>0</v>
      </c>
      <c r="N188" s="27"/>
      <c r="O188" s="27">
        <f>SUM(O185:O187)</f>
        <v>0</v>
      </c>
      <c r="P188" s="27"/>
      <c r="Q188" s="27">
        <f>SUM(Q185:Q187)</f>
        <v>0</v>
      </c>
      <c r="R188" s="27"/>
      <c r="S188" s="27">
        <f>SUM(S185:S187)</f>
        <v>0</v>
      </c>
      <c r="T188" s="27"/>
      <c r="U188" s="27">
        <f>SUM(U185:U187)</f>
        <v>0</v>
      </c>
      <c r="V188" s="27"/>
      <c r="W188" s="27">
        <f>SUM(W185:W187)</f>
        <v>0</v>
      </c>
      <c r="X188" s="27"/>
      <c r="Y188" s="27">
        <f>SUM(Y185:Y187)</f>
        <v>0</v>
      </c>
      <c r="Z188" s="27"/>
      <c r="AA188" s="27">
        <f>SUM(AA185:AA187)</f>
        <v>0</v>
      </c>
      <c r="AB188" s="27"/>
      <c r="AC188" s="27">
        <f>SUM(AC185:AC187)</f>
        <v>0</v>
      </c>
      <c r="AD188" s="27"/>
      <c r="AE188" s="27">
        <f>SUM(AE185:AE187)</f>
        <v>0</v>
      </c>
      <c r="AF188" s="27"/>
      <c r="AG188" s="27">
        <f>SUM(AG185:AG187)</f>
        <v>0</v>
      </c>
      <c r="AH188" s="27"/>
      <c r="AI188" s="27">
        <f>SUM(AI185:AI187)</f>
        <v>0</v>
      </c>
      <c r="AJ188" s="27"/>
      <c r="AK188" s="27">
        <f>SUM(AK185:AK187)</f>
        <v>0</v>
      </c>
      <c r="AL188" s="27"/>
      <c r="AM188" s="27">
        <f>SUM(AM185:AM187)</f>
        <v>0</v>
      </c>
      <c r="AN188" s="82"/>
    </row>
    <row r="189" spans="1:40">
      <c r="B189" s="11"/>
      <c r="C189" s="27"/>
      <c r="D189" s="27"/>
      <c r="E189" s="27"/>
      <c r="F189" s="24"/>
      <c r="G189" s="27"/>
      <c r="H189" s="27"/>
      <c r="I189" s="27"/>
      <c r="J189" s="24"/>
      <c r="K189" s="27"/>
      <c r="L189" s="24"/>
      <c r="M189" s="27"/>
      <c r="N189" s="24"/>
      <c r="O189" s="27"/>
      <c r="P189" s="24"/>
      <c r="Q189" s="27"/>
      <c r="R189" s="24"/>
      <c r="S189" s="27"/>
      <c r="T189" s="24"/>
      <c r="U189" s="27"/>
      <c r="V189" s="24"/>
      <c r="W189" s="27"/>
      <c r="X189" s="24"/>
      <c r="Y189" s="27"/>
      <c r="Z189" s="24"/>
      <c r="AA189" s="27"/>
      <c r="AB189" s="24"/>
      <c r="AC189" s="27"/>
      <c r="AD189" s="24"/>
      <c r="AE189" s="27"/>
      <c r="AF189" s="24"/>
      <c r="AG189" s="27"/>
      <c r="AH189" s="24"/>
      <c r="AI189" s="27"/>
      <c r="AJ189" s="24"/>
      <c r="AK189" s="27"/>
      <c r="AL189" s="24"/>
      <c r="AM189" s="27"/>
      <c r="AN189" s="21"/>
    </row>
    <row r="190" spans="1:40">
      <c r="C190" s="24"/>
      <c r="D190" s="24"/>
      <c r="E190" s="24"/>
      <c r="F190" s="24"/>
      <c r="G190" s="24"/>
      <c r="H190" s="24"/>
      <c r="I190" s="24"/>
      <c r="J190" s="24"/>
      <c r="K190" s="24"/>
      <c r="L190" s="24"/>
      <c r="M190" s="24"/>
      <c r="N190" s="24"/>
      <c r="O190" s="24"/>
      <c r="P190" s="24"/>
      <c r="Q190" s="24"/>
      <c r="R190" s="24"/>
      <c r="S190" s="24"/>
      <c r="T190" s="24"/>
      <c r="U190" s="24"/>
      <c r="V190" s="24"/>
      <c r="W190" s="24"/>
      <c r="X190" s="24"/>
      <c r="Y190" s="24"/>
      <c r="Z190" s="24"/>
      <c r="AA190" s="24"/>
      <c r="AB190" s="24"/>
      <c r="AC190" s="24"/>
      <c r="AD190" s="24"/>
      <c r="AE190" s="24"/>
      <c r="AF190" s="24"/>
      <c r="AG190" s="24"/>
      <c r="AH190" s="24"/>
      <c r="AI190" s="24"/>
      <c r="AJ190" s="24"/>
      <c r="AK190" s="24"/>
      <c r="AL190" s="24"/>
      <c r="AM190" s="24"/>
      <c r="AN190" s="21"/>
    </row>
    <row r="191" spans="1:40" ht="13.5" thickBot="1">
      <c r="B191" s="11" t="s">
        <v>660</v>
      </c>
      <c r="C191" s="73">
        <f>C182+C188</f>
        <v>-223.56</v>
      </c>
      <c r="D191" s="27"/>
      <c r="E191" s="73">
        <f>E182+E188</f>
        <v>0</v>
      </c>
      <c r="F191" s="24"/>
      <c r="G191" s="73">
        <f>G182+G188</f>
        <v>0</v>
      </c>
      <c r="H191" s="27"/>
      <c r="I191" s="73">
        <f>I182+I188</f>
        <v>0</v>
      </c>
      <c r="J191" s="24"/>
      <c r="K191" s="73">
        <f>K182+K188</f>
        <v>0</v>
      </c>
      <c r="L191" s="24"/>
      <c r="M191" s="73">
        <f>M182+M188</f>
        <v>0</v>
      </c>
      <c r="N191" s="24"/>
      <c r="O191" s="73">
        <f>O182+O188</f>
        <v>0</v>
      </c>
      <c r="P191" s="24"/>
      <c r="Q191" s="73">
        <f>Q182+Q188</f>
        <v>0</v>
      </c>
      <c r="R191" s="24"/>
      <c r="S191" s="73">
        <f>S182+S188</f>
        <v>0</v>
      </c>
      <c r="T191" s="24"/>
      <c r="U191" s="73">
        <f>U182+U188</f>
        <v>0</v>
      </c>
      <c r="V191" s="24"/>
      <c r="W191" s="73">
        <f>W182+W188</f>
        <v>0</v>
      </c>
      <c r="X191" s="24"/>
      <c r="Y191" s="73">
        <f>Y182+Y188</f>
        <v>0</v>
      </c>
      <c r="Z191" s="24"/>
      <c r="AA191" s="73">
        <f>AA182+AA188</f>
        <v>0</v>
      </c>
      <c r="AB191" s="24"/>
      <c r="AC191" s="73">
        <f>AC182+AC188</f>
        <v>0</v>
      </c>
      <c r="AD191" s="24"/>
      <c r="AE191" s="73">
        <f>AE182+AE188</f>
        <v>0</v>
      </c>
      <c r="AF191" s="24"/>
      <c r="AG191" s="73">
        <f>AG182+AG188</f>
        <v>0</v>
      </c>
      <c r="AH191" s="24"/>
      <c r="AI191" s="73">
        <f>AI182+AI188</f>
        <v>0</v>
      </c>
      <c r="AJ191" s="24"/>
      <c r="AK191" s="73">
        <f>AK182+AK188</f>
        <v>0</v>
      </c>
      <c r="AL191" s="24"/>
      <c r="AM191" s="73">
        <f>AM182+AM188</f>
        <v>-223.56</v>
      </c>
      <c r="AN191" s="21"/>
    </row>
    <row r="192" spans="1:40" ht="13.5" thickTop="1">
      <c r="B192" s="11"/>
      <c r="C192" s="27"/>
      <c r="D192" s="27"/>
      <c r="E192" s="27"/>
      <c r="F192" s="24"/>
      <c r="G192" s="27"/>
      <c r="H192" s="27"/>
      <c r="I192" s="27"/>
      <c r="J192" s="24"/>
      <c r="K192" s="27"/>
      <c r="L192" s="24"/>
      <c r="M192" s="27"/>
      <c r="N192" s="24"/>
      <c r="O192" s="27"/>
      <c r="P192" s="24"/>
      <c r="Q192" s="27"/>
      <c r="R192" s="24"/>
      <c r="S192" s="27"/>
      <c r="T192" s="24"/>
      <c r="U192" s="27"/>
      <c r="V192" s="24"/>
      <c r="W192" s="27"/>
      <c r="X192" s="24"/>
      <c r="Y192" s="27"/>
      <c r="Z192" s="24"/>
      <c r="AA192" s="27"/>
      <c r="AB192" s="24"/>
      <c r="AC192" s="27"/>
      <c r="AD192" s="24"/>
      <c r="AE192" s="27"/>
      <c r="AF192" s="24"/>
      <c r="AG192" s="27"/>
      <c r="AH192" s="24"/>
      <c r="AI192" s="27"/>
      <c r="AJ192" s="24"/>
      <c r="AK192" s="27"/>
      <c r="AL192" s="24"/>
      <c r="AM192" s="27"/>
      <c r="AN192" s="21"/>
    </row>
    <row r="193" spans="1:40">
      <c r="C193" s="24"/>
      <c r="D193" s="24"/>
      <c r="E193" s="24"/>
      <c r="F193" s="24"/>
      <c r="G193" s="24"/>
      <c r="H193" s="24"/>
      <c r="I193" s="24"/>
      <c r="J193" s="24"/>
      <c r="K193" s="24"/>
      <c r="L193" s="24"/>
      <c r="M193" s="24"/>
      <c r="N193" s="24"/>
      <c r="O193" s="24"/>
      <c r="P193" s="24"/>
      <c r="Q193" s="24"/>
      <c r="R193" s="24"/>
      <c r="S193" s="24"/>
      <c r="T193" s="24"/>
      <c r="U193" s="24"/>
      <c r="V193" s="24"/>
      <c r="W193" s="24"/>
      <c r="X193" s="24"/>
      <c r="Y193" s="24"/>
      <c r="Z193" s="24"/>
      <c r="AA193" s="24"/>
      <c r="AB193" s="24"/>
      <c r="AC193" s="24"/>
      <c r="AD193" s="24"/>
      <c r="AE193" s="24"/>
      <c r="AF193" s="24"/>
      <c r="AG193" s="24"/>
      <c r="AH193" s="24"/>
      <c r="AI193" s="24"/>
      <c r="AJ193" s="24"/>
      <c r="AK193" s="24"/>
      <c r="AL193" s="24"/>
      <c r="AM193" s="24"/>
      <c r="AN193" s="21"/>
    </row>
    <row r="194" spans="1:40">
      <c r="A194" s="338">
        <v>40909</v>
      </c>
      <c r="B194" s="12" t="s">
        <v>1954</v>
      </c>
      <c r="C194" s="21"/>
      <c r="D194" s="21"/>
      <c r="E194" s="21"/>
      <c r="F194" s="21"/>
      <c r="G194" s="21"/>
      <c r="H194" s="21"/>
      <c r="I194" s="21"/>
      <c r="J194" s="21"/>
      <c r="K194" s="21"/>
    </row>
    <row r="195" spans="1:40">
      <c r="A195" s="339"/>
      <c r="B195" s="12" t="s">
        <v>1955</v>
      </c>
      <c r="C195" s="21"/>
      <c r="D195" s="21"/>
      <c r="E195" s="21"/>
      <c r="F195" s="21"/>
      <c r="G195" s="21"/>
      <c r="H195" s="21"/>
      <c r="I195" s="21"/>
      <c r="J195" s="21"/>
      <c r="K195" s="21"/>
    </row>
    <row r="196" spans="1:40">
      <c r="A196" s="339"/>
      <c r="B196" s="12"/>
      <c r="C196" s="21"/>
      <c r="D196" s="21"/>
      <c r="E196" s="21"/>
      <c r="F196" s="21"/>
      <c r="G196" s="21"/>
      <c r="H196" s="21"/>
      <c r="I196" s="21"/>
      <c r="J196" s="21"/>
      <c r="K196" s="21"/>
    </row>
    <row r="197" spans="1:40">
      <c r="A197" s="339" t="s">
        <v>1961</v>
      </c>
      <c r="B197" s="12" t="s">
        <v>1968</v>
      </c>
      <c r="C197" s="21"/>
      <c r="D197" s="21"/>
      <c r="E197" s="21"/>
      <c r="F197" s="21"/>
      <c r="G197" s="21"/>
      <c r="H197" s="21"/>
      <c r="I197" s="21"/>
      <c r="J197" s="21"/>
      <c r="K197" s="21"/>
    </row>
    <row r="198" spans="1:40">
      <c r="A198" s="339"/>
      <c r="B198" s="12"/>
      <c r="C198" s="21"/>
      <c r="D198" s="21"/>
      <c r="E198" s="21"/>
      <c r="F198" s="21"/>
      <c r="G198" s="21"/>
      <c r="H198" s="21"/>
      <c r="I198" s="21"/>
      <c r="J198" s="21"/>
      <c r="K198" s="21"/>
    </row>
    <row r="199" spans="1:40">
      <c r="A199" s="339" t="s">
        <v>1962</v>
      </c>
      <c r="B199" s="12" t="s">
        <v>1964</v>
      </c>
      <c r="C199" s="21"/>
      <c r="D199" s="21"/>
      <c r="E199" s="21"/>
      <c r="F199" s="21"/>
      <c r="G199" s="21"/>
      <c r="H199" s="21"/>
      <c r="I199" s="21"/>
      <c r="J199" s="21"/>
      <c r="K199" s="21"/>
    </row>
    <row r="200" spans="1:40">
      <c r="A200" s="339"/>
      <c r="B200" s="12"/>
      <c r="C200" s="21"/>
      <c r="D200" s="21"/>
      <c r="E200" s="21"/>
      <c r="F200" s="21"/>
      <c r="G200" s="21"/>
      <c r="H200" s="21"/>
      <c r="I200" s="21"/>
      <c r="J200" s="21"/>
      <c r="K200" s="21"/>
    </row>
    <row r="201" spans="1:40">
      <c r="A201" s="339" t="s">
        <v>1963</v>
      </c>
      <c r="B201" s="12" t="s">
        <v>1965</v>
      </c>
      <c r="C201" s="21"/>
      <c r="D201" s="21"/>
      <c r="E201" s="21"/>
      <c r="F201" s="21"/>
      <c r="G201" s="21"/>
      <c r="H201" s="21"/>
      <c r="I201" s="21"/>
      <c r="J201" s="21"/>
      <c r="K201" s="21"/>
    </row>
    <row r="202" spans="1:40">
      <c r="A202" s="339"/>
      <c r="B202" s="12"/>
      <c r="C202" s="21"/>
      <c r="D202" s="21"/>
      <c r="E202" s="21"/>
      <c r="F202" s="21"/>
      <c r="G202" s="21"/>
      <c r="H202" s="21"/>
      <c r="I202" s="21"/>
      <c r="J202" s="21"/>
      <c r="K202" s="21"/>
    </row>
    <row r="203" spans="1:40">
      <c r="A203" s="339"/>
      <c r="B203" s="12"/>
      <c r="C203" s="21"/>
      <c r="D203" s="21"/>
      <c r="E203" s="21"/>
      <c r="F203" s="21"/>
      <c r="G203" s="21"/>
      <c r="H203" s="21"/>
      <c r="I203" s="21"/>
      <c r="J203" s="21"/>
      <c r="K203" s="21"/>
    </row>
    <row r="204" spans="1:40">
      <c r="A204" s="339"/>
      <c r="B204" s="12"/>
      <c r="C204" s="21"/>
      <c r="D204" s="21"/>
      <c r="E204" s="21"/>
      <c r="F204" s="21"/>
      <c r="G204" s="21"/>
      <c r="H204" s="21"/>
      <c r="I204" s="21"/>
      <c r="J204" s="21"/>
      <c r="K204" s="21"/>
    </row>
    <row r="205" spans="1:40">
      <c r="A205" s="339"/>
      <c r="B205" s="12"/>
      <c r="C205" s="21"/>
      <c r="D205" s="21"/>
      <c r="E205" s="21"/>
      <c r="F205" s="21"/>
      <c r="G205" s="21"/>
      <c r="H205" s="21"/>
      <c r="I205" s="21"/>
      <c r="J205" s="21"/>
      <c r="K205" s="21"/>
    </row>
    <row r="206" spans="1:40">
      <c r="A206" s="339"/>
      <c r="B206" s="12"/>
      <c r="C206" s="21"/>
      <c r="D206" s="21"/>
      <c r="E206" s="21"/>
      <c r="F206" s="21"/>
      <c r="G206" s="21"/>
      <c r="H206" s="21"/>
      <c r="I206" s="21"/>
      <c r="J206" s="21"/>
      <c r="K206" s="21"/>
    </row>
    <row r="207" spans="1:40">
      <c r="A207" s="339"/>
      <c r="B207" s="12"/>
      <c r="C207" s="21"/>
      <c r="D207" s="21"/>
      <c r="E207" s="21"/>
      <c r="F207" s="21"/>
      <c r="G207" s="21"/>
      <c r="H207" s="21"/>
      <c r="I207" s="21"/>
      <c r="J207" s="21"/>
      <c r="K207" s="21"/>
    </row>
    <row r="208" spans="1:40">
      <c r="A208" s="339"/>
      <c r="B208" s="12"/>
      <c r="C208" s="21"/>
      <c r="D208" s="21"/>
      <c r="E208" s="21"/>
      <c r="F208" s="21"/>
      <c r="G208" s="21"/>
      <c r="H208" s="21"/>
      <c r="I208" s="21"/>
      <c r="J208" s="21"/>
      <c r="K208" s="21"/>
    </row>
    <row r="209" spans="3:40">
      <c r="C209" s="21"/>
      <c r="D209" s="21"/>
      <c r="E209" s="21"/>
      <c r="F209" s="21"/>
      <c r="G209" s="21"/>
      <c r="H209" s="21"/>
      <c r="I209" s="21"/>
      <c r="J209" s="21"/>
      <c r="K209" s="21"/>
      <c r="L209" s="21"/>
      <c r="M209" s="21"/>
      <c r="N209" s="21"/>
      <c r="O209" s="21"/>
      <c r="P209" s="21"/>
      <c r="Q209" s="21"/>
      <c r="R209" s="21"/>
      <c r="S209" s="21"/>
      <c r="T209" s="21"/>
      <c r="U209" s="21"/>
      <c r="V209" s="21"/>
      <c r="W209" s="21"/>
      <c r="X209" s="21"/>
      <c r="Y209" s="21"/>
      <c r="Z209" s="21"/>
      <c r="AA209" s="21"/>
      <c r="AB209" s="21"/>
      <c r="AC209" s="21"/>
      <c r="AD209" s="21"/>
      <c r="AE209" s="21"/>
      <c r="AF209" s="21"/>
      <c r="AG209" s="21"/>
      <c r="AH209" s="21"/>
      <c r="AI209" s="21"/>
      <c r="AJ209" s="21"/>
      <c r="AK209" s="21"/>
      <c r="AL209" s="21"/>
      <c r="AM209" s="21"/>
      <c r="AN209" s="21"/>
    </row>
    <row r="210" spans="3:40">
      <c r="C210" s="21"/>
      <c r="D210" s="21"/>
      <c r="E210" s="21"/>
      <c r="F210" s="21"/>
      <c r="G210" s="21"/>
      <c r="H210" s="21"/>
      <c r="I210" s="21"/>
      <c r="J210" s="21"/>
      <c r="K210" s="21"/>
      <c r="L210" s="21"/>
      <c r="M210" s="21"/>
      <c r="N210" s="21"/>
      <c r="O210" s="21"/>
      <c r="P210" s="21"/>
      <c r="Q210" s="21"/>
      <c r="R210" s="21"/>
      <c r="S210" s="21"/>
      <c r="T210" s="21"/>
      <c r="U210" s="21"/>
      <c r="V210" s="21"/>
      <c r="W210" s="21"/>
      <c r="X210" s="21"/>
      <c r="Y210" s="21"/>
      <c r="Z210" s="21"/>
      <c r="AA210" s="21"/>
      <c r="AB210" s="21"/>
      <c r="AC210" s="21"/>
      <c r="AD210" s="21"/>
      <c r="AE210" s="21"/>
      <c r="AF210" s="21"/>
      <c r="AG210" s="21"/>
      <c r="AH210" s="21"/>
      <c r="AI210" s="21"/>
      <c r="AJ210" s="21"/>
      <c r="AK210" s="21"/>
      <c r="AL210" s="21"/>
      <c r="AM210" s="21"/>
      <c r="AN210" s="21"/>
    </row>
    <row r="211" spans="3:40">
      <c r="C211" s="21"/>
      <c r="D211" s="21"/>
      <c r="E211" s="21"/>
      <c r="F211" s="21"/>
      <c r="G211" s="21"/>
      <c r="H211" s="21"/>
      <c r="I211" s="21"/>
      <c r="J211" s="21"/>
      <c r="K211" s="21"/>
      <c r="L211" s="21"/>
      <c r="M211" s="21"/>
      <c r="N211" s="21"/>
      <c r="O211" s="21"/>
      <c r="P211" s="21"/>
      <c r="Q211" s="21"/>
      <c r="R211" s="21"/>
      <c r="S211" s="21"/>
      <c r="T211" s="21"/>
      <c r="U211" s="21"/>
      <c r="V211" s="21"/>
      <c r="W211" s="21"/>
      <c r="X211" s="21"/>
      <c r="Y211" s="21"/>
      <c r="Z211" s="21"/>
      <c r="AA211" s="21"/>
      <c r="AB211" s="21"/>
      <c r="AC211" s="21"/>
      <c r="AD211" s="21"/>
      <c r="AE211" s="21"/>
      <c r="AF211" s="21"/>
      <c r="AG211" s="21"/>
      <c r="AH211" s="21"/>
      <c r="AI211" s="21"/>
      <c r="AJ211" s="21"/>
      <c r="AK211" s="21"/>
      <c r="AL211" s="21"/>
      <c r="AM211" s="21"/>
      <c r="AN211" s="21"/>
    </row>
    <row r="212" spans="3:40">
      <c r="C212" s="21"/>
      <c r="D212" s="21"/>
      <c r="E212" s="21"/>
      <c r="F212" s="21"/>
      <c r="G212" s="21"/>
      <c r="H212" s="21"/>
      <c r="I212" s="21"/>
      <c r="J212" s="21"/>
      <c r="K212" s="21"/>
      <c r="L212" s="21"/>
      <c r="M212" s="21"/>
      <c r="N212" s="21"/>
      <c r="O212" s="21"/>
      <c r="P212" s="21"/>
      <c r="Q212" s="21"/>
      <c r="R212" s="21"/>
      <c r="S212" s="21"/>
      <c r="T212" s="21"/>
      <c r="U212" s="21"/>
      <c r="V212" s="21"/>
      <c r="W212" s="21"/>
      <c r="X212" s="21"/>
      <c r="Y212" s="21"/>
      <c r="Z212" s="21"/>
      <c r="AA212" s="21"/>
      <c r="AB212" s="21"/>
      <c r="AC212" s="21"/>
      <c r="AD212" s="21"/>
      <c r="AE212" s="21"/>
      <c r="AF212" s="21"/>
      <c r="AG212" s="21"/>
      <c r="AH212" s="21"/>
      <c r="AI212" s="21"/>
      <c r="AJ212" s="21"/>
      <c r="AK212" s="21"/>
      <c r="AL212" s="21"/>
      <c r="AM212" s="21"/>
      <c r="AN212" s="21"/>
    </row>
    <row r="213" spans="3:40">
      <c r="C213" s="21"/>
      <c r="D213" s="21"/>
      <c r="E213" s="21"/>
      <c r="F213" s="21"/>
      <c r="G213" s="21"/>
      <c r="H213" s="21"/>
      <c r="I213" s="21"/>
      <c r="J213" s="21"/>
      <c r="K213" s="21"/>
      <c r="L213" s="21"/>
      <c r="M213" s="21"/>
      <c r="N213" s="21"/>
      <c r="O213" s="21"/>
      <c r="P213" s="21"/>
      <c r="Q213" s="21"/>
      <c r="R213" s="21"/>
      <c r="S213" s="21"/>
      <c r="T213" s="21"/>
      <c r="U213" s="21"/>
      <c r="V213" s="21"/>
      <c r="W213" s="21"/>
      <c r="X213" s="21"/>
      <c r="Y213" s="21"/>
      <c r="Z213" s="21"/>
      <c r="AA213" s="21"/>
      <c r="AB213" s="21"/>
      <c r="AC213" s="21"/>
      <c r="AD213" s="21"/>
      <c r="AE213" s="21"/>
      <c r="AF213" s="21"/>
      <c r="AG213" s="21"/>
      <c r="AH213" s="21"/>
      <c r="AI213" s="21"/>
      <c r="AJ213" s="21"/>
      <c r="AK213" s="21"/>
      <c r="AL213" s="21"/>
      <c r="AM213" s="21"/>
      <c r="AN213" s="21"/>
    </row>
    <row r="214" spans="3:40">
      <c r="C214" s="21"/>
      <c r="D214" s="21"/>
      <c r="E214" s="21"/>
      <c r="F214" s="21"/>
      <c r="G214" s="21"/>
      <c r="H214" s="21"/>
      <c r="I214" s="21"/>
      <c r="J214" s="21"/>
      <c r="K214" s="21"/>
      <c r="L214" s="21"/>
      <c r="M214" s="21"/>
      <c r="N214" s="21"/>
      <c r="O214" s="21"/>
      <c r="P214" s="21"/>
      <c r="Q214" s="21"/>
      <c r="R214" s="21"/>
      <c r="S214" s="21"/>
      <c r="T214" s="21"/>
      <c r="U214" s="21"/>
      <c r="V214" s="21"/>
      <c r="W214" s="21"/>
      <c r="X214" s="21"/>
      <c r="Y214" s="21"/>
      <c r="Z214" s="21"/>
      <c r="AA214" s="21"/>
      <c r="AB214" s="21"/>
      <c r="AC214" s="21"/>
      <c r="AD214" s="21"/>
      <c r="AE214" s="21"/>
      <c r="AF214" s="21"/>
      <c r="AG214" s="21"/>
      <c r="AH214" s="21"/>
      <c r="AI214" s="21"/>
      <c r="AJ214" s="21"/>
      <c r="AK214" s="21"/>
      <c r="AL214" s="21"/>
      <c r="AM214" s="21"/>
      <c r="AN214" s="21"/>
    </row>
    <row r="215" spans="3:40">
      <c r="C215" s="21"/>
      <c r="D215" s="21"/>
      <c r="E215" s="21"/>
      <c r="F215" s="21"/>
      <c r="G215" s="21"/>
      <c r="H215" s="21"/>
      <c r="I215" s="21"/>
      <c r="J215" s="21"/>
      <c r="K215" s="21"/>
      <c r="L215" s="21"/>
      <c r="M215" s="21"/>
      <c r="N215" s="21"/>
      <c r="O215" s="21"/>
      <c r="P215" s="21"/>
      <c r="Q215" s="21"/>
      <c r="R215" s="21"/>
      <c r="S215" s="21"/>
      <c r="T215" s="21"/>
      <c r="U215" s="21"/>
      <c r="V215" s="21"/>
      <c r="W215" s="21"/>
      <c r="X215" s="21"/>
      <c r="Y215" s="21"/>
      <c r="Z215" s="21"/>
      <c r="AA215" s="21"/>
      <c r="AB215" s="21"/>
      <c r="AC215" s="21"/>
      <c r="AD215" s="21"/>
      <c r="AE215" s="21"/>
      <c r="AF215" s="21"/>
      <c r="AG215" s="21"/>
      <c r="AH215" s="21"/>
      <c r="AI215" s="21"/>
      <c r="AJ215" s="21"/>
      <c r="AK215" s="21"/>
      <c r="AL215" s="21"/>
      <c r="AM215" s="21"/>
      <c r="AN215" s="21"/>
    </row>
    <row r="216" spans="3:40">
      <c r="C216" s="21"/>
      <c r="D216" s="21"/>
      <c r="E216" s="21"/>
      <c r="F216" s="21"/>
      <c r="G216" s="21"/>
      <c r="H216" s="21"/>
      <c r="I216" s="21"/>
      <c r="J216" s="21"/>
      <c r="K216" s="21"/>
      <c r="L216" s="21"/>
      <c r="M216" s="21"/>
      <c r="N216" s="21"/>
      <c r="O216" s="21"/>
      <c r="P216" s="21"/>
      <c r="Q216" s="21"/>
      <c r="R216" s="21"/>
      <c r="S216" s="21"/>
      <c r="T216" s="21"/>
      <c r="U216" s="21"/>
      <c r="V216" s="21"/>
      <c r="W216" s="21"/>
      <c r="X216" s="21"/>
      <c r="Y216" s="21"/>
      <c r="Z216" s="21"/>
      <c r="AA216" s="21"/>
      <c r="AB216" s="21"/>
      <c r="AC216" s="21"/>
      <c r="AD216" s="21"/>
      <c r="AE216" s="21"/>
      <c r="AF216" s="21"/>
      <c r="AG216" s="21"/>
      <c r="AH216" s="21"/>
      <c r="AI216" s="21"/>
      <c r="AJ216" s="21"/>
      <c r="AK216" s="21"/>
      <c r="AL216" s="21"/>
      <c r="AM216" s="21"/>
      <c r="AN216" s="21"/>
    </row>
    <row r="217" spans="3:40">
      <c r="C217" s="21"/>
      <c r="D217" s="21"/>
      <c r="E217" s="21"/>
      <c r="F217" s="21"/>
      <c r="G217" s="21"/>
      <c r="H217" s="21"/>
      <c r="I217" s="21"/>
      <c r="J217" s="21"/>
      <c r="K217" s="21"/>
      <c r="L217" s="21"/>
      <c r="M217" s="21"/>
      <c r="N217" s="21"/>
      <c r="O217" s="21"/>
      <c r="P217" s="21"/>
      <c r="Q217" s="21"/>
      <c r="R217" s="21"/>
      <c r="S217" s="21"/>
      <c r="T217" s="21"/>
      <c r="U217" s="21"/>
      <c r="V217" s="21"/>
      <c r="W217" s="21"/>
      <c r="X217" s="21"/>
      <c r="Y217" s="21"/>
      <c r="Z217" s="21"/>
      <c r="AA217" s="21"/>
      <c r="AB217" s="21"/>
      <c r="AC217" s="21"/>
      <c r="AD217" s="21"/>
      <c r="AE217" s="21"/>
      <c r="AF217" s="21"/>
      <c r="AG217" s="21"/>
      <c r="AH217" s="21"/>
      <c r="AI217" s="21"/>
      <c r="AJ217" s="21"/>
      <c r="AK217" s="21"/>
      <c r="AL217" s="21"/>
      <c r="AM217" s="21"/>
      <c r="AN217" s="21"/>
    </row>
    <row r="218" spans="3:40">
      <c r="C218" s="21"/>
      <c r="D218" s="21"/>
      <c r="E218" s="21"/>
      <c r="F218" s="21"/>
      <c r="G218" s="21"/>
      <c r="H218" s="21"/>
      <c r="I218" s="21"/>
      <c r="J218" s="21"/>
      <c r="K218" s="21"/>
      <c r="L218" s="21"/>
      <c r="M218" s="21"/>
      <c r="N218" s="21"/>
      <c r="O218" s="21"/>
      <c r="P218" s="21"/>
      <c r="Q218" s="21"/>
      <c r="R218" s="21"/>
      <c r="S218" s="21"/>
      <c r="T218" s="21"/>
      <c r="U218" s="21"/>
      <c r="V218" s="21"/>
      <c r="W218" s="21"/>
      <c r="X218" s="21"/>
      <c r="Y218" s="21"/>
      <c r="Z218" s="21"/>
      <c r="AA218" s="21"/>
      <c r="AB218" s="21"/>
      <c r="AC218" s="21"/>
      <c r="AD218" s="21"/>
      <c r="AE218" s="21"/>
      <c r="AF218" s="21"/>
      <c r="AG218" s="21"/>
      <c r="AH218" s="21"/>
      <c r="AI218" s="21"/>
      <c r="AJ218" s="21"/>
      <c r="AK218" s="21"/>
      <c r="AL218" s="21"/>
      <c r="AM218" s="21"/>
      <c r="AN218" s="21"/>
    </row>
    <row r="219" spans="3:40">
      <c r="C219" s="21"/>
      <c r="D219" s="21"/>
      <c r="E219" s="21"/>
      <c r="F219" s="21"/>
      <c r="G219" s="21"/>
      <c r="H219" s="21"/>
      <c r="I219" s="21"/>
      <c r="J219" s="21"/>
      <c r="K219" s="21"/>
      <c r="L219" s="21"/>
      <c r="M219" s="21"/>
      <c r="N219" s="21"/>
      <c r="O219" s="21"/>
      <c r="P219" s="21"/>
      <c r="Q219" s="21"/>
      <c r="R219" s="21"/>
      <c r="S219" s="21"/>
      <c r="T219" s="21"/>
      <c r="U219" s="21"/>
      <c r="V219" s="21"/>
      <c r="W219" s="21"/>
      <c r="X219" s="21"/>
      <c r="Y219" s="21"/>
      <c r="Z219" s="21"/>
      <c r="AA219" s="21"/>
      <c r="AB219" s="21"/>
      <c r="AC219" s="21"/>
      <c r="AD219" s="21"/>
      <c r="AE219" s="21"/>
      <c r="AF219" s="21"/>
      <c r="AG219" s="21"/>
      <c r="AH219" s="21"/>
      <c r="AI219" s="21"/>
      <c r="AJ219" s="21"/>
      <c r="AK219" s="21"/>
      <c r="AL219" s="21"/>
      <c r="AM219" s="21"/>
      <c r="AN219" s="21"/>
    </row>
    <row r="220" spans="3:40">
      <c r="C220" s="21"/>
      <c r="D220" s="21"/>
      <c r="E220" s="21"/>
      <c r="F220" s="21"/>
      <c r="G220" s="21"/>
      <c r="H220" s="21"/>
      <c r="I220" s="21"/>
      <c r="J220" s="21"/>
      <c r="K220" s="21"/>
      <c r="L220" s="21"/>
      <c r="M220" s="21"/>
      <c r="N220" s="21"/>
      <c r="O220" s="21"/>
      <c r="P220" s="21"/>
      <c r="Q220" s="21"/>
      <c r="R220" s="21"/>
      <c r="S220" s="21"/>
      <c r="T220" s="21"/>
      <c r="U220" s="21"/>
      <c r="V220" s="21"/>
      <c r="W220" s="21"/>
      <c r="X220" s="21"/>
      <c r="Y220" s="21"/>
      <c r="Z220" s="21"/>
      <c r="AA220" s="21"/>
      <c r="AB220" s="21"/>
      <c r="AC220" s="21"/>
      <c r="AD220" s="21"/>
      <c r="AE220" s="21"/>
      <c r="AF220" s="21"/>
      <c r="AG220" s="21"/>
      <c r="AH220" s="21"/>
      <c r="AI220" s="21"/>
      <c r="AJ220" s="21"/>
      <c r="AK220" s="21"/>
      <c r="AL220" s="21"/>
      <c r="AM220" s="21"/>
      <c r="AN220" s="21"/>
    </row>
    <row r="221" spans="3:40">
      <c r="C221" s="21"/>
      <c r="D221" s="21"/>
      <c r="E221" s="21"/>
      <c r="F221" s="21"/>
      <c r="G221" s="21"/>
      <c r="H221" s="21"/>
      <c r="I221" s="21"/>
      <c r="J221" s="21"/>
      <c r="K221" s="21"/>
      <c r="L221" s="21"/>
      <c r="M221" s="21"/>
      <c r="N221" s="21"/>
      <c r="O221" s="21"/>
      <c r="P221" s="21"/>
      <c r="Q221" s="21"/>
      <c r="R221" s="21"/>
      <c r="S221" s="21"/>
      <c r="T221" s="21"/>
      <c r="U221" s="21"/>
      <c r="V221" s="21"/>
      <c r="W221" s="21"/>
      <c r="X221" s="21"/>
      <c r="Y221" s="21"/>
      <c r="Z221" s="21"/>
      <c r="AA221" s="21"/>
      <c r="AB221" s="21"/>
      <c r="AC221" s="21"/>
      <c r="AD221" s="21"/>
      <c r="AE221" s="21"/>
      <c r="AF221" s="21"/>
      <c r="AG221" s="21"/>
      <c r="AH221" s="21"/>
      <c r="AI221" s="21"/>
      <c r="AJ221" s="21"/>
      <c r="AK221" s="21"/>
      <c r="AL221" s="21"/>
      <c r="AM221" s="21"/>
      <c r="AN221" s="21"/>
    </row>
    <row r="222" spans="3:40">
      <c r="C222" s="21"/>
      <c r="D222" s="21"/>
      <c r="E222" s="21"/>
      <c r="F222" s="21"/>
      <c r="G222" s="21"/>
      <c r="H222" s="21"/>
      <c r="I222" s="21"/>
      <c r="J222" s="21"/>
      <c r="K222" s="21"/>
      <c r="L222" s="21"/>
      <c r="M222" s="21"/>
      <c r="N222" s="21"/>
      <c r="O222" s="21"/>
      <c r="P222" s="21"/>
      <c r="Q222" s="21"/>
      <c r="R222" s="21"/>
      <c r="S222" s="21"/>
      <c r="T222" s="21"/>
      <c r="U222" s="21"/>
      <c r="V222" s="21"/>
      <c r="W222" s="21"/>
      <c r="X222" s="21"/>
      <c r="Y222" s="21"/>
      <c r="Z222" s="21"/>
      <c r="AA222" s="21"/>
      <c r="AB222" s="21"/>
      <c r="AC222" s="21"/>
      <c r="AD222" s="21"/>
      <c r="AE222" s="21"/>
      <c r="AF222" s="21"/>
      <c r="AG222" s="21"/>
      <c r="AH222" s="21"/>
      <c r="AI222" s="21"/>
      <c r="AJ222" s="21"/>
      <c r="AK222" s="21"/>
      <c r="AL222" s="21"/>
      <c r="AM222" s="21"/>
      <c r="AN222" s="21"/>
    </row>
    <row r="223" spans="3:40">
      <c r="C223" s="21"/>
      <c r="D223" s="21"/>
      <c r="E223" s="21"/>
      <c r="F223" s="21"/>
      <c r="G223" s="21"/>
      <c r="H223" s="21"/>
      <c r="I223" s="21"/>
      <c r="J223" s="21"/>
      <c r="K223" s="21"/>
      <c r="L223" s="21"/>
      <c r="M223" s="21"/>
      <c r="N223" s="21"/>
      <c r="O223" s="21"/>
      <c r="P223" s="21"/>
      <c r="Q223" s="21"/>
      <c r="R223" s="21"/>
      <c r="S223" s="21"/>
      <c r="T223" s="21"/>
      <c r="U223" s="21"/>
      <c r="V223" s="21"/>
      <c r="W223" s="21"/>
      <c r="X223" s="21"/>
      <c r="Y223" s="21"/>
      <c r="Z223" s="21"/>
      <c r="AA223" s="21"/>
      <c r="AB223" s="21"/>
      <c r="AC223" s="21"/>
      <c r="AD223" s="21"/>
      <c r="AE223" s="21"/>
      <c r="AF223" s="21"/>
      <c r="AG223" s="21"/>
      <c r="AH223" s="21"/>
      <c r="AI223" s="21"/>
      <c r="AJ223" s="21"/>
      <c r="AK223" s="21"/>
      <c r="AL223" s="21"/>
      <c r="AM223" s="21"/>
      <c r="AN223" s="21"/>
    </row>
    <row r="224" spans="3:40">
      <c r="C224" s="21"/>
      <c r="D224" s="21"/>
      <c r="E224" s="21"/>
      <c r="F224" s="21"/>
      <c r="G224" s="21"/>
      <c r="H224" s="21"/>
      <c r="I224" s="21"/>
      <c r="J224" s="21"/>
      <c r="K224" s="21"/>
      <c r="L224" s="21"/>
      <c r="M224" s="21"/>
      <c r="N224" s="21"/>
      <c r="O224" s="21"/>
      <c r="P224" s="21"/>
      <c r="Q224" s="21"/>
      <c r="R224" s="21"/>
      <c r="S224" s="21"/>
      <c r="T224" s="21"/>
      <c r="U224" s="21"/>
      <c r="V224" s="21"/>
      <c r="W224" s="21"/>
      <c r="X224" s="21"/>
      <c r="Y224" s="21"/>
      <c r="Z224" s="21"/>
      <c r="AA224" s="21"/>
      <c r="AB224" s="21"/>
      <c r="AC224" s="21"/>
      <c r="AD224" s="21"/>
      <c r="AE224" s="21"/>
      <c r="AF224" s="21"/>
      <c r="AG224" s="21"/>
      <c r="AH224" s="21"/>
      <c r="AI224" s="21"/>
      <c r="AJ224" s="21"/>
      <c r="AK224" s="21"/>
      <c r="AL224" s="21"/>
      <c r="AM224" s="21"/>
      <c r="AN224" s="21"/>
    </row>
    <row r="225" spans="3:40">
      <c r="C225" s="21"/>
      <c r="D225" s="21"/>
      <c r="E225" s="21"/>
      <c r="F225" s="21"/>
      <c r="G225" s="21"/>
      <c r="H225" s="21"/>
      <c r="I225" s="21"/>
      <c r="J225" s="21"/>
      <c r="K225" s="21"/>
      <c r="L225" s="21"/>
      <c r="M225" s="21"/>
      <c r="N225" s="21"/>
      <c r="O225" s="21"/>
      <c r="P225" s="21"/>
      <c r="Q225" s="21"/>
      <c r="R225" s="21"/>
      <c r="S225" s="21"/>
      <c r="T225" s="21"/>
      <c r="U225" s="21"/>
      <c r="V225" s="21"/>
      <c r="W225" s="21"/>
      <c r="X225" s="21"/>
      <c r="Y225" s="21"/>
      <c r="Z225" s="21"/>
      <c r="AA225" s="21"/>
      <c r="AB225" s="21"/>
      <c r="AC225" s="21"/>
      <c r="AD225" s="21"/>
      <c r="AE225" s="21"/>
      <c r="AF225" s="21"/>
      <c r="AG225" s="21"/>
      <c r="AH225" s="21"/>
      <c r="AI225" s="21"/>
      <c r="AJ225" s="21"/>
      <c r="AK225" s="21"/>
      <c r="AL225" s="21"/>
      <c r="AM225" s="21"/>
      <c r="AN225" s="21"/>
    </row>
    <row r="226" spans="3:40">
      <c r="C226" s="21"/>
      <c r="D226" s="21"/>
      <c r="E226" s="21"/>
      <c r="F226" s="21"/>
      <c r="G226" s="21"/>
      <c r="H226" s="21"/>
      <c r="I226" s="21"/>
      <c r="J226" s="21"/>
      <c r="K226" s="21"/>
      <c r="L226" s="21"/>
      <c r="M226" s="21"/>
      <c r="N226" s="21"/>
      <c r="O226" s="21"/>
      <c r="P226" s="21"/>
      <c r="Q226" s="21"/>
      <c r="R226" s="21"/>
      <c r="S226" s="21"/>
      <c r="T226" s="21"/>
      <c r="U226" s="21"/>
      <c r="V226" s="21"/>
      <c r="W226" s="21"/>
      <c r="X226" s="21"/>
      <c r="Y226" s="21"/>
      <c r="Z226" s="21"/>
      <c r="AA226" s="21"/>
      <c r="AB226" s="21"/>
      <c r="AC226" s="21"/>
      <c r="AD226" s="21"/>
      <c r="AE226" s="21"/>
      <c r="AF226" s="21"/>
      <c r="AG226" s="21"/>
      <c r="AH226" s="21"/>
      <c r="AI226" s="21"/>
      <c r="AJ226" s="21"/>
      <c r="AK226" s="21"/>
      <c r="AL226" s="21"/>
      <c r="AM226" s="21"/>
      <c r="AN226" s="21"/>
    </row>
    <row r="227" spans="3:40">
      <c r="C227" s="21"/>
      <c r="D227" s="21"/>
      <c r="E227" s="21"/>
      <c r="F227" s="21"/>
      <c r="G227" s="21"/>
      <c r="H227" s="21"/>
      <c r="I227" s="21"/>
      <c r="J227" s="21"/>
      <c r="K227" s="21"/>
      <c r="L227" s="21"/>
      <c r="M227" s="21"/>
      <c r="N227" s="21"/>
      <c r="O227" s="21"/>
      <c r="P227" s="21"/>
      <c r="Q227" s="21"/>
      <c r="R227" s="21"/>
      <c r="S227" s="21"/>
      <c r="T227" s="21"/>
      <c r="U227" s="21"/>
      <c r="V227" s="21"/>
      <c r="W227" s="21"/>
      <c r="X227" s="21"/>
      <c r="Y227" s="21"/>
      <c r="Z227" s="21"/>
      <c r="AA227" s="21"/>
      <c r="AB227" s="21"/>
      <c r="AC227" s="21"/>
      <c r="AD227" s="21"/>
      <c r="AE227" s="21"/>
      <c r="AF227" s="21"/>
      <c r="AG227" s="21"/>
      <c r="AH227" s="21"/>
      <c r="AI227" s="21"/>
      <c r="AJ227" s="21"/>
      <c r="AK227" s="21"/>
      <c r="AL227" s="21"/>
      <c r="AM227" s="21"/>
      <c r="AN227" s="21"/>
    </row>
    <row r="228" spans="3:40">
      <c r="C228" s="21"/>
      <c r="D228" s="21"/>
      <c r="E228" s="21"/>
      <c r="F228" s="21"/>
      <c r="G228" s="21"/>
      <c r="H228" s="21"/>
      <c r="I228" s="21"/>
      <c r="J228" s="21"/>
      <c r="K228" s="21"/>
      <c r="L228" s="21"/>
      <c r="M228" s="21"/>
      <c r="N228" s="21"/>
      <c r="O228" s="21"/>
      <c r="P228" s="21"/>
      <c r="Q228" s="21"/>
      <c r="R228" s="21"/>
      <c r="S228" s="21"/>
      <c r="T228" s="21"/>
      <c r="U228" s="21"/>
      <c r="V228" s="21"/>
      <c r="W228" s="21"/>
      <c r="X228" s="21"/>
      <c r="Y228" s="21"/>
      <c r="Z228" s="21"/>
      <c r="AA228" s="21"/>
      <c r="AB228" s="21"/>
      <c r="AC228" s="21"/>
      <c r="AD228" s="21"/>
      <c r="AE228" s="21"/>
      <c r="AF228" s="21"/>
      <c r="AG228" s="21"/>
      <c r="AH228" s="21"/>
      <c r="AI228" s="21"/>
      <c r="AJ228" s="21"/>
      <c r="AK228" s="21"/>
      <c r="AL228" s="21"/>
      <c r="AM228" s="21"/>
      <c r="AN228" s="21"/>
    </row>
    <row r="229" spans="3:40">
      <c r="C229" s="21"/>
      <c r="D229" s="21"/>
      <c r="E229" s="21"/>
      <c r="F229" s="21"/>
      <c r="G229" s="21"/>
      <c r="H229" s="21"/>
      <c r="I229" s="21"/>
      <c r="J229" s="21"/>
      <c r="K229" s="21"/>
      <c r="L229" s="21"/>
      <c r="M229" s="21"/>
      <c r="N229" s="21"/>
      <c r="O229" s="21"/>
      <c r="P229" s="21"/>
      <c r="Q229" s="21"/>
      <c r="R229" s="21"/>
      <c r="S229" s="21"/>
      <c r="T229" s="21"/>
      <c r="U229" s="21"/>
      <c r="V229" s="21"/>
      <c r="W229" s="21"/>
      <c r="X229" s="21"/>
      <c r="Y229" s="21"/>
      <c r="Z229" s="21"/>
      <c r="AA229" s="21"/>
      <c r="AB229" s="21"/>
      <c r="AC229" s="21"/>
      <c r="AD229" s="21"/>
      <c r="AE229" s="21"/>
      <c r="AF229" s="21"/>
      <c r="AG229" s="21"/>
      <c r="AH229" s="21"/>
      <c r="AI229" s="21"/>
      <c r="AJ229" s="21"/>
      <c r="AK229" s="21"/>
      <c r="AL229" s="21"/>
      <c r="AM229" s="21"/>
      <c r="AN229" s="21"/>
    </row>
    <row r="230" spans="3:40">
      <c r="C230" s="21"/>
      <c r="D230" s="21"/>
      <c r="E230" s="21"/>
      <c r="F230" s="21"/>
      <c r="G230" s="21"/>
      <c r="H230" s="21"/>
      <c r="I230" s="21"/>
      <c r="J230" s="21"/>
      <c r="K230" s="21"/>
      <c r="L230" s="21"/>
      <c r="M230" s="21"/>
      <c r="N230" s="21"/>
      <c r="O230" s="21"/>
      <c r="P230" s="21"/>
      <c r="Q230" s="21"/>
      <c r="R230" s="21"/>
      <c r="S230" s="21"/>
      <c r="T230" s="21"/>
      <c r="U230" s="21"/>
      <c r="V230" s="21"/>
      <c r="W230" s="21"/>
      <c r="X230" s="21"/>
      <c r="Y230" s="21"/>
      <c r="Z230" s="21"/>
      <c r="AA230" s="21"/>
      <c r="AB230" s="21"/>
      <c r="AC230" s="21"/>
      <c r="AD230" s="21"/>
      <c r="AE230" s="21"/>
      <c r="AF230" s="21"/>
      <c r="AG230" s="21"/>
      <c r="AH230" s="21"/>
      <c r="AI230" s="21"/>
      <c r="AJ230" s="21"/>
      <c r="AK230" s="21"/>
      <c r="AL230" s="21"/>
      <c r="AM230" s="21"/>
      <c r="AN230" s="21"/>
    </row>
    <row r="231" spans="3:40">
      <c r="C231" s="21"/>
      <c r="D231" s="21"/>
      <c r="E231" s="21"/>
      <c r="F231" s="21"/>
      <c r="G231" s="21"/>
      <c r="H231" s="21"/>
      <c r="I231" s="21"/>
      <c r="J231" s="21"/>
      <c r="K231" s="21"/>
      <c r="L231" s="21"/>
      <c r="M231" s="21"/>
      <c r="N231" s="21"/>
      <c r="O231" s="21"/>
      <c r="P231" s="21"/>
      <c r="Q231" s="21"/>
      <c r="R231" s="21"/>
      <c r="S231" s="21"/>
      <c r="T231" s="21"/>
      <c r="U231" s="21"/>
      <c r="V231" s="21"/>
      <c r="W231" s="21"/>
      <c r="X231" s="21"/>
      <c r="Y231" s="21"/>
      <c r="Z231" s="21"/>
      <c r="AA231" s="21"/>
      <c r="AB231" s="21"/>
      <c r="AC231" s="21"/>
      <c r="AD231" s="21"/>
      <c r="AE231" s="21"/>
      <c r="AF231" s="21"/>
      <c r="AG231" s="21"/>
      <c r="AH231" s="21"/>
      <c r="AI231" s="21"/>
      <c r="AJ231" s="21"/>
      <c r="AK231" s="21"/>
      <c r="AL231" s="21"/>
      <c r="AM231" s="21"/>
      <c r="AN231" s="21"/>
    </row>
    <row r="232" spans="3:40">
      <c r="C232" s="21"/>
      <c r="D232" s="21"/>
      <c r="E232" s="21"/>
      <c r="F232" s="21"/>
      <c r="G232" s="21"/>
      <c r="H232" s="21"/>
      <c r="I232" s="21"/>
      <c r="J232" s="21"/>
      <c r="K232" s="21"/>
      <c r="L232" s="21"/>
      <c r="M232" s="21"/>
      <c r="N232" s="21"/>
      <c r="O232" s="21"/>
      <c r="P232" s="21"/>
      <c r="Q232" s="21"/>
      <c r="R232" s="21"/>
      <c r="S232" s="21"/>
      <c r="T232" s="21"/>
      <c r="U232" s="21"/>
      <c r="V232" s="21"/>
      <c r="W232" s="21"/>
      <c r="X232" s="21"/>
      <c r="Y232" s="21"/>
      <c r="Z232" s="21"/>
      <c r="AA232" s="21"/>
      <c r="AB232" s="21"/>
      <c r="AC232" s="21"/>
      <c r="AD232" s="21"/>
      <c r="AE232" s="21"/>
      <c r="AF232" s="21"/>
      <c r="AG232" s="21"/>
      <c r="AH232" s="21"/>
      <c r="AI232" s="21"/>
      <c r="AJ232" s="21"/>
      <c r="AK232" s="21"/>
      <c r="AL232" s="21"/>
      <c r="AM232" s="21"/>
      <c r="AN232" s="21"/>
    </row>
    <row r="233" spans="3:40">
      <c r="C233" s="21"/>
      <c r="D233" s="21"/>
      <c r="E233" s="21"/>
      <c r="F233" s="21"/>
      <c r="G233" s="21"/>
      <c r="H233" s="21"/>
      <c r="I233" s="21"/>
      <c r="J233" s="21"/>
      <c r="K233" s="21"/>
      <c r="L233" s="21"/>
      <c r="M233" s="21"/>
      <c r="N233" s="21"/>
      <c r="O233" s="21"/>
      <c r="P233" s="21"/>
      <c r="Q233" s="21"/>
      <c r="R233" s="21"/>
      <c r="S233" s="21"/>
      <c r="T233" s="21"/>
      <c r="U233" s="21"/>
      <c r="V233" s="21"/>
      <c r="W233" s="21"/>
      <c r="X233" s="21"/>
      <c r="Y233" s="21"/>
      <c r="Z233" s="21"/>
      <c r="AA233" s="21"/>
      <c r="AB233" s="21"/>
      <c r="AC233" s="21"/>
      <c r="AD233" s="21"/>
      <c r="AE233" s="21"/>
      <c r="AF233" s="21"/>
      <c r="AG233" s="21"/>
      <c r="AH233" s="21"/>
      <c r="AI233" s="21"/>
      <c r="AJ233" s="21"/>
      <c r="AK233" s="21"/>
      <c r="AL233" s="21"/>
      <c r="AM233" s="21"/>
      <c r="AN233" s="21"/>
    </row>
    <row r="234" spans="3:40">
      <c r="C234" s="21"/>
      <c r="D234" s="21"/>
      <c r="E234" s="21"/>
      <c r="F234" s="21"/>
      <c r="G234" s="21"/>
      <c r="H234" s="21"/>
      <c r="I234" s="21"/>
      <c r="J234" s="21"/>
      <c r="K234" s="21"/>
      <c r="L234" s="21"/>
      <c r="M234" s="21"/>
      <c r="N234" s="21"/>
      <c r="O234" s="21"/>
      <c r="P234" s="21"/>
      <c r="Q234" s="21"/>
      <c r="R234" s="21"/>
      <c r="S234" s="21"/>
      <c r="T234" s="21"/>
      <c r="U234" s="21"/>
      <c r="V234" s="21"/>
      <c r="W234" s="21"/>
      <c r="X234" s="21"/>
      <c r="Y234" s="21"/>
      <c r="Z234" s="21"/>
      <c r="AA234" s="21"/>
      <c r="AB234" s="21"/>
      <c r="AC234" s="21"/>
      <c r="AD234" s="21"/>
      <c r="AE234" s="21"/>
      <c r="AF234" s="21"/>
      <c r="AG234" s="21"/>
      <c r="AH234" s="21"/>
      <c r="AI234" s="21"/>
      <c r="AJ234" s="21"/>
      <c r="AK234" s="21"/>
      <c r="AL234" s="21"/>
      <c r="AM234" s="21"/>
      <c r="AN234" s="21"/>
    </row>
    <row r="235" spans="3:40">
      <c r="C235" s="21"/>
      <c r="D235" s="21"/>
      <c r="E235" s="21"/>
      <c r="F235" s="21"/>
      <c r="G235" s="21"/>
      <c r="H235" s="21"/>
      <c r="I235" s="21"/>
      <c r="J235" s="21"/>
      <c r="K235" s="21"/>
      <c r="L235" s="21"/>
      <c r="M235" s="21"/>
      <c r="N235" s="21"/>
      <c r="O235" s="21"/>
      <c r="P235" s="21"/>
      <c r="Q235" s="21"/>
      <c r="R235" s="21"/>
      <c r="S235" s="21"/>
      <c r="T235" s="21"/>
      <c r="U235" s="21"/>
      <c r="V235" s="21"/>
      <c r="W235" s="21"/>
      <c r="X235" s="21"/>
      <c r="Y235" s="21"/>
      <c r="Z235" s="21"/>
      <c r="AA235" s="21"/>
      <c r="AB235" s="21"/>
      <c r="AC235" s="21"/>
      <c r="AD235" s="21"/>
      <c r="AE235" s="21"/>
      <c r="AF235" s="21"/>
      <c r="AG235" s="21"/>
      <c r="AH235" s="21"/>
      <c r="AI235" s="21"/>
      <c r="AJ235" s="21"/>
      <c r="AK235" s="21"/>
      <c r="AL235" s="21"/>
      <c r="AM235" s="21"/>
      <c r="AN235" s="21"/>
    </row>
    <row r="236" spans="3:40">
      <c r="C236" s="21"/>
      <c r="D236" s="21"/>
      <c r="E236" s="21"/>
      <c r="F236" s="21"/>
      <c r="G236" s="21"/>
      <c r="H236" s="21"/>
      <c r="I236" s="21"/>
      <c r="J236" s="21"/>
      <c r="K236" s="21"/>
      <c r="L236" s="21"/>
      <c r="M236" s="21"/>
      <c r="N236" s="21"/>
      <c r="O236" s="21"/>
      <c r="P236" s="21"/>
      <c r="Q236" s="21"/>
      <c r="R236" s="21"/>
      <c r="S236" s="21"/>
      <c r="T236" s="21"/>
      <c r="U236" s="21"/>
      <c r="V236" s="21"/>
      <c r="W236" s="21"/>
      <c r="X236" s="21"/>
      <c r="Y236" s="21"/>
      <c r="Z236" s="21"/>
      <c r="AA236" s="21"/>
      <c r="AB236" s="21"/>
      <c r="AC236" s="21"/>
      <c r="AD236" s="21"/>
      <c r="AE236" s="21"/>
      <c r="AF236" s="21"/>
      <c r="AG236" s="21"/>
      <c r="AH236" s="21"/>
      <c r="AI236" s="21"/>
      <c r="AJ236" s="21"/>
      <c r="AK236" s="21"/>
      <c r="AL236" s="21"/>
      <c r="AM236" s="21"/>
      <c r="AN236" s="21"/>
    </row>
    <row r="237" spans="3:40">
      <c r="C237" s="21"/>
      <c r="D237" s="21"/>
      <c r="E237" s="21"/>
      <c r="F237" s="21"/>
      <c r="G237" s="21"/>
      <c r="H237" s="21"/>
      <c r="I237" s="21"/>
      <c r="J237" s="21"/>
      <c r="K237" s="21"/>
      <c r="L237" s="21"/>
      <c r="M237" s="21"/>
      <c r="N237" s="21"/>
      <c r="O237" s="21"/>
      <c r="P237" s="21"/>
      <c r="Q237" s="21"/>
      <c r="R237" s="21"/>
      <c r="S237" s="21"/>
      <c r="T237" s="21"/>
      <c r="U237" s="21"/>
      <c r="V237" s="21"/>
      <c r="W237" s="21"/>
      <c r="X237" s="21"/>
      <c r="Y237" s="21"/>
      <c r="Z237" s="21"/>
      <c r="AA237" s="21"/>
      <c r="AB237" s="21"/>
      <c r="AC237" s="21"/>
      <c r="AD237" s="21"/>
      <c r="AE237" s="21"/>
      <c r="AF237" s="21"/>
      <c r="AG237" s="21"/>
      <c r="AH237" s="21"/>
      <c r="AI237" s="21"/>
      <c r="AJ237" s="21"/>
      <c r="AK237" s="21"/>
      <c r="AL237" s="21"/>
      <c r="AM237" s="21"/>
      <c r="AN237" s="21"/>
    </row>
    <row r="238" spans="3:40">
      <c r="C238" s="21"/>
      <c r="D238" s="21"/>
      <c r="E238" s="21"/>
      <c r="F238" s="21"/>
      <c r="G238" s="21"/>
      <c r="H238" s="21"/>
      <c r="I238" s="21"/>
      <c r="J238" s="21"/>
      <c r="K238" s="21"/>
      <c r="L238" s="21"/>
      <c r="M238" s="21"/>
      <c r="N238" s="21"/>
      <c r="O238" s="21"/>
      <c r="P238" s="21"/>
      <c r="Q238" s="21"/>
      <c r="R238" s="21"/>
      <c r="S238" s="21"/>
      <c r="T238" s="21"/>
      <c r="U238" s="21"/>
      <c r="V238" s="21"/>
      <c r="W238" s="21"/>
      <c r="X238" s="21"/>
      <c r="Y238" s="21"/>
      <c r="Z238" s="21"/>
      <c r="AA238" s="21"/>
      <c r="AB238" s="21"/>
      <c r="AC238" s="21"/>
      <c r="AD238" s="21"/>
      <c r="AE238" s="21"/>
      <c r="AF238" s="21"/>
      <c r="AG238" s="21"/>
      <c r="AH238" s="21"/>
      <c r="AI238" s="21"/>
      <c r="AJ238" s="21"/>
      <c r="AK238" s="21"/>
      <c r="AL238" s="21"/>
      <c r="AM238" s="21"/>
      <c r="AN238" s="21"/>
    </row>
    <row r="239" spans="3:40">
      <c r="C239" s="21"/>
      <c r="D239" s="21"/>
      <c r="E239" s="21"/>
      <c r="F239" s="21"/>
      <c r="G239" s="21"/>
      <c r="H239" s="21"/>
      <c r="I239" s="21"/>
      <c r="J239" s="21"/>
      <c r="K239" s="21"/>
      <c r="L239" s="21"/>
      <c r="M239" s="21"/>
      <c r="N239" s="21"/>
      <c r="O239" s="21"/>
      <c r="P239" s="21"/>
      <c r="Q239" s="21"/>
      <c r="R239" s="21"/>
      <c r="S239" s="21"/>
      <c r="T239" s="21"/>
      <c r="U239" s="21"/>
      <c r="V239" s="21"/>
      <c r="W239" s="21"/>
      <c r="X239" s="21"/>
      <c r="Y239" s="21"/>
      <c r="Z239" s="21"/>
      <c r="AA239" s="21"/>
      <c r="AB239" s="21"/>
      <c r="AC239" s="21"/>
      <c r="AD239" s="21"/>
      <c r="AE239" s="21"/>
      <c r="AF239" s="21"/>
      <c r="AG239" s="21"/>
      <c r="AH239" s="21"/>
      <c r="AI239" s="21"/>
      <c r="AJ239" s="21"/>
      <c r="AK239" s="21"/>
      <c r="AL239" s="21"/>
      <c r="AM239" s="21"/>
      <c r="AN239" s="21"/>
    </row>
    <row r="240" spans="3:40">
      <c r="C240" s="21"/>
      <c r="D240" s="21"/>
      <c r="E240" s="21"/>
      <c r="F240" s="21"/>
      <c r="G240" s="21"/>
      <c r="H240" s="21"/>
      <c r="I240" s="21"/>
      <c r="J240" s="21"/>
      <c r="K240" s="21"/>
      <c r="L240" s="21"/>
      <c r="M240" s="21"/>
      <c r="N240" s="21"/>
      <c r="O240" s="21"/>
      <c r="P240" s="21"/>
      <c r="Q240" s="21"/>
      <c r="R240" s="21"/>
      <c r="S240" s="21"/>
      <c r="T240" s="21"/>
      <c r="U240" s="21"/>
      <c r="V240" s="21"/>
      <c r="W240" s="21"/>
      <c r="X240" s="21"/>
      <c r="Y240" s="21"/>
      <c r="Z240" s="21"/>
      <c r="AA240" s="21"/>
      <c r="AB240" s="21"/>
      <c r="AC240" s="21"/>
      <c r="AD240" s="21"/>
      <c r="AE240" s="21"/>
      <c r="AF240" s="21"/>
      <c r="AG240" s="21"/>
      <c r="AH240" s="21"/>
      <c r="AI240" s="21"/>
      <c r="AJ240" s="21"/>
      <c r="AK240" s="21"/>
      <c r="AL240" s="21"/>
      <c r="AM240" s="21"/>
      <c r="AN240" s="21"/>
    </row>
    <row r="241" spans="3:40">
      <c r="C241" s="21"/>
      <c r="D241" s="21"/>
      <c r="E241" s="21"/>
      <c r="F241" s="21"/>
      <c r="G241" s="21"/>
      <c r="H241" s="21"/>
      <c r="I241" s="21"/>
      <c r="J241" s="21"/>
      <c r="K241" s="21"/>
      <c r="L241" s="21"/>
      <c r="M241" s="21"/>
      <c r="N241" s="21"/>
      <c r="O241" s="21"/>
      <c r="P241" s="21"/>
      <c r="Q241" s="21"/>
      <c r="R241" s="21"/>
      <c r="S241" s="21"/>
      <c r="T241" s="21"/>
      <c r="U241" s="21"/>
      <c r="V241" s="21"/>
      <c r="W241" s="21"/>
      <c r="X241" s="21"/>
      <c r="Y241" s="21"/>
      <c r="Z241" s="21"/>
      <c r="AA241" s="21"/>
      <c r="AB241" s="21"/>
      <c r="AC241" s="21"/>
      <c r="AD241" s="21"/>
      <c r="AE241" s="21"/>
      <c r="AF241" s="21"/>
      <c r="AG241" s="21"/>
      <c r="AH241" s="21"/>
      <c r="AI241" s="21"/>
      <c r="AJ241" s="21"/>
      <c r="AK241" s="21"/>
      <c r="AL241" s="21"/>
      <c r="AM241" s="21"/>
      <c r="AN241" s="21"/>
    </row>
    <row r="242" spans="3:40">
      <c r="C242" s="21"/>
      <c r="D242" s="21"/>
      <c r="E242" s="21"/>
      <c r="F242" s="21"/>
      <c r="G242" s="21"/>
      <c r="H242" s="21"/>
      <c r="I242" s="21"/>
      <c r="J242" s="21"/>
      <c r="K242" s="21"/>
      <c r="L242" s="21"/>
      <c r="M242" s="21"/>
      <c r="N242" s="21"/>
      <c r="O242" s="21"/>
      <c r="P242" s="21"/>
      <c r="Q242" s="21"/>
      <c r="R242" s="21"/>
      <c r="S242" s="21"/>
      <c r="T242" s="21"/>
      <c r="U242" s="21"/>
      <c r="V242" s="21"/>
      <c r="W242" s="21"/>
      <c r="X242" s="21"/>
      <c r="Y242" s="21"/>
      <c r="Z242" s="21"/>
      <c r="AA242" s="21"/>
      <c r="AB242" s="21"/>
      <c r="AC242" s="21"/>
      <c r="AD242" s="21"/>
      <c r="AE242" s="21"/>
      <c r="AF242" s="21"/>
      <c r="AG242" s="21"/>
      <c r="AH242" s="21"/>
      <c r="AI242" s="21"/>
      <c r="AJ242" s="21"/>
      <c r="AK242" s="21"/>
      <c r="AL242" s="21"/>
      <c r="AM242" s="21"/>
      <c r="AN242" s="21"/>
    </row>
    <row r="243" spans="3:40">
      <c r="C243" s="21"/>
      <c r="D243" s="21"/>
      <c r="E243" s="21"/>
      <c r="F243" s="21"/>
      <c r="G243" s="21"/>
      <c r="H243" s="21"/>
      <c r="I243" s="21"/>
      <c r="J243" s="21"/>
      <c r="K243" s="21"/>
      <c r="L243" s="21"/>
      <c r="M243" s="21"/>
      <c r="N243" s="21"/>
      <c r="O243" s="21"/>
      <c r="P243" s="21"/>
      <c r="Q243" s="21"/>
      <c r="R243" s="21"/>
      <c r="S243" s="21"/>
      <c r="T243" s="21"/>
      <c r="U243" s="21"/>
      <c r="V243" s="21"/>
      <c r="W243" s="21"/>
      <c r="X243" s="21"/>
      <c r="Y243" s="21"/>
      <c r="Z243" s="21"/>
      <c r="AA243" s="21"/>
      <c r="AB243" s="21"/>
      <c r="AC243" s="21"/>
      <c r="AD243" s="21"/>
      <c r="AE243" s="21"/>
      <c r="AF243" s="21"/>
      <c r="AG243" s="21"/>
      <c r="AH243" s="21"/>
      <c r="AI243" s="21"/>
      <c r="AJ243" s="21"/>
      <c r="AK243" s="21"/>
      <c r="AL243" s="21"/>
      <c r="AM243" s="21"/>
      <c r="AN243" s="21"/>
    </row>
    <row r="244" spans="3:40">
      <c r="C244" s="21"/>
      <c r="D244" s="21"/>
      <c r="E244" s="21"/>
      <c r="F244" s="21"/>
      <c r="G244" s="21"/>
      <c r="H244" s="21"/>
      <c r="I244" s="21"/>
      <c r="J244" s="21"/>
      <c r="K244" s="21"/>
      <c r="L244" s="21"/>
      <c r="M244" s="21"/>
      <c r="N244" s="21"/>
      <c r="O244" s="21"/>
      <c r="P244" s="21"/>
      <c r="Q244" s="21"/>
      <c r="R244" s="21"/>
      <c r="S244" s="21"/>
      <c r="T244" s="21"/>
      <c r="U244" s="21"/>
      <c r="V244" s="21"/>
      <c r="W244" s="21"/>
      <c r="X244" s="21"/>
      <c r="Y244" s="21"/>
      <c r="Z244" s="21"/>
      <c r="AA244" s="21"/>
      <c r="AB244" s="21"/>
      <c r="AC244" s="21"/>
      <c r="AD244" s="21"/>
      <c r="AE244" s="21"/>
      <c r="AF244" s="21"/>
      <c r="AG244" s="21"/>
      <c r="AH244" s="21"/>
      <c r="AI244" s="21"/>
      <c r="AJ244" s="21"/>
      <c r="AK244" s="21"/>
      <c r="AL244" s="21"/>
      <c r="AM244" s="21"/>
      <c r="AN244" s="21"/>
    </row>
    <row r="245" spans="3:40">
      <c r="C245" s="21"/>
      <c r="D245" s="21"/>
      <c r="E245" s="21"/>
      <c r="F245" s="21"/>
      <c r="G245" s="21"/>
      <c r="H245" s="21"/>
      <c r="I245" s="21"/>
      <c r="J245" s="21"/>
      <c r="K245" s="21"/>
      <c r="L245" s="21"/>
      <c r="M245" s="21"/>
      <c r="N245" s="21"/>
      <c r="O245" s="21"/>
      <c r="P245" s="21"/>
      <c r="Q245" s="21"/>
      <c r="R245" s="21"/>
      <c r="S245" s="21"/>
      <c r="T245" s="21"/>
      <c r="U245" s="21"/>
      <c r="V245" s="21"/>
      <c r="W245" s="21"/>
      <c r="X245" s="21"/>
      <c r="Y245" s="21"/>
      <c r="Z245" s="21"/>
      <c r="AA245" s="21"/>
      <c r="AB245" s="21"/>
      <c r="AC245" s="21"/>
      <c r="AD245" s="21"/>
      <c r="AE245" s="21"/>
      <c r="AF245" s="21"/>
      <c r="AG245" s="21"/>
      <c r="AH245" s="21"/>
      <c r="AI245" s="21"/>
      <c r="AJ245" s="21"/>
      <c r="AK245" s="21"/>
      <c r="AL245" s="21"/>
      <c r="AM245" s="21"/>
      <c r="AN245" s="21"/>
    </row>
    <row r="246" spans="3:40">
      <c r="C246" s="21"/>
      <c r="D246" s="21"/>
      <c r="E246" s="21"/>
      <c r="F246" s="21"/>
      <c r="G246" s="21"/>
      <c r="H246" s="21"/>
      <c r="I246" s="21"/>
      <c r="J246" s="21"/>
      <c r="K246" s="21"/>
      <c r="L246" s="21"/>
      <c r="M246" s="21"/>
      <c r="N246" s="21"/>
      <c r="O246" s="21"/>
      <c r="P246" s="21"/>
      <c r="Q246" s="21"/>
      <c r="R246" s="21"/>
      <c r="S246" s="21"/>
      <c r="T246" s="21"/>
      <c r="U246" s="21"/>
      <c r="V246" s="21"/>
      <c r="W246" s="21"/>
      <c r="X246" s="21"/>
      <c r="Y246" s="21"/>
      <c r="Z246" s="21"/>
      <c r="AA246" s="21"/>
      <c r="AB246" s="21"/>
      <c r="AC246" s="21"/>
      <c r="AD246" s="21"/>
      <c r="AE246" s="21"/>
      <c r="AF246" s="21"/>
      <c r="AG246" s="21"/>
      <c r="AH246" s="21"/>
      <c r="AI246" s="21"/>
      <c r="AJ246" s="21"/>
      <c r="AK246" s="21"/>
      <c r="AL246" s="21"/>
      <c r="AM246" s="21"/>
      <c r="AN246" s="21"/>
    </row>
    <row r="247" spans="3:40">
      <c r="C247" s="21"/>
      <c r="D247" s="21"/>
      <c r="E247" s="21"/>
      <c r="F247" s="21"/>
      <c r="G247" s="21"/>
      <c r="H247" s="21"/>
      <c r="I247" s="21"/>
      <c r="J247" s="21"/>
      <c r="K247" s="21"/>
      <c r="L247" s="21"/>
      <c r="M247" s="21"/>
      <c r="N247" s="21"/>
      <c r="O247" s="21"/>
      <c r="P247" s="21"/>
      <c r="Q247" s="21"/>
      <c r="R247" s="21"/>
      <c r="S247" s="21"/>
      <c r="T247" s="21"/>
      <c r="U247" s="21"/>
      <c r="V247" s="21"/>
      <c r="W247" s="21"/>
      <c r="X247" s="21"/>
      <c r="Y247" s="21"/>
      <c r="Z247" s="21"/>
      <c r="AA247" s="21"/>
      <c r="AB247" s="21"/>
      <c r="AC247" s="21"/>
      <c r="AD247" s="21"/>
      <c r="AE247" s="21"/>
      <c r="AF247" s="21"/>
      <c r="AG247" s="21"/>
      <c r="AH247" s="21"/>
      <c r="AI247" s="21"/>
      <c r="AJ247" s="21"/>
      <c r="AK247" s="21"/>
      <c r="AL247" s="21"/>
      <c r="AM247" s="21"/>
      <c r="AN247" s="21"/>
    </row>
    <row r="248" spans="3:40">
      <c r="C248" s="21"/>
      <c r="D248" s="21"/>
      <c r="E248" s="21"/>
      <c r="F248" s="21"/>
      <c r="G248" s="21"/>
      <c r="H248" s="21"/>
      <c r="I248" s="21"/>
      <c r="J248" s="21"/>
      <c r="K248" s="21"/>
      <c r="L248" s="21"/>
      <c r="M248" s="21"/>
      <c r="N248" s="21"/>
      <c r="O248" s="21"/>
      <c r="P248" s="21"/>
      <c r="Q248" s="21"/>
      <c r="R248" s="21"/>
      <c r="S248" s="21"/>
      <c r="T248" s="21"/>
      <c r="U248" s="21"/>
      <c r="V248" s="21"/>
      <c r="W248" s="21"/>
      <c r="X248" s="21"/>
      <c r="Y248" s="21"/>
      <c r="Z248" s="21"/>
      <c r="AA248" s="21"/>
      <c r="AB248" s="21"/>
      <c r="AC248" s="21"/>
      <c r="AD248" s="21"/>
      <c r="AE248" s="21"/>
      <c r="AF248" s="21"/>
      <c r="AG248" s="21"/>
      <c r="AH248" s="21"/>
      <c r="AI248" s="21"/>
      <c r="AJ248" s="21"/>
      <c r="AK248" s="21"/>
      <c r="AL248" s="21"/>
      <c r="AM248" s="21"/>
      <c r="AN248" s="21"/>
    </row>
    <row r="249" spans="3:40">
      <c r="C249" s="21"/>
      <c r="D249" s="21"/>
      <c r="E249" s="21"/>
      <c r="F249" s="21"/>
      <c r="G249" s="21"/>
      <c r="H249" s="21"/>
      <c r="I249" s="21"/>
      <c r="J249" s="21"/>
      <c r="K249" s="21"/>
      <c r="L249" s="21"/>
      <c r="M249" s="21"/>
      <c r="N249" s="21"/>
      <c r="O249" s="21"/>
      <c r="P249" s="21"/>
      <c r="Q249" s="21"/>
      <c r="R249" s="21"/>
      <c r="S249" s="21"/>
      <c r="T249" s="21"/>
      <c r="U249" s="21"/>
      <c r="V249" s="21"/>
      <c r="W249" s="21"/>
      <c r="X249" s="21"/>
      <c r="Y249" s="21"/>
      <c r="Z249" s="21"/>
      <c r="AA249" s="21"/>
      <c r="AB249" s="21"/>
      <c r="AC249" s="21"/>
      <c r="AD249" s="21"/>
      <c r="AE249" s="21"/>
      <c r="AF249" s="21"/>
      <c r="AG249" s="21"/>
      <c r="AH249" s="21"/>
      <c r="AI249" s="21"/>
      <c r="AJ249" s="21"/>
      <c r="AK249" s="21"/>
      <c r="AL249" s="21"/>
      <c r="AM249" s="21"/>
      <c r="AN249" s="21"/>
    </row>
    <row r="250" spans="3:40">
      <c r="C250" s="21"/>
      <c r="D250" s="21"/>
      <c r="E250" s="21"/>
      <c r="F250" s="21"/>
      <c r="G250" s="21"/>
      <c r="H250" s="21"/>
      <c r="I250" s="21"/>
      <c r="J250" s="21"/>
      <c r="K250" s="21"/>
      <c r="L250" s="21"/>
      <c r="M250" s="21"/>
      <c r="N250" s="21"/>
      <c r="O250" s="21"/>
      <c r="P250" s="21"/>
      <c r="Q250" s="21"/>
      <c r="R250" s="21"/>
      <c r="S250" s="21"/>
      <c r="T250" s="21"/>
      <c r="U250" s="21"/>
      <c r="V250" s="21"/>
      <c r="W250" s="21"/>
      <c r="X250" s="21"/>
      <c r="Y250" s="21"/>
      <c r="Z250" s="21"/>
      <c r="AA250" s="21"/>
      <c r="AB250" s="21"/>
      <c r="AC250" s="21"/>
      <c r="AD250" s="21"/>
      <c r="AE250" s="21"/>
      <c r="AF250" s="21"/>
      <c r="AG250" s="21"/>
      <c r="AH250" s="21"/>
      <c r="AI250" s="21"/>
      <c r="AJ250" s="21"/>
      <c r="AK250" s="21"/>
      <c r="AL250" s="21"/>
      <c r="AM250" s="21"/>
      <c r="AN250" s="21"/>
    </row>
    <row r="251" spans="3:40">
      <c r="C251" s="21"/>
      <c r="D251" s="21"/>
      <c r="E251" s="21"/>
      <c r="F251" s="21"/>
      <c r="G251" s="21"/>
      <c r="H251" s="21"/>
      <c r="I251" s="21"/>
      <c r="J251" s="21"/>
      <c r="K251" s="21"/>
      <c r="L251" s="21"/>
      <c r="M251" s="21"/>
      <c r="N251" s="21"/>
      <c r="O251" s="21"/>
      <c r="P251" s="21"/>
      <c r="Q251" s="21"/>
      <c r="R251" s="21"/>
      <c r="S251" s="21"/>
      <c r="T251" s="21"/>
      <c r="U251" s="21"/>
      <c r="V251" s="21"/>
      <c r="W251" s="21"/>
      <c r="X251" s="21"/>
      <c r="Y251" s="21"/>
      <c r="Z251" s="21"/>
      <c r="AA251" s="21"/>
      <c r="AB251" s="21"/>
      <c r="AC251" s="21"/>
      <c r="AD251" s="21"/>
      <c r="AE251" s="21"/>
      <c r="AF251" s="21"/>
      <c r="AG251" s="21"/>
      <c r="AH251" s="21"/>
      <c r="AI251" s="21"/>
      <c r="AJ251" s="21"/>
      <c r="AK251" s="21"/>
      <c r="AL251" s="21"/>
      <c r="AM251" s="21"/>
      <c r="AN251" s="21"/>
    </row>
    <row r="252" spans="3:40">
      <c r="C252" s="21"/>
      <c r="D252" s="21"/>
      <c r="E252" s="21"/>
      <c r="F252" s="21"/>
      <c r="G252" s="21"/>
      <c r="H252" s="21"/>
      <c r="I252" s="21"/>
      <c r="J252" s="21"/>
      <c r="K252" s="21"/>
      <c r="L252" s="21"/>
      <c r="M252" s="21"/>
      <c r="N252" s="21"/>
      <c r="O252" s="21"/>
      <c r="P252" s="21"/>
      <c r="Q252" s="21"/>
      <c r="R252" s="21"/>
      <c r="S252" s="21"/>
      <c r="T252" s="21"/>
      <c r="U252" s="21"/>
      <c r="V252" s="21"/>
      <c r="W252" s="21"/>
      <c r="X252" s="21"/>
      <c r="Y252" s="21"/>
      <c r="Z252" s="21"/>
      <c r="AA252" s="21"/>
      <c r="AB252" s="21"/>
      <c r="AC252" s="21"/>
      <c r="AD252" s="21"/>
      <c r="AE252" s="21"/>
      <c r="AF252" s="21"/>
      <c r="AG252" s="21"/>
      <c r="AH252" s="21"/>
      <c r="AI252" s="21"/>
      <c r="AJ252" s="21"/>
      <c r="AK252" s="21"/>
      <c r="AL252" s="21"/>
      <c r="AM252" s="21"/>
      <c r="AN252" s="21"/>
    </row>
    <row r="253" spans="3:40">
      <c r="C253" s="21"/>
      <c r="D253" s="21"/>
      <c r="E253" s="21"/>
      <c r="F253" s="21"/>
      <c r="G253" s="21"/>
      <c r="H253" s="21"/>
      <c r="I253" s="21"/>
      <c r="J253" s="21"/>
      <c r="K253" s="21"/>
      <c r="L253" s="21"/>
      <c r="M253" s="21"/>
      <c r="N253" s="21"/>
      <c r="O253" s="21"/>
      <c r="P253" s="21"/>
      <c r="Q253" s="21"/>
      <c r="R253" s="21"/>
      <c r="S253" s="21"/>
      <c r="T253" s="21"/>
      <c r="U253" s="21"/>
      <c r="V253" s="21"/>
      <c r="W253" s="21"/>
      <c r="X253" s="21"/>
      <c r="Y253" s="21"/>
      <c r="Z253" s="21"/>
      <c r="AA253" s="21"/>
      <c r="AB253" s="21"/>
      <c r="AC253" s="21"/>
      <c r="AD253" s="21"/>
      <c r="AE253" s="21"/>
      <c r="AF253" s="21"/>
      <c r="AG253" s="21"/>
      <c r="AH253" s="21"/>
      <c r="AI253" s="21"/>
      <c r="AJ253" s="21"/>
      <c r="AK253" s="21"/>
      <c r="AL253" s="21"/>
      <c r="AM253" s="21"/>
      <c r="AN253" s="21"/>
    </row>
    <row r="254" spans="3:40">
      <c r="C254" s="21"/>
      <c r="D254" s="21"/>
      <c r="E254" s="21"/>
      <c r="F254" s="21"/>
      <c r="G254" s="21"/>
      <c r="H254" s="21"/>
      <c r="I254" s="21"/>
      <c r="J254" s="21"/>
      <c r="K254" s="21"/>
      <c r="L254" s="21"/>
      <c r="M254" s="21"/>
      <c r="N254" s="21"/>
      <c r="O254" s="21"/>
      <c r="P254" s="21"/>
      <c r="Q254" s="21"/>
      <c r="R254" s="21"/>
      <c r="S254" s="21"/>
      <c r="T254" s="21"/>
      <c r="U254" s="21"/>
      <c r="V254" s="21"/>
      <c r="W254" s="21"/>
      <c r="X254" s="21"/>
      <c r="Y254" s="21"/>
      <c r="Z254" s="21"/>
      <c r="AA254" s="21"/>
      <c r="AB254" s="21"/>
      <c r="AC254" s="21"/>
      <c r="AD254" s="21"/>
      <c r="AE254" s="21"/>
      <c r="AF254" s="21"/>
      <c r="AG254" s="21"/>
      <c r="AH254" s="21"/>
      <c r="AI254" s="21"/>
      <c r="AJ254" s="21"/>
      <c r="AK254" s="21"/>
      <c r="AL254" s="21"/>
      <c r="AM254" s="21"/>
      <c r="AN254" s="21"/>
    </row>
    <row r="255" spans="3:40">
      <c r="C255" s="21"/>
      <c r="D255" s="21"/>
      <c r="E255" s="21"/>
      <c r="F255" s="21"/>
      <c r="G255" s="21"/>
      <c r="H255" s="21"/>
      <c r="I255" s="21"/>
      <c r="J255" s="21"/>
      <c r="K255" s="21"/>
      <c r="L255" s="21"/>
      <c r="M255" s="21"/>
      <c r="N255" s="21"/>
      <c r="O255" s="21"/>
      <c r="P255" s="21"/>
      <c r="Q255" s="21"/>
      <c r="R255" s="21"/>
      <c r="S255" s="21"/>
      <c r="T255" s="21"/>
      <c r="U255" s="21"/>
      <c r="V255" s="21"/>
      <c r="W255" s="21"/>
      <c r="X255" s="21"/>
      <c r="Y255" s="21"/>
      <c r="Z255" s="21"/>
      <c r="AA255" s="21"/>
      <c r="AB255" s="21"/>
      <c r="AC255" s="21"/>
      <c r="AD255" s="21"/>
      <c r="AE255" s="21"/>
      <c r="AF255" s="21"/>
      <c r="AG255" s="21"/>
      <c r="AH255" s="21"/>
      <c r="AI255" s="21"/>
      <c r="AJ255" s="21"/>
      <c r="AK255" s="21"/>
      <c r="AL255" s="21"/>
      <c r="AM255" s="21"/>
      <c r="AN255" s="21"/>
    </row>
    <row r="256" spans="3:40">
      <c r="C256" s="21"/>
      <c r="D256" s="21"/>
      <c r="E256" s="21"/>
      <c r="F256" s="21"/>
      <c r="G256" s="21"/>
      <c r="H256" s="21"/>
      <c r="I256" s="21"/>
      <c r="J256" s="21"/>
      <c r="K256" s="21"/>
      <c r="L256" s="21"/>
      <c r="M256" s="21"/>
      <c r="N256" s="21"/>
      <c r="O256" s="21"/>
      <c r="P256" s="21"/>
      <c r="Q256" s="21"/>
      <c r="R256" s="21"/>
      <c r="S256" s="21"/>
      <c r="T256" s="21"/>
      <c r="U256" s="21"/>
      <c r="V256" s="21"/>
      <c r="W256" s="21"/>
      <c r="X256" s="21"/>
      <c r="Y256" s="21"/>
      <c r="Z256" s="21"/>
      <c r="AA256" s="21"/>
      <c r="AB256" s="21"/>
      <c r="AC256" s="21"/>
      <c r="AD256" s="21"/>
      <c r="AE256" s="21"/>
      <c r="AF256" s="21"/>
      <c r="AG256" s="21"/>
      <c r="AH256" s="21"/>
      <c r="AI256" s="21"/>
      <c r="AJ256" s="21"/>
      <c r="AK256" s="21"/>
      <c r="AL256" s="21"/>
      <c r="AM256" s="21"/>
      <c r="AN256" s="21"/>
    </row>
    <row r="257" spans="3:40">
      <c r="C257" s="21"/>
      <c r="D257" s="21"/>
      <c r="E257" s="21"/>
      <c r="F257" s="21"/>
      <c r="G257" s="21"/>
      <c r="H257" s="21"/>
      <c r="I257" s="21"/>
      <c r="J257" s="21"/>
      <c r="K257" s="21"/>
      <c r="L257" s="21"/>
      <c r="M257" s="21"/>
      <c r="N257" s="21"/>
      <c r="O257" s="21"/>
      <c r="P257" s="21"/>
      <c r="Q257" s="21"/>
      <c r="R257" s="21"/>
      <c r="S257" s="21"/>
      <c r="T257" s="21"/>
      <c r="U257" s="21"/>
      <c r="V257" s="21"/>
      <c r="W257" s="21"/>
      <c r="X257" s="21"/>
      <c r="Y257" s="21"/>
      <c r="Z257" s="21"/>
      <c r="AA257" s="21"/>
      <c r="AB257" s="21"/>
      <c r="AC257" s="21"/>
      <c r="AD257" s="21"/>
      <c r="AE257" s="21"/>
      <c r="AF257" s="21"/>
      <c r="AG257" s="21"/>
      <c r="AH257" s="21"/>
      <c r="AI257" s="21"/>
      <c r="AJ257" s="21"/>
      <c r="AK257" s="21"/>
      <c r="AL257" s="21"/>
      <c r="AM257" s="21"/>
      <c r="AN257" s="21"/>
    </row>
    <row r="258" spans="3:40">
      <c r="C258" s="21"/>
      <c r="D258" s="21"/>
      <c r="E258" s="21"/>
      <c r="F258" s="21"/>
      <c r="G258" s="21"/>
      <c r="H258" s="21"/>
      <c r="I258" s="21"/>
      <c r="J258" s="21"/>
      <c r="K258" s="21"/>
      <c r="L258" s="21"/>
      <c r="M258" s="21"/>
      <c r="N258" s="21"/>
      <c r="O258" s="21"/>
      <c r="P258" s="21"/>
      <c r="Q258" s="21"/>
      <c r="R258" s="21"/>
      <c r="S258" s="21"/>
      <c r="T258" s="21"/>
      <c r="U258" s="21"/>
      <c r="V258" s="21"/>
      <c r="W258" s="21"/>
      <c r="X258" s="21"/>
      <c r="Y258" s="21"/>
      <c r="Z258" s="21"/>
      <c r="AA258" s="21"/>
      <c r="AB258" s="21"/>
      <c r="AC258" s="21"/>
      <c r="AD258" s="21"/>
      <c r="AE258" s="21"/>
      <c r="AF258" s="21"/>
      <c r="AG258" s="21"/>
      <c r="AH258" s="21"/>
      <c r="AI258" s="21"/>
      <c r="AJ258" s="21"/>
      <c r="AK258" s="21"/>
      <c r="AL258" s="21"/>
      <c r="AM258" s="21"/>
      <c r="AN258" s="21"/>
    </row>
    <row r="259" spans="3:40">
      <c r="C259" s="21"/>
      <c r="D259" s="21"/>
      <c r="E259" s="21"/>
      <c r="F259" s="21"/>
      <c r="G259" s="21"/>
      <c r="H259" s="21"/>
      <c r="I259" s="21"/>
      <c r="J259" s="21"/>
      <c r="K259" s="21"/>
      <c r="L259" s="21"/>
      <c r="M259" s="21"/>
      <c r="N259" s="21"/>
      <c r="O259" s="21"/>
      <c r="P259" s="21"/>
      <c r="Q259" s="21"/>
      <c r="R259" s="21"/>
      <c r="S259" s="21"/>
      <c r="T259" s="21"/>
      <c r="U259" s="21"/>
      <c r="V259" s="21"/>
      <c r="W259" s="21"/>
      <c r="X259" s="21"/>
      <c r="Y259" s="21"/>
      <c r="Z259" s="21"/>
      <c r="AA259" s="21"/>
      <c r="AB259" s="21"/>
      <c r="AC259" s="21"/>
      <c r="AD259" s="21"/>
      <c r="AE259" s="21"/>
      <c r="AF259" s="21"/>
      <c r="AG259" s="21"/>
      <c r="AH259" s="21"/>
      <c r="AI259" s="21"/>
      <c r="AJ259" s="21"/>
      <c r="AK259" s="21"/>
      <c r="AL259" s="21"/>
      <c r="AM259" s="21"/>
      <c r="AN259" s="21"/>
    </row>
    <row r="260" spans="3:40">
      <c r="C260" s="21"/>
      <c r="D260" s="21"/>
      <c r="E260" s="21"/>
      <c r="F260" s="21"/>
      <c r="G260" s="21"/>
      <c r="H260" s="21"/>
      <c r="I260" s="21"/>
      <c r="J260" s="21"/>
      <c r="K260" s="21"/>
      <c r="L260" s="21"/>
      <c r="M260" s="21"/>
      <c r="N260" s="21"/>
      <c r="O260" s="21"/>
      <c r="P260" s="21"/>
      <c r="Q260" s="21"/>
      <c r="R260" s="21"/>
      <c r="S260" s="21"/>
      <c r="T260" s="21"/>
      <c r="U260" s="21"/>
      <c r="V260" s="21"/>
      <c r="W260" s="21"/>
      <c r="X260" s="21"/>
      <c r="Y260" s="21"/>
      <c r="Z260" s="21"/>
      <c r="AA260" s="21"/>
      <c r="AB260" s="21"/>
      <c r="AC260" s="21"/>
      <c r="AD260" s="21"/>
      <c r="AE260" s="21"/>
      <c r="AF260" s="21"/>
      <c r="AG260" s="21"/>
      <c r="AH260" s="21"/>
      <c r="AI260" s="21"/>
      <c r="AJ260" s="21"/>
      <c r="AK260" s="21"/>
      <c r="AL260" s="21"/>
      <c r="AM260" s="21"/>
      <c r="AN260" s="21"/>
    </row>
    <row r="261" spans="3:40">
      <c r="C261" s="21"/>
      <c r="D261" s="21"/>
      <c r="E261" s="21"/>
      <c r="F261" s="21"/>
      <c r="G261" s="21"/>
      <c r="H261" s="21"/>
      <c r="I261" s="21"/>
      <c r="J261" s="21"/>
      <c r="K261" s="21"/>
      <c r="L261" s="21"/>
      <c r="M261" s="21"/>
      <c r="N261" s="21"/>
      <c r="O261" s="21"/>
      <c r="P261" s="21"/>
      <c r="Q261" s="21"/>
      <c r="R261" s="21"/>
      <c r="S261" s="21"/>
      <c r="T261" s="21"/>
      <c r="U261" s="21"/>
      <c r="V261" s="21"/>
      <c r="W261" s="21"/>
      <c r="X261" s="21"/>
      <c r="Y261" s="21"/>
      <c r="Z261" s="21"/>
      <c r="AA261" s="21"/>
      <c r="AB261" s="21"/>
      <c r="AC261" s="21"/>
      <c r="AD261" s="21"/>
      <c r="AE261" s="21"/>
      <c r="AF261" s="21"/>
      <c r="AG261" s="21"/>
      <c r="AH261" s="21"/>
      <c r="AI261" s="21"/>
      <c r="AJ261" s="21"/>
      <c r="AK261" s="21"/>
      <c r="AL261" s="21"/>
      <c r="AM261" s="21"/>
      <c r="AN261" s="21"/>
    </row>
    <row r="262" spans="3:40">
      <c r="C262" s="21"/>
      <c r="D262" s="21"/>
      <c r="E262" s="21"/>
      <c r="F262" s="21"/>
      <c r="G262" s="21"/>
      <c r="H262" s="21"/>
      <c r="I262" s="21"/>
      <c r="J262" s="21"/>
      <c r="K262" s="21"/>
      <c r="L262" s="21"/>
      <c r="M262" s="21"/>
      <c r="N262" s="21"/>
      <c r="O262" s="21"/>
      <c r="P262" s="21"/>
      <c r="Q262" s="21"/>
      <c r="R262" s="21"/>
      <c r="S262" s="21"/>
      <c r="T262" s="21"/>
      <c r="U262" s="21"/>
      <c r="V262" s="21"/>
      <c r="W262" s="21"/>
      <c r="X262" s="21"/>
      <c r="Y262" s="21"/>
      <c r="Z262" s="21"/>
      <c r="AA262" s="21"/>
      <c r="AB262" s="21"/>
      <c r="AC262" s="21"/>
      <c r="AD262" s="21"/>
      <c r="AE262" s="21"/>
      <c r="AF262" s="21"/>
      <c r="AG262" s="21"/>
      <c r="AH262" s="21"/>
      <c r="AI262" s="21"/>
      <c r="AJ262" s="21"/>
      <c r="AK262" s="21"/>
      <c r="AL262" s="21"/>
      <c r="AM262" s="21"/>
      <c r="AN262" s="21"/>
    </row>
    <row r="263" spans="3:40">
      <c r="C263" s="21"/>
      <c r="D263" s="21"/>
      <c r="E263" s="21"/>
      <c r="F263" s="21"/>
      <c r="G263" s="21"/>
      <c r="H263" s="21"/>
      <c r="I263" s="21"/>
      <c r="J263" s="21"/>
      <c r="K263" s="21"/>
      <c r="L263" s="21"/>
      <c r="M263" s="21"/>
      <c r="N263" s="21"/>
      <c r="O263" s="21"/>
      <c r="P263" s="21"/>
      <c r="Q263" s="21"/>
      <c r="R263" s="21"/>
      <c r="S263" s="21"/>
      <c r="T263" s="21"/>
      <c r="U263" s="21"/>
      <c r="V263" s="21"/>
      <c r="W263" s="21"/>
      <c r="X263" s="21"/>
      <c r="Y263" s="21"/>
      <c r="Z263" s="21"/>
      <c r="AA263" s="21"/>
      <c r="AB263" s="21"/>
      <c r="AC263" s="21"/>
      <c r="AD263" s="21"/>
      <c r="AE263" s="21"/>
      <c r="AF263" s="21"/>
      <c r="AG263" s="21"/>
      <c r="AH263" s="21"/>
      <c r="AI263" s="21"/>
      <c r="AJ263" s="21"/>
      <c r="AK263" s="21"/>
      <c r="AL263" s="21"/>
      <c r="AM263" s="21"/>
      <c r="AN263" s="21"/>
    </row>
    <row r="264" spans="3:40">
      <c r="C264" s="21"/>
      <c r="D264" s="21"/>
      <c r="E264" s="21"/>
      <c r="F264" s="21"/>
      <c r="G264" s="21"/>
      <c r="H264" s="21"/>
      <c r="I264" s="21"/>
      <c r="J264" s="21"/>
      <c r="K264" s="21"/>
      <c r="L264" s="21"/>
      <c r="M264" s="21"/>
      <c r="N264" s="21"/>
      <c r="O264" s="21"/>
      <c r="P264" s="21"/>
      <c r="Q264" s="21"/>
      <c r="R264" s="21"/>
      <c r="S264" s="21"/>
      <c r="T264" s="21"/>
      <c r="U264" s="21"/>
      <c r="V264" s="21"/>
      <c r="W264" s="21"/>
      <c r="X264" s="21"/>
      <c r="Y264" s="21"/>
      <c r="Z264" s="21"/>
      <c r="AA264" s="21"/>
      <c r="AB264" s="21"/>
      <c r="AC264" s="21"/>
      <c r="AD264" s="21"/>
      <c r="AE264" s="21"/>
      <c r="AF264" s="21"/>
      <c r="AG264" s="21"/>
      <c r="AH264" s="21"/>
      <c r="AI264" s="21"/>
      <c r="AJ264" s="21"/>
      <c r="AK264" s="21"/>
      <c r="AL264" s="21"/>
      <c r="AM264" s="21"/>
      <c r="AN264" s="21"/>
    </row>
    <row r="265" spans="3:40">
      <c r="C265" s="21"/>
      <c r="D265" s="21"/>
      <c r="E265" s="21"/>
      <c r="F265" s="21"/>
      <c r="G265" s="21"/>
      <c r="H265" s="21"/>
      <c r="I265" s="21"/>
      <c r="J265" s="21"/>
      <c r="K265" s="21"/>
      <c r="L265" s="21"/>
      <c r="M265" s="21"/>
      <c r="N265" s="21"/>
      <c r="O265" s="21"/>
      <c r="P265" s="21"/>
      <c r="Q265" s="21"/>
      <c r="R265" s="21"/>
      <c r="S265" s="21"/>
      <c r="T265" s="21"/>
      <c r="U265" s="21"/>
      <c r="V265" s="21"/>
      <c r="W265" s="21"/>
      <c r="X265" s="21"/>
      <c r="Y265" s="21"/>
      <c r="Z265" s="21"/>
      <c r="AA265" s="21"/>
      <c r="AB265" s="21"/>
      <c r="AC265" s="21"/>
      <c r="AD265" s="21"/>
      <c r="AE265" s="21"/>
      <c r="AF265" s="21"/>
      <c r="AG265" s="21"/>
      <c r="AH265" s="21"/>
      <c r="AI265" s="21"/>
      <c r="AJ265" s="21"/>
      <c r="AK265" s="21"/>
      <c r="AL265" s="21"/>
      <c r="AM265" s="21"/>
      <c r="AN265" s="21"/>
    </row>
    <row r="266" spans="3:40">
      <c r="C266" s="21"/>
      <c r="D266" s="21"/>
      <c r="E266" s="21"/>
      <c r="F266" s="21"/>
      <c r="G266" s="21"/>
      <c r="H266" s="21"/>
      <c r="I266" s="21"/>
      <c r="J266" s="21"/>
      <c r="K266" s="21"/>
      <c r="L266" s="21"/>
      <c r="M266" s="21"/>
      <c r="N266" s="21"/>
      <c r="O266" s="21"/>
      <c r="P266" s="21"/>
      <c r="Q266" s="21"/>
      <c r="R266" s="21"/>
      <c r="S266" s="21"/>
      <c r="T266" s="21"/>
      <c r="U266" s="21"/>
      <c r="V266" s="21"/>
      <c r="W266" s="21"/>
      <c r="X266" s="21"/>
      <c r="Y266" s="21"/>
      <c r="Z266" s="21"/>
      <c r="AA266" s="21"/>
      <c r="AB266" s="21"/>
      <c r="AC266" s="21"/>
      <c r="AD266" s="21"/>
      <c r="AE266" s="21"/>
      <c r="AF266" s="21"/>
      <c r="AG266" s="21"/>
      <c r="AH266" s="21"/>
      <c r="AI266" s="21"/>
      <c r="AJ266" s="21"/>
      <c r="AK266" s="21"/>
      <c r="AL266" s="21"/>
      <c r="AM266" s="21"/>
      <c r="AN266" s="21"/>
    </row>
    <row r="267" spans="3:40">
      <c r="C267" s="21"/>
      <c r="D267" s="21"/>
      <c r="E267" s="21"/>
      <c r="F267" s="21"/>
      <c r="G267" s="21"/>
      <c r="H267" s="21"/>
      <c r="I267" s="21"/>
      <c r="J267" s="21"/>
      <c r="K267" s="21"/>
      <c r="L267" s="21"/>
      <c r="M267" s="21"/>
      <c r="N267" s="21"/>
      <c r="O267" s="21"/>
      <c r="P267" s="21"/>
      <c r="Q267" s="21"/>
      <c r="R267" s="21"/>
      <c r="S267" s="21"/>
      <c r="T267" s="21"/>
      <c r="U267" s="21"/>
      <c r="V267" s="21"/>
      <c r="W267" s="21"/>
      <c r="X267" s="21"/>
      <c r="Y267" s="21"/>
      <c r="Z267" s="21"/>
      <c r="AA267" s="21"/>
      <c r="AB267" s="21"/>
      <c r="AC267" s="21"/>
      <c r="AD267" s="21"/>
      <c r="AE267" s="21"/>
      <c r="AF267" s="21"/>
      <c r="AG267" s="21"/>
      <c r="AH267" s="21"/>
      <c r="AI267" s="21"/>
      <c r="AJ267" s="21"/>
      <c r="AK267" s="21"/>
      <c r="AL267" s="21"/>
      <c r="AM267" s="21"/>
      <c r="AN267" s="21"/>
    </row>
    <row r="268" spans="3:40">
      <c r="C268" s="21"/>
      <c r="D268" s="21"/>
      <c r="E268" s="21"/>
      <c r="F268" s="21"/>
      <c r="G268" s="21"/>
      <c r="H268" s="21"/>
      <c r="I268" s="21"/>
      <c r="J268" s="21"/>
      <c r="K268" s="21"/>
      <c r="L268" s="21"/>
      <c r="M268" s="21"/>
      <c r="N268" s="21"/>
      <c r="O268" s="21"/>
      <c r="P268" s="21"/>
      <c r="Q268" s="21"/>
      <c r="R268" s="21"/>
      <c r="S268" s="21"/>
      <c r="T268" s="21"/>
      <c r="U268" s="21"/>
      <c r="V268" s="21"/>
      <c r="W268" s="21"/>
      <c r="X268" s="21"/>
      <c r="Y268" s="21"/>
      <c r="Z268" s="21"/>
      <c r="AA268" s="21"/>
      <c r="AB268" s="21"/>
      <c r="AC268" s="21"/>
      <c r="AD268" s="21"/>
      <c r="AE268" s="21"/>
      <c r="AF268" s="21"/>
      <c r="AG268" s="21"/>
      <c r="AH268" s="21"/>
      <c r="AI268" s="21"/>
      <c r="AJ268" s="21"/>
      <c r="AK268" s="21"/>
      <c r="AL268" s="21"/>
      <c r="AM268" s="21"/>
      <c r="AN268" s="21"/>
    </row>
    <row r="269" spans="3:40">
      <c r="C269" s="21"/>
      <c r="D269" s="21"/>
      <c r="E269" s="21"/>
      <c r="F269" s="21"/>
      <c r="G269" s="21"/>
      <c r="H269" s="21"/>
      <c r="I269" s="21"/>
      <c r="J269" s="21"/>
      <c r="K269" s="21"/>
      <c r="L269" s="21"/>
      <c r="M269" s="21"/>
      <c r="N269" s="21"/>
      <c r="O269" s="21"/>
      <c r="P269" s="21"/>
      <c r="Q269" s="21"/>
      <c r="R269" s="21"/>
      <c r="S269" s="21"/>
      <c r="T269" s="21"/>
      <c r="U269" s="21"/>
      <c r="V269" s="21"/>
      <c r="W269" s="21"/>
      <c r="X269" s="21"/>
      <c r="Y269" s="21"/>
      <c r="Z269" s="21"/>
      <c r="AA269" s="21"/>
      <c r="AB269" s="21"/>
      <c r="AC269" s="21"/>
      <c r="AD269" s="21"/>
      <c r="AE269" s="21"/>
      <c r="AF269" s="21"/>
      <c r="AG269" s="21"/>
      <c r="AH269" s="21"/>
      <c r="AI269" s="21"/>
      <c r="AJ269" s="21"/>
      <c r="AK269" s="21"/>
      <c r="AL269" s="21"/>
      <c r="AM269" s="21"/>
      <c r="AN269" s="21"/>
    </row>
    <row r="270" spans="3:40">
      <c r="C270" s="21"/>
      <c r="D270" s="21"/>
      <c r="E270" s="21"/>
      <c r="F270" s="21"/>
      <c r="G270" s="21"/>
      <c r="H270" s="21"/>
      <c r="I270" s="21"/>
      <c r="J270" s="21"/>
      <c r="K270" s="21"/>
      <c r="L270" s="21"/>
      <c r="M270" s="21"/>
      <c r="N270" s="21"/>
      <c r="O270" s="21"/>
      <c r="P270" s="21"/>
      <c r="Q270" s="21"/>
      <c r="R270" s="21"/>
      <c r="S270" s="21"/>
      <c r="T270" s="21"/>
      <c r="U270" s="21"/>
      <c r="V270" s="21"/>
      <c r="W270" s="21"/>
      <c r="X270" s="21"/>
      <c r="Y270" s="21"/>
      <c r="Z270" s="21"/>
      <c r="AA270" s="21"/>
      <c r="AB270" s="21"/>
      <c r="AC270" s="21"/>
      <c r="AD270" s="21"/>
      <c r="AE270" s="21"/>
      <c r="AF270" s="21"/>
      <c r="AG270" s="21"/>
      <c r="AH270" s="21"/>
      <c r="AI270" s="21"/>
      <c r="AJ270" s="21"/>
      <c r="AK270" s="21"/>
      <c r="AL270" s="21"/>
      <c r="AM270" s="21"/>
      <c r="AN270" s="21"/>
    </row>
    <row r="271" spans="3:40">
      <c r="C271" s="21"/>
      <c r="D271" s="21"/>
      <c r="E271" s="21"/>
      <c r="F271" s="21"/>
      <c r="G271" s="21"/>
      <c r="H271" s="21"/>
      <c r="I271" s="21"/>
      <c r="J271" s="21"/>
      <c r="K271" s="21"/>
      <c r="L271" s="21"/>
      <c r="M271" s="21"/>
      <c r="N271" s="21"/>
      <c r="O271" s="21"/>
      <c r="P271" s="21"/>
      <c r="Q271" s="21"/>
      <c r="R271" s="21"/>
      <c r="S271" s="21"/>
      <c r="T271" s="21"/>
      <c r="U271" s="21"/>
      <c r="V271" s="21"/>
      <c r="W271" s="21"/>
      <c r="X271" s="21"/>
      <c r="Y271" s="21"/>
      <c r="Z271" s="21"/>
      <c r="AA271" s="21"/>
      <c r="AB271" s="21"/>
      <c r="AC271" s="21"/>
      <c r="AD271" s="21"/>
      <c r="AE271" s="21"/>
      <c r="AF271" s="21"/>
      <c r="AG271" s="21"/>
      <c r="AH271" s="21"/>
      <c r="AI271" s="21"/>
      <c r="AJ271" s="21"/>
      <c r="AK271" s="21"/>
      <c r="AL271" s="21"/>
      <c r="AM271" s="21"/>
      <c r="AN271" s="21"/>
    </row>
    <row r="272" spans="3:40">
      <c r="C272" s="21"/>
      <c r="D272" s="21"/>
      <c r="E272" s="21"/>
      <c r="F272" s="21"/>
      <c r="G272" s="21"/>
      <c r="H272" s="21"/>
      <c r="I272" s="21"/>
      <c r="J272" s="21"/>
      <c r="K272" s="21"/>
      <c r="L272" s="21"/>
      <c r="M272" s="21"/>
      <c r="N272" s="21"/>
      <c r="O272" s="21"/>
      <c r="P272" s="21"/>
      <c r="Q272" s="21"/>
      <c r="R272" s="21"/>
      <c r="S272" s="21"/>
      <c r="T272" s="21"/>
      <c r="U272" s="21"/>
      <c r="V272" s="21"/>
      <c r="W272" s="21"/>
      <c r="X272" s="21"/>
      <c r="Y272" s="21"/>
      <c r="Z272" s="21"/>
      <c r="AA272" s="21"/>
      <c r="AB272" s="21"/>
      <c r="AC272" s="21"/>
      <c r="AD272" s="21"/>
      <c r="AE272" s="21"/>
      <c r="AF272" s="21"/>
      <c r="AG272" s="21"/>
      <c r="AH272" s="21"/>
      <c r="AI272" s="21"/>
      <c r="AJ272" s="21"/>
      <c r="AK272" s="21"/>
      <c r="AL272" s="21"/>
      <c r="AM272" s="21"/>
      <c r="AN272" s="21"/>
    </row>
    <row r="273" spans="3:40">
      <c r="C273" s="21"/>
      <c r="D273" s="21"/>
      <c r="E273" s="21"/>
      <c r="F273" s="21"/>
      <c r="G273" s="21"/>
      <c r="H273" s="21"/>
      <c r="I273" s="21"/>
      <c r="J273" s="21"/>
      <c r="K273" s="21"/>
      <c r="L273" s="21"/>
      <c r="M273" s="21"/>
      <c r="N273" s="21"/>
      <c r="O273" s="21"/>
      <c r="P273" s="21"/>
      <c r="Q273" s="21"/>
      <c r="R273" s="21"/>
      <c r="S273" s="21"/>
      <c r="T273" s="21"/>
      <c r="U273" s="21"/>
      <c r="V273" s="21"/>
      <c r="W273" s="21"/>
      <c r="X273" s="21"/>
      <c r="Y273" s="21"/>
      <c r="Z273" s="21"/>
      <c r="AA273" s="21"/>
      <c r="AB273" s="21"/>
      <c r="AC273" s="21"/>
      <c r="AD273" s="21"/>
      <c r="AE273" s="21"/>
      <c r="AF273" s="21"/>
      <c r="AG273" s="21"/>
      <c r="AH273" s="21"/>
      <c r="AI273" s="21"/>
      <c r="AJ273" s="21"/>
      <c r="AK273" s="21"/>
      <c r="AL273" s="21"/>
      <c r="AM273" s="21"/>
      <c r="AN273" s="21"/>
    </row>
    <row r="274" spans="3:40">
      <c r="C274" s="21"/>
      <c r="D274" s="21"/>
      <c r="E274" s="21"/>
      <c r="F274" s="21"/>
      <c r="G274" s="21"/>
      <c r="H274" s="21"/>
      <c r="I274" s="21"/>
      <c r="J274" s="21"/>
      <c r="K274" s="21"/>
      <c r="L274" s="21"/>
      <c r="M274" s="21"/>
      <c r="N274" s="21"/>
      <c r="O274" s="21"/>
      <c r="P274" s="21"/>
      <c r="Q274" s="21"/>
      <c r="R274" s="21"/>
      <c r="S274" s="21"/>
      <c r="T274" s="21"/>
      <c r="U274" s="21"/>
      <c r="V274" s="21"/>
      <c r="W274" s="21"/>
      <c r="X274" s="21"/>
      <c r="Y274" s="21"/>
      <c r="Z274" s="21"/>
      <c r="AA274" s="21"/>
      <c r="AB274" s="21"/>
      <c r="AC274" s="21"/>
      <c r="AD274" s="21"/>
      <c r="AE274" s="21"/>
      <c r="AF274" s="21"/>
      <c r="AG274" s="21"/>
      <c r="AH274" s="21"/>
      <c r="AI274" s="21"/>
      <c r="AJ274" s="21"/>
      <c r="AK274" s="21"/>
      <c r="AL274" s="21"/>
      <c r="AM274" s="21"/>
      <c r="AN274" s="21"/>
    </row>
    <row r="275" spans="3:40">
      <c r="C275" s="21"/>
      <c r="D275" s="21"/>
      <c r="E275" s="21"/>
      <c r="F275" s="21"/>
      <c r="G275" s="21"/>
      <c r="H275" s="21"/>
      <c r="I275" s="21"/>
      <c r="J275" s="21"/>
      <c r="K275" s="21"/>
      <c r="L275" s="21"/>
      <c r="M275" s="21"/>
      <c r="N275" s="21"/>
      <c r="O275" s="21"/>
      <c r="P275" s="21"/>
      <c r="Q275" s="21"/>
      <c r="R275" s="21"/>
      <c r="S275" s="21"/>
      <c r="T275" s="21"/>
      <c r="U275" s="21"/>
      <c r="V275" s="21"/>
      <c r="W275" s="21"/>
      <c r="X275" s="21"/>
      <c r="Y275" s="21"/>
      <c r="Z275" s="21"/>
      <c r="AA275" s="21"/>
      <c r="AB275" s="21"/>
      <c r="AC275" s="21"/>
      <c r="AD275" s="21"/>
      <c r="AE275" s="21"/>
      <c r="AF275" s="21"/>
      <c r="AG275" s="21"/>
      <c r="AH275" s="21"/>
      <c r="AI275" s="21"/>
      <c r="AJ275" s="21"/>
      <c r="AK275" s="21"/>
      <c r="AL275" s="21"/>
      <c r="AM275" s="21"/>
      <c r="AN275" s="21"/>
    </row>
    <row r="276" spans="3:40">
      <c r="C276" s="21"/>
      <c r="D276" s="21"/>
      <c r="E276" s="21"/>
      <c r="F276" s="21"/>
      <c r="G276" s="21"/>
      <c r="H276" s="21"/>
      <c r="I276" s="21"/>
      <c r="J276" s="21"/>
      <c r="K276" s="21"/>
      <c r="L276" s="21"/>
      <c r="M276" s="21"/>
      <c r="N276" s="21"/>
      <c r="O276" s="21"/>
      <c r="P276" s="21"/>
      <c r="Q276" s="21"/>
      <c r="R276" s="21"/>
      <c r="S276" s="21"/>
      <c r="T276" s="21"/>
      <c r="U276" s="21"/>
      <c r="V276" s="21"/>
      <c r="W276" s="21"/>
      <c r="X276" s="21"/>
      <c r="Y276" s="21"/>
      <c r="Z276" s="21"/>
      <c r="AA276" s="21"/>
      <c r="AB276" s="21"/>
      <c r="AC276" s="21"/>
      <c r="AD276" s="21"/>
      <c r="AE276" s="21"/>
      <c r="AF276" s="21"/>
      <c r="AG276" s="21"/>
      <c r="AH276" s="21"/>
      <c r="AI276" s="21"/>
      <c r="AJ276" s="21"/>
      <c r="AK276" s="21"/>
      <c r="AL276" s="21"/>
      <c r="AM276" s="21"/>
      <c r="AN276" s="21"/>
    </row>
    <row r="277" spans="3:40">
      <c r="C277" s="21"/>
      <c r="D277" s="21"/>
      <c r="E277" s="21"/>
      <c r="F277" s="21"/>
      <c r="G277" s="21"/>
      <c r="H277" s="21"/>
      <c r="I277" s="21"/>
      <c r="J277" s="21"/>
      <c r="K277" s="21"/>
      <c r="L277" s="21"/>
      <c r="M277" s="21"/>
      <c r="N277" s="21"/>
      <c r="O277" s="21"/>
      <c r="P277" s="21"/>
      <c r="Q277" s="21"/>
      <c r="R277" s="21"/>
      <c r="S277" s="21"/>
      <c r="T277" s="21"/>
      <c r="U277" s="21"/>
      <c r="V277" s="21"/>
      <c r="W277" s="21"/>
      <c r="X277" s="21"/>
      <c r="Y277" s="21"/>
      <c r="Z277" s="21"/>
      <c r="AA277" s="21"/>
      <c r="AB277" s="21"/>
      <c r="AC277" s="21"/>
      <c r="AD277" s="21"/>
      <c r="AE277" s="21"/>
      <c r="AF277" s="21"/>
      <c r="AG277" s="21"/>
      <c r="AH277" s="21"/>
      <c r="AI277" s="21"/>
      <c r="AJ277" s="21"/>
      <c r="AK277" s="21"/>
      <c r="AL277" s="21"/>
      <c r="AM277" s="21"/>
      <c r="AN277" s="21"/>
    </row>
    <row r="278" spans="3:40">
      <c r="C278" s="21"/>
      <c r="D278" s="21"/>
      <c r="E278" s="21"/>
      <c r="F278" s="21"/>
      <c r="G278" s="21"/>
      <c r="H278" s="21"/>
      <c r="I278" s="21"/>
      <c r="J278" s="21"/>
      <c r="K278" s="21"/>
      <c r="L278" s="21"/>
      <c r="M278" s="21"/>
      <c r="N278" s="21"/>
      <c r="O278" s="21"/>
      <c r="P278" s="21"/>
      <c r="Q278" s="21"/>
      <c r="R278" s="21"/>
      <c r="S278" s="21"/>
      <c r="T278" s="21"/>
      <c r="U278" s="21"/>
      <c r="V278" s="21"/>
      <c r="W278" s="21"/>
      <c r="X278" s="21"/>
      <c r="Y278" s="21"/>
      <c r="Z278" s="21"/>
      <c r="AA278" s="21"/>
      <c r="AB278" s="21"/>
      <c r="AC278" s="21"/>
      <c r="AD278" s="21"/>
      <c r="AE278" s="21"/>
      <c r="AF278" s="21"/>
      <c r="AG278" s="21"/>
      <c r="AH278" s="21"/>
      <c r="AI278" s="21"/>
      <c r="AJ278" s="21"/>
      <c r="AK278" s="21"/>
      <c r="AL278" s="21"/>
      <c r="AM278" s="21"/>
      <c r="AN278" s="21"/>
    </row>
    <row r="279" spans="3:40">
      <c r="C279" s="21"/>
      <c r="D279" s="21"/>
      <c r="E279" s="21"/>
      <c r="F279" s="21"/>
      <c r="G279" s="21"/>
      <c r="H279" s="21"/>
      <c r="I279" s="21"/>
      <c r="J279" s="21"/>
      <c r="K279" s="21"/>
      <c r="L279" s="21"/>
      <c r="M279" s="21"/>
      <c r="N279" s="21"/>
      <c r="O279" s="21"/>
      <c r="P279" s="21"/>
      <c r="Q279" s="21"/>
      <c r="R279" s="21"/>
      <c r="S279" s="21"/>
      <c r="T279" s="21"/>
      <c r="U279" s="21"/>
      <c r="V279" s="21"/>
      <c r="W279" s="21"/>
      <c r="X279" s="21"/>
      <c r="Y279" s="21"/>
      <c r="Z279" s="21"/>
      <c r="AA279" s="21"/>
      <c r="AB279" s="21"/>
      <c r="AC279" s="21"/>
      <c r="AD279" s="21"/>
      <c r="AE279" s="21"/>
      <c r="AF279" s="21"/>
      <c r="AG279" s="21"/>
      <c r="AH279" s="21"/>
      <c r="AI279" s="21"/>
      <c r="AJ279" s="21"/>
      <c r="AK279" s="21"/>
      <c r="AL279" s="21"/>
      <c r="AM279" s="21"/>
      <c r="AN279" s="21"/>
    </row>
    <row r="280" spans="3:40">
      <c r="C280" s="21"/>
      <c r="D280" s="21"/>
      <c r="E280" s="21"/>
      <c r="F280" s="21"/>
      <c r="G280" s="21"/>
      <c r="H280" s="21"/>
      <c r="I280" s="21"/>
      <c r="J280" s="21"/>
      <c r="K280" s="21"/>
      <c r="L280" s="21"/>
      <c r="M280" s="21"/>
      <c r="N280" s="21"/>
      <c r="O280" s="21"/>
      <c r="P280" s="21"/>
      <c r="Q280" s="21"/>
      <c r="R280" s="21"/>
      <c r="S280" s="21"/>
      <c r="T280" s="21"/>
      <c r="U280" s="21"/>
      <c r="V280" s="21"/>
      <c r="W280" s="21"/>
      <c r="X280" s="21"/>
      <c r="Y280" s="21"/>
      <c r="Z280" s="21"/>
      <c r="AA280" s="21"/>
      <c r="AB280" s="21"/>
      <c r="AC280" s="21"/>
      <c r="AD280" s="21"/>
      <c r="AE280" s="21"/>
      <c r="AF280" s="21"/>
      <c r="AG280" s="21"/>
      <c r="AH280" s="21"/>
      <c r="AI280" s="21"/>
      <c r="AJ280" s="21"/>
      <c r="AK280" s="21"/>
      <c r="AL280" s="21"/>
      <c r="AM280" s="21"/>
      <c r="AN280" s="21"/>
    </row>
    <row r="281" spans="3:40">
      <c r="C281" s="21"/>
      <c r="D281" s="21"/>
      <c r="E281" s="21"/>
      <c r="F281" s="21"/>
      <c r="G281" s="21"/>
      <c r="H281" s="21"/>
      <c r="I281" s="21"/>
      <c r="J281" s="21"/>
      <c r="K281" s="21"/>
      <c r="L281" s="21"/>
      <c r="M281" s="21"/>
      <c r="N281" s="21"/>
      <c r="O281" s="21"/>
      <c r="P281" s="21"/>
      <c r="Q281" s="21"/>
      <c r="R281" s="21"/>
      <c r="S281" s="21"/>
      <c r="T281" s="21"/>
      <c r="U281" s="21"/>
      <c r="V281" s="21"/>
      <c r="W281" s="21"/>
      <c r="X281" s="21"/>
      <c r="Y281" s="21"/>
      <c r="Z281" s="21"/>
      <c r="AA281" s="21"/>
      <c r="AB281" s="21"/>
      <c r="AC281" s="21"/>
      <c r="AD281" s="21"/>
      <c r="AE281" s="21"/>
      <c r="AF281" s="21"/>
      <c r="AG281" s="21"/>
      <c r="AH281" s="21"/>
      <c r="AI281" s="21"/>
      <c r="AJ281" s="21"/>
      <c r="AK281" s="21"/>
      <c r="AL281" s="21"/>
      <c r="AM281" s="21"/>
      <c r="AN281" s="21"/>
    </row>
    <row r="282" spans="3:40">
      <c r="C282" s="21"/>
      <c r="D282" s="21"/>
      <c r="E282" s="21"/>
      <c r="F282" s="21"/>
      <c r="G282" s="21"/>
      <c r="H282" s="21"/>
      <c r="I282" s="21"/>
      <c r="J282" s="21"/>
      <c r="K282" s="21"/>
      <c r="L282" s="21"/>
      <c r="M282" s="21"/>
      <c r="N282" s="21"/>
      <c r="O282" s="21"/>
      <c r="P282" s="21"/>
      <c r="Q282" s="21"/>
      <c r="R282" s="21"/>
      <c r="S282" s="21"/>
      <c r="T282" s="21"/>
      <c r="U282" s="21"/>
      <c r="V282" s="21"/>
      <c r="W282" s="21"/>
      <c r="X282" s="21"/>
      <c r="Y282" s="21"/>
      <c r="Z282" s="21"/>
      <c r="AA282" s="21"/>
      <c r="AB282" s="21"/>
      <c r="AC282" s="21"/>
      <c r="AD282" s="21"/>
      <c r="AE282" s="21"/>
      <c r="AF282" s="21"/>
      <c r="AG282" s="21"/>
      <c r="AH282" s="21"/>
      <c r="AI282" s="21"/>
      <c r="AJ282" s="21"/>
      <c r="AK282" s="21"/>
      <c r="AL282" s="21"/>
      <c r="AM282" s="21"/>
      <c r="AN282" s="21"/>
    </row>
    <row r="283" spans="3:40">
      <c r="C283" s="21"/>
      <c r="D283" s="21"/>
      <c r="E283" s="21"/>
      <c r="F283" s="21"/>
      <c r="G283" s="21"/>
      <c r="H283" s="21"/>
      <c r="I283" s="21"/>
      <c r="J283" s="21"/>
      <c r="K283" s="21"/>
      <c r="L283" s="21"/>
      <c r="M283" s="21"/>
      <c r="N283" s="21"/>
      <c r="O283" s="21"/>
      <c r="P283" s="21"/>
      <c r="Q283" s="21"/>
      <c r="R283" s="21"/>
      <c r="S283" s="21"/>
      <c r="T283" s="21"/>
      <c r="U283" s="21"/>
      <c r="V283" s="21"/>
      <c r="W283" s="21"/>
      <c r="X283" s="21"/>
      <c r="Y283" s="21"/>
      <c r="Z283" s="21"/>
      <c r="AA283" s="21"/>
      <c r="AB283" s="21"/>
      <c r="AC283" s="21"/>
      <c r="AD283" s="21"/>
      <c r="AE283" s="21"/>
      <c r="AF283" s="21"/>
      <c r="AG283" s="21"/>
      <c r="AH283" s="21"/>
      <c r="AI283" s="21"/>
      <c r="AJ283" s="21"/>
      <c r="AK283" s="21"/>
      <c r="AL283" s="21"/>
      <c r="AM283" s="21"/>
      <c r="AN283" s="21"/>
    </row>
    <row r="284" spans="3:40">
      <c r="C284" s="21"/>
      <c r="D284" s="21"/>
      <c r="E284" s="21"/>
      <c r="F284" s="21"/>
      <c r="G284" s="21"/>
      <c r="H284" s="21"/>
      <c r="I284" s="21"/>
      <c r="J284" s="21"/>
      <c r="K284" s="21"/>
      <c r="L284" s="21"/>
      <c r="M284" s="21"/>
      <c r="N284" s="21"/>
      <c r="O284" s="21"/>
      <c r="P284" s="21"/>
      <c r="Q284" s="21"/>
      <c r="R284" s="21"/>
      <c r="S284" s="21"/>
      <c r="T284" s="21"/>
      <c r="U284" s="21"/>
      <c r="V284" s="21"/>
      <c r="W284" s="21"/>
      <c r="X284" s="21"/>
      <c r="Y284" s="21"/>
      <c r="Z284" s="21"/>
      <c r="AA284" s="21"/>
      <c r="AB284" s="21"/>
      <c r="AC284" s="21"/>
      <c r="AD284" s="21"/>
      <c r="AE284" s="21"/>
      <c r="AF284" s="21"/>
      <c r="AG284" s="21"/>
      <c r="AH284" s="21"/>
      <c r="AI284" s="21"/>
      <c r="AJ284" s="21"/>
      <c r="AK284" s="21"/>
      <c r="AL284" s="21"/>
      <c r="AM284" s="21"/>
      <c r="AN284" s="21"/>
    </row>
    <row r="285" spans="3:40">
      <c r="C285" s="21"/>
      <c r="D285" s="21"/>
      <c r="E285" s="21"/>
      <c r="F285" s="21"/>
      <c r="G285" s="21"/>
      <c r="H285" s="21"/>
      <c r="I285" s="21"/>
      <c r="J285" s="21"/>
      <c r="K285" s="21"/>
      <c r="L285" s="21"/>
      <c r="M285" s="21"/>
      <c r="N285" s="21"/>
      <c r="O285" s="21"/>
      <c r="P285" s="21"/>
      <c r="Q285" s="21"/>
      <c r="R285" s="21"/>
      <c r="S285" s="21"/>
      <c r="T285" s="21"/>
      <c r="U285" s="21"/>
      <c r="V285" s="21"/>
      <c r="W285" s="21"/>
      <c r="X285" s="21"/>
      <c r="Y285" s="21"/>
      <c r="Z285" s="21"/>
      <c r="AA285" s="21"/>
      <c r="AB285" s="21"/>
      <c r="AC285" s="21"/>
      <c r="AD285" s="21"/>
      <c r="AE285" s="21"/>
      <c r="AF285" s="21"/>
      <c r="AG285" s="21"/>
      <c r="AH285" s="21"/>
      <c r="AI285" s="21"/>
      <c r="AJ285" s="21"/>
      <c r="AK285" s="21"/>
      <c r="AL285" s="21"/>
      <c r="AM285" s="21"/>
      <c r="AN285" s="21"/>
    </row>
    <row r="286" spans="3:40">
      <c r="C286" s="21"/>
      <c r="D286" s="21"/>
      <c r="E286" s="21"/>
      <c r="F286" s="21"/>
      <c r="G286" s="21"/>
      <c r="H286" s="21"/>
      <c r="I286" s="21"/>
      <c r="J286" s="21"/>
      <c r="K286" s="21"/>
      <c r="L286" s="21"/>
      <c r="M286" s="21"/>
      <c r="N286" s="21"/>
      <c r="O286" s="21"/>
      <c r="P286" s="21"/>
      <c r="Q286" s="21"/>
      <c r="R286" s="21"/>
      <c r="S286" s="21"/>
      <c r="T286" s="21"/>
      <c r="U286" s="21"/>
      <c r="V286" s="21"/>
      <c r="W286" s="21"/>
      <c r="X286" s="21"/>
      <c r="Y286" s="21"/>
      <c r="Z286" s="21"/>
      <c r="AA286" s="21"/>
      <c r="AB286" s="21"/>
      <c r="AC286" s="21"/>
      <c r="AD286" s="21"/>
      <c r="AE286" s="21"/>
      <c r="AF286" s="21"/>
      <c r="AG286" s="21"/>
      <c r="AH286" s="21"/>
      <c r="AI286" s="21"/>
      <c r="AJ286" s="21"/>
      <c r="AK286" s="21"/>
      <c r="AL286" s="21"/>
      <c r="AM286" s="21"/>
      <c r="AN286" s="21"/>
    </row>
    <row r="287" spans="3:40">
      <c r="C287" s="21"/>
      <c r="D287" s="21"/>
      <c r="E287" s="21"/>
      <c r="F287" s="21"/>
      <c r="G287" s="21"/>
      <c r="H287" s="21"/>
      <c r="I287" s="21"/>
      <c r="J287" s="21"/>
      <c r="K287" s="21"/>
      <c r="L287" s="21"/>
      <c r="M287" s="21"/>
      <c r="N287" s="21"/>
      <c r="O287" s="21"/>
      <c r="P287" s="21"/>
      <c r="Q287" s="21"/>
      <c r="R287" s="21"/>
      <c r="S287" s="21"/>
      <c r="T287" s="21"/>
      <c r="U287" s="21"/>
      <c r="V287" s="21"/>
      <c r="W287" s="21"/>
      <c r="X287" s="21"/>
      <c r="Y287" s="21"/>
      <c r="Z287" s="21"/>
      <c r="AA287" s="21"/>
      <c r="AB287" s="21"/>
      <c r="AC287" s="21"/>
      <c r="AD287" s="21"/>
      <c r="AE287" s="21"/>
      <c r="AF287" s="21"/>
      <c r="AG287" s="21"/>
      <c r="AH287" s="21"/>
      <c r="AI287" s="21"/>
      <c r="AJ287" s="21"/>
      <c r="AK287" s="21"/>
      <c r="AL287" s="21"/>
      <c r="AM287" s="21"/>
      <c r="AN287" s="21"/>
    </row>
    <row r="288" spans="3:40">
      <c r="C288" s="21"/>
      <c r="D288" s="21"/>
      <c r="E288" s="21"/>
      <c r="F288" s="21"/>
      <c r="G288" s="21"/>
      <c r="H288" s="21"/>
      <c r="I288" s="21"/>
      <c r="J288" s="21"/>
      <c r="K288" s="21"/>
      <c r="L288" s="21"/>
      <c r="M288" s="21"/>
      <c r="N288" s="21"/>
      <c r="O288" s="21"/>
      <c r="P288" s="21"/>
      <c r="Q288" s="21"/>
      <c r="R288" s="21"/>
      <c r="S288" s="21"/>
      <c r="T288" s="21"/>
      <c r="U288" s="21"/>
      <c r="V288" s="21"/>
      <c r="W288" s="21"/>
      <c r="X288" s="21"/>
      <c r="Y288" s="21"/>
      <c r="Z288" s="21"/>
      <c r="AA288" s="21"/>
      <c r="AB288" s="21"/>
      <c r="AC288" s="21"/>
      <c r="AD288" s="21"/>
      <c r="AE288" s="21"/>
      <c r="AF288" s="21"/>
      <c r="AG288" s="21"/>
      <c r="AH288" s="21"/>
      <c r="AI288" s="21"/>
      <c r="AJ288" s="21"/>
      <c r="AK288" s="21"/>
      <c r="AL288" s="21"/>
      <c r="AM288" s="21"/>
      <c r="AN288" s="21"/>
    </row>
    <row r="289" spans="3:40">
      <c r="C289" s="21"/>
      <c r="D289" s="21"/>
      <c r="E289" s="21"/>
      <c r="F289" s="21"/>
      <c r="G289" s="21"/>
      <c r="H289" s="21"/>
      <c r="I289" s="21"/>
      <c r="J289" s="21"/>
      <c r="K289" s="21"/>
      <c r="L289" s="21"/>
      <c r="M289" s="21"/>
      <c r="N289" s="21"/>
      <c r="O289" s="21"/>
      <c r="P289" s="21"/>
      <c r="Q289" s="21"/>
      <c r="R289" s="21"/>
      <c r="S289" s="21"/>
      <c r="T289" s="21"/>
      <c r="U289" s="21"/>
      <c r="V289" s="21"/>
      <c r="W289" s="21"/>
      <c r="X289" s="21"/>
      <c r="Y289" s="21"/>
      <c r="Z289" s="21"/>
      <c r="AA289" s="21"/>
      <c r="AB289" s="21"/>
      <c r="AC289" s="21"/>
      <c r="AD289" s="21"/>
      <c r="AE289" s="21"/>
      <c r="AF289" s="21"/>
      <c r="AG289" s="21"/>
      <c r="AH289" s="21"/>
      <c r="AI289" s="21"/>
      <c r="AJ289" s="21"/>
      <c r="AK289" s="21"/>
      <c r="AL289" s="21"/>
      <c r="AM289" s="21"/>
      <c r="AN289" s="21"/>
    </row>
    <row r="290" spans="3:40">
      <c r="C290" s="21"/>
      <c r="D290" s="21"/>
      <c r="E290" s="21"/>
      <c r="F290" s="21"/>
      <c r="G290" s="21"/>
      <c r="H290" s="21"/>
      <c r="I290" s="21"/>
      <c r="J290" s="21"/>
      <c r="K290" s="21"/>
      <c r="L290" s="21"/>
      <c r="M290" s="21"/>
      <c r="N290" s="21"/>
      <c r="O290" s="21"/>
      <c r="P290" s="21"/>
      <c r="Q290" s="21"/>
      <c r="R290" s="21"/>
      <c r="S290" s="21"/>
      <c r="T290" s="21"/>
      <c r="U290" s="21"/>
      <c r="V290" s="21"/>
      <c r="W290" s="21"/>
      <c r="X290" s="21"/>
      <c r="Y290" s="21"/>
      <c r="Z290" s="21"/>
      <c r="AA290" s="21"/>
      <c r="AB290" s="21"/>
      <c r="AC290" s="21"/>
      <c r="AD290" s="21"/>
      <c r="AE290" s="21"/>
      <c r="AF290" s="21"/>
      <c r="AG290" s="21"/>
      <c r="AH290" s="21"/>
      <c r="AI290" s="21"/>
      <c r="AJ290" s="21"/>
      <c r="AK290" s="21"/>
      <c r="AL290" s="21"/>
      <c r="AM290" s="21"/>
      <c r="AN290" s="21"/>
    </row>
    <row r="291" spans="3:40">
      <c r="C291" s="21"/>
      <c r="D291" s="21"/>
      <c r="E291" s="21"/>
      <c r="F291" s="21"/>
      <c r="G291" s="21"/>
      <c r="H291" s="21"/>
      <c r="I291" s="21"/>
      <c r="J291" s="21"/>
      <c r="K291" s="21"/>
      <c r="L291" s="21"/>
      <c r="M291" s="21"/>
      <c r="N291" s="21"/>
      <c r="O291" s="21"/>
      <c r="P291" s="21"/>
      <c r="Q291" s="21"/>
      <c r="R291" s="21"/>
      <c r="S291" s="21"/>
      <c r="T291" s="21"/>
      <c r="U291" s="21"/>
      <c r="V291" s="21"/>
      <c r="W291" s="21"/>
      <c r="X291" s="21"/>
      <c r="Y291" s="21"/>
      <c r="Z291" s="21"/>
      <c r="AA291" s="21"/>
      <c r="AB291" s="21"/>
      <c r="AC291" s="21"/>
      <c r="AD291" s="21"/>
      <c r="AE291" s="21"/>
      <c r="AF291" s="21"/>
      <c r="AG291" s="21"/>
      <c r="AH291" s="21"/>
      <c r="AI291" s="21"/>
      <c r="AJ291" s="21"/>
      <c r="AK291" s="21"/>
      <c r="AL291" s="21"/>
      <c r="AM291" s="21"/>
      <c r="AN291" s="21"/>
    </row>
    <row r="292" spans="3:40">
      <c r="C292" s="21"/>
      <c r="D292" s="21"/>
      <c r="E292" s="21"/>
      <c r="F292" s="21"/>
      <c r="G292" s="21"/>
      <c r="H292" s="21"/>
      <c r="I292" s="21"/>
      <c r="J292" s="21"/>
      <c r="K292" s="21"/>
      <c r="L292" s="21"/>
      <c r="M292" s="21"/>
      <c r="N292" s="21"/>
      <c r="O292" s="21"/>
      <c r="P292" s="21"/>
      <c r="Q292" s="21"/>
      <c r="R292" s="21"/>
      <c r="S292" s="21"/>
      <c r="T292" s="21"/>
      <c r="U292" s="21"/>
      <c r="V292" s="21"/>
      <c r="W292" s="21"/>
      <c r="X292" s="21"/>
      <c r="Y292" s="21"/>
      <c r="Z292" s="21"/>
      <c r="AA292" s="21"/>
      <c r="AB292" s="21"/>
      <c r="AC292" s="21"/>
      <c r="AD292" s="21"/>
      <c r="AE292" s="21"/>
      <c r="AF292" s="21"/>
      <c r="AG292" s="21"/>
      <c r="AH292" s="21"/>
      <c r="AI292" s="21"/>
      <c r="AJ292" s="21"/>
      <c r="AK292" s="21"/>
      <c r="AL292" s="21"/>
      <c r="AM292" s="21"/>
      <c r="AN292" s="21"/>
    </row>
    <row r="293" spans="3:40">
      <c r="C293" s="21"/>
      <c r="D293" s="21"/>
      <c r="E293" s="21"/>
      <c r="F293" s="21"/>
      <c r="G293" s="21"/>
      <c r="H293" s="21"/>
      <c r="I293" s="21"/>
      <c r="J293" s="21"/>
      <c r="K293" s="21"/>
      <c r="L293" s="21"/>
      <c r="M293" s="21"/>
      <c r="N293" s="21"/>
      <c r="O293" s="21"/>
      <c r="P293" s="21"/>
      <c r="Q293" s="21"/>
      <c r="R293" s="21"/>
      <c r="S293" s="21"/>
      <c r="T293" s="21"/>
      <c r="U293" s="21"/>
      <c r="V293" s="21"/>
      <c r="W293" s="21"/>
      <c r="X293" s="21"/>
      <c r="Y293" s="21"/>
      <c r="Z293" s="21"/>
      <c r="AA293" s="21"/>
      <c r="AB293" s="21"/>
      <c r="AC293" s="21"/>
      <c r="AD293" s="21"/>
      <c r="AE293" s="21"/>
      <c r="AF293" s="21"/>
      <c r="AG293" s="21"/>
      <c r="AH293" s="21"/>
      <c r="AI293" s="21"/>
      <c r="AJ293" s="21"/>
      <c r="AK293" s="21"/>
      <c r="AL293" s="21"/>
      <c r="AM293" s="21"/>
      <c r="AN293" s="21"/>
    </row>
    <row r="294" spans="3:40">
      <c r="C294" s="21"/>
      <c r="D294" s="21"/>
      <c r="E294" s="21"/>
      <c r="F294" s="21"/>
      <c r="G294" s="21"/>
      <c r="H294" s="21"/>
      <c r="I294" s="21"/>
      <c r="J294" s="21"/>
      <c r="K294" s="21"/>
      <c r="L294" s="21"/>
      <c r="M294" s="21"/>
      <c r="N294" s="21"/>
      <c r="O294" s="21"/>
      <c r="P294" s="21"/>
      <c r="Q294" s="21"/>
      <c r="R294" s="21"/>
      <c r="S294" s="21"/>
      <c r="T294" s="21"/>
      <c r="U294" s="21"/>
      <c r="V294" s="21"/>
      <c r="W294" s="21"/>
      <c r="X294" s="21"/>
      <c r="Y294" s="21"/>
      <c r="Z294" s="21"/>
      <c r="AA294" s="21"/>
      <c r="AB294" s="21"/>
      <c r="AC294" s="21"/>
      <c r="AD294" s="21"/>
      <c r="AE294" s="21"/>
      <c r="AF294" s="21"/>
      <c r="AG294" s="21"/>
      <c r="AH294" s="21"/>
      <c r="AI294" s="21"/>
      <c r="AJ294" s="21"/>
      <c r="AK294" s="21"/>
      <c r="AL294" s="21"/>
      <c r="AM294" s="21"/>
      <c r="AN294" s="21"/>
    </row>
    <row r="295" spans="3:40">
      <c r="C295" s="21"/>
      <c r="D295" s="21"/>
      <c r="E295" s="21"/>
      <c r="F295" s="21"/>
      <c r="G295" s="21"/>
      <c r="H295" s="21"/>
      <c r="I295" s="21"/>
      <c r="J295" s="21"/>
      <c r="K295" s="21"/>
      <c r="L295" s="21"/>
      <c r="M295" s="21"/>
      <c r="N295" s="21"/>
      <c r="O295" s="21"/>
      <c r="P295" s="21"/>
      <c r="Q295" s="21"/>
      <c r="R295" s="21"/>
      <c r="S295" s="21"/>
      <c r="T295" s="21"/>
      <c r="U295" s="21"/>
      <c r="V295" s="21"/>
      <c r="W295" s="21"/>
      <c r="X295" s="21"/>
      <c r="Y295" s="21"/>
      <c r="Z295" s="21"/>
      <c r="AA295" s="21"/>
      <c r="AB295" s="21"/>
      <c r="AC295" s="21"/>
      <c r="AD295" s="21"/>
      <c r="AE295" s="21"/>
      <c r="AF295" s="21"/>
      <c r="AG295" s="21"/>
      <c r="AH295" s="21"/>
      <c r="AI295" s="21"/>
      <c r="AJ295" s="21"/>
      <c r="AK295" s="21"/>
      <c r="AL295" s="21"/>
      <c r="AM295" s="21"/>
      <c r="AN295" s="21"/>
    </row>
    <row r="296" spans="3:40">
      <c r="C296" s="21"/>
      <c r="D296" s="21"/>
      <c r="E296" s="21"/>
      <c r="F296" s="21"/>
      <c r="G296" s="21"/>
      <c r="H296" s="21"/>
      <c r="I296" s="21"/>
      <c r="J296" s="21"/>
      <c r="K296" s="21"/>
      <c r="L296" s="21"/>
      <c r="M296" s="21"/>
      <c r="N296" s="21"/>
      <c r="O296" s="21"/>
      <c r="P296" s="21"/>
      <c r="Q296" s="21"/>
      <c r="R296" s="21"/>
      <c r="S296" s="21"/>
      <c r="T296" s="21"/>
      <c r="U296" s="21"/>
      <c r="V296" s="21"/>
      <c r="W296" s="21"/>
      <c r="X296" s="21"/>
      <c r="Y296" s="21"/>
      <c r="Z296" s="21"/>
      <c r="AA296" s="21"/>
      <c r="AB296" s="21"/>
      <c r="AC296" s="21"/>
      <c r="AD296" s="21"/>
      <c r="AE296" s="21"/>
      <c r="AF296" s="21"/>
      <c r="AG296" s="21"/>
      <c r="AH296" s="21"/>
      <c r="AI296" s="21"/>
      <c r="AJ296" s="21"/>
      <c r="AK296" s="21"/>
      <c r="AL296" s="21"/>
      <c r="AM296" s="21"/>
      <c r="AN296" s="21"/>
    </row>
    <row r="297" spans="3:40">
      <c r="C297" s="21"/>
      <c r="D297" s="21"/>
      <c r="E297" s="21"/>
      <c r="F297" s="21"/>
      <c r="G297" s="21"/>
      <c r="H297" s="21"/>
      <c r="I297" s="21"/>
      <c r="J297" s="21"/>
      <c r="K297" s="21"/>
      <c r="L297" s="21"/>
      <c r="M297" s="21"/>
      <c r="N297" s="21"/>
      <c r="O297" s="21"/>
      <c r="P297" s="21"/>
      <c r="Q297" s="21"/>
      <c r="R297" s="21"/>
      <c r="S297" s="21"/>
      <c r="T297" s="21"/>
      <c r="U297" s="21"/>
      <c r="V297" s="21"/>
      <c r="W297" s="21"/>
      <c r="X297" s="21"/>
      <c r="Y297" s="21"/>
      <c r="Z297" s="21"/>
      <c r="AA297" s="21"/>
      <c r="AB297" s="21"/>
      <c r="AC297" s="21"/>
      <c r="AD297" s="21"/>
      <c r="AE297" s="21"/>
      <c r="AF297" s="21"/>
      <c r="AG297" s="21"/>
      <c r="AH297" s="21"/>
      <c r="AI297" s="21"/>
      <c r="AJ297" s="21"/>
      <c r="AK297" s="21"/>
      <c r="AL297" s="21"/>
      <c r="AM297" s="21"/>
      <c r="AN297" s="21"/>
    </row>
    <row r="298" spans="3:40">
      <c r="C298" s="21"/>
      <c r="D298" s="21"/>
      <c r="E298" s="21"/>
      <c r="F298" s="21"/>
      <c r="G298" s="21"/>
      <c r="H298" s="21"/>
      <c r="I298" s="21"/>
      <c r="J298" s="21"/>
      <c r="K298" s="21"/>
      <c r="L298" s="21"/>
      <c r="M298" s="21"/>
      <c r="N298" s="21"/>
      <c r="O298" s="21"/>
      <c r="P298" s="21"/>
      <c r="Q298" s="21"/>
      <c r="R298" s="21"/>
      <c r="S298" s="21"/>
      <c r="T298" s="21"/>
      <c r="U298" s="21"/>
      <c r="V298" s="21"/>
      <c r="W298" s="21"/>
      <c r="X298" s="21"/>
      <c r="Y298" s="21"/>
      <c r="Z298" s="21"/>
      <c r="AA298" s="21"/>
      <c r="AB298" s="21"/>
      <c r="AC298" s="21"/>
      <c r="AD298" s="21"/>
      <c r="AE298" s="21"/>
      <c r="AF298" s="21"/>
      <c r="AG298" s="21"/>
      <c r="AH298" s="21"/>
      <c r="AI298" s="21"/>
      <c r="AJ298" s="21"/>
      <c r="AK298" s="21"/>
      <c r="AL298" s="21"/>
      <c r="AM298" s="21"/>
      <c r="AN298" s="21"/>
    </row>
    <row r="299" spans="3:40">
      <c r="C299" s="21"/>
      <c r="D299" s="21"/>
      <c r="E299" s="21"/>
      <c r="F299" s="21"/>
      <c r="G299" s="21"/>
      <c r="H299" s="21"/>
      <c r="I299" s="21"/>
      <c r="J299" s="21"/>
      <c r="K299" s="21"/>
      <c r="L299" s="21"/>
      <c r="M299" s="21"/>
      <c r="N299" s="21"/>
      <c r="O299" s="21"/>
      <c r="P299" s="21"/>
      <c r="Q299" s="21"/>
      <c r="R299" s="21"/>
      <c r="S299" s="21"/>
      <c r="T299" s="21"/>
      <c r="U299" s="21"/>
      <c r="V299" s="21"/>
      <c r="W299" s="21"/>
      <c r="X299" s="21"/>
      <c r="Y299" s="21"/>
      <c r="Z299" s="21"/>
      <c r="AA299" s="21"/>
      <c r="AB299" s="21"/>
      <c r="AC299" s="21"/>
      <c r="AD299" s="21"/>
      <c r="AE299" s="21"/>
      <c r="AF299" s="21"/>
      <c r="AG299" s="21"/>
      <c r="AH299" s="21"/>
      <c r="AI299" s="21"/>
      <c r="AJ299" s="21"/>
      <c r="AK299" s="21"/>
      <c r="AL299" s="21"/>
      <c r="AM299" s="21"/>
      <c r="AN299" s="21"/>
    </row>
  </sheetData>
  <customSheetViews>
    <customSheetView guid="{6B74E52F-9552-408A-8775-25AFF24E6639}" scale="80" showPageBreaks="1" fitToPage="1" hiddenRows="1" showRuler="0">
      <pane xSplit="2" ySplit="8" topLeftCell="L176" activePane="bottomRight" state="frozen"/>
      <selection pane="bottomRight" activeCell="U187" sqref="U187"/>
      <pageMargins left="0.75" right="0.75" top="1" bottom="1" header="0.5" footer="0.5"/>
      <pageSetup scale="51" fitToHeight="3" orientation="landscape" r:id="rId1"/>
      <headerFooter alignWithMargins="0">
        <oddFooter>&amp;L&amp;Z&amp;F&amp;C&amp;A&amp;R3.&amp;P</oddFooter>
      </headerFooter>
    </customSheetView>
  </customSheetViews>
  <mergeCells count="3">
    <mergeCell ref="A1:AM1"/>
    <mergeCell ref="A2:AM2"/>
    <mergeCell ref="A3:AM3"/>
  </mergeCells>
  <phoneticPr fontId="4" type="noConversion"/>
  <pageMargins left="0.75" right="0.75" top="1" bottom="1" header="0.5" footer="0.5"/>
  <pageSetup scale="49" fitToHeight="3" orientation="landscape" r:id="rId2"/>
  <headerFooter alignWithMargins="0">
    <oddFooter>&amp;L&amp;Z&amp;F&amp;C&amp;A&amp;R3.&amp;P</oddFooter>
  </headerFooter>
</worksheet>
</file>

<file path=xl/worksheets/sheet88.xml><?xml version="1.0" encoding="utf-8"?>
<worksheet xmlns="http://schemas.openxmlformats.org/spreadsheetml/2006/main" xmlns:r="http://schemas.openxmlformats.org/officeDocument/2006/relationships">
  <sheetPr codeName="Sheet82">
    <pageSetUpPr fitToPage="1"/>
  </sheetPr>
  <dimension ref="B1:O57"/>
  <sheetViews>
    <sheetView workbookViewId="0"/>
  </sheetViews>
  <sheetFormatPr defaultRowHeight="15.75"/>
  <cols>
    <col min="1" max="1" width="2" style="121" customWidth="1"/>
    <col min="2" max="2" width="13.42578125" style="121" bestFit="1" customWidth="1"/>
    <col min="3" max="3" width="19.85546875" style="121" customWidth="1"/>
    <col min="4" max="4" width="4" style="121" customWidth="1"/>
    <col min="5" max="5" width="14.42578125" style="124" customWidth="1"/>
    <col min="6" max="6" width="2.85546875" style="124" customWidth="1"/>
    <col min="7" max="7" width="14.5703125" style="124" customWidth="1"/>
    <col min="8" max="8" width="2.85546875" style="124" customWidth="1"/>
    <col min="9" max="9" width="14.7109375" style="124" customWidth="1"/>
    <col min="10" max="10" width="2.7109375" style="124" customWidth="1"/>
    <col min="11" max="11" width="15.28515625" style="124" bestFit="1" customWidth="1"/>
    <col min="12" max="12" width="2.28515625" style="121" customWidth="1"/>
    <col min="13" max="13" width="15.42578125" style="124" bestFit="1" customWidth="1"/>
    <col min="14" max="14" width="14.5703125" style="124" bestFit="1" customWidth="1"/>
    <col min="15" max="15" width="15.28515625" style="124" bestFit="1" customWidth="1"/>
    <col min="16" max="16" width="13.42578125" style="121" bestFit="1" customWidth="1"/>
    <col min="17" max="16384" width="9.140625" style="121"/>
  </cols>
  <sheetData>
    <row r="1" spans="2:15">
      <c r="B1" s="365" t="s">
        <v>435</v>
      </c>
      <c r="C1" s="365"/>
      <c r="D1" s="365"/>
      <c r="E1" s="365"/>
      <c r="F1" s="365"/>
      <c r="G1" s="365"/>
      <c r="H1" s="365"/>
      <c r="I1" s="365"/>
      <c r="J1" s="365"/>
      <c r="K1" s="365"/>
      <c r="L1" s="365"/>
      <c r="M1" s="365"/>
      <c r="N1" s="365"/>
      <c r="O1" s="365"/>
    </row>
    <row r="2" spans="2:15">
      <c r="B2" s="365" t="s">
        <v>1819</v>
      </c>
      <c r="C2" s="365"/>
      <c r="D2" s="365"/>
      <c r="E2" s="365"/>
      <c r="F2" s="365"/>
      <c r="G2" s="365"/>
      <c r="H2" s="365"/>
      <c r="I2" s="365"/>
      <c r="J2" s="365"/>
      <c r="K2" s="365"/>
      <c r="L2" s="365"/>
      <c r="M2" s="365"/>
      <c r="N2" s="365"/>
      <c r="O2" s="365"/>
    </row>
    <row r="3" spans="2:15">
      <c r="B3" s="122"/>
      <c r="C3" s="122"/>
      <c r="D3" s="122"/>
      <c r="E3" s="123"/>
      <c r="F3" s="123"/>
      <c r="G3" s="123"/>
      <c r="H3" s="123"/>
      <c r="I3" s="123"/>
      <c r="J3" s="123"/>
      <c r="K3" s="123"/>
      <c r="L3" s="122"/>
      <c r="M3" s="123"/>
      <c r="N3" s="123"/>
      <c r="O3" s="123"/>
    </row>
    <row r="5" spans="2:15">
      <c r="B5" s="125"/>
    </row>
    <row r="6" spans="2:15">
      <c r="E6" s="126" t="s">
        <v>437</v>
      </c>
      <c r="I6" s="126" t="s">
        <v>438</v>
      </c>
    </row>
    <row r="7" spans="2:15" ht="18">
      <c r="E7" s="127" t="s">
        <v>439</v>
      </c>
      <c r="F7" s="126"/>
      <c r="G7" s="128" t="s">
        <v>440</v>
      </c>
      <c r="H7" s="126"/>
      <c r="I7" s="127" t="s">
        <v>582</v>
      </c>
      <c r="J7" s="126"/>
      <c r="K7" s="127" t="s">
        <v>28</v>
      </c>
      <c r="L7" s="129"/>
      <c r="M7" s="127" t="s">
        <v>441</v>
      </c>
      <c r="N7" s="127" t="s">
        <v>442</v>
      </c>
      <c r="O7" s="127" t="s">
        <v>36</v>
      </c>
    </row>
    <row r="8" spans="2:15">
      <c r="B8" s="130"/>
      <c r="M8" s="131"/>
    </row>
    <row r="9" spans="2:15">
      <c r="B9" s="132"/>
      <c r="M9" s="131"/>
    </row>
    <row r="10" spans="2:15">
      <c r="B10" s="133"/>
    </row>
    <row r="11" spans="2:15">
      <c r="E11" s="134">
        <f>SUM(E8:E9)</f>
        <v>0</v>
      </c>
      <c r="F11" s="134"/>
      <c r="G11" s="134"/>
      <c r="H11" s="134"/>
      <c r="I11" s="134">
        <f>SUM(I8:I9)</f>
        <v>0</v>
      </c>
      <c r="J11" s="134"/>
      <c r="K11" s="134">
        <f>SUM(K8:K9)</f>
        <v>0</v>
      </c>
      <c r="L11" s="135"/>
      <c r="M11" s="134">
        <f>K11+E11</f>
        <v>0</v>
      </c>
    </row>
    <row r="12" spans="2:15">
      <c r="E12" s="131"/>
      <c r="F12" s="131"/>
      <c r="G12" s="131"/>
      <c r="H12" s="131"/>
      <c r="I12" s="131"/>
      <c r="J12" s="131"/>
      <c r="K12" s="131"/>
      <c r="L12" s="136"/>
      <c r="M12" s="131"/>
    </row>
    <row r="13" spans="2:15">
      <c r="M13" s="131"/>
    </row>
    <row r="14" spans="2:15">
      <c r="E14" s="131"/>
      <c r="F14" s="131"/>
      <c r="G14" s="131"/>
      <c r="H14" s="131"/>
      <c r="I14" s="131"/>
      <c r="J14" s="131"/>
      <c r="K14" s="131"/>
      <c r="L14" s="136"/>
      <c r="M14" s="131"/>
    </row>
    <row r="15" spans="2:15">
      <c r="E15" s="131"/>
      <c r="F15" s="131"/>
      <c r="G15" s="131"/>
      <c r="H15" s="131"/>
      <c r="I15" s="131"/>
      <c r="J15" s="131"/>
      <c r="K15" s="131"/>
      <c r="L15" s="136"/>
      <c r="M15" s="131"/>
    </row>
    <row r="16" spans="2:15">
      <c r="E16" s="131"/>
      <c r="F16" s="131"/>
      <c r="G16" s="131"/>
      <c r="H16" s="131"/>
      <c r="I16" s="131"/>
      <c r="J16" s="131"/>
      <c r="K16" s="131"/>
      <c r="L16" s="136"/>
      <c r="M16" s="131"/>
    </row>
    <row r="17" spans="3:15">
      <c r="E17" s="131"/>
      <c r="F17" s="131"/>
      <c r="G17" s="131"/>
      <c r="H17" s="131"/>
      <c r="I17" s="131"/>
      <c r="J17" s="131"/>
      <c r="K17" s="131"/>
      <c r="L17" s="136"/>
      <c r="M17" s="131"/>
    </row>
    <row r="18" spans="3:15" s="136" customFormat="1">
      <c r="C18" s="137"/>
      <c r="E18" s="131"/>
      <c r="F18" s="131"/>
      <c r="G18" s="131"/>
      <c r="H18" s="131"/>
      <c r="I18" s="131"/>
      <c r="J18" s="131"/>
      <c r="K18" s="131"/>
      <c r="M18" s="131"/>
      <c r="N18" s="131"/>
      <c r="O18" s="131"/>
    </row>
    <row r="19" spans="3:15" s="136" customFormat="1">
      <c r="E19" s="131"/>
      <c r="F19" s="131"/>
      <c r="G19" s="131"/>
      <c r="H19" s="131"/>
      <c r="I19" s="131"/>
      <c r="J19" s="131"/>
      <c r="K19" s="131"/>
      <c r="M19" s="131"/>
      <c r="N19" s="131"/>
      <c r="O19" s="131"/>
    </row>
    <row r="20" spans="3:15" s="136" customFormat="1">
      <c r="E20" s="131"/>
      <c r="F20" s="131"/>
      <c r="G20" s="131"/>
      <c r="H20" s="131"/>
      <c r="I20" s="131"/>
      <c r="J20" s="131"/>
      <c r="K20" s="131"/>
      <c r="M20" s="131"/>
      <c r="N20" s="131"/>
      <c r="O20" s="131"/>
    </row>
    <row r="21" spans="3:15" s="136" customFormat="1">
      <c r="E21" s="131"/>
      <c r="F21" s="131"/>
      <c r="G21" s="131"/>
      <c r="H21" s="131"/>
      <c r="I21" s="131"/>
      <c r="J21" s="131"/>
      <c r="K21" s="131"/>
      <c r="M21" s="131"/>
      <c r="N21" s="131"/>
      <c r="O21" s="131"/>
    </row>
    <row r="22" spans="3:15" s="136" customFormat="1">
      <c r="E22" s="131"/>
      <c r="F22" s="131"/>
      <c r="G22" s="131"/>
      <c r="H22" s="131"/>
      <c r="I22" s="131"/>
      <c r="J22" s="131"/>
      <c r="K22" s="131"/>
      <c r="M22" s="131"/>
      <c r="N22" s="131"/>
      <c r="O22" s="131"/>
    </row>
    <row r="23" spans="3:15" s="136" customFormat="1">
      <c r="E23" s="131"/>
      <c r="F23" s="131"/>
      <c r="G23" s="131"/>
      <c r="H23" s="131"/>
      <c r="I23" s="131"/>
      <c r="J23" s="131"/>
      <c r="K23" s="131"/>
      <c r="M23" s="131"/>
      <c r="N23" s="131"/>
      <c r="O23" s="131"/>
    </row>
    <row r="24" spans="3:15" s="136" customFormat="1">
      <c r="E24" s="131"/>
      <c r="F24" s="131"/>
      <c r="G24" s="131"/>
      <c r="H24" s="131"/>
      <c r="I24" s="131"/>
      <c r="J24" s="131"/>
      <c r="K24" s="131"/>
      <c r="M24" s="131"/>
      <c r="N24" s="131"/>
      <c r="O24" s="131"/>
    </row>
    <row r="25" spans="3:15" s="136" customFormat="1">
      <c r="E25" s="131"/>
      <c r="F25" s="131"/>
      <c r="G25" s="131"/>
      <c r="H25" s="131"/>
      <c r="I25" s="131"/>
      <c r="J25" s="131"/>
      <c r="K25" s="131"/>
      <c r="M25" s="131"/>
      <c r="N25" s="131"/>
      <c r="O25" s="131"/>
    </row>
    <row r="26" spans="3:15" s="136" customFormat="1">
      <c r="E26" s="131"/>
      <c r="F26" s="131"/>
      <c r="G26" s="131"/>
      <c r="H26" s="131"/>
      <c r="I26" s="131"/>
      <c r="J26" s="131"/>
      <c r="K26" s="131"/>
      <c r="M26" s="131"/>
      <c r="N26" s="131"/>
      <c r="O26" s="131"/>
    </row>
    <row r="27" spans="3:15" s="136" customFormat="1">
      <c r="E27" s="131"/>
      <c r="F27" s="131"/>
      <c r="G27" s="131"/>
      <c r="H27" s="131"/>
      <c r="I27" s="131"/>
      <c r="J27" s="131"/>
      <c r="K27" s="131"/>
      <c r="M27" s="131"/>
      <c r="N27" s="131"/>
      <c r="O27" s="131"/>
    </row>
    <row r="28" spans="3:15" s="136" customFormat="1">
      <c r="E28" s="131"/>
      <c r="F28" s="131"/>
      <c r="G28" s="131"/>
      <c r="H28" s="131"/>
      <c r="I28" s="131"/>
      <c r="J28" s="131"/>
      <c r="K28" s="131"/>
      <c r="M28" s="131"/>
      <c r="N28" s="131"/>
      <c r="O28" s="131"/>
    </row>
    <row r="29" spans="3:15" s="136" customFormat="1">
      <c r="E29" s="131"/>
      <c r="F29" s="131"/>
      <c r="G29" s="131"/>
      <c r="H29" s="131"/>
      <c r="I29" s="131"/>
      <c r="J29" s="131"/>
      <c r="K29" s="131"/>
      <c r="M29" s="131"/>
      <c r="N29" s="131"/>
      <c r="O29" s="131"/>
    </row>
    <row r="30" spans="3:15" s="136" customFormat="1">
      <c r="E30" s="131"/>
      <c r="F30" s="131"/>
      <c r="G30" s="131"/>
      <c r="H30" s="131"/>
      <c r="I30" s="131"/>
      <c r="J30" s="131"/>
      <c r="K30" s="131"/>
      <c r="M30" s="131"/>
      <c r="N30" s="131"/>
      <c r="O30" s="131"/>
    </row>
    <row r="31" spans="3:15" s="136" customFormat="1">
      <c r="E31" s="131"/>
      <c r="F31" s="131"/>
      <c r="G31" s="131"/>
      <c r="H31" s="131"/>
      <c r="I31" s="131"/>
      <c r="J31" s="131"/>
      <c r="K31" s="131"/>
      <c r="M31" s="131"/>
      <c r="N31" s="131"/>
      <c r="O31" s="131"/>
    </row>
    <row r="32" spans="3:15" s="136" customFormat="1">
      <c r="E32" s="131"/>
      <c r="F32" s="131"/>
      <c r="G32" s="131"/>
      <c r="H32" s="131"/>
      <c r="I32" s="131"/>
      <c r="J32" s="131"/>
      <c r="K32" s="131"/>
      <c r="M32" s="131"/>
      <c r="N32" s="131"/>
      <c r="O32" s="131"/>
    </row>
    <row r="33" spans="5:15" s="136" customFormat="1">
      <c r="E33" s="131"/>
      <c r="F33" s="131"/>
      <c r="G33" s="131"/>
      <c r="H33" s="131"/>
      <c r="I33" s="131"/>
      <c r="J33" s="131"/>
      <c r="K33" s="131"/>
      <c r="M33" s="131"/>
      <c r="N33" s="131"/>
      <c r="O33" s="131"/>
    </row>
    <row r="34" spans="5:15" s="136" customFormat="1">
      <c r="E34" s="131"/>
      <c r="F34" s="131"/>
      <c r="G34" s="131"/>
      <c r="H34" s="131"/>
      <c r="I34" s="131"/>
      <c r="J34" s="131"/>
      <c r="K34" s="131"/>
      <c r="M34" s="131"/>
      <c r="N34" s="131"/>
      <c r="O34" s="131"/>
    </row>
    <row r="35" spans="5:15" s="136" customFormat="1">
      <c r="E35" s="131"/>
      <c r="F35" s="131"/>
      <c r="G35" s="131"/>
      <c r="H35" s="131"/>
      <c r="I35" s="131"/>
      <c r="J35" s="131"/>
      <c r="K35" s="131"/>
      <c r="M35" s="131"/>
      <c r="N35" s="131"/>
      <c r="O35" s="131"/>
    </row>
    <row r="36" spans="5:15" s="136" customFormat="1">
      <c r="E36" s="131"/>
      <c r="F36" s="131"/>
      <c r="G36" s="131"/>
      <c r="H36" s="131"/>
      <c r="I36" s="131"/>
      <c r="J36" s="131"/>
      <c r="K36" s="131"/>
      <c r="M36" s="131"/>
      <c r="N36" s="131"/>
      <c r="O36" s="131"/>
    </row>
    <row r="37" spans="5:15" s="136" customFormat="1">
      <c r="E37" s="131"/>
      <c r="F37" s="131"/>
      <c r="G37" s="131"/>
      <c r="H37" s="131"/>
      <c r="I37" s="131"/>
      <c r="J37" s="131"/>
      <c r="K37" s="131"/>
      <c r="M37" s="131"/>
      <c r="N37" s="131"/>
      <c r="O37" s="131"/>
    </row>
    <row r="38" spans="5:15" s="136" customFormat="1">
      <c r="E38" s="131"/>
      <c r="F38" s="131"/>
      <c r="G38" s="131"/>
      <c r="H38" s="131"/>
      <c r="I38" s="131"/>
      <c r="J38" s="131"/>
      <c r="K38" s="131"/>
      <c r="M38" s="131"/>
      <c r="N38" s="131"/>
      <c r="O38" s="131"/>
    </row>
    <row r="39" spans="5:15" s="136" customFormat="1">
      <c r="E39" s="131"/>
      <c r="F39" s="131"/>
      <c r="G39" s="131"/>
      <c r="H39" s="131"/>
      <c r="I39" s="131"/>
      <c r="J39" s="131"/>
      <c r="K39" s="131"/>
      <c r="M39" s="131"/>
      <c r="N39" s="131"/>
      <c r="O39" s="131"/>
    </row>
    <row r="40" spans="5:15" s="136" customFormat="1">
      <c r="E40" s="131"/>
      <c r="F40" s="131"/>
      <c r="G40" s="131"/>
      <c r="H40" s="131"/>
      <c r="I40" s="131"/>
      <c r="J40" s="131"/>
      <c r="K40" s="131"/>
      <c r="M40" s="131"/>
      <c r="N40" s="131"/>
      <c r="O40" s="131"/>
    </row>
    <row r="41" spans="5:15" s="136" customFormat="1">
      <c r="E41" s="131"/>
      <c r="F41" s="131"/>
      <c r="G41" s="131"/>
      <c r="H41" s="131"/>
      <c r="I41" s="131"/>
      <c r="J41" s="131"/>
      <c r="K41" s="131"/>
      <c r="M41" s="131"/>
      <c r="N41" s="131"/>
      <c r="O41" s="131"/>
    </row>
    <row r="42" spans="5:15" s="136" customFormat="1">
      <c r="E42" s="131"/>
      <c r="F42" s="131"/>
      <c r="G42" s="131"/>
      <c r="H42" s="131"/>
      <c r="I42" s="131"/>
      <c r="J42" s="131"/>
      <c r="K42" s="131"/>
      <c r="M42" s="131"/>
      <c r="N42" s="131"/>
      <c r="O42" s="131"/>
    </row>
    <row r="43" spans="5:15" s="136" customFormat="1">
      <c r="E43" s="131"/>
      <c r="F43" s="131"/>
      <c r="G43" s="131"/>
      <c r="H43" s="131"/>
      <c r="I43" s="131"/>
      <c r="J43" s="131"/>
      <c r="K43" s="131"/>
      <c r="M43" s="131"/>
      <c r="N43" s="131"/>
      <c r="O43" s="131"/>
    </row>
    <row r="44" spans="5:15" s="136" customFormat="1">
      <c r="E44" s="131"/>
      <c r="F44" s="131"/>
      <c r="G44" s="131"/>
      <c r="H44" s="131"/>
      <c r="I44" s="131"/>
      <c r="J44" s="131"/>
      <c r="K44" s="131"/>
      <c r="M44" s="131"/>
      <c r="N44" s="131"/>
      <c r="O44" s="131"/>
    </row>
    <row r="45" spans="5:15" s="136" customFormat="1">
      <c r="E45" s="131"/>
      <c r="F45" s="131"/>
      <c r="G45" s="131"/>
      <c r="H45" s="131"/>
      <c r="I45" s="131"/>
      <c r="J45" s="131"/>
      <c r="K45" s="131"/>
      <c r="M45" s="131"/>
      <c r="N45" s="131"/>
      <c r="O45" s="131"/>
    </row>
    <row r="46" spans="5:15" s="136" customFormat="1">
      <c r="E46" s="131"/>
      <c r="F46" s="131"/>
      <c r="G46" s="131"/>
      <c r="H46" s="131"/>
      <c r="I46" s="131"/>
      <c r="J46" s="131"/>
      <c r="K46" s="131"/>
      <c r="M46" s="131"/>
      <c r="N46" s="131"/>
      <c r="O46" s="131"/>
    </row>
    <row r="47" spans="5:15" s="136" customFormat="1">
      <c r="E47" s="131"/>
      <c r="F47" s="131"/>
      <c r="G47" s="131"/>
      <c r="H47" s="131"/>
      <c r="I47" s="131"/>
      <c r="J47" s="131"/>
      <c r="K47" s="131"/>
      <c r="M47" s="131"/>
      <c r="N47" s="131"/>
      <c r="O47" s="131"/>
    </row>
    <row r="48" spans="5:15" s="136" customFormat="1">
      <c r="E48" s="131"/>
      <c r="F48" s="131"/>
      <c r="G48" s="131"/>
      <c r="H48" s="131"/>
      <c r="I48" s="131"/>
      <c r="J48" s="131"/>
      <c r="K48" s="131"/>
      <c r="M48" s="131"/>
      <c r="N48" s="131"/>
      <c r="O48" s="131"/>
    </row>
    <row r="49" spans="5:15" s="136" customFormat="1">
      <c r="E49" s="131"/>
      <c r="F49" s="131"/>
      <c r="G49" s="131"/>
      <c r="H49" s="131"/>
      <c r="I49" s="131"/>
      <c r="J49" s="131"/>
      <c r="K49" s="131"/>
      <c r="M49" s="131"/>
      <c r="N49" s="131"/>
      <c r="O49" s="131"/>
    </row>
    <row r="50" spans="5:15" s="136" customFormat="1">
      <c r="E50" s="131"/>
      <c r="F50" s="131"/>
      <c r="G50" s="131"/>
      <c r="H50" s="131"/>
      <c r="I50" s="131"/>
      <c r="J50" s="131"/>
      <c r="K50" s="131"/>
      <c r="M50" s="131"/>
      <c r="N50" s="131"/>
      <c r="O50" s="131"/>
    </row>
    <row r="51" spans="5:15" s="136" customFormat="1">
      <c r="E51" s="131"/>
      <c r="F51" s="131"/>
      <c r="G51" s="131"/>
      <c r="H51" s="131"/>
      <c r="I51" s="131"/>
      <c r="J51" s="131"/>
      <c r="K51" s="131"/>
      <c r="M51" s="131"/>
      <c r="N51" s="131"/>
      <c r="O51" s="131"/>
    </row>
    <row r="52" spans="5:15" s="136" customFormat="1">
      <c r="E52" s="131"/>
      <c r="F52" s="131"/>
      <c r="G52" s="131"/>
      <c r="H52" s="131"/>
      <c r="I52" s="131"/>
      <c r="J52" s="131"/>
      <c r="K52" s="131"/>
      <c r="M52" s="131"/>
      <c r="N52" s="131"/>
      <c r="O52" s="131"/>
    </row>
    <row r="53" spans="5:15" s="136" customFormat="1">
      <c r="E53" s="131"/>
      <c r="F53" s="131"/>
      <c r="G53" s="131"/>
      <c r="H53" s="131"/>
      <c r="I53" s="131"/>
      <c r="J53" s="131"/>
      <c r="K53" s="131"/>
      <c r="M53" s="131"/>
      <c r="N53" s="131"/>
      <c r="O53" s="131"/>
    </row>
    <row r="54" spans="5:15" s="136" customFormat="1">
      <c r="E54" s="131"/>
      <c r="F54" s="131"/>
      <c r="G54" s="131"/>
      <c r="H54" s="131"/>
      <c r="I54" s="131"/>
      <c r="J54" s="131"/>
      <c r="K54" s="131"/>
      <c r="M54" s="131"/>
      <c r="N54" s="131"/>
      <c r="O54" s="131"/>
    </row>
    <row r="55" spans="5:15" s="136" customFormat="1">
      <c r="E55" s="131"/>
      <c r="F55" s="131"/>
      <c r="G55" s="131"/>
      <c r="H55" s="131"/>
      <c r="I55" s="131"/>
      <c r="J55" s="131"/>
      <c r="K55" s="131"/>
      <c r="M55" s="131"/>
      <c r="N55" s="131"/>
      <c r="O55" s="131"/>
    </row>
    <row r="56" spans="5:15" s="136" customFormat="1">
      <c r="E56" s="131"/>
      <c r="F56" s="131"/>
      <c r="G56" s="131"/>
      <c r="H56" s="131"/>
      <c r="I56" s="131"/>
      <c r="J56" s="131"/>
      <c r="K56" s="131"/>
      <c r="M56" s="131"/>
      <c r="N56" s="131"/>
      <c r="O56" s="131"/>
    </row>
    <row r="57" spans="5:15" s="136" customFormat="1">
      <c r="E57" s="131"/>
      <c r="F57" s="131"/>
      <c r="G57" s="131"/>
      <c r="H57" s="131"/>
      <c r="I57" s="131"/>
      <c r="J57" s="131"/>
      <c r="K57" s="131"/>
      <c r="M57" s="131"/>
      <c r="N57" s="131"/>
      <c r="O57" s="131"/>
    </row>
  </sheetData>
  <mergeCells count="2">
    <mergeCell ref="B1:O1"/>
    <mergeCell ref="B2:O2"/>
  </mergeCells>
  <phoneticPr fontId="4" type="noConversion"/>
  <pageMargins left="0.75" right="0.75" top="1" bottom="1" header="0.5" footer="0.5"/>
  <pageSetup scale="59" orientation="portrait" r:id="rId1"/>
  <headerFooter alignWithMargins="0"/>
  <legacyDrawing r:id="rId2"/>
</worksheet>
</file>

<file path=xl/worksheets/sheet89.xml><?xml version="1.0" encoding="utf-8"?>
<worksheet xmlns="http://schemas.openxmlformats.org/spreadsheetml/2006/main" xmlns:r="http://schemas.openxmlformats.org/officeDocument/2006/relationships">
  <sheetPr>
    <pageSetUpPr fitToPage="1"/>
  </sheetPr>
  <dimension ref="A1:Q483"/>
  <sheetViews>
    <sheetView topLeftCell="A451" workbookViewId="0">
      <selection sqref="A1:C1"/>
    </sheetView>
  </sheetViews>
  <sheetFormatPr defaultRowHeight="12.75"/>
  <cols>
    <col min="1" max="1" width="23.85546875" style="322" customWidth="1"/>
    <col min="2" max="2" width="50.5703125" customWidth="1"/>
    <col min="3" max="3" width="19.85546875" style="335" customWidth="1"/>
  </cols>
  <sheetData>
    <row r="1" spans="1:17">
      <c r="A1" s="369" t="s">
        <v>134</v>
      </c>
      <c r="B1" s="369"/>
      <c r="C1" s="369"/>
      <c r="D1" s="337"/>
      <c r="E1" s="337"/>
      <c r="F1" s="337"/>
      <c r="G1" s="337"/>
      <c r="H1" s="337"/>
      <c r="I1" s="337"/>
      <c r="J1" s="337"/>
      <c r="K1" s="337"/>
      <c r="L1" s="337"/>
      <c r="M1" s="337"/>
      <c r="N1" s="337"/>
      <c r="O1" s="337"/>
      <c r="P1" s="337"/>
      <c r="Q1" s="337"/>
    </row>
    <row r="2" spans="1:17">
      <c r="A2" s="369" t="s">
        <v>1455</v>
      </c>
      <c r="B2" s="369"/>
      <c r="C2" s="369"/>
    </row>
    <row r="3" spans="1:17">
      <c r="A3" s="369" t="str">
        <f>+'Summary - Cost - PG 1 (Tot)'!A3:N3</f>
        <v>MARCH 2012</v>
      </c>
      <c r="B3" s="369"/>
      <c r="C3" s="369"/>
    </row>
    <row r="5" spans="1:17">
      <c r="A5" s="155" t="s">
        <v>1456</v>
      </c>
      <c r="B5" s="155" t="s">
        <v>1457</v>
      </c>
      <c r="C5" s="334" t="s">
        <v>1145</v>
      </c>
    </row>
    <row r="6" spans="1:17">
      <c r="A6" s="322">
        <v>113270</v>
      </c>
      <c r="B6" t="s">
        <v>1459</v>
      </c>
      <c r="C6" s="335">
        <v>601294.22</v>
      </c>
    </row>
    <row r="7" spans="1:17">
      <c r="A7" s="322">
        <v>114268</v>
      </c>
      <c r="B7" t="s">
        <v>1460</v>
      </c>
      <c r="C7" s="335">
        <v>436751.28</v>
      </c>
    </row>
    <row r="8" spans="1:17">
      <c r="A8" s="322">
        <v>115030</v>
      </c>
      <c r="B8" t="s">
        <v>1461</v>
      </c>
      <c r="C8" s="335">
        <v>24248.53</v>
      </c>
    </row>
    <row r="9" spans="1:17">
      <c r="A9" s="322">
        <v>117136</v>
      </c>
      <c r="B9" t="s">
        <v>1462</v>
      </c>
      <c r="C9" s="335">
        <v>3599.9499999999971</v>
      </c>
    </row>
    <row r="10" spans="1:17">
      <c r="A10" s="322">
        <v>117149</v>
      </c>
      <c r="B10" t="s">
        <v>1463</v>
      </c>
      <c r="C10" s="335">
        <v>343467.81999999972</v>
      </c>
    </row>
    <row r="11" spans="1:17">
      <c r="A11" s="322">
        <v>117361</v>
      </c>
      <c r="B11" t="s">
        <v>1464</v>
      </c>
      <c r="C11" s="335">
        <v>-31048.739999999998</v>
      </c>
    </row>
    <row r="12" spans="1:17">
      <c r="A12" s="322">
        <v>118209</v>
      </c>
      <c r="B12" t="s">
        <v>1465</v>
      </c>
      <c r="C12" s="335">
        <v>4550.3100000000004</v>
      </c>
    </row>
    <row r="13" spans="1:17">
      <c r="A13" s="322">
        <v>119902</v>
      </c>
      <c r="B13" t="s">
        <v>1466</v>
      </c>
      <c r="C13" s="335">
        <v>351358.54999999993</v>
      </c>
    </row>
    <row r="14" spans="1:17">
      <c r="A14" s="322">
        <v>120596</v>
      </c>
      <c r="B14" t="s">
        <v>1467</v>
      </c>
      <c r="C14" s="335">
        <v>4.6899999999999995</v>
      </c>
    </row>
    <row r="15" spans="1:17">
      <c r="A15" s="322">
        <v>120754</v>
      </c>
      <c r="B15" t="s">
        <v>1969</v>
      </c>
      <c r="C15" s="335">
        <v>87739.47</v>
      </c>
    </row>
    <row r="16" spans="1:17">
      <c r="A16" s="322">
        <v>121620</v>
      </c>
      <c r="B16" t="s">
        <v>1468</v>
      </c>
      <c r="C16" s="335">
        <v>-194097.63000000006</v>
      </c>
    </row>
    <row r="17" spans="1:3">
      <c r="A17" s="322">
        <v>121683</v>
      </c>
      <c r="B17" t="s">
        <v>1469</v>
      </c>
      <c r="C17" s="335">
        <v>-83751.05999999991</v>
      </c>
    </row>
    <row r="18" spans="1:3">
      <c r="A18" s="322">
        <v>121684</v>
      </c>
      <c r="B18" t="s">
        <v>1470</v>
      </c>
      <c r="C18" s="335">
        <v>62389.33</v>
      </c>
    </row>
    <row r="19" spans="1:3">
      <c r="A19" s="322">
        <v>121974</v>
      </c>
      <c r="B19" t="s">
        <v>1471</v>
      </c>
      <c r="C19" s="335">
        <v>263264.38</v>
      </c>
    </row>
    <row r="20" spans="1:3">
      <c r="A20" s="322">
        <v>122512</v>
      </c>
      <c r="B20" t="s">
        <v>1472</v>
      </c>
      <c r="C20" s="335">
        <v>0.05</v>
      </c>
    </row>
    <row r="21" spans="1:3">
      <c r="A21" s="322">
        <v>122513</v>
      </c>
      <c r="B21" t="s">
        <v>1473</v>
      </c>
      <c r="C21" s="335">
        <v>-12725.839999999998</v>
      </c>
    </row>
    <row r="22" spans="1:3">
      <c r="A22" s="322">
        <v>122514</v>
      </c>
      <c r="B22" t="s">
        <v>1474</v>
      </c>
      <c r="C22" s="335">
        <v>0.63000000000000012</v>
      </c>
    </row>
    <row r="23" spans="1:3">
      <c r="A23" s="322">
        <v>122650</v>
      </c>
      <c r="B23" t="s">
        <v>1475</v>
      </c>
      <c r="C23" s="335">
        <v>587374.2699999999</v>
      </c>
    </row>
    <row r="24" spans="1:3">
      <c r="A24" s="322">
        <v>122805</v>
      </c>
      <c r="B24" t="s">
        <v>1476</v>
      </c>
      <c r="C24" s="335">
        <v>-117.27000000000001</v>
      </c>
    </row>
    <row r="25" spans="1:3">
      <c r="A25" s="322">
        <v>122959</v>
      </c>
      <c r="B25" t="s">
        <v>1864</v>
      </c>
      <c r="C25" s="335">
        <v>-0.16</v>
      </c>
    </row>
    <row r="26" spans="1:3">
      <c r="A26" s="322">
        <v>122971</v>
      </c>
      <c r="B26" t="s">
        <v>1865</v>
      </c>
      <c r="C26" s="335">
        <v>-0.06</v>
      </c>
    </row>
    <row r="27" spans="1:3">
      <c r="A27" s="322">
        <v>122972</v>
      </c>
      <c r="B27" t="s">
        <v>1477</v>
      </c>
      <c r="C27" s="335">
        <v>5077.079999999999</v>
      </c>
    </row>
    <row r="28" spans="1:3">
      <c r="A28" s="322">
        <v>122975</v>
      </c>
      <c r="B28" t="s">
        <v>1478</v>
      </c>
      <c r="C28" s="335">
        <v>-86354.45</v>
      </c>
    </row>
    <row r="29" spans="1:3">
      <c r="A29" s="322">
        <v>123039</v>
      </c>
      <c r="B29" t="s">
        <v>1479</v>
      </c>
      <c r="C29" s="335">
        <v>438381.75999999989</v>
      </c>
    </row>
    <row r="30" spans="1:3">
      <c r="A30" s="322">
        <v>123047</v>
      </c>
      <c r="B30" t="s">
        <v>1480</v>
      </c>
      <c r="C30" s="335">
        <v>-420.36</v>
      </c>
    </row>
    <row r="31" spans="1:3">
      <c r="A31" s="322">
        <v>123137</v>
      </c>
      <c r="B31" t="s">
        <v>1481</v>
      </c>
      <c r="C31" s="335">
        <v>792333.22999999986</v>
      </c>
    </row>
    <row r="32" spans="1:3">
      <c r="A32" s="322">
        <v>123140</v>
      </c>
      <c r="B32" t="s">
        <v>1970</v>
      </c>
      <c r="C32" s="335">
        <v>-295028.5</v>
      </c>
    </row>
    <row r="33" spans="1:3">
      <c r="A33" s="322">
        <v>123220</v>
      </c>
      <c r="B33" t="s">
        <v>1971</v>
      </c>
      <c r="C33" s="335">
        <v>-111395.61</v>
      </c>
    </row>
    <row r="34" spans="1:3">
      <c r="A34" s="322">
        <v>123709</v>
      </c>
      <c r="B34" t="s">
        <v>1482</v>
      </c>
      <c r="C34" s="335">
        <v>-3558.2500000000036</v>
      </c>
    </row>
    <row r="35" spans="1:3">
      <c r="A35" s="322">
        <v>123837</v>
      </c>
      <c r="B35" t="s">
        <v>1483</v>
      </c>
      <c r="C35" s="335">
        <v>1834880.5899999999</v>
      </c>
    </row>
    <row r="36" spans="1:3">
      <c r="A36" s="322">
        <v>123889</v>
      </c>
      <c r="B36" t="s">
        <v>1866</v>
      </c>
      <c r="C36" s="335">
        <v>-2.85</v>
      </c>
    </row>
    <row r="37" spans="1:3">
      <c r="A37" s="322">
        <v>123945</v>
      </c>
      <c r="B37" t="s">
        <v>1867</v>
      </c>
      <c r="C37" s="335">
        <v>265123.32999999996</v>
      </c>
    </row>
    <row r="38" spans="1:3">
      <c r="A38" s="322">
        <v>123966</v>
      </c>
      <c r="B38" t="s">
        <v>1484</v>
      </c>
      <c r="C38" s="335">
        <v>-4227.1500000000015</v>
      </c>
    </row>
    <row r="39" spans="1:3">
      <c r="A39" s="322">
        <v>124020</v>
      </c>
      <c r="B39" t="s">
        <v>1972</v>
      </c>
      <c r="C39" s="335">
        <v>237279.93</v>
      </c>
    </row>
    <row r="40" spans="1:3">
      <c r="A40" s="322">
        <v>124021</v>
      </c>
      <c r="B40" t="s">
        <v>1973</v>
      </c>
      <c r="C40" s="335">
        <v>245486.96</v>
      </c>
    </row>
    <row r="41" spans="1:3">
      <c r="A41" s="322">
        <v>124022</v>
      </c>
      <c r="B41" t="s">
        <v>1974</v>
      </c>
      <c r="C41" s="335">
        <v>73481.990000000005</v>
      </c>
    </row>
    <row r="42" spans="1:3">
      <c r="A42" s="322">
        <v>124023</v>
      </c>
      <c r="B42" t="s">
        <v>1975</v>
      </c>
      <c r="C42" s="335">
        <v>259040.28</v>
      </c>
    </row>
    <row r="43" spans="1:3">
      <c r="A43" s="322">
        <v>124034</v>
      </c>
      <c r="B43" t="s">
        <v>1485</v>
      </c>
      <c r="C43" s="335">
        <v>-18.87</v>
      </c>
    </row>
    <row r="44" spans="1:3">
      <c r="A44" s="322">
        <v>124048</v>
      </c>
      <c r="B44" t="s">
        <v>1486</v>
      </c>
      <c r="C44" s="335">
        <v>86597.37</v>
      </c>
    </row>
    <row r="45" spans="1:3">
      <c r="A45" s="322">
        <v>124059</v>
      </c>
      <c r="B45" t="s">
        <v>1487</v>
      </c>
      <c r="C45" s="335">
        <v>2220.87</v>
      </c>
    </row>
    <row r="46" spans="1:3">
      <c r="A46" s="322">
        <v>124068</v>
      </c>
      <c r="B46" t="s">
        <v>1868</v>
      </c>
      <c r="C46" s="335">
        <v>348774.00999999995</v>
      </c>
    </row>
    <row r="47" spans="1:3">
      <c r="A47" s="322">
        <v>124070</v>
      </c>
      <c r="B47" t="s">
        <v>1488</v>
      </c>
      <c r="C47" s="335">
        <v>83251.97</v>
      </c>
    </row>
    <row r="48" spans="1:3">
      <c r="A48" s="322">
        <v>124089</v>
      </c>
      <c r="B48" t="s">
        <v>1489</v>
      </c>
      <c r="C48" s="335">
        <v>38555.519999999997</v>
      </c>
    </row>
    <row r="49" spans="1:3">
      <c r="A49" s="322">
        <v>124351</v>
      </c>
      <c r="B49" t="s">
        <v>1869</v>
      </c>
      <c r="C49" s="335">
        <v>3140.4700000000025</v>
      </c>
    </row>
    <row r="50" spans="1:3">
      <c r="A50" s="322">
        <v>124364</v>
      </c>
      <c r="B50" t="s">
        <v>1490</v>
      </c>
      <c r="C50" s="335">
        <v>2369.3399999999997</v>
      </c>
    </row>
    <row r="51" spans="1:3">
      <c r="A51" s="322">
        <v>124378</v>
      </c>
      <c r="B51" t="s">
        <v>1491</v>
      </c>
      <c r="C51" s="335">
        <v>8548.0000000000291</v>
      </c>
    </row>
    <row r="52" spans="1:3">
      <c r="A52" s="322">
        <v>124465</v>
      </c>
      <c r="B52" t="s">
        <v>1870</v>
      </c>
      <c r="C52" s="335">
        <v>-1640.8699999999994</v>
      </c>
    </row>
    <row r="53" spans="1:3">
      <c r="A53" s="322">
        <v>124520</v>
      </c>
      <c r="B53" t="s">
        <v>1492</v>
      </c>
      <c r="C53" s="335">
        <v>-9955.6100000000024</v>
      </c>
    </row>
    <row r="54" spans="1:3">
      <c r="A54" s="322">
        <v>124522</v>
      </c>
      <c r="B54" t="s">
        <v>1493</v>
      </c>
      <c r="C54" s="335">
        <v>1744.9300000000003</v>
      </c>
    </row>
    <row r="55" spans="1:3">
      <c r="A55" s="322">
        <v>124530</v>
      </c>
      <c r="B55" t="s">
        <v>1494</v>
      </c>
      <c r="C55" s="335">
        <v>-15427.390000000003</v>
      </c>
    </row>
    <row r="56" spans="1:3">
      <c r="A56" s="322">
        <v>124545</v>
      </c>
      <c r="B56" t="s">
        <v>1495</v>
      </c>
      <c r="C56" s="335">
        <v>298.00999999995111</v>
      </c>
    </row>
    <row r="57" spans="1:3">
      <c r="A57" s="322">
        <v>124546</v>
      </c>
      <c r="B57" t="s">
        <v>1871</v>
      </c>
      <c r="C57" s="335">
        <v>-117333.39</v>
      </c>
    </row>
    <row r="58" spans="1:3">
      <c r="A58" s="322">
        <v>124847</v>
      </c>
      <c r="B58" t="s">
        <v>1496</v>
      </c>
      <c r="C58" s="335">
        <v>-111116.26</v>
      </c>
    </row>
    <row r="59" spans="1:3">
      <c r="A59" s="322">
        <v>124866</v>
      </c>
      <c r="B59" t="s">
        <v>1497</v>
      </c>
      <c r="C59" s="335">
        <v>-13165.95</v>
      </c>
    </row>
    <row r="60" spans="1:3">
      <c r="A60" s="322">
        <v>125013</v>
      </c>
      <c r="B60" t="s">
        <v>1824</v>
      </c>
      <c r="C60" s="335">
        <v>-114.29</v>
      </c>
    </row>
    <row r="61" spans="1:3">
      <c r="A61" s="322">
        <v>125265</v>
      </c>
      <c r="B61" t="s">
        <v>1825</v>
      </c>
      <c r="C61" s="335">
        <v>60247.46</v>
      </c>
    </row>
    <row r="62" spans="1:3">
      <c r="A62" s="322">
        <v>125293</v>
      </c>
      <c r="B62" t="s">
        <v>1498</v>
      </c>
      <c r="C62" s="335">
        <v>1012.5700000000002</v>
      </c>
    </row>
    <row r="63" spans="1:3">
      <c r="A63" s="322">
        <v>125352</v>
      </c>
      <c r="B63" t="s">
        <v>1872</v>
      </c>
      <c r="C63" s="335">
        <v>26.34</v>
      </c>
    </row>
    <row r="64" spans="1:3">
      <c r="A64" s="322">
        <v>125368</v>
      </c>
      <c r="B64" t="s">
        <v>1499</v>
      </c>
      <c r="C64" s="335">
        <v>2183.9300000000003</v>
      </c>
    </row>
    <row r="65" spans="1:3">
      <c r="A65" s="322">
        <v>125408</v>
      </c>
      <c r="B65" t="s">
        <v>1873</v>
      </c>
      <c r="C65" s="335">
        <v>287.64000000000033</v>
      </c>
    </row>
    <row r="66" spans="1:3">
      <c r="A66" s="322">
        <v>125427</v>
      </c>
      <c r="B66" t="s">
        <v>1500</v>
      </c>
      <c r="C66" s="335">
        <v>771.35</v>
      </c>
    </row>
    <row r="67" spans="1:3">
      <c r="A67" s="322">
        <v>125549</v>
      </c>
      <c r="B67" t="s">
        <v>1874</v>
      </c>
      <c r="C67" s="335">
        <v>6115.54</v>
      </c>
    </row>
    <row r="68" spans="1:3">
      <c r="A68" s="322">
        <v>125556</v>
      </c>
      <c r="B68" t="s">
        <v>1501</v>
      </c>
      <c r="C68" s="335">
        <v>348.44</v>
      </c>
    </row>
    <row r="69" spans="1:3">
      <c r="A69" s="322">
        <v>125665</v>
      </c>
      <c r="B69" t="s">
        <v>1502</v>
      </c>
      <c r="C69" s="335">
        <v>-275</v>
      </c>
    </row>
    <row r="70" spans="1:3">
      <c r="A70" s="322">
        <v>125667</v>
      </c>
      <c r="B70" t="s">
        <v>1976</v>
      </c>
      <c r="C70" s="335">
        <v>398.73999999999995</v>
      </c>
    </row>
    <row r="71" spans="1:3">
      <c r="A71" s="322">
        <v>125850</v>
      </c>
      <c r="B71" t="s">
        <v>1503</v>
      </c>
      <c r="C71" s="335">
        <v>8.9999999999999983E-2</v>
      </c>
    </row>
    <row r="72" spans="1:3">
      <c r="A72" s="322">
        <v>125900</v>
      </c>
      <c r="B72" t="s">
        <v>1875</v>
      </c>
      <c r="C72" s="335">
        <v>-15.770000000000001</v>
      </c>
    </row>
    <row r="73" spans="1:3">
      <c r="A73" s="322">
        <v>126121</v>
      </c>
      <c r="B73" t="s">
        <v>1876</v>
      </c>
      <c r="C73" s="335">
        <v>337882.92999999988</v>
      </c>
    </row>
    <row r="74" spans="1:3">
      <c r="A74" s="322">
        <v>126128</v>
      </c>
      <c r="B74" t="s">
        <v>1504</v>
      </c>
      <c r="C74" s="335">
        <v>122350.04999999999</v>
      </c>
    </row>
    <row r="75" spans="1:3">
      <c r="A75" s="322">
        <v>126134</v>
      </c>
      <c r="B75" t="s">
        <v>1977</v>
      </c>
      <c r="C75" s="335">
        <v>30895.66</v>
      </c>
    </row>
    <row r="76" spans="1:3">
      <c r="A76" s="322">
        <v>126137</v>
      </c>
      <c r="B76" t="s">
        <v>1978</v>
      </c>
      <c r="C76" s="335">
        <v>16217.36</v>
      </c>
    </row>
    <row r="77" spans="1:3">
      <c r="A77" s="322">
        <v>126224</v>
      </c>
      <c r="B77" t="s">
        <v>1979</v>
      </c>
      <c r="C77" s="335">
        <v>117364.52</v>
      </c>
    </row>
    <row r="78" spans="1:3">
      <c r="A78" s="322">
        <v>126382</v>
      </c>
      <c r="B78" t="s">
        <v>1877</v>
      </c>
      <c r="C78" s="335">
        <v>-6.51</v>
      </c>
    </row>
    <row r="79" spans="1:3">
      <c r="A79" s="322">
        <v>126386</v>
      </c>
      <c r="B79" t="s">
        <v>1505</v>
      </c>
      <c r="C79" s="335">
        <v>531.54999999999927</v>
      </c>
    </row>
    <row r="80" spans="1:3">
      <c r="A80" s="322">
        <v>126444</v>
      </c>
      <c r="B80" t="s">
        <v>1878</v>
      </c>
      <c r="C80" s="335">
        <v>-28416.890000000007</v>
      </c>
    </row>
    <row r="81" spans="1:3">
      <c r="A81" s="322">
        <v>126445</v>
      </c>
      <c r="B81" t="s">
        <v>1879</v>
      </c>
      <c r="C81" s="335">
        <v>28416.890000000003</v>
      </c>
    </row>
    <row r="82" spans="1:3">
      <c r="A82" s="322">
        <v>126448</v>
      </c>
      <c r="B82" t="s">
        <v>1506</v>
      </c>
      <c r="C82" s="335">
        <v>0.03</v>
      </c>
    </row>
    <row r="83" spans="1:3">
      <c r="A83" s="322">
        <v>126466</v>
      </c>
      <c r="B83" t="s">
        <v>1507</v>
      </c>
      <c r="C83" s="335">
        <v>-1.0300000000000002</v>
      </c>
    </row>
    <row r="84" spans="1:3">
      <c r="A84" s="322">
        <v>126479</v>
      </c>
      <c r="B84" t="s">
        <v>1508</v>
      </c>
      <c r="C84" s="335">
        <v>0.05</v>
      </c>
    </row>
    <row r="85" spans="1:3">
      <c r="A85" s="322">
        <v>126482</v>
      </c>
      <c r="B85" t="s">
        <v>1509</v>
      </c>
      <c r="C85" s="335">
        <v>2.38</v>
      </c>
    </row>
    <row r="86" spans="1:3">
      <c r="A86" s="322">
        <v>126485</v>
      </c>
      <c r="B86" t="s">
        <v>1880</v>
      </c>
      <c r="C86" s="335">
        <v>-32.5</v>
      </c>
    </row>
    <row r="87" spans="1:3">
      <c r="A87" s="322">
        <v>126589</v>
      </c>
      <c r="B87" t="s">
        <v>1510</v>
      </c>
      <c r="C87" s="335">
        <v>8171.5200000001596</v>
      </c>
    </row>
    <row r="88" spans="1:3">
      <c r="A88" s="322">
        <v>126590</v>
      </c>
      <c r="B88" t="s">
        <v>1881</v>
      </c>
      <c r="C88" s="335">
        <v>613829.36999999988</v>
      </c>
    </row>
    <row r="89" spans="1:3">
      <c r="A89" s="322">
        <v>126651</v>
      </c>
      <c r="B89" t="s">
        <v>1511</v>
      </c>
      <c r="C89" s="335">
        <v>139395.53000000017</v>
      </c>
    </row>
    <row r="90" spans="1:3">
      <c r="A90" s="322">
        <v>126652</v>
      </c>
      <c r="B90" t="s">
        <v>1512</v>
      </c>
      <c r="C90" s="335">
        <v>-71415.709999999992</v>
      </c>
    </row>
    <row r="91" spans="1:3">
      <c r="A91" s="322">
        <v>126655</v>
      </c>
      <c r="B91" t="s">
        <v>1513</v>
      </c>
      <c r="C91" s="335">
        <v>1057.55</v>
      </c>
    </row>
    <row r="92" spans="1:3">
      <c r="A92" s="322">
        <v>126656</v>
      </c>
      <c r="B92" t="s">
        <v>1826</v>
      </c>
      <c r="C92" s="335">
        <v>67477.930000000022</v>
      </c>
    </row>
    <row r="93" spans="1:3">
      <c r="A93" s="322">
        <v>126657</v>
      </c>
      <c r="B93" t="s">
        <v>1514</v>
      </c>
      <c r="C93" s="335">
        <v>14636.62</v>
      </c>
    </row>
    <row r="94" spans="1:3">
      <c r="A94" s="322">
        <v>126734</v>
      </c>
      <c r="B94" t="s">
        <v>1515</v>
      </c>
      <c r="C94" s="335">
        <v>116155.50000000001</v>
      </c>
    </row>
    <row r="95" spans="1:3">
      <c r="A95" s="322">
        <v>126735</v>
      </c>
      <c r="B95" t="s">
        <v>1516</v>
      </c>
      <c r="C95" s="335">
        <v>263112.01</v>
      </c>
    </row>
    <row r="96" spans="1:3">
      <c r="A96" s="322">
        <v>126865</v>
      </c>
      <c r="B96" t="s">
        <v>1980</v>
      </c>
      <c r="C96" s="335">
        <v>214.22</v>
      </c>
    </row>
    <row r="97" spans="1:3">
      <c r="A97" s="322">
        <v>126890</v>
      </c>
      <c r="B97" t="s">
        <v>1882</v>
      </c>
      <c r="C97" s="335">
        <v>20539.539999999997</v>
      </c>
    </row>
    <row r="98" spans="1:3">
      <c r="A98" s="322">
        <v>126892</v>
      </c>
      <c r="B98" t="s">
        <v>1883</v>
      </c>
      <c r="C98" s="335">
        <v>3696.2400000000002</v>
      </c>
    </row>
    <row r="99" spans="1:3">
      <c r="A99" s="322">
        <v>126898</v>
      </c>
      <c r="B99" t="s">
        <v>1981</v>
      </c>
      <c r="C99" s="335">
        <v>28444.539999999997</v>
      </c>
    </row>
    <row r="100" spans="1:3">
      <c r="A100" s="322">
        <v>126901</v>
      </c>
      <c r="B100" t="s">
        <v>1982</v>
      </c>
      <c r="C100" s="335">
        <v>12646.17</v>
      </c>
    </row>
    <row r="101" spans="1:3">
      <c r="A101" s="322">
        <v>126903</v>
      </c>
      <c r="B101" t="s">
        <v>1827</v>
      </c>
      <c r="C101" s="335">
        <v>1682.3999999999999</v>
      </c>
    </row>
    <row r="102" spans="1:3">
      <c r="A102" s="322">
        <v>126915</v>
      </c>
      <c r="B102" t="s">
        <v>1828</v>
      </c>
      <c r="C102" s="335">
        <v>187898.30000000002</v>
      </c>
    </row>
    <row r="103" spans="1:3">
      <c r="A103" s="322">
        <v>126917</v>
      </c>
      <c r="B103" t="s">
        <v>1884</v>
      </c>
      <c r="C103" s="335">
        <v>7222.34</v>
      </c>
    </row>
    <row r="104" spans="1:3">
      <c r="A104" s="322">
        <v>126921</v>
      </c>
      <c r="B104" t="s">
        <v>1885</v>
      </c>
      <c r="C104" s="335">
        <v>6435.62</v>
      </c>
    </row>
    <row r="105" spans="1:3">
      <c r="A105" s="322">
        <v>126937</v>
      </c>
      <c r="B105" t="s">
        <v>1829</v>
      </c>
      <c r="C105" s="335">
        <v>6499.7600000000011</v>
      </c>
    </row>
    <row r="106" spans="1:3">
      <c r="A106" s="322">
        <v>126939</v>
      </c>
      <c r="B106" t="s">
        <v>1886</v>
      </c>
      <c r="C106" s="335">
        <v>15904.699999999999</v>
      </c>
    </row>
    <row r="107" spans="1:3">
      <c r="A107" s="322">
        <v>126948</v>
      </c>
      <c r="B107" t="s">
        <v>1887</v>
      </c>
      <c r="C107" s="335">
        <v>6433.3100000000013</v>
      </c>
    </row>
    <row r="108" spans="1:3">
      <c r="A108" s="322">
        <v>126975</v>
      </c>
      <c r="B108" t="s">
        <v>1983</v>
      </c>
      <c r="C108" s="335">
        <v>19564.84</v>
      </c>
    </row>
    <row r="109" spans="1:3">
      <c r="A109" s="322">
        <v>126993</v>
      </c>
      <c r="B109" t="s">
        <v>1984</v>
      </c>
      <c r="C109" s="335">
        <v>55014.920000000006</v>
      </c>
    </row>
    <row r="110" spans="1:3">
      <c r="A110" s="322">
        <v>126995</v>
      </c>
      <c r="B110" t="s">
        <v>1985</v>
      </c>
      <c r="C110" s="335">
        <v>632.18999999999994</v>
      </c>
    </row>
    <row r="111" spans="1:3">
      <c r="A111" s="322">
        <v>127021</v>
      </c>
      <c r="B111" t="s">
        <v>1986</v>
      </c>
      <c r="C111" s="335">
        <v>35808.75</v>
      </c>
    </row>
    <row r="112" spans="1:3">
      <c r="A112" s="322">
        <v>127040</v>
      </c>
      <c r="B112" t="s">
        <v>1987</v>
      </c>
      <c r="C112" s="335">
        <v>2222.56</v>
      </c>
    </row>
    <row r="113" spans="1:3">
      <c r="A113" s="322">
        <v>127090</v>
      </c>
      <c r="B113" t="s">
        <v>1517</v>
      </c>
      <c r="C113" s="335">
        <v>79906.769999999975</v>
      </c>
    </row>
    <row r="114" spans="1:3">
      <c r="A114" s="322">
        <v>127091</v>
      </c>
      <c r="B114" t="s">
        <v>1518</v>
      </c>
      <c r="C114" s="335">
        <v>11544.840000000435</v>
      </c>
    </row>
    <row r="115" spans="1:3">
      <c r="A115" s="322">
        <v>127092</v>
      </c>
      <c r="B115" t="s">
        <v>1519</v>
      </c>
      <c r="C115" s="335">
        <v>2789578.7400000012</v>
      </c>
    </row>
    <row r="116" spans="1:3">
      <c r="A116" s="322">
        <v>127095</v>
      </c>
      <c r="B116" t="s">
        <v>1520</v>
      </c>
      <c r="C116" s="335">
        <v>5516.1199999999808</v>
      </c>
    </row>
    <row r="117" spans="1:3">
      <c r="A117" s="322">
        <v>127135</v>
      </c>
      <c r="B117" t="s">
        <v>1521</v>
      </c>
      <c r="C117" s="335">
        <v>1619395.7599999993</v>
      </c>
    </row>
    <row r="118" spans="1:3">
      <c r="A118" s="322">
        <v>127136</v>
      </c>
      <c r="B118" t="s">
        <v>1988</v>
      </c>
      <c r="C118" s="335">
        <v>1627037.43</v>
      </c>
    </row>
    <row r="119" spans="1:3">
      <c r="A119" s="322">
        <v>127201</v>
      </c>
      <c r="B119" t="s">
        <v>1522</v>
      </c>
      <c r="C119" s="335">
        <v>11286.080000000016</v>
      </c>
    </row>
    <row r="120" spans="1:3">
      <c r="A120" s="322">
        <v>127202</v>
      </c>
      <c r="B120" t="s">
        <v>1523</v>
      </c>
      <c r="C120" s="335">
        <v>10048.50999999998</v>
      </c>
    </row>
    <row r="121" spans="1:3">
      <c r="A121" s="322">
        <v>127258</v>
      </c>
      <c r="B121" t="s">
        <v>1524</v>
      </c>
      <c r="C121" s="335">
        <v>92903.900000000009</v>
      </c>
    </row>
    <row r="122" spans="1:3">
      <c r="A122" s="322">
        <v>127265</v>
      </c>
      <c r="B122" t="s">
        <v>1525</v>
      </c>
      <c r="C122" s="335">
        <v>-111592.05000000005</v>
      </c>
    </row>
    <row r="123" spans="1:3">
      <c r="A123" s="322">
        <v>127345</v>
      </c>
      <c r="B123" t="s">
        <v>1526</v>
      </c>
      <c r="C123" s="335">
        <v>-118.2200000000048</v>
      </c>
    </row>
    <row r="124" spans="1:3">
      <c r="A124" s="322">
        <v>127381</v>
      </c>
      <c r="B124" t="s">
        <v>1527</v>
      </c>
      <c r="C124" s="335">
        <v>3.6599999999999997</v>
      </c>
    </row>
    <row r="125" spans="1:3">
      <c r="A125" s="322">
        <v>127393</v>
      </c>
      <c r="B125" t="s">
        <v>1528</v>
      </c>
      <c r="C125" s="335">
        <v>0.05</v>
      </c>
    </row>
    <row r="126" spans="1:3">
      <c r="A126" s="322">
        <v>127413</v>
      </c>
      <c r="B126" t="s">
        <v>1529</v>
      </c>
      <c r="C126" s="335">
        <v>0.10999999999999999</v>
      </c>
    </row>
    <row r="127" spans="1:3">
      <c r="A127" s="322">
        <v>127455</v>
      </c>
      <c r="B127" t="s">
        <v>1530</v>
      </c>
      <c r="C127" s="335">
        <v>0.53999999999999992</v>
      </c>
    </row>
    <row r="128" spans="1:3">
      <c r="A128" s="322">
        <v>127473</v>
      </c>
      <c r="B128" t="s">
        <v>1531</v>
      </c>
      <c r="C128" s="335">
        <v>1862.3999999999996</v>
      </c>
    </row>
    <row r="129" spans="1:3">
      <c r="A129" s="322">
        <v>127540</v>
      </c>
      <c r="B129" t="s">
        <v>1532</v>
      </c>
      <c r="C129" s="335">
        <v>190750.28000000006</v>
      </c>
    </row>
    <row r="130" spans="1:3">
      <c r="A130" s="322">
        <v>127559</v>
      </c>
      <c r="B130" t="s">
        <v>1533</v>
      </c>
      <c r="C130" s="335">
        <v>-347003.79999999981</v>
      </c>
    </row>
    <row r="131" spans="1:3">
      <c r="A131" s="322">
        <v>127574</v>
      </c>
      <c r="B131" t="s">
        <v>1534</v>
      </c>
      <c r="C131" s="335">
        <v>254100.77999999991</v>
      </c>
    </row>
    <row r="132" spans="1:3">
      <c r="A132" s="322">
        <v>127576</v>
      </c>
      <c r="B132" t="s">
        <v>1888</v>
      </c>
      <c r="C132" s="335">
        <v>328454.54999999987</v>
      </c>
    </row>
    <row r="133" spans="1:3">
      <c r="A133" s="322">
        <v>127586</v>
      </c>
      <c r="B133" t="s">
        <v>1889</v>
      </c>
      <c r="C133" s="335">
        <v>36685.29</v>
      </c>
    </row>
    <row r="134" spans="1:3">
      <c r="A134" s="322">
        <v>127587</v>
      </c>
      <c r="B134" t="s">
        <v>1890</v>
      </c>
      <c r="C134" s="335">
        <v>23284.959999999999</v>
      </c>
    </row>
    <row r="135" spans="1:3">
      <c r="A135" s="322">
        <v>127588</v>
      </c>
      <c r="B135" t="s">
        <v>1535</v>
      </c>
      <c r="C135" s="335">
        <v>-1274.95</v>
      </c>
    </row>
    <row r="136" spans="1:3">
      <c r="A136" s="322">
        <v>127589</v>
      </c>
      <c r="B136" t="s">
        <v>1536</v>
      </c>
      <c r="C136" s="335">
        <v>-500.31000000000012</v>
      </c>
    </row>
    <row r="137" spans="1:3">
      <c r="A137" s="322">
        <v>127641</v>
      </c>
      <c r="B137" t="s">
        <v>1537</v>
      </c>
      <c r="C137" s="335">
        <v>151.32999999999811</v>
      </c>
    </row>
    <row r="138" spans="1:3">
      <c r="A138" s="322">
        <v>127649</v>
      </c>
      <c r="B138" t="s">
        <v>1891</v>
      </c>
      <c r="C138" s="335">
        <v>9463.91</v>
      </c>
    </row>
    <row r="139" spans="1:3">
      <c r="A139" s="322">
        <v>130003</v>
      </c>
      <c r="B139" t="s">
        <v>1538</v>
      </c>
      <c r="C139" s="335">
        <v>12587.289999999999</v>
      </c>
    </row>
    <row r="140" spans="1:3">
      <c r="A140" s="322">
        <v>130173</v>
      </c>
      <c r="B140" t="s">
        <v>1539</v>
      </c>
      <c r="C140" s="335">
        <v>2310.9000000000005</v>
      </c>
    </row>
    <row r="141" spans="1:3">
      <c r="A141" s="322">
        <v>130184</v>
      </c>
      <c r="B141" t="s">
        <v>1540</v>
      </c>
      <c r="C141" s="335">
        <v>3583.6599999999967</v>
      </c>
    </row>
    <row r="142" spans="1:3">
      <c r="A142" s="322">
        <v>130198</v>
      </c>
      <c r="B142" t="s">
        <v>1892</v>
      </c>
      <c r="C142" s="335">
        <v>25209.210000000003</v>
      </c>
    </row>
    <row r="143" spans="1:3">
      <c r="A143" s="322">
        <v>130268</v>
      </c>
      <c r="B143" t="s">
        <v>1989</v>
      </c>
      <c r="C143" s="335">
        <v>598.16999999999996</v>
      </c>
    </row>
    <row r="144" spans="1:3">
      <c r="A144" s="322">
        <v>130271</v>
      </c>
      <c r="B144" t="s">
        <v>1541</v>
      </c>
      <c r="C144" s="335">
        <v>32090.580000000009</v>
      </c>
    </row>
    <row r="145" spans="1:3">
      <c r="A145" s="322">
        <v>130308</v>
      </c>
      <c r="B145" t="s">
        <v>1990</v>
      </c>
      <c r="C145" s="335">
        <v>31968.659999999996</v>
      </c>
    </row>
    <row r="146" spans="1:3">
      <c r="A146" s="322">
        <v>130404</v>
      </c>
      <c r="B146" t="s">
        <v>1830</v>
      </c>
      <c r="C146" s="335">
        <v>8566.9699999999993</v>
      </c>
    </row>
    <row r="147" spans="1:3">
      <c r="A147" s="322">
        <v>130478</v>
      </c>
      <c r="B147" t="s">
        <v>1542</v>
      </c>
      <c r="C147" s="335">
        <v>1181533.4200000002</v>
      </c>
    </row>
    <row r="148" spans="1:3">
      <c r="A148" s="322">
        <v>130481</v>
      </c>
      <c r="B148" t="s">
        <v>1543</v>
      </c>
      <c r="C148" s="335">
        <v>36701.939999999995</v>
      </c>
    </row>
    <row r="149" spans="1:3">
      <c r="A149" s="322">
        <v>130493</v>
      </c>
      <c r="B149" t="s">
        <v>1893</v>
      </c>
      <c r="C149" s="335">
        <v>-0.41</v>
      </c>
    </row>
    <row r="150" spans="1:3">
      <c r="A150" s="322">
        <v>130494</v>
      </c>
      <c r="B150" t="s">
        <v>1544</v>
      </c>
      <c r="C150" s="335">
        <v>1915.8600000000008</v>
      </c>
    </row>
    <row r="151" spans="1:3">
      <c r="A151" s="322">
        <v>130498</v>
      </c>
      <c r="B151" t="s">
        <v>1545</v>
      </c>
      <c r="C151" s="335">
        <v>2625.7200000000007</v>
      </c>
    </row>
    <row r="152" spans="1:3">
      <c r="A152" s="322">
        <v>130501</v>
      </c>
      <c r="B152" t="s">
        <v>1546</v>
      </c>
      <c r="C152" s="335">
        <v>39571.339999999997</v>
      </c>
    </row>
    <row r="153" spans="1:3">
      <c r="A153" s="322">
        <v>130503</v>
      </c>
      <c r="B153" t="s">
        <v>1547</v>
      </c>
      <c r="C153" s="335">
        <v>93771.23</v>
      </c>
    </row>
    <row r="154" spans="1:3">
      <c r="A154" s="322">
        <v>130504</v>
      </c>
      <c r="B154" t="s">
        <v>1991</v>
      </c>
      <c r="C154" s="335">
        <v>-339</v>
      </c>
    </row>
    <row r="155" spans="1:3">
      <c r="A155" s="322">
        <v>130505</v>
      </c>
      <c r="B155" t="s">
        <v>1548</v>
      </c>
      <c r="C155" s="335">
        <v>1029129.7899999999</v>
      </c>
    </row>
    <row r="156" spans="1:3">
      <c r="A156" s="322">
        <v>130510</v>
      </c>
      <c r="B156" t="s">
        <v>1549</v>
      </c>
      <c r="C156" s="335">
        <v>41445.310000000005</v>
      </c>
    </row>
    <row r="157" spans="1:3">
      <c r="A157" s="322">
        <v>130514</v>
      </c>
      <c r="B157" t="s">
        <v>1894</v>
      </c>
      <c r="C157" s="335">
        <v>-1.25</v>
      </c>
    </row>
    <row r="158" spans="1:3">
      <c r="A158" s="322">
        <v>130515</v>
      </c>
      <c r="B158" t="s">
        <v>1550</v>
      </c>
      <c r="C158" s="335">
        <v>364.30000000000018</v>
      </c>
    </row>
    <row r="159" spans="1:3">
      <c r="A159" s="322">
        <v>130622</v>
      </c>
      <c r="B159" t="s">
        <v>1551</v>
      </c>
      <c r="C159" s="335">
        <v>1070.4999999999961</v>
      </c>
    </row>
    <row r="160" spans="1:3">
      <c r="A160" s="322">
        <v>130638</v>
      </c>
      <c r="B160" t="s">
        <v>1552</v>
      </c>
      <c r="C160" s="335">
        <v>0.49</v>
      </c>
    </row>
    <row r="161" spans="1:3">
      <c r="A161" s="322">
        <v>130649</v>
      </c>
      <c r="B161" t="s">
        <v>1553</v>
      </c>
      <c r="C161" s="335">
        <v>0.14000000000000001</v>
      </c>
    </row>
    <row r="162" spans="1:3">
      <c r="A162" s="322">
        <v>130660</v>
      </c>
      <c r="B162" t="s">
        <v>1554</v>
      </c>
      <c r="C162" s="335">
        <v>49989.569999999992</v>
      </c>
    </row>
    <row r="163" spans="1:3">
      <c r="A163" s="322">
        <v>130661</v>
      </c>
      <c r="B163" t="s">
        <v>1555</v>
      </c>
      <c r="C163" s="335">
        <v>595291.86999999976</v>
      </c>
    </row>
    <row r="164" spans="1:3">
      <c r="A164" s="322">
        <v>130671</v>
      </c>
      <c r="B164" t="s">
        <v>1831</v>
      </c>
      <c r="C164" s="335">
        <v>-1669.17</v>
      </c>
    </row>
    <row r="165" spans="1:3">
      <c r="A165" s="322">
        <v>130674</v>
      </c>
      <c r="B165" t="s">
        <v>1556</v>
      </c>
      <c r="C165" s="335">
        <v>17655.189999999991</v>
      </c>
    </row>
    <row r="166" spans="1:3">
      <c r="A166" s="322">
        <v>130700</v>
      </c>
      <c r="B166" t="s">
        <v>1557</v>
      </c>
      <c r="C166" s="335">
        <v>0.03</v>
      </c>
    </row>
    <row r="167" spans="1:3">
      <c r="A167" s="322">
        <v>130705</v>
      </c>
      <c r="B167" t="s">
        <v>1558</v>
      </c>
      <c r="C167" s="335">
        <v>329.28</v>
      </c>
    </row>
    <row r="168" spans="1:3">
      <c r="A168" s="322">
        <v>130712</v>
      </c>
      <c r="B168" t="s">
        <v>1559</v>
      </c>
      <c r="C168" s="335">
        <v>0.16</v>
      </c>
    </row>
    <row r="169" spans="1:3">
      <c r="A169" s="322">
        <v>130752</v>
      </c>
      <c r="B169" t="s">
        <v>1895</v>
      </c>
      <c r="C169" s="335">
        <v>-2776.9</v>
      </c>
    </row>
    <row r="170" spans="1:3">
      <c r="A170" s="322">
        <v>130768</v>
      </c>
      <c r="B170" t="s">
        <v>1832</v>
      </c>
      <c r="C170" s="335">
        <v>28225.670000000002</v>
      </c>
    </row>
    <row r="171" spans="1:3">
      <c r="A171" s="322">
        <v>130770</v>
      </c>
      <c r="B171" t="s">
        <v>1833</v>
      </c>
      <c r="C171" s="335">
        <v>43155.510000000009</v>
      </c>
    </row>
    <row r="172" spans="1:3">
      <c r="A172" s="322">
        <v>130771</v>
      </c>
      <c r="B172" t="s">
        <v>1992</v>
      </c>
      <c r="C172" s="335">
        <v>44772.06</v>
      </c>
    </row>
    <row r="173" spans="1:3">
      <c r="A173" s="322">
        <v>130775</v>
      </c>
      <c r="B173" t="s">
        <v>1993</v>
      </c>
      <c r="C173" s="335">
        <v>9782.7799999999988</v>
      </c>
    </row>
    <row r="174" spans="1:3">
      <c r="A174" s="322">
        <v>130776</v>
      </c>
      <c r="B174" t="s">
        <v>1834</v>
      </c>
      <c r="C174" s="335">
        <v>14398.399999999996</v>
      </c>
    </row>
    <row r="175" spans="1:3">
      <c r="A175" s="322">
        <v>130778</v>
      </c>
      <c r="B175" t="s">
        <v>1835</v>
      </c>
      <c r="C175" s="335">
        <v>68122.009999999966</v>
      </c>
    </row>
    <row r="176" spans="1:3">
      <c r="A176" s="322">
        <v>130874</v>
      </c>
      <c r="B176" t="s">
        <v>1560</v>
      </c>
      <c r="C176" s="335">
        <v>-5227.8500000000004</v>
      </c>
    </row>
    <row r="177" spans="1:3">
      <c r="A177" s="322">
        <v>130875</v>
      </c>
      <c r="B177" t="s">
        <v>1561</v>
      </c>
      <c r="C177" s="335">
        <v>383622.14999999985</v>
      </c>
    </row>
    <row r="178" spans="1:3">
      <c r="A178" s="322">
        <v>130881</v>
      </c>
      <c r="B178" t="s">
        <v>1562</v>
      </c>
      <c r="C178" s="335">
        <v>125960.61000000006</v>
      </c>
    </row>
    <row r="179" spans="1:3">
      <c r="A179" s="322">
        <v>130892</v>
      </c>
      <c r="B179" t="s">
        <v>1563</v>
      </c>
      <c r="C179" s="335">
        <v>6201.9500000000044</v>
      </c>
    </row>
    <row r="180" spans="1:3">
      <c r="A180" s="322">
        <v>130896</v>
      </c>
      <c r="B180" t="s">
        <v>1564</v>
      </c>
      <c r="C180" s="335">
        <v>66580.66</v>
      </c>
    </row>
    <row r="181" spans="1:3">
      <c r="A181" s="322">
        <v>130898</v>
      </c>
      <c r="B181" t="s">
        <v>1565</v>
      </c>
      <c r="C181" s="335">
        <v>569419.44999999984</v>
      </c>
    </row>
    <row r="182" spans="1:3">
      <c r="A182" s="322">
        <v>130914</v>
      </c>
      <c r="B182" t="s">
        <v>1566</v>
      </c>
      <c r="C182" s="335">
        <v>8914.2299999999977</v>
      </c>
    </row>
    <row r="183" spans="1:3">
      <c r="A183" s="322">
        <v>130935</v>
      </c>
      <c r="B183" t="s">
        <v>1567</v>
      </c>
      <c r="C183" s="335">
        <v>241468.79999999993</v>
      </c>
    </row>
    <row r="184" spans="1:3">
      <c r="A184" s="322">
        <v>130939</v>
      </c>
      <c r="B184" t="s">
        <v>1568</v>
      </c>
      <c r="C184" s="335">
        <v>1.08</v>
      </c>
    </row>
    <row r="185" spans="1:3">
      <c r="A185" s="322">
        <v>130940</v>
      </c>
      <c r="B185" t="s">
        <v>1569</v>
      </c>
      <c r="C185" s="335">
        <v>8430.7999999999993</v>
      </c>
    </row>
    <row r="186" spans="1:3">
      <c r="A186" s="322">
        <v>130941</v>
      </c>
      <c r="B186" t="s">
        <v>1896</v>
      </c>
      <c r="C186" s="335">
        <v>8722.99</v>
      </c>
    </row>
    <row r="187" spans="1:3">
      <c r="A187" s="322">
        <v>130942</v>
      </c>
      <c r="B187" t="s">
        <v>1570</v>
      </c>
      <c r="C187" s="335">
        <v>13559.729999999998</v>
      </c>
    </row>
    <row r="188" spans="1:3">
      <c r="A188" s="322">
        <v>130944</v>
      </c>
      <c r="B188" t="s">
        <v>1571</v>
      </c>
      <c r="C188" s="335">
        <v>1251.3999999999999</v>
      </c>
    </row>
    <row r="189" spans="1:3">
      <c r="A189" s="322">
        <v>130946</v>
      </c>
      <c r="B189" t="s">
        <v>1572</v>
      </c>
      <c r="C189" s="335">
        <v>35619.929999999993</v>
      </c>
    </row>
    <row r="190" spans="1:3">
      <c r="A190" s="322">
        <v>131019</v>
      </c>
      <c r="B190" t="s">
        <v>1573</v>
      </c>
      <c r="C190" s="335">
        <v>59767.409999999996</v>
      </c>
    </row>
    <row r="191" spans="1:3">
      <c r="A191" s="322">
        <v>131025</v>
      </c>
      <c r="B191" t="s">
        <v>1897</v>
      </c>
      <c r="C191" s="335">
        <v>-22.74</v>
      </c>
    </row>
    <row r="192" spans="1:3">
      <c r="A192" s="322">
        <v>131033</v>
      </c>
      <c r="B192" t="s">
        <v>1574</v>
      </c>
      <c r="C192" s="335">
        <v>975.5500000000003</v>
      </c>
    </row>
    <row r="193" spans="1:3">
      <c r="A193" s="322">
        <v>131034</v>
      </c>
      <c r="B193" t="s">
        <v>1575</v>
      </c>
      <c r="C193" s="335">
        <v>1791.2700000000027</v>
      </c>
    </row>
    <row r="194" spans="1:3">
      <c r="A194" s="322">
        <v>131039</v>
      </c>
      <c r="B194" t="s">
        <v>1576</v>
      </c>
      <c r="C194" s="335">
        <v>2030.7899999999995</v>
      </c>
    </row>
    <row r="195" spans="1:3">
      <c r="A195" s="322">
        <v>131075</v>
      </c>
      <c r="B195" t="s">
        <v>1577</v>
      </c>
      <c r="C195" s="335">
        <v>27248.29</v>
      </c>
    </row>
    <row r="196" spans="1:3">
      <c r="A196" s="322">
        <v>131082</v>
      </c>
      <c r="B196" t="s">
        <v>1898</v>
      </c>
      <c r="C196" s="335">
        <v>0.48</v>
      </c>
    </row>
    <row r="197" spans="1:3">
      <c r="A197" s="322">
        <v>131140</v>
      </c>
      <c r="B197" t="s">
        <v>1578</v>
      </c>
      <c r="C197" s="335">
        <v>3112.5900000000006</v>
      </c>
    </row>
    <row r="198" spans="1:3">
      <c r="A198" s="322">
        <v>131267</v>
      </c>
      <c r="B198" t="s">
        <v>1579</v>
      </c>
      <c r="C198" s="335">
        <v>2160.2000000000003</v>
      </c>
    </row>
    <row r="199" spans="1:3">
      <c r="A199" s="322">
        <v>131285</v>
      </c>
      <c r="B199" t="s">
        <v>1580</v>
      </c>
      <c r="C199" s="335">
        <v>6.8</v>
      </c>
    </row>
    <row r="200" spans="1:3">
      <c r="A200" s="322">
        <v>131342</v>
      </c>
      <c r="B200" t="s">
        <v>1899</v>
      </c>
      <c r="C200" s="335">
        <v>3559.1099999999997</v>
      </c>
    </row>
    <row r="201" spans="1:3">
      <c r="A201" s="322">
        <v>131357</v>
      </c>
      <c r="B201" t="s">
        <v>1900</v>
      </c>
      <c r="C201" s="335">
        <v>9310.5299999999988</v>
      </c>
    </row>
    <row r="202" spans="1:3">
      <c r="A202" s="322">
        <v>131362</v>
      </c>
      <c r="B202" t="s">
        <v>1994</v>
      </c>
      <c r="C202" s="335">
        <v>24269.119999999999</v>
      </c>
    </row>
    <row r="203" spans="1:3">
      <c r="A203" s="322">
        <v>131368</v>
      </c>
      <c r="B203" t="s">
        <v>1581</v>
      </c>
      <c r="C203" s="335">
        <v>4321.7300000000014</v>
      </c>
    </row>
    <row r="204" spans="1:3">
      <c r="A204" s="322">
        <v>131432</v>
      </c>
      <c r="B204" t="s">
        <v>1582</v>
      </c>
      <c r="C204" s="335">
        <v>10098.260000000002</v>
      </c>
    </row>
    <row r="205" spans="1:3">
      <c r="A205" s="322">
        <v>131443</v>
      </c>
      <c r="B205" t="s">
        <v>1995</v>
      </c>
      <c r="C205" s="335">
        <v>269.21999999999997</v>
      </c>
    </row>
    <row r="206" spans="1:3">
      <c r="A206" s="322">
        <v>131531</v>
      </c>
      <c r="B206" t="s">
        <v>1583</v>
      </c>
      <c r="C206" s="335">
        <v>43467.210000000021</v>
      </c>
    </row>
    <row r="207" spans="1:3">
      <c r="A207" s="322">
        <v>131532</v>
      </c>
      <c r="B207" t="s">
        <v>1584</v>
      </c>
      <c r="C207" s="335">
        <v>16476.82</v>
      </c>
    </row>
    <row r="208" spans="1:3">
      <c r="A208" s="322">
        <v>131533</v>
      </c>
      <c r="B208" t="s">
        <v>1585</v>
      </c>
      <c r="C208" s="335">
        <v>-64971.000000000015</v>
      </c>
    </row>
    <row r="209" spans="1:3">
      <c r="A209" s="322">
        <v>131534</v>
      </c>
      <c r="B209" t="s">
        <v>1586</v>
      </c>
      <c r="C209" s="335">
        <v>2554.3599999999997</v>
      </c>
    </row>
    <row r="210" spans="1:3">
      <c r="A210" s="322">
        <v>131540</v>
      </c>
      <c r="B210" t="s">
        <v>1587</v>
      </c>
      <c r="C210" s="335">
        <v>2498.5500000000029</v>
      </c>
    </row>
    <row r="211" spans="1:3">
      <c r="A211" s="322">
        <v>131541</v>
      </c>
      <c r="B211" t="s">
        <v>1901</v>
      </c>
      <c r="C211" s="335">
        <v>-12237.410000000002</v>
      </c>
    </row>
    <row r="212" spans="1:3">
      <c r="A212" s="322">
        <v>131582</v>
      </c>
      <c r="B212" t="s">
        <v>1588</v>
      </c>
      <c r="C212" s="335">
        <v>-55950.18</v>
      </c>
    </row>
    <row r="213" spans="1:3">
      <c r="A213" s="322">
        <v>131583</v>
      </c>
      <c r="B213" t="s">
        <v>1589</v>
      </c>
      <c r="C213" s="335">
        <v>3807.92</v>
      </c>
    </row>
    <row r="214" spans="1:3">
      <c r="A214" s="322">
        <v>131589</v>
      </c>
      <c r="B214" t="s">
        <v>1590</v>
      </c>
      <c r="C214" s="335">
        <v>6581.02</v>
      </c>
    </row>
    <row r="215" spans="1:3">
      <c r="A215" s="322">
        <v>131614</v>
      </c>
      <c r="B215" t="s">
        <v>1591</v>
      </c>
      <c r="C215" s="335">
        <v>-256.42999999999984</v>
      </c>
    </row>
    <row r="216" spans="1:3">
      <c r="A216" s="322">
        <v>131693</v>
      </c>
      <c r="B216" t="s">
        <v>1592</v>
      </c>
      <c r="C216" s="335">
        <v>220050.81000000003</v>
      </c>
    </row>
    <row r="217" spans="1:3">
      <c r="A217" s="322">
        <v>131701</v>
      </c>
      <c r="B217" t="s">
        <v>1996</v>
      </c>
      <c r="C217" s="335">
        <v>821770.95</v>
      </c>
    </row>
    <row r="218" spans="1:3">
      <c r="A218" s="322">
        <v>131710</v>
      </c>
      <c r="B218" t="s">
        <v>1593</v>
      </c>
      <c r="C218" s="335">
        <v>55857.880000000005</v>
      </c>
    </row>
    <row r="219" spans="1:3">
      <c r="A219" s="322">
        <v>131739</v>
      </c>
      <c r="B219" t="s">
        <v>1594</v>
      </c>
      <c r="C219" s="335">
        <v>258.50000000000091</v>
      </c>
    </row>
    <row r="220" spans="1:3">
      <c r="A220" s="322">
        <v>131913</v>
      </c>
      <c r="B220" t="s">
        <v>1595</v>
      </c>
      <c r="C220" s="335">
        <v>-8073.0900000000011</v>
      </c>
    </row>
    <row r="221" spans="1:3">
      <c r="A221" s="322">
        <v>131918</v>
      </c>
      <c r="B221" t="s">
        <v>1596</v>
      </c>
      <c r="C221" s="335">
        <v>7744.89</v>
      </c>
    </row>
    <row r="222" spans="1:3">
      <c r="A222" s="322">
        <v>131920</v>
      </c>
      <c r="B222" t="s">
        <v>1597</v>
      </c>
      <c r="C222" s="335">
        <v>0.33999999999999997</v>
      </c>
    </row>
    <row r="223" spans="1:3">
      <c r="A223" s="322">
        <v>131922</v>
      </c>
      <c r="B223" t="s">
        <v>1598</v>
      </c>
      <c r="C223" s="335">
        <v>-1860.9999999999998</v>
      </c>
    </row>
    <row r="224" spans="1:3">
      <c r="A224" s="322">
        <v>132091</v>
      </c>
      <c r="B224" t="s">
        <v>1902</v>
      </c>
      <c r="C224" s="335">
        <v>25535.22</v>
      </c>
    </row>
    <row r="225" spans="1:3">
      <c r="A225" s="322">
        <v>132153</v>
      </c>
      <c r="B225" t="s">
        <v>1599</v>
      </c>
      <c r="C225" s="335">
        <v>-21083.95</v>
      </c>
    </row>
    <row r="226" spans="1:3">
      <c r="A226" s="322">
        <v>132235</v>
      </c>
      <c r="B226" t="s">
        <v>1600</v>
      </c>
      <c r="C226" s="335">
        <v>0.30000000000000004</v>
      </c>
    </row>
    <row r="227" spans="1:3">
      <c r="A227" s="322">
        <v>132384</v>
      </c>
      <c r="B227" t="s">
        <v>1601</v>
      </c>
      <c r="C227" s="335">
        <v>4.93</v>
      </c>
    </row>
    <row r="228" spans="1:3">
      <c r="A228" s="322">
        <v>132536</v>
      </c>
      <c r="B228" t="s">
        <v>1903</v>
      </c>
      <c r="C228" s="335">
        <v>6849.5899999999965</v>
      </c>
    </row>
    <row r="229" spans="1:3">
      <c r="A229" s="322">
        <v>132543</v>
      </c>
      <c r="B229" t="s">
        <v>1602</v>
      </c>
      <c r="C229" s="335">
        <v>12605.730000000001</v>
      </c>
    </row>
    <row r="230" spans="1:3">
      <c r="A230" s="322">
        <v>132587</v>
      </c>
      <c r="B230" t="s">
        <v>1603</v>
      </c>
      <c r="C230" s="335">
        <v>4393.2800000000207</v>
      </c>
    </row>
    <row r="231" spans="1:3">
      <c r="A231" s="322">
        <v>132588</v>
      </c>
      <c r="B231" t="s">
        <v>1604</v>
      </c>
      <c r="C231" s="335">
        <v>-49068.090000000004</v>
      </c>
    </row>
    <row r="232" spans="1:3">
      <c r="A232" s="322">
        <v>132611</v>
      </c>
      <c r="B232" t="s">
        <v>1605</v>
      </c>
      <c r="C232" s="335">
        <v>0.58000000000000007</v>
      </c>
    </row>
    <row r="233" spans="1:3">
      <c r="A233" s="322">
        <v>132621</v>
      </c>
      <c r="B233" t="s">
        <v>1606</v>
      </c>
      <c r="C233" s="335">
        <v>707645.21999999974</v>
      </c>
    </row>
    <row r="234" spans="1:3">
      <c r="A234" s="322">
        <v>132628</v>
      </c>
      <c r="B234" t="s">
        <v>1904</v>
      </c>
      <c r="C234" s="335">
        <v>1962.0700000000002</v>
      </c>
    </row>
    <row r="235" spans="1:3">
      <c r="A235" s="322">
        <v>132629</v>
      </c>
      <c r="B235" t="s">
        <v>1607</v>
      </c>
      <c r="C235" s="335">
        <v>194885.79000000004</v>
      </c>
    </row>
    <row r="236" spans="1:3">
      <c r="A236" s="322">
        <v>132642</v>
      </c>
      <c r="B236" t="s">
        <v>1608</v>
      </c>
      <c r="C236" s="335">
        <v>84337.97</v>
      </c>
    </row>
    <row r="237" spans="1:3">
      <c r="A237" s="322">
        <v>132651</v>
      </c>
      <c r="B237" t="s">
        <v>1609</v>
      </c>
      <c r="C237" s="335">
        <v>4.22</v>
      </c>
    </row>
    <row r="238" spans="1:3">
      <c r="A238" s="322">
        <v>132666</v>
      </c>
      <c r="B238" t="s">
        <v>1610</v>
      </c>
      <c r="C238" s="335">
        <v>51987.9</v>
      </c>
    </row>
    <row r="239" spans="1:3">
      <c r="A239" s="322">
        <v>132684</v>
      </c>
      <c r="B239" t="s">
        <v>1611</v>
      </c>
      <c r="C239" s="335">
        <v>215.99000000000004</v>
      </c>
    </row>
    <row r="240" spans="1:3">
      <c r="A240" s="322">
        <v>132698</v>
      </c>
      <c r="B240" t="s">
        <v>1997</v>
      </c>
      <c r="C240" s="335">
        <v>-1716.5</v>
      </c>
    </row>
    <row r="241" spans="1:3">
      <c r="A241" s="322">
        <v>132730</v>
      </c>
      <c r="B241" t="s">
        <v>1612</v>
      </c>
      <c r="C241" s="335">
        <v>-3239.2000000000007</v>
      </c>
    </row>
    <row r="242" spans="1:3">
      <c r="A242" s="322">
        <v>132741</v>
      </c>
      <c r="B242" t="s">
        <v>1613</v>
      </c>
      <c r="C242" s="335">
        <v>-33198.68</v>
      </c>
    </row>
    <row r="243" spans="1:3">
      <c r="A243" s="322">
        <v>132763</v>
      </c>
      <c r="B243" t="s">
        <v>1614</v>
      </c>
      <c r="C243" s="335">
        <v>1012.6200000000001</v>
      </c>
    </row>
    <row r="244" spans="1:3">
      <c r="A244" s="322">
        <v>132803</v>
      </c>
      <c r="B244" t="s">
        <v>1905</v>
      </c>
      <c r="C244" s="335">
        <v>-482.88000000000011</v>
      </c>
    </row>
    <row r="245" spans="1:3">
      <c r="A245" s="322">
        <v>132809</v>
      </c>
      <c r="B245" t="s">
        <v>1615</v>
      </c>
      <c r="C245" s="335">
        <v>9781.31</v>
      </c>
    </row>
    <row r="246" spans="1:3">
      <c r="A246" s="322">
        <v>132812</v>
      </c>
      <c r="B246" t="s">
        <v>1906</v>
      </c>
      <c r="C246" s="335">
        <v>4999.76</v>
      </c>
    </row>
    <row r="247" spans="1:3">
      <c r="A247" s="322">
        <v>132881</v>
      </c>
      <c r="B247" t="s">
        <v>1616</v>
      </c>
      <c r="C247" s="335">
        <v>21688.22</v>
      </c>
    </row>
    <row r="248" spans="1:3">
      <c r="A248" s="322">
        <v>132883</v>
      </c>
      <c r="B248" t="s">
        <v>1617</v>
      </c>
      <c r="C248" s="335">
        <v>9861.9299999999967</v>
      </c>
    </row>
    <row r="249" spans="1:3">
      <c r="A249" s="322">
        <v>132884</v>
      </c>
      <c r="B249" t="s">
        <v>1618</v>
      </c>
      <c r="C249" s="335">
        <v>9276.94</v>
      </c>
    </row>
    <row r="250" spans="1:3">
      <c r="A250" s="322">
        <v>132888</v>
      </c>
      <c r="B250" t="s">
        <v>1619</v>
      </c>
      <c r="C250" s="335">
        <v>229555.65000000011</v>
      </c>
    </row>
    <row r="251" spans="1:3">
      <c r="A251" s="322">
        <v>132890</v>
      </c>
      <c r="B251" t="s">
        <v>1620</v>
      </c>
      <c r="C251" s="335">
        <v>52990</v>
      </c>
    </row>
    <row r="252" spans="1:3">
      <c r="A252" s="322">
        <v>132900</v>
      </c>
      <c r="B252" t="s">
        <v>1907</v>
      </c>
      <c r="C252" s="335">
        <v>4312.04</v>
      </c>
    </row>
    <row r="253" spans="1:3">
      <c r="A253" s="322">
        <v>132905</v>
      </c>
      <c r="B253" t="s">
        <v>1998</v>
      </c>
      <c r="C253" s="335">
        <v>-1611.6699999999998</v>
      </c>
    </row>
    <row r="254" spans="1:3">
      <c r="A254" s="322">
        <v>132907</v>
      </c>
      <c r="B254" t="s">
        <v>1621</v>
      </c>
      <c r="C254" s="335">
        <v>354.34999999999997</v>
      </c>
    </row>
    <row r="255" spans="1:3">
      <c r="A255" s="322">
        <v>132908</v>
      </c>
      <c r="B255" t="s">
        <v>1622</v>
      </c>
      <c r="C255" s="335">
        <v>2868.4400000000005</v>
      </c>
    </row>
    <row r="256" spans="1:3">
      <c r="A256" s="322">
        <v>132909</v>
      </c>
      <c r="B256" t="s">
        <v>1908</v>
      </c>
      <c r="C256" s="335">
        <v>488.7700000000001</v>
      </c>
    </row>
    <row r="257" spans="1:3">
      <c r="A257" s="322">
        <v>132911</v>
      </c>
      <c r="B257" t="s">
        <v>1623</v>
      </c>
      <c r="C257" s="335">
        <v>2148.8999999999996</v>
      </c>
    </row>
    <row r="258" spans="1:3">
      <c r="A258" s="322">
        <v>132926</v>
      </c>
      <c r="B258" t="s">
        <v>1836</v>
      </c>
      <c r="C258" s="335">
        <v>447069.12999999995</v>
      </c>
    </row>
    <row r="259" spans="1:3">
      <c r="A259" s="322">
        <v>132994</v>
      </c>
      <c r="B259" t="s">
        <v>1624</v>
      </c>
      <c r="C259" s="335">
        <v>67801.750000000015</v>
      </c>
    </row>
    <row r="260" spans="1:3">
      <c r="A260" s="322">
        <v>133024</v>
      </c>
      <c r="B260" t="s">
        <v>1625</v>
      </c>
      <c r="C260" s="335">
        <v>795.83999999999992</v>
      </c>
    </row>
    <row r="261" spans="1:3">
      <c r="A261" s="322">
        <v>133029</v>
      </c>
      <c r="B261" t="s">
        <v>1909</v>
      </c>
      <c r="C261" s="335">
        <v>-5052</v>
      </c>
    </row>
    <row r="262" spans="1:3">
      <c r="A262" s="322">
        <v>133092</v>
      </c>
      <c r="B262" t="s">
        <v>1626</v>
      </c>
      <c r="C262" s="335">
        <v>17919.22</v>
      </c>
    </row>
    <row r="263" spans="1:3">
      <c r="A263" s="322">
        <v>133160</v>
      </c>
      <c r="B263" t="s">
        <v>1910</v>
      </c>
      <c r="C263" s="335">
        <v>5465.9099999999989</v>
      </c>
    </row>
    <row r="264" spans="1:3">
      <c r="A264" s="322">
        <v>133214</v>
      </c>
      <c r="B264" t="s">
        <v>1627</v>
      </c>
      <c r="C264" s="335">
        <v>33079.689999999995</v>
      </c>
    </row>
    <row r="265" spans="1:3">
      <c r="A265" s="322">
        <v>133224</v>
      </c>
      <c r="B265" t="s">
        <v>1999</v>
      </c>
      <c r="C265" s="335">
        <v>63623.98</v>
      </c>
    </row>
    <row r="266" spans="1:3">
      <c r="A266" s="322">
        <v>133445</v>
      </c>
      <c r="B266" t="s">
        <v>1911</v>
      </c>
      <c r="C266" s="335">
        <v>70331.820000000007</v>
      </c>
    </row>
    <row r="267" spans="1:3">
      <c r="A267" s="322">
        <v>133455</v>
      </c>
      <c r="B267" t="s">
        <v>1912</v>
      </c>
      <c r="C267" s="335">
        <v>102334.99999999999</v>
      </c>
    </row>
    <row r="268" spans="1:3">
      <c r="A268" s="322">
        <v>133459</v>
      </c>
      <c r="B268" t="s">
        <v>2000</v>
      </c>
      <c r="C268" s="335">
        <v>24555.429999999997</v>
      </c>
    </row>
    <row r="269" spans="1:3">
      <c r="A269" s="322">
        <v>133460</v>
      </c>
      <c r="B269" t="s">
        <v>1837</v>
      </c>
      <c r="C269" s="335">
        <v>77164.73</v>
      </c>
    </row>
    <row r="270" spans="1:3">
      <c r="A270" s="322">
        <v>133467</v>
      </c>
      <c r="B270" t="s">
        <v>1838</v>
      </c>
      <c r="C270" s="335">
        <v>76033.100000000006</v>
      </c>
    </row>
    <row r="271" spans="1:3">
      <c r="A271" s="322">
        <v>133469</v>
      </c>
      <c r="B271" t="s">
        <v>1839</v>
      </c>
      <c r="C271" s="335">
        <v>58705.21</v>
      </c>
    </row>
    <row r="272" spans="1:3">
      <c r="A272" s="322">
        <v>133478</v>
      </c>
      <c r="B272" t="s">
        <v>1913</v>
      </c>
      <c r="C272" s="335">
        <v>14896.439999999999</v>
      </c>
    </row>
    <row r="273" spans="1:3">
      <c r="A273" s="322">
        <v>133614</v>
      </c>
      <c r="B273" t="s">
        <v>1628</v>
      </c>
      <c r="C273" s="335">
        <v>276892.20999999996</v>
      </c>
    </row>
    <row r="274" spans="1:3">
      <c r="A274" s="322">
        <v>133696</v>
      </c>
      <c r="B274" t="s">
        <v>2001</v>
      </c>
      <c r="C274" s="335">
        <v>1264.3899999999999</v>
      </c>
    </row>
    <row r="275" spans="1:3">
      <c r="A275" s="322">
        <v>133768</v>
      </c>
      <c r="B275" t="s">
        <v>2002</v>
      </c>
      <c r="C275" s="335">
        <v>21262.58</v>
      </c>
    </row>
    <row r="276" spans="1:3">
      <c r="A276" s="322">
        <v>133948</v>
      </c>
      <c r="B276" t="s">
        <v>2003</v>
      </c>
      <c r="C276" s="335">
        <v>169.52</v>
      </c>
    </row>
    <row r="277" spans="1:3">
      <c r="A277" s="322">
        <v>134030</v>
      </c>
      <c r="B277" t="s">
        <v>1840</v>
      </c>
      <c r="C277" s="335">
        <v>279483.88000000012</v>
      </c>
    </row>
    <row r="278" spans="1:3">
      <c r="A278" s="322">
        <v>134033</v>
      </c>
      <c r="B278" t="s">
        <v>1629</v>
      </c>
      <c r="C278" s="335">
        <v>57482.410000000011</v>
      </c>
    </row>
    <row r="279" spans="1:3">
      <c r="A279" s="322">
        <v>134078</v>
      </c>
      <c r="B279" t="s">
        <v>1914</v>
      </c>
      <c r="C279" s="335">
        <v>25007.17</v>
      </c>
    </row>
    <row r="280" spans="1:3">
      <c r="A280" s="322">
        <v>134081</v>
      </c>
      <c r="B280" t="s">
        <v>1630</v>
      </c>
      <c r="C280" s="335">
        <v>4835.71</v>
      </c>
    </row>
    <row r="281" spans="1:3">
      <c r="A281" s="322">
        <v>134082</v>
      </c>
      <c r="B281" t="s">
        <v>1631</v>
      </c>
      <c r="C281" s="335">
        <v>29.380000000000052</v>
      </c>
    </row>
    <row r="282" spans="1:3">
      <c r="A282" s="322">
        <v>134178</v>
      </c>
      <c r="B282" t="s">
        <v>1632</v>
      </c>
      <c r="C282" s="335">
        <v>19508.98</v>
      </c>
    </row>
    <row r="283" spans="1:3">
      <c r="A283" s="322">
        <v>134270</v>
      </c>
      <c r="B283" t="s">
        <v>1633</v>
      </c>
      <c r="C283" s="335">
        <v>147550.28000000012</v>
      </c>
    </row>
    <row r="284" spans="1:3">
      <c r="A284" s="322">
        <v>134355</v>
      </c>
      <c r="B284" t="s">
        <v>1634</v>
      </c>
      <c r="C284" s="335">
        <v>137.73999999999978</v>
      </c>
    </row>
    <row r="285" spans="1:3">
      <c r="A285" s="322">
        <v>134386</v>
      </c>
      <c r="B285" t="s">
        <v>1635</v>
      </c>
      <c r="C285" s="335">
        <v>18649.169999999998</v>
      </c>
    </row>
    <row r="286" spans="1:3">
      <c r="A286" s="322">
        <v>134431</v>
      </c>
      <c r="B286" t="s">
        <v>2004</v>
      </c>
      <c r="C286" s="335">
        <v>4249.95</v>
      </c>
    </row>
    <row r="287" spans="1:3">
      <c r="A287" s="322">
        <v>134435</v>
      </c>
      <c r="B287" t="s">
        <v>1915</v>
      </c>
      <c r="C287" s="335">
        <v>17536.64</v>
      </c>
    </row>
    <row r="288" spans="1:3">
      <c r="A288" s="322">
        <v>134436</v>
      </c>
      <c r="B288" t="s">
        <v>2005</v>
      </c>
      <c r="C288" s="335">
        <v>4111.0300000000007</v>
      </c>
    </row>
    <row r="289" spans="1:3">
      <c r="A289" s="322">
        <v>134438</v>
      </c>
      <c r="B289" t="s">
        <v>1636</v>
      </c>
      <c r="C289" s="335">
        <v>91587.320000000036</v>
      </c>
    </row>
    <row r="290" spans="1:3">
      <c r="A290" s="322">
        <v>134447</v>
      </c>
      <c r="B290" t="s">
        <v>1916</v>
      </c>
      <c r="C290" s="335">
        <v>5772.1100000000024</v>
      </c>
    </row>
    <row r="291" spans="1:3">
      <c r="A291" s="322">
        <v>134464</v>
      </c>
      <c r="B291" t="s">
        <v>2006</v>
      </c>
      <c r="C291" s="335">
        <v>2115.67</v>
      </c>
    </row>
    <row r="292" spans="1:3">
      <c r="A292" s="322">
        <v>134497</v>
      </c>
      <c r="B292" t="s">
        <v>2007</v>
      </c>
      <c r="C292" s="335">
        <v>9302.48</v>
      </c>
    </row>
    <row r="293" spans="1:3">
      <c r="A293" s="322">
        <v>134509</v>
      </c>
      <c r="B293" t="s">
        <v>1917</v>
      </c>
      <c r="C293" s="335">
        <v>3099.4199999999996</v>
      </c>
    </row>
    <row r="294" spans="1:3">
      <c r="A294" s="322">
        <v>134523</v>
      </c>
      <c r="B294" t="s">
        <v>1637</v>
      </c>
      <c r="C294" s="335">
        <v>17377.649999999991</v>
      </c>
    </row>
    <row r="295" spans="1:3">
      <c r="A295" s="322">
        <v>134533</v>
      </c>
      <c r="B295" t="s">
        <v>1841</v>
      </c>
      <c r="C295" s="335">
        <v>45629.72</v>
      </c>
    </row>
    <row r="296" spans="1:3">
      <c r="A296" s="322">
        <v>134538</v>
      </c>
      <c r="B296" t="s">
        <v>1918</v>
      </c>
      <c r="C296" s="335">
        <v>680.71</v>
      </c>
    </row>
    <row r="297" spans="1:3">
      <c r="A297" s="322">
        <v>134550</v>
      </c>
      <c r="B297" t="s">
        <v>1842</v>
      </c>
      <c r="C297" s="335">
        <v>7516.4000000000005</v>
      </c>
    </row>
    <row r="298" spans="1:3">
      <c r="A298" s="322">
        <v>134554</v>
      </c>
      <c r="B298" t="s">
        <v>2008</v>
      </c>
      <c r="C298" s="335">
        <v>1331.24</v>
      </c>
    </row>
    <row r="299" spans="1:3">
      <c r="A299" s="322">
        <v>134555</v>
      </c>
      <c r="B299" t="s">
        <v>2009</v>
      </c>
      <c r="C299" s="335">
        <v>3330.5099999999998</v>
      </c>
    </row>
    <row r="300" spans="1:3">
      <c r="A300" s="322">
        <v>134560</v>
      </c>
      <c r="B300" t="s">
        <v>1638</v>
      </c>
      <c r="C300" s="335">
        <v>11073.890000000018</v>
      </c>
    </row>
    <row r="301" spans="1:3">
      <c r="A301" s="322">
        <v>134613</v>
      </c>
      <c r="B301" t="s">
        <v>1919</v>
      </c>
      <c r="C301" s="335">
        <v>26650.33</v>
      </c>
    </row>
    <row r="302" spans="1:3">
      <c r="A302" s="322">
        <v>134615</v>
      </c>
      <c r="B302" t="s">
        <v>2010</v>
      </c>
      <c r="C302" s="335">
        <v>192084.47</v>
      </c>
    </row>
    <row r="303" spans="1:3">
      <c r="A303" s="322">
        <v>134652</v>
      </c>
      <c r="B303" t="s">
        <v>1639</v>
      </c>
      <c r="C303" s="335">
        <v>1582.8799999999997</v>
      </c>
    </row>
    <row r="304" spans="1:3">
      <c r="A304" s="322">
        <v>134655</v>
      </c>
      <c r="B304" t="s">
        <v>1920</v>
      </c>
      <c r="C304" s="335">
        <v>16758.5</v>
      </c>
    </row>
    <row r="305" spans="1:3">
      <c r="A305" s="322">
        <v>134656</v>
      </c>
      <c r="B305" t="s">
        <v>2011</v>
      </c>
      <c r="C305" s="335">
        <v>6835.339999999992</v>
      </c>
    </row>
    <row r="306" spans="1:3">
      <c r="A306" s="322">
        <v>134750</v>
      </c>
      <c r="B306" t="s">
        <v>1640</v>
      </c>
      <c r="C306" s="335">
        <v>-9439.8300000000017</v>
      </c>
    </row>
    <row r="307" spans="1:3">
      <c r="A307" s="322">
        <v>134827</v>
      </c>
      <c r="B307" t="s">
        <v>1843</v>
      </c>
      <c r="C307" s="335">
        <v>9640.06</v>
      </c>
    </row>
    <row r="308" spans="1:3">
      <c r="A308" s="322">
        <v>134828</v>
      </c>
      <c r="B308" t="s">
        <v>1641</v>
      </c>
      <c r="C308" s="335">
        <v>171737.24000000002</v>
      </c>
    </row>
    <row r="309" spans="1:3">
      <c r="A309" s="322">
        <v>134886</v>
      </c>
      <c r="B309" t="s">
        <v>1642</v>
      </c>
      <c r="C309" s="335">
        <v>-1948.48</v>
      </c>
    </row>
    <row r="310" spans="1:3">
      <c r="A310" s="322">
        <v>134890</v>
      </c>
      <c r="B310" t="s">
        <v>1643</v>
      </c>
      <c r="C310" s="335">
        <v>26136.3</v>
      </c>
    </row>
    <row r="311" spans="1:3">
      <c r="A311" s="322">
        <v>134911</v>
      </c>
      <c r="B311" t="s">
        <v>1644</v>
      </c>
      <c r="C311" s="335">
        <v>1723.9399999999996</v>
      </c>
    </row>
    <row r="312" spans="1:3">
      <c r="A312" s="322">
        <v>134913</v>
      </c>
      <c r="B312" t="s">
        <v>1844</v>
      </c>
      <c r="C312" s="335">
        <v>3745.9900000000002</v>
      </c>
    </row>
    <row r="313" spans="1:3">
      <c r="A313" s="322">
        <v>134914</v>
      </c>
      <c r="B313" t="s">
        <v>1845</v>
      </c>
      <c r="C313" s="335">
        <v>3319.0200000000004</v>
      </c>
    </row>
    <row r="314" spans="1:3">
      <c r="A314" s="322">
        <v>134915</v>
      </c>
      <c r="B314" t="s">
        <v>1645</v>
      </c>
      <c r="C314" s="335">
        <v>42817.610000000022</v>
      </c>
    </row>
    <row r="315" spans="1:3">
      <c r="A315" s="322">
        <v>135020</v>
      </c>
      <c r="B315" t="s">
        <v>2012</v>
      </c>
      <c r="C315" s="335">
        <v>13876.960000000001</v>
      </c>
    </row>
    <row r="316" spans="1:3">
      <c r="A316" s="322">
        <v>135039</v>
      </c>
      <c r="B316" t="s">
        <v>1921</v>
      </c>
      <c r="C316" s="335">
        <v>20962.45</v>
      </c>
    </row>
    <row r="317" spans="1:3">
      <c r="A317" s="322">
        <v>135043</v>
      </c>
      <c r="B317" t="s">
        <v>2013</v>
      </c>
      <c r="C317" s="335">
        <v>11746.72</v>
      </c>
    </row>
    <row r="318" spans="1:3">
      <c r="A318" s="322">
        <v>135133</v>
      </c>
      <c r="B318" t="s">
        <v>1646</v>
      </c>
      <c r="C318" s="335">
        <v>-45.03</v>
      </c>
    </row>
    <row r="319" spans="1:3">
      <c r="A319" s="322">
        <v>135159</v>
      </c>
      <c r="B319" t="s">
        <v>1922</v>
      </c>
      <c r="C319" s="335">
        <v>28018.73</v>
      </c>
    </row>
    <row r="320" spans="1:3">
      <c r="A320" s="322">
        <v>135160</v>
      </c>
      <c r="B320" t="s">
        <v>2014</v>
      </c>
      <c r="C320" s="335">
        <v>3949.26</v>
      </c>
    </row>
    <row r="321" spans="1:3">
      <c r="A321" s="322">
        <v>135166</v>
      </c>
      <c r="B321" t="s">
        <v>2015</v>
      </c>
      <c r="C321" s="335">
        <v>15734.25</v>
      </c>
    </row>
    <row r="322" spans="1:3">
      <c r="A322" s="322">
        <v>135182</v>
      </c>
      <c r="B322" t="s">
        <v>1647</v>
      </c>
      <c r="C322" s="335">
        <v>186.75000000000045</v>
      </c>
    </row>
    <row r="323" spans="1:3">
      <c r="A323" s="322">
        <v>135285</v>
      </c>
      <c r="B323" t="s">
        <v>2016</v>
      </c>
      <c r="C323" s="335">
        <v>1911.8500000000001</v>
      </c>
    </row>
    <row r="324" spans="1:3">
      <c r="A324" s="322">
        <v>135287</v>
      </c>
      <c r="B324" t="s">
        <v>2017</v>
      </c>
      <c r="C324" s="335">
        <v>9203.44</v>
      </c>
    </row>
    <row r="325" spans="1:3">
      <c r="A325" s="322">
        <v>135296</v>
      </c>
      <c r="B325" t="s">
        <v>1648</v>
      </c>
      <c r="C325" s="335">
        <v>58380.810000000005</v>
      </c>
    </row>
    <row r="326" spans="1:3">
      <c r="A326" s="322">
        <v>135300</v>
      </c>
      <c r="B326" t="s">
        <v>1649</v>
      </c>
      <c r="C326" s="335">
        <v>177006.16999999995</v>
      </c>
    </row>
    <row r="327" spans="1:3">
      <c r="A327" s="322">
        <v>135318</v>
      </c>
      <c r="B327" t="s">
        <v>1650</v>
      </c>
      <c r="C327" s="335">
        <v>14156.930000000028</v>
      </c>
    </row>
    <row r="328" spans="1:3">
      <c r="A328" s="322">
        <v>135339</v>
      </c>
      <c r="B328" t="s">
        <v>1651</v>
      </c>
      <c r="C328" s="335">
        <v>92761.22</v>
      </c>
    </row>
    <row r="329" spans="1:3">
      <c r="A329" s="322">
        <v>135407</v>
      </c>
      <c r="B329" t="s">
        <v>1923</v>
      </c>
      <c r="C329" s="335">
        <v>5701.9199999999873</v>
      </c>
    </row>
    <row r="330" spans="1:3">
      <c r="A330" s="322">
        <v>135471</v>
      </c>
      <c r="B330" t="s">
        <v>1924</v>
      </c>
      <c r="C330" s="335">
        <v>352.5600000000004</v>
      </c>
    </row>
    <row r="331" spans="1:3">
      <c r="A331" s="322">
        <v>135529</v>
      </c>
      <c r="B331" t="s">
        <v>1652</v>
      </c>
      <c r="C331" s="335">
        <v>-147018.62000000005</v>
      </c>
    </row>
    <row r="332" spans="1:3">
      <c r="A332" s="322">
        <v>135558</v>
      </c>
      <c r="B332" t="s">
        <v>1653</v>
      </c>
      <c r="C332" s="335">
        <v>3011.06</v>
      </c>
    </row>
    <row r="333" spans="1:3">
      <c r="A333" s="322">
        <v>135584</v>
      </c>
      <c r="B333" t="s">
        <v>1654</v>
      </c>
      <c r="C333" s="335">
        <v>-159.90999999999985</v>
      </c>
    </row>
    <row r="334" spans="1:3">
      <c r="A334" s="322">
        <v>135586</v>
      </c>
      <c r="B334" t="s">
        <v>1655</v>
      </c>
      <c r="C334" s="335">
        <v>392763.73999999993</v>
      </c>
    </row>
    <row r="335" spans="1:3">
      <c r="A335" s="322">
        <v>135587</v>
      </c>
      <c r="B335" t="s">
        <v>1656</v>
      </c>
      <c r="C335" s="335">
        <v>847.72000000000014</v>
      </c>
    </row>
    <row r="336" spans="1:3">
      <c r="A336" s="322">
        <v>135588</v>
      </c>
      <c r="B336" t="s">
        <v>1657</v>
      </c>
      <c r="C336" s="335">
        <v>2369.4600000000005</v>
      </c>
    </row>
    <row r="337" spans="1:3">
      <c r="A337" s="322">
        <v>135608</v>
      </c>
      <c r="B337" t="s">
        <v>1658</v>
      </c>
      <c r="C337" s="335">
        <v>126397.77999999998</v>
      </c>
    </row>
    <row r="338" spans="1:3">
      <c r="A338" s="322">
        <v>135642</v>
      </c>
      <c r="B338" t="s">
        <v>1659</v>
      </c>
      <c r="C338" s="335">
        <v>-4442.2899999999981</v>
      </c>
    </row>
    <row r="339" spans="1:3">
      <c r="A339" s="322">
        <v>135660</v>
      </c>
      <c r="B339" t="s">
        <v>1660</v>
      </c>
      <c r="C339" s="335">
        <v>2101.64</v>
      </c>
    </row>
    <row r="340" spans="1:3">
      <c r="A340" s="322">
        <v>135661</v>
      </c>
      <c r="B340" t="s">
        <v>1925</v>
      </c>
      <c r="C340" s="335">
        <v>807.77</v>
      </c>
    </row>
    <row r="341" spans="1:3">
      <c r="A341" s="322">
        <v>135686</v>
      </c>
      <c r="B341" t="s">
        <v>1661</v>
      </c>
      <c r="C341" s="335">
        <v>4826.29</v>
      </c>
    </row>
    <row r="342" spans="1:3">
      <c r="A342" s="322">
        <v>135687</v>
      </c>
      <c r="B342" t="s">
        <v>1662</v>
      </c>
      <c r="C342" s="335">
        <v>95856.639999999985</v>
      </c>
    </row>
    <row r="343" spans="1:3">
      <c r="A343" s="322">
        <v>135705</v>
      </c>
      <c r="B343" t="s">
        <v>2018</v>
      </c>
      <c r="C343" s="335">
        <v>800</v>
      </c>
    </row>
    <row r="344" spans="1:3">
      <c r="A344" s="322">
        <v>135739</v>
      </c>
      <c r="B344" t="s">
        <v>1846</v>
      </c>
      <c r="C344" s="335">
        <v>54893.520000000004</v>
      </c>
    </row>
    <row r="345" spans="1:3">
      <c r="A345" s="322">
        <v>135753</v>
      </c>
      <c r="B345" t="s">
        <v>1663</v>
      </c>
      <c r="C345" s="335">
        <v>18748.950000000012</v>
      </c>
    </row>
    <row r="346" spans="1:3">
      <c r="A346" s="322">
        <v>135770</v>
      </c>
      <c r="B346" t="s">
        <v>1664</v>
      </c>
      <c r="C346" s="335">
        <v>9238.16</v>
      </c>
    </row>
    <row r="347" spans="1:3">
      <c r="A347" s="322">
        <v>135771</v>
      </c>
      <c r="B347" t="s">
        <v>1926</v>
      </c>
      <c r="C347" s="335">
        <v>50024.82</v>
      </c>
    </row>
    <row r="348" spans="1:3">
      <c r="A348" s="322">
        <v>135775</v>
      </c>
      <c r="B348" t="s">
        <v>1665</v>
      </c>
      <c r="C348" s="335">
        <v>3815.57</v>
      </c>
    </row>
    <row r="349" spans="1:3">
      <c r="A349" s="322">
        <v>135776</v>
      </c>
      <c r="B349" t="s">
        <v>1927</v>
      </c>
      <c r="C349" s="335">
        <v>24145.14</v>
      </c>
    </row>
    <row r="350" spans="1:3">
      <c r="A350" s="322">
        <v>135777</v>
      </c>
      <c r="B350" t="s">
        <v>1666</v>
      </c>
      <c r="C350" s="335">
        <v>213.59</v>
      </c>
    </row>
    <row r="351" spans="1:3">
      <c r="A351" s="322">
        <v>135787</v>
      </c>
      <c r="B351" t="s">
        <v>1667</v>
      </c>
      <c r="C351" s="335">
        <v>8194.02</v>
      </c>
    </row>
    <row r="352" spans="1:3">
      <c r="A352" s="322">
        <v>135791</v>
      </c>
      <c r="B352" t="s">
        <v>1928</v>
      </c>
      <c r="C352" s="335">
        <v>-55.170000000000016</v>
      </c>
    </row>
    <row r="353" spans="1:3">
      <c r="A353" s="322">
        <v>135793</v>
      </c>
      <c r="B353" t="s">
        <v>1929</v>
      </c>
      <c r="C353" s="335">
        <v>-2776.9</v>
      </c>
    </row>
    <row r="354" spans="1:3">
      <c r="A354" s="322">
        <v>135794</v>
      </c>
      <c r="B354" t="s">
        <v>1930</v>
      </c>
      <c r="C354" s="335">
        <v>-2667.88</v>
      </c>
    </row>
    <row r="355" spans="1:3">
      <c r="A355" s="322">
        <v>135801</v>
      </c>
      <c r="B355" t="s">
        <v>1668</v>
      </c>
      <c r="C355" s="335">
        <v>3790.3899999999994</v>
      </c>
    </row>
    <row r="356" spans="1:3">
      <c r="A356" s="322">
        <v>135823</v>
      </c>
      <c r="B356" t="s">
        <v>1669</v>
      </c>
      <c r="C356" s="335">
        <v>-1468.3799999999999</v>
      </c>
    </row>
    <row r="357" spans="1:3">
      <c r="A357" s="322">
        <v>135854</v>
      </c>
      <c r="B357" t="s">
        <v>1670</v>
      </c>
      <c r="C357" s="335">
        <v>4904.0299999999988</v>
      </c>
    </row>
    <row r="358" spans="1:3">
      <c r="A358" s="322">
        <v>135859</v>
      </c>
      <c r="B358" t="s">
        <v>1931</v>
      </c>
      <c r="C358" s="335">
        <v>8392.5700000000088</v>
      </c>
    </row>
    <row r="359" spans="1:3">
      <c r="A359" s="322">
        <v>135864</v>
      </c>
      <c r="B359" t="s">
        <v>1671</v>
      </c>
      <c r="C359" s="335">
        <v>13136.51</v>
      </c>
    </row>
    <row r="360" spans="1:3">
      <c r="A360" s="322">
        <v>135869</v>
      </c>
      <c r="B360" t="s">
        <v>1932</v>
      </c>
      <c r="C360" s="335">
        <v>12421.02</v>
      </c>
    </row>
    <row r="361" spans="1:3">
      <c r="A361" s="322">
        <v>135872</v>
      </c>
      <c r="B361" t="s">
        <v>1933</v>
      </c>
      <c r="C361" s="335">
        <v>48501.219999999994</v>
      </c>
    </row>
    <row r="362" spans="1:3">
      <c r="A362" s="322">
        <v>135873</v>
      </c>
      <c r="B362" t="s">
        <v>1672</v>
      </c>
      <c r="C362" s="335">
        <v>8394.58</v>
      </c>
    </row>
    <row r="363" spans="1:3">
      <c r="A363" s="322">
        <v>135902</v>
      </c>
      <c r="B363" t="s">
        <v>1847</v>
      </c>
      <c r="C363" s="335">
        <v>75213.810000000027</v>
      </c>
    </row>
    <row r="364" spans="1:3">
      <c r="A364" s="322">
        <v>135917</v>
      </c>
      <c r="B364" t="s">
        <v>1934</v>
      </c>
      <c r="C364" s="335">
        <v>49096.790000000008</v>
      </c>
    </row>
    <row r="365" spans="1:3">
      <c r="A365" s="322">
        <v>135927</v>
      </c>
      <c r="B365" t="s">
        <v>2019</v>
      </c>
      <c r="C365" s="335">
        <v>15459.03</v>
      </c>
    </row>
    <row r="366" spans="1:3">
      <c r="A366" s="322">
        <v>135929</v>
      </c>
      <c r="B366" t="s">
        <v>1935</v>
      </c>
      <c r="C366" s="335">
        <v>2537.9099999999994</v>
      </c>
    </row>
    <row r="367" spans="1:3">
      <c r="A367" s="322">
        <v>135933</v>
      </c>
      <c r="B367" t="s">
        <v>1936</v>
      </c>
      <c r="C367" s="335">
        <v>55037.39</v>
      </c>
    </row>
    <row r="368" spans="1:3">
      <c r="A368" s="322">
        <v>135938</v>
      </c>
      <c r="B368" t="s">
        <v>2020</v>
      </c>
      <c r="C368" s="335">
        <v>14582.46</v>
      </c>
    </row>
    <row r="369" spans="1:3">
      <c r="A369" s="322">
        <v>135947</v>
      </c>
      <c r="B369" t="s">
        <v>1937</v>
      </c>
      <c r="C369" s="335">
        <v>12700.18</v>
      </c>
    </row>
    <row r="370" spans="1:3">
      <c r="A370" s="322">
        <v>135953</v>
      </c>
      <c r="B370" t="s">
        <v>1938</v>
      </c>
      <c r="C370" s="335">
        <v>33881.020000000004</v>
      </c>
    </row>
    <row r="371" spans="1:3">
      <c r="A371" s="322">
        <v>135962</v>
      </c>
      <c r="B371" t="s">
        <v>1939</v>
      </c>
      <c r="C371" s="335">
        <v>31996.34</v>
      </c>
    </row>
    <row r="372" spans="1:3">
      <c r="A372" s="322">
        <v>135963</v>
      </c>
      <c r="B372" t="s">
        <v>2021</v>
      </c>
      <c r="C372" s="335">
        <v>17602.5</v>
      </c>
    </row>
    <row r="373" spans="1:3">
      <c r="A373" s="322">
        <v>135965</v>
      </c>
      <c r="B373" t="s">
        <v>1940</v>
      </c>
      <c r="C373" s="335">
        <v>26472.95</v>
      </c>
    </row>
    <row r="374" spans="1:3">
      <c r="A374" s="322">
        <v>135985</v>
      </c>
      <c r="B374" t="s">
        <v>1848</v>
      </c>
      <c r="C374" s="335">
        <v>63825.04</v>
      </c>
    </row>
    <row r="375" spans="1:3">
      <c r="A375" s="322">
        <v>136018</v>
      </c>
      <c r="B375" t="s">
        <v>2022</v>
      </c>
      <c r="C375" s="335">
        <v>2160</v>
      </c>
    </row>
    <row r="376" spans="1:3">
      <c r="A376" s="322">
        <v>136026</v>
      </c>
      <c r="B376" t="s">
        <v>1941</v>
      </c>
      <c r="C376" s="335">
        <v>7717.17</v>
      </c>
    </row>
    <row r="377" spans="1:3">
      <c r="A377" s="322">
        <v>136027</v>
      </c>
      <c r="B377" t="s">
        <v>1942</v>
      </c>
      <c r="C377" s="335">
        <v>7667.869999999999</v>
      </c>
    </row>
    <row r="378" spans="1:3">
      <c r="A378" s="322">
        <v>136050</v>
      </c>
      <c r="B378" t="s">
        <v>2023</v>
      </c>
      <c r="C378" s="335">
        <v>972.51999999999987</v>
      </c>
    </row>
    <row r="379" spans="1:3">
      <c r="A379" s="322">
        <v>136062</v>
      </c>
      <c r="B379" t="s">
        <v>1943</v>
      </c>
      <c r="C379" s="335">
        <v>19397.760000000002</v>
      </c>
    </row>
    <row r="380" spans="1:3">
      <c r="A380" s="322">
        <v>136135</v>
      </c>
      <c r="B380" t="s">
        <v>2024</v>
      </c>
      <c r="C380" s="335">
        <v>20051.55</v>
      </c>
    </row>
    <row r="381" spans="1:3">
      <c r="A381" s="322">
        <v>136169</v>
      </c>
      <c r="B381" t="s">
        <v>2025</v>
      </c>
      <c r="C381" s="335">
        <v>106130.04000000001</v>
      </c>
    </row>
    <row r="382" spans="1:3">
      <c r="A382" s="322">
        <v>136250</v>
      </c>
      <c r="B382" t="s">
        <v>2026</v>
      </c>
      <c r="C382" s="335">
        <v>20388.629999999997</v>
      </c>
    </row>
    <row r="383" spans="1:3">
      <c r="A383" s="322">
        <v>136421</v>
      </c>
      <c r="B383" t="s">
        <v>2027</v>
      </c>
      <c r="C383" s="335">
        <v>233782.87</v>
      </c>
    </row>
    <row r="384" spans="1:3">
      <c r="A384" s="322" t="s">
        <v>1673</v>
      </c>
      <c r="B384" t="s">
        <v>1674</v>
      </c>
      <c r="C384" s="335">
        <v>10786.07</v>
      </c>
    </row>
    <row r="385" spans="1:3">
      <c r="A385" s="322" t="s">
        <v>1675</v>
      </c>
      <c r="B385" t="s">
        <v>1676</v>
      </c>
      <c r="C385" s="335">
        <v>-21313.39</v>
      </c>
    </row>
    <row r="386" spans="1:3">
      <c r="A386" s="322" t="s">
        <v>1677</v>
      </c>
      <c r="B386" t="s">
        <v>1678</v>
      </c>
      <c r="C386" s="335">
        <v>-15232.97</v>
      </c>
    </row>
    <row r="387" spans="1:3">
      <c r="A387" s="322" t="s">
        <v>1679</v>
      </c>
      <c r="B387" t="s">
        <v>1680</v>
      </c>
      <c r="C387" s="335">
        <v>7502.6200000000017</v>
      </c>
    </row>
    <row r="388" spans="1:3">
      <c r="A388" s="322" t="s">
        <v>1681</v>
      </c>
      <c r="B388" t="s">
        <v>1682</v>
      </c>
      <c r="C388" s="335">
        <v>-1783.37</v>
      </c>
    </row>
    <row r="389" spans="1:3">
      <c r="A389" s="322" t="s">
        <v>2028</v>
      </c>
      <c r="B389" t="s">
        <v>2029</v>
      </c>
      <c r="C389" s="335">
        <v>141064.13000000003</v>
      </c>
    </row>
    <row r="390" spans="1:3">
      <c r="A390" s="322" t="s">
        <v>1683</v>
      </c>
      <c r="B390" t="s">
        <v>1684</v>
      </c>
      <c r="C390" s="335">
        <v>2754.9999999999977</v>
      </c>
    </row>
    <row r="391" spans="1:3">
      <c r="A391" s="322" t="s">
        <v>1685</v>
      </c>
      <c r="B391" t="s">
        <v>1686</v>
      </c>
      <c r="C391" s="335">
        <v>-857.11000000000683</v>
      </c>
    </row>
    <row r="392" spans="1:3">
      <c r="A392" s="322" t="s">
        <v>1687</v>
      </c>
      <c r="B392" t="s">
        <v>1688</v>
      </c>
      <c r="C392" s="335">
        <v>-1588.3999999999999</v>
      </c>
    </row>
    <row r="393" spans="1:3">
      <c r="A393" s="322" t="s">
        <v>2030</v>
      </c>
      <c r="B393" t="s">
        <v>2031</v>
      </c>
      <c r="C393" s="335">
        <v>877.28</v>
      </c>
    </row>
    <row r="394" spans="1:3">
      <c r="A394" s="322" t="s">
        <v>1689</v>
      </c>
      <c r="B394" t="s">
        <v>1690</v>
      </c>
      <c r="C394" s="335">
        <v>46572.279999999984</v>
      </c>
    </row>
    <row r="395" spans="1:3">
      <c r="A395" s="322" t="s">
        <v>1691</v>
      </c>
      <c r="B395" t="s">
        <v>1692</v>
      </c>
      <c r="C395" s="335">
        <v>42465.519999999982</v>
      </c>
    </row>
    <row r="396" spans="1:3">
      <c r="A396" s="322" t="s">
        <v>1693</v>
      </c>
      <c r="B396" t="s">
        <v>1694</v>
      </c>
      <c r="C396" s="335">
        <v>14524.330000000004</v>
      </c>
    </row>
    <row r="397" spans="1:3">
      <c r="A397" s="322" t="s">
        <v>1695</v>
      </c>
      <c r="B397" t="s">
        <v>1696</v>
      </c>
      <c r="C397" s="335">
        <v>1012.7</v>
      </c>
    </row>
    <row r="398" spans="1:3">
      <c r="A398" s="322" t="s">
        <v>2032</v>
      </c>
      <c r="B398" t="s">
        <v>2033</v>
      </c>
      <c r="C398" s="335">
        <v>1906.3700000000001</v>
      </c>
    </row>
    <row r="399" spans="1:3">
      <c r="A399" s="322" t="s">
        <v>1854</v>
      </c>
      <c r="B399" t="s">
        <v>1944</v>
      </c>
      <c r="C399" s="335">
        <v>-5495.78</v>
      </c>
    </row>
    <row r="400" spans="1:3">
      <c r="A400" s="322" t="s">
        <v>1697</v>
      </c>
      <c r="B400" t="s">
        <v>1698</v>
      </c>
      <c r="C400" s="335">
        <v>-1230.749999999998</v>
      </c>
    </row>
    <row r="401" spans="1:3">
      <c r="A401" s="322" t="s">
        <v>2034</v>
      </c>
      <c r="B401" t="s">
        <v>2035</v>
      </c>
      <c r="C401" s="335">
        <v>108.24</v>
      </c>
    </row>
    <row r="402" spans="1:3">
      <c r="A402" s="322" t="s">
        <v>2036</v>
      </c>
      <c r="B402" t="s">
        <v>2037</v>
      </c>
      <c r="C402" s="335">
        <v>9877.75</v>
      </c>
    </row>
    <row r="403" spans="1:3">
      <c r="A403" s="322" t="s">
        <v>1699</v>
      </c>
      <c r="B403" t="s">
        <v>1700</v>
      </c>
      <c r="C403" s="335">
        <v>31874.940000000002</v>
      </c>
    </row>
    <row r="404" spans="1:3">
      <c r="A404" s="322" t="s">
        <v>1701</v>
      </c>
      <c r="B404" t="s">
        <v>1702</v>
      </c>
      <c r="C404" s="335">
        <v>2550.29</v>
      </c>
    </row>
    <row r="405" spans="1:3">
      <c r="A405" s="322" t="s">
        <v>1703</v>
      </c>
      <c r="B405" t="s">
        <v>1704</v>
      </c>
      <c r="C405" s="335">
        <v>340689.36</v>
      </c>
    </row>
    <row r="406" spans="1:3">
      <c r="A406" s="322" t="s">
        <v>1820</v>
      </c>
      <c r="B406" t="s">
        <v>1849</v>
      </c>
      <c r="C406" s="335">
        <v>-27139.030000000006</v>
      </c>
    </row>
    <row r="407" spans="1:3">
      <c r="A407" s="322" t="s">
        <v>1705</v>
      </c>
      <c r="B407" t="s">
        <v>1706</v>
      </c>
      <c r="C407" s="335">
        <v>56775.61</v>
      </c>
    </row>
    <row r="408" spans="1:3">
      <c r="A408" s="322" t="s">
        <v>1707</v>
      </c>
      <c r="B408" t="s">
        <v>1708</v>
      </c>
      <c r="C408" s="335">
        <v>22382.030000000006</v>
      </c>
    </row>
    <row r="409" spans="1:3">
      <c r="A409" s="322" t="s">
        <v>1709</v>
      </c>
      <c r="B409" t="s">
        <v>1710</v>
      </c>
      <c r="C409" s="335">
        <v>-82.08</v>
      </c>
    </row>
    <row r="410" spans="1:3">
      <c r="A410" s="322" t="s">
        <v>1821</v>
      </c>
      <c r="B410" t="s">
        <v>1850</v>
      </c>
      <c r="C410" s="335">
        <v>160675.39999999997</v>
      </c>
    </row>
    <row r="411" spans="1:3">
      <c r="A411" s="322" t="s">
        <v>2038</v>
      </c>
      <c r="B411" t="s">
        <v>2039</v>
      </c>
      <c r="C411" s="335">
        <v>-7032.15</v>
      </c>
    </row>
    <row r="412" spans="1:3">
      <c r="A412" s="322" t="s">
        <v>1711</v>
      </c>
      <c r="B412" t="s">
        <v>1712</v>
      </c>
      <c r="C412" s="335">
        <v>109503.69000000005</v>
      </c>
    </row>
    <row r="413" spans="1:3">
      <c r="A413" s="322" t="s">
        <v>1822</v>
      </c>
      <c r="B413" t="s">
        <v>1851</v>
      </c>
      <c r="C413" s="335">
        <v>380246.17</v>
      </c>
    </row>
    <row r="414" spans="1:3">
      <c r="A414" s="322" t="s">
        <v>1713</v>
      </c>
      <c r="B414" t="s">
        <v>1714</v>
      </c>
      <c r="C414" s="335">
        <v>-706460.8400000002</v>
      </c>
    </row>
    <row r="415" spans="1:3">
      <c r="A415" s="322" t="s">
        <v>1855</v>
      </c>
      <c r="B415" t="s">
        <v>1945</v>
      </c>
      <c r="C415" s="335">
        <v>98178.559999999998</v>
      </c>
    </row>
    <row r="416" spans="1:3">
      <c r="A416" s="322" t="s">
        <v>1715</v>
      </c>
      <c r="B416" t="s">
        <v>1716</v>
      </c>
      <c r="C416" s="335">
        <v>8325.93</v>
      </c>
    </row>
    <row r="417" spans="1:3">
      <c r="A417" s="322" t="s">
        <v>1856</v>
      </c>
      <c r="B417" t="s">
        <v>1946</v>
      </c>
      <c r="C417" s="335">
        <v>16074.27</v>
      </c>
    </row>
    <row r="418" spans="1:3">
      <c r="A418" s="322" t="s">
        <v>2040</v>
      </c>
      <c r="B418" t="s">
        <v>2040</v>
      </c>
      <c r="C418" s="335">
        <v>47700.06</v>
      </c>
    </row>
    <row r="419" spans="1:3">
      <c r="A419" s="322" t="s">
        <v>1857</v>
      </c>
      <c r="B419" t="s">
        <v>1947</v>
      </c>
      <c r="C419" s="335">
        <v>42184.2</v>
      </c>
    </row>
    <row r="420" spans="1:3">
      <c r="A420" s="322" t="s">
        <v>1717</v>
      </c>
      <c r="B420" t="s">
        <v>1718</v>
      </c>
      <c r="C420" s="335">
        <v>710.36</v>
      </c>
    </row>
    <row r="421" spans="1:3">
      <c r="A421" s="322" t="s">
        <v>1823</v>
      </c>
      <c r="B421" t="s">
        <v>1852</v>
      </c>
      <c r="C421" s="335">
        <v>233567.37999999992</v>
      </c>
    </row>
    <row r="422" spans="1:3">
      <c r="A422" s="322" t="s">
        <v>2041</v>
      </c>
      <c r="B422" t="s">
        <v>2042</v>
      </c>
      <c r="C422" s="335">
        <v>33586.020000000004</v>
      </c>
    </row>
    <row r="423" spans="1:3">
      <c r="A423" s="322" t="s">
        <v>1719</v>
      </c>
      <c r="B423" t="s">
        <v>1720</v>
      </c>
      <c r="C423" s="335">
        <v>2066.13</v>
      </c>
    </row>
    <row r="424" spans="1:3">
      <c r="A424" s="322" t="s">
        <v>1721</v>
      </c>
      <c r="B424" t="s">
        <v>1722</v>
      </c>
      <c r="C424" s="335">
        <v>613.74</v>
      </c>
    </row>
    <row r="425" spans="1:3">
      <c r="A425" s="322" t="s">
        <v>1723</v>
      </c>
      <c r="B425" t="s">
        <v>1724</v>
      </c>
      <c r="C425" s="335">
        <v>1216.5700000000002</v>
      </c>
    </row>
    <row r="426" spans="1:3">
      <c r="A426" s="322" t="s">
        <v>1858</v>
      </c>
      <c r="B426" t="s">
        <v>1948</v>
      </c>
      <c r="C426" s="335">
        <v>10593.720000000001</v>
      </c>
    </row>
    <row r="427" spans="1:3">
      <c r="A427" s="322" t="s">
        <v>1725</v>
      </c>
      <c r="B427" t="s">
        <v>1726</v>
      </c>
      <c r="C427" s="335">
        <v>1108296.2699999998</v>
      </c>
    </row>
    <row r="428" spans="1:3">
      <c r="A428" s="322" t="s">
        <v>1859</v>
      </c>
      <c r="B428" t="s">
        <v>1949</v>
      </c>
      <c r="C428" s="335">
        <v>26466.520000000008</v>
      </c>
    </row>
    <row r="429" spans="1:3">
      <c r="A429" s="322" t="s">
        <v>1727</v>
      </c>
      <c r="B429" t="s">
        <v>1728</v>
      </c>
      <c r="C429" s="335">
        <v>3966734.9699999983</v>
      </c>
    </row>
    <row r="430" spans="1:3">
      <c r="A430" s="322" t="s">
        <v>1729</v>
      </c>
      <c r="B430" t="s">
        <v>1730</v>
      </c>
      <c r="C430" s="335">
        <v>0.36000000000000004</v>
      </c>
    </row>
    <row r="431" spans="1:3">
      <c r="A431" s="322" t="s">
        <v>2043</v>
      </c>
      <c r="B431" t="s">
        <v>2044</v>
      </c>
      <c r="C431" s="335">
        <v>29615.339999999997</v>
      </c>
    </row>
    <row r="432" spans="1:3">
      <c r="A432" s="322" t="s">
        <v>1860</v>
      </c>
      <c r="B432" t="s">
        <v>1950</v>
      </c>
      <c r="C432" s="335">
        <v>-31454.48</v>
      </c>
    </row>
    <row r="433" spans="1:3">
      <c r="A433" s="322" t="s">
        <v>1731</v>
      </c>
      <c r="B433" t="s">
        <v>1732</v>
      </c>
      <c r="C433" s="335">
        <v>8887.68</v>
      </c>
    </row>
    <row r="434" spans="1:3">
      <c r="A434" s="322" t="s">
        <v>1733</v>
      </c>
      <c r="B434" t="s">
        <v>1734</v>
      </c>
      <c r="C434" s="335">
        <v>459048.1500000002</v>
      </c>
    </row>
    <row r="435" spans="1:3">
      <c r="A435" s="322" t="s">
        <v>1735</v>
      </c>
      <c r="B435" t="s">
        <v>1736</v>
      </c>
      <c r="C435" s="335">
        <v>479991.84999999992</v>
      </c>
    </row>
    <row r="436" spans="1:3">
      <c r="A436" s="322" t="s">
        <v>1861</v>
      </c>
      <c r="B436" t="s">
        <v>1951</v>
      </c>
      <c r="C436" s="335">
        <v>6224.9</v>
      </c>
    </row>
    <row r="437" spans="1:3">
      <c r="A437" s="322" t="s">
        <v>1737</v>
      </c>
      <c r="B437" t="s">
        <v>1738</v>
      </c>
      <c r="C437" s="335">
        <v>6022.7399999999989</v>
      </c>
    </row>
    <row r="438" spans="1:3">
      <c r="A438" s="322" t="s">
        <v>1739</v>
      </c>
      <c r="B438" t="s">
        <v>1740</v>
      </c>
      <c r="C438" s="335">
        <v>497744.5</v>
      </c>
    </row>
    <row r="439" spans="1:3">
      <c r="A439" s="322" t="s">
        <v>1741</v>
      </c>
      <c r="B439" t="s">
        <v>1742</v>
      </c>
      <c r="C439" s="335">
        <v>3463.7400000000007</v>
      </c>
    </row>
    <row r="440" spans="1:3">
      <c r="A440" s="322" t="s">
        <v>1743</v>
      </c>
      <c r="B440" t="s">
        <v>1743</v>
      </c>
      <c r="C440" s="335">
        <v>6520.78</v>
      </c>
    </row>
    <row r="441" spans="1:3">
      <c r="A441" s="322" t="s">
        <v>1744</v>
      </c>
      <c r="B441" t="s">
        <v>1745</v>
      </c>
      <c r="C441" s="335">
        <v>252309.53999999998</v>
      </c>
    </row>
    <row r="442" spans="1:3">
      <c r="A442" s="322" t="s">
        <v>1746</v>
      </c>
      <c r="B442" t="s">
        <v>1747</v>
      </c>
      <c r="C442" s="335">
        <v>6277.3700000000008</v>
      </c>
    </row>
    <row r="443" spans="1:3">
      <c r="A443" s="322" t="s">
        <v>1748</v>
      </c>
      <c r="B443" t="s">
        <v>1749</v>
      </c>
      <c r="C443" s="335">
        <v>152047.93</v>
      </c>
    </row>
    <row r="444" spans="1:3">
      <c r="A444" s="322" t="s">
        <v>1750</v>
      </c>
      <c r="B444" t="s">
        <v>1751</v>
      </c>
      <c r="C444" s="335">
        <v>14588.100000000004</v>
      </c>
    </row>
    <row r="445" spans="1:3">
      <c r="A445" s="322" t="s">
        <v>1752</v>
      </c>
      <c r="B445" t="s">
        <v>1753</v>
      </c>
      <c r="C445" s="335">
        <v>388658.54999999993</v>
      </c>
    </row>
    <row r="446" spans="1:3">
      <c r="A446" s="322" t="s">
        <v>1754</v>
      </c>
      <c r="B446" t="s">
        <v>1755</v>
      </c>
      <c r="C446" s="335">
        <v>155609.57000000004</v>
      </c>
    </row>
    <row r="447" spans="1:3">
      <c r="A447" s="322" t="s">
        <v>1756</v>
      </c>
      <c r="B447" t="s">
        <v>1757</v>
      </c>
      <c r="C447" s="335">
        <v>89925.640000000014</v>
      </c>
    </row>
    <row r="448" spans="1:3">
      <c r="A448" s="322" t="s">
        <v>1862</v>
      </c>
      <c r="B448" t="s">
        <v>1952</v>
      </c>
      <c r="C448" s="335">
        <v>20316.290000000005</v>
      </c>
    </row>
    <row r="449" spans="1:3">
      <c r="A449" s="322" t="s">
        <v>1758</v>
      </c>
      <c r="B449" t="s">
        <v>1759</v>
      </c>
      <c r="C449" s="335">
        <v>91192.679999999906</v>
      </c>
    </row>
    <row r="450" spans="1:3">
      <c r="A450" s="322" t="s">
        <v>1760</v>
      </c>
      <c r="B450" t="s">
        <v>1761</v>
      </c>
      <c r="C450" s="335">
        <v>18557.029999999995</v>
      </c>
    </row>
    <row r="451" spans="1:3">
      <c r="A451" s="322" t="s">
        <v>1762</v>
      </c>
      <c r="B451" t="s">
        <v>1763</v>
      </c>
      <c r="C451" s="335">
        <v>86033.799999999974</v>
      </c>
    </row>
    <row r="452" spans="1:3">
      <c r="A452" s="322" t="s">
        <v>1764</v>
      </c>
      <c r="B452" t="s">
        <v>1765</v>
      </c>
      <c r="C452" s="335">
        <v>1058809.2299999997</v>
      </c>
    </row>
    <row r="453" spans="1:3">
      <c r="A453" s="322" t="s">
        <v>1766</v>
      </c>
      <c r="B453" t="s">
        <v>1767</v>
      </c>
      <c r="C453" s="335">
        <v>183512.56000000008</v>
      </c>
    </row>
    <row r="454" spans="1:3">
      <c r="A454" s="322" t="s">
        <v>1768</v>
      </c>
      <c r="B454" t="s">
        <v>1769</v>
      </c>
      <c r="C454" s="335">
        <v>-33903.659999999996</v>
      </c>
    </row>
    <row r="455" spans="1:3">
      <c r="A455" s="322" t="s">
        <v>1770</v>
      </c>
      <c r="B455" t="s">
        <v>1771</v>
      </c>
      <c r="C455" s="335">
        <v>289748.78000000009</v>
      </c>
    </row>
    <row r="456" spans="1:3">
      <c r="A456" s="322" t="s">
        <v>1772</v>
      </c>
      <c r="B456" t="s">
        <v>1773</v>
      </c>
      <c r="C456" s="335">
        <v>983818.31000000017</v>
      </c>
    </row>
    <row r="457" spans="1:3">
      <c r="A457" s="322" t="s">
        <v>1774</v>
      </c>
      <c r="B457" t="s">
        <v>1775</v>
      </c>
      <c r="C457" s="335">
        <v>265440.10999999993</v>
      </c>
    </row>
    <row r="458" spans="1:3">
      <c r="A458" s="322" t="s">
        <v>1776</v>
      </c>
      <c r="B458" t="s">
        <v>1777</v>
      </c>
      <c r="C458" s="335">
        <v>38713.260000000017</v>
      </c>
    </row>
    <row r="459" spans="1:3">
      <c r="A459" s="322" t="s">
        <v>1778</v>
      </c>
      <c r="B459" t="s">
        <v>1779</v>
      </c>
      <c r="C459" s="335">
        <v>633213.32999999996</v>
      </c>
    </row>
    <row r="460" spans="1:3">
      <c r="A460" s="322" t="s">
        <v>1780</v>
      </c>
      <c r="B460" t="s">
        <v>1781</v>
      </c>
      <c r="C460" s="335">
        <v>641571.2200000002</v>
      </c>
    </row>
    <row r="461" spans="1:3">
      <c r="A461" s="322" t="s">
        <v>1782</v>
      </c>
      <c r="B461" t="s">
        <v>1783</v>
      </c>
      <c r="C461" s="335">
        <v>238327.30000000005</v>
      </c>
    </row>
    <row r="462" spans="1:3">
      <c r="A462" s="322" t="s">
        <v>1784</v>
      </c>
      <c r="B462" t="s">
        <v>1785</v>
      </c>
      <c r="C462" s="335">
        <v>229466.26999999993</v>
      </c>
    </row>
    <row r="463" spans="1:3">
      <c r="A463" s="322" t="s">
        <v>1786</v>
      </c>
      <c r="B463" t="s">
        <v>1787</v>
      </c>
      <c r="C463" s="335">
        <v>-1930.95</v>
      </c>
    </row>
    <row r="464" spans="1:3">
      <c r="A464" s="322" t="s">
        <v>1788</v>
      </c>
      <c r="B464" t="s">
        <v>1789</v>
      </c>
      <c r="C464" s="335">
        <v>310804.91000000015</v>
      </c>
    </row>
    <row r="465" spans="1:3">
      <c r="A465" s="322" t="s">
        <v>1790</v>
      </c>
      <c r="B465" t="s">
        <v>1791</v>
      </c>
      <c r="C465" s="335">
        <v>22218.410000000003</v>
      </c>
    </row>
    <row r="466" spans="1:3">
      <c r="A466" s="322" t="s">
        <v>1792</v>
      </c>
      <c r="B466" t="s">
        <v>1793</v>
      </c>
      <c r="C466" s="335">
        <v>420973.11000000004</v>
      </c>
    </row>
    <row r="467" spans="1:3">
      <c r="A467" s="322" t="s">
        <v>1863</v>
      </c>
      <c r="B467" t="s">
        <v>1953</v>
      </c>
      <c r="C467" s="335">
        <v>11514.049999999996</v>
      </c>
    </row>
    <row r="468" spans="1:3">
      <c r="A468" s="322" t="s">
        <v>1794</v>
      </c>
      <c r="B468" t="s">
        <v>1794</v>
      </c>
      <c r="C468" s="335">
        <v>883.63999999999976</v>
      </c>
    </row>
    <row r="469" spans="1:3">
      <c r="A469" s="322" t="s">
        <v>1795</v>
      </c>
      <c r="B469" t="s">
        <v>1796</v>
      </c>
      <c r="C469" s="335">
        <v>250186.15999999986</v>
      </c>
    </row>
    <row r="470" spans="1:3">
      <c r="A470" s="322" t="s">
        <v>1797</v>
      </c>
      <c r="B470" t="s">
        <v>1798</v>
      </c>
      <c r="C470" s="335">
        <v>260991.28999999995</v>
      </c>
    </row>
    <row r="471" spans="1:3">
      <c r="A471" s="322" t="s">
        <v>1799</v>
      </c>
      <c r="B471" t="s">
        <v>1800</v>
      </c>
      <c r="C471" s="335">
        <v>102274.83000000002</v>
      </c>
    </row>
    <row r="472" spans="1:3">
      <c r="A472" s="322" t="s">
        <v>1801</v>
      </c>
      <c r="B472" t="s">
        <v>1802</v>
      </c>
      <c r="C472" s="335">
        <v>260911.88000000009</v>
      </c>
    </row>
    <row r="473" spans="1:3">
      <c r="A473" s="322" t="s">
        <v>1803</v>
      </c>
      <c r="B473" t="s">
        <v>1804</v>
      </c>
      <c r="C473" s="335">
        <v>30363.799999999985</v>
      </c>
    </row>
    <row r="474" spans="1:3">
      <c r="A474" s="322" t="s">
        <v>1805</v>
      </c>
      <c r="B474" t="s">
        <v>1806</v>
      </c>
      <c r="C474" s="335">
        <v>538428.62</v>
      </c>
    </row>
    <row r="475" spans="1:3">
      <c r="A475" s="322" t="s">
        <v>1807</v>
      </c>
      <c r="B475" t="s">
        <v>1808</v>
      </c>
      <c r="C475" s="335">
        <v>155287.71</v>
      </c>
    </row>
    <row r="476" spans="1:3">
      <c r="A476" s="322" t="s">
        <v>1809</v>
      </c>
      <c r="B476" t="s">
        <v>1810</v>
      </c>
      <c r="C476" s="335">
        <v>2207.0400000000004</v>
      </c>
    </row>
    <row r="477" spans="1:3">
      <c r="A477" s="322" t="s">
        <v>1811</v>
      </c>
      <c r="B477" t="s">
        <v>1812</v>
      </c>
      <c r="C477" s="335">
        <v>-46600.03</v>
      </c>
    </row>
    <row r="478" spans="1:3">
      <c r="A478" s="322" t="s">
        <v>1813</v>
      </c>
      <c r="B478" t="s">
        <v>1814</v>
      </c>
      <c r="C478" s="335">
        <v>3517.7100000000019</v>
      </c>
    </row>
    <row r="479" spans="1:3">
      <c r="A479" s="322" t="s">
        <v>1815</v>
      </c>
      <c r="B479" t="s">
        <v>1816</v>
      </c>
      <c r="C479" s="335">
        <v>52939.250000000022</v>
      </c>
    </row>
    <row r="480" spans="1:3">
      <c r="A480" s="322" t="s">
        <v>1817</v>
      </c>
      <c r="B480" t="s">
        <v>1818</v>
      </c>
      <c r="C480" s="335">
        <v>-15.019999999999996</v>
      </c>
    </row>
    <row r="482" spans="2:3" ht="13.5" thickBot="1">
      <c r="B482" s="3" t="s">
        <v>1458</v>
      </c>
      <c r="C482" s="336">
        <f>SUM(C6:C481)</f>
        <v>43156140.919999965</v>
      </c>
    </row>
    <row r="483" spans="2:3" ht="13.5" thickTop="1"/>
  </sheetData>
  <sortState ref="A6:C480">
    <sortCondition ref="A5"/>
  </sortState>
  <mergeCells count="3">
    <mergeCell ref="A1:C1"/>
    <mergeCell ref="A2:C2"/>
    <mergeCell ref="A3:C3"/>
  </mergeCells>
  <pageMargins left="0.7" right="0.7" top="0.75" bottom="0.75" header="0.3" footer="0.3"/>
  <pageSetup scale="98" fitToHeight="0" orientation="portrait" r:id="rId1"/>
  <headerFooter>
    <oddFooter>&amp;L&amp;Z
&amp;F&amp;C
&amp;A&amp;R3B.&amp;P</oddFooter>
  </headerFooter>
</worksheet>
</file>

<file path=xl/worksheets/sheet9.xml><?xml version="1.0" encoding="utf-8"?>
<worksheet xmlns="http://schemas.openxmlformats.org/spreadsheetml/2006/main" xmlns:r="http://schemas.openxmlformats.org/officeDocument/2006/relationships">
  <sheetPr codeName="Sheet9"/>
  <dimension ref="A1:C1"/>
  <sheetViews>
    <sheetView workbookViewId="0"/>
  </sheetViews>
  <sheetFormatPr defaultColWidth="25.7109375" defaultRowHeight="13.5"/>
  <cols>
    <col min="1" max="16384" width="25.7109375" style="14"/>
  </cols>
  <sheetData>
    <row r="1" spans="1:3">
      <c r="A1" s="14">
        <v>0</v>
      </c>
      <c r="B1" s="14">
        <v>15</v>
      </c>
      <c r="C1" s="14" t="s">
        <v>788</v>
      </c>
    </row>
  </sheetData>
  <customSheetViews>
    <customSheetView guid="{6B74E52F-9552-408A-8775-25AFF24E6639}" state="hidden" showRuler="0">
      <pageMargins left="0.75" right="0.75" top="1" bottom="1" header="0.5" footer="0.5"/>
      <headerFooter alignWithMargins="0"/>
    </customSheetView>
  </customSheetViews>
  <phoneticPr fontId="4" type="noConversion"/>
  <pageMargins left="0.75" right="0.75" top="1" bottom="1" header="0.5" footer="0.5"/>
  <headerFooter alignWithMargins="0"/>
</worksheet>
</file>

<file path=xl/worksheets/sheet90.xml><?xml version="1.0" encoding="utf-8"?>
<worksheet xmlns="http://schemas.openxmlformats.org/spreadsheetml/2006/main" xmlns:r="http://schemas.openxmlformats.org/officeDocument/2006/relationships">
  <sheetPr codeName="Sheet53">
    <pageSetUpPr fitToPage="1"/>
  </sheetPr>
  <dimension ref="A1:U282"/>
  <sheetViews>
    <sheetView topLeftCell="D1" zoomScale="85" zoomScaleNormal="85" workbookViewId="0">
      <selection activeCell="G58" sqref="G58"/>
    </sheetView>
  </sheetViews>
  <sheetFormatPr defaultRowHeight="12.75"/>
  <cols>
    <col min="1" max="1" width="9.140625" style="10"/>
    <col min="2" max="2" width="39.140625" style="10" bestFit="1" customWidth="1"/>
    <col min="3" max="3" width="17.7109375" style="10" customWidth="1"/>
    <col min="4" max="4" width="1.7109375" style="10" customWidth="1"/>
    <col min="5" max="5" width="17.7109375" style="10" customWidth="1"/>
    <col min="6" max="6" width="1.7109375" style="10" customWidth="1"/>
    <col min="7" max="7" width="17.7109375" style="10" customWidth="1"/>
    <col min="8" max="8" width="1.7109375" style="10" customWidth="1"/>
    <col min="9" max="9" width="17.7109375" style="10" customWidth="1"/>
    <col min="10" max="10" width="1.7109375" style="10" customWidth="1"/>
    <col min="11" max="11" width="17.7109375" style="10" customWidth="1"/>
    <col min="12" max="12" width="1.7109375" style="10" customWidth="1"/>
    <col min="13" max="13" width="17.7109375" style="10" customWidth="1"/>
    <col min="14" max="14" width="1.7109375" style="10" customWidth="1"/>
    <col min="15" max="15" width="17.7109375" style="10" customWidth="1"/>
    <col min="16" max="16" width="1.7109375" style="10" customWidth="1"/>
    <col min="17" max="17" width="18.28515625" style="10" bestFit="1" customWidth="1"/>
    <col min="18" max="18" width="1.7109375" style="10" customWidth="1"/>
    <col min="19" max="19" width="17.7109375" style="10" bestFit="1" customWidth="1"/>
    <col min="20" max="20" width="2.85546875" style="10" customWidth="1"/>
    <col min="21" max="21" width="15" style="10" bestFit="1" customWidth="1"/>
    <col min="22" max="16384" width="9.140625" style="10"/>
  </cols>
  <sheetData>
    <row r="1" spans="1:21">
      <c r="A1" s="359" t="s">
        <v>134</v>
      </c>
      <c r="B1" s="359"/>
      <c r="C1" s="359"/>
      <c r="D1" s="359"/>
      <c r="E1" s="359"/>
      <c r="F1" s="359"/>
      <c r="G1" s="359"/>
      <c r="H1" s="359"/>
      <c r="I1" s="359"/>
      <c r="J1" s="359"/>
      <c r="K1" s="359"/>
      <c r="L1" s="359"/>
      <c r="M1" s="359"/>
      <c r="N1" s="359"/>
      <c r="O1" s="359"/>
      <c r="P1" s="359"/>
      <c r="Q1" s="359"/>
      <c r="R1" s="359"/>
      <c r="S1" s="359"/>
    </row>
    <row r="2" spans="1:21">
      <c r="A2" s="359" t="s">
        <v>1212</v>
      </c>
      <c r="B2" s="359"/>
      <c r="C2" s="359"/>
      <c r="D2" s="359"/>
      <c r="E2" s="359"/>
      <c r="F2" s="359"/>
      <c r="G2" s="359"/>
      <c r="H2" s="359"/>
      <c r="I2" s="359"/>
      <c r="J2" s="359"/>
      <c r="K2" s="359"/>
      <c r="L2" s="359"/>
      <c r="M2" s="359"/>
      <c r="N2" s="359"/>
      <c r="O2" s="359"/>
      <c r="P2" s="359"/>
      <c r="Q2" s="359"/>
      <c r="R2" s="359"/>
      <c r="S2" s="359"/>
    </row>
    <row r="3" spans="1:21">
      <c r="A3" s="361" t="str">
        <f>'Summary - Cost - PG 1 (Fin)'!A3:N3</f>
        <v>MARCH 2012</v>
      </c>
      <c r="B3" s="361"/>
      <c r="C3" s="361"/>
      <c r="D3" s="361"/>
      <c r="E3" s="361"/>
      <c r="F3" s="361"/>
      <c r="G3" s="361"/>
      <c r="H3" s="361"/>
      <c r="I3" s="361"/>
      <c r="J3" s="361"/>
      <c r="K3" s="361"/>
      <c r="L3" s="361"/>
      <c r="M3" s="361"/>
      <c r="N3" s="361"/>
      <c r="O3" s="361"/>
      <c r="P3" s="361"/>
      <c r="Q3" s="361"/>
      <c r="R3" s="361"/>
      <c r="S3" s="361"/>
    </row>
    <row r="4" spans="1:21">
      <c r="A4" s="341"/>
      <c r="B4" s="341"/>
      <c r="C4" s="341"/>
      <c r="D4" s="341"/>
      <c r="E4" s="341"/>
      <c r="F4" s="341"/>
      <c r="G4" s="341"/>
      <c r="H4" s="341"/>
      <c r="I4" s="341"/>
      <c r="J4" s="341"/>
      <c r="K4" s="341"/>
      <c r="L4" s="341"/>
      <c r="M4" s="341"/>
      <c r="N4" s="341"/>
      <c r="O4" s="341"/>
      <c r="P4" s="341"/>
      <c r="Q4" s="341"/>
      <c r="R4" s="341"/>
      <c r="S4" s="341"/>
    </row>
    <row r="5" spans="1:21">
      <c r="A5" s="341"/>
      <c r="B5" s="341"/>
      <c r="C5" s="84"/>
      <c r="D5" s="341"/>
      <c r="E5" s="84"/>
      <c r="F5" s="341"/>
      <c r="G5" s="84" t="s">
        <v>146</v>
      </c>
      <c r="H5" s="341"/>
      <c r="I5" s="84" t="s">
        <v>146</v>
      </c>
      <c r="J5" s="341"/>
      <c r="K5" s="84" t="s">
        <v>146</v>
      </c>
      <c r="L5" s="341"/>
      <c r="M5" s="84" t="s">
        <v>146</v>
      </c>
      <c r="N5" s="341"/>
      <c r="O5" s="84" t="s">
        <v>146</v>
      </c>
      <c r="P5" s="341"/>
      <c r="Q5" s="84"/>
      <c r="R5" s="341"/>
      <c r="S5" s="84"/>
    </row>
    <row r="6" spans="1:21">
      <c r="C6" s="84" t="s">
        <v>146</v>
      </c>
      <c r="D6" s="163"/>
      <c r="E6" s="84" t="s">
        <v>146</v>
      </c>
      <c r="F6" s="163"/>
      <c r="G6" s="84" t="s">
        <v>30</v>
      </c>
      <c r="H6" s="163"/>
      <c r="I6" s="84" t="s">
        <v>31</v>
      </c>
      <c r="J6" s="163"/>
      <c r="K6" s="84" t="s">
        <v>32</v>
      </c>
      <c r="L6" s="163"/>
      <c r="M6" s="84" t="s">
        <v>33</v>
      </c>
      <c r="N6" s="163"/>
      <c r="O6" s="84" t="s">
        <v>34</v>
      </c>
      <c r="P6" s="163"/>
      <c r="Q6" s="84"/>
      <c r="R6" s="163"/>
      <c r="S6" s="84"/>
    </row>
    <row r="7" spans="1:21">
      <c r="A7" s="12"/>
      <c r="C7" s="43" t="s">
        <v>954</v>
      </c>
      <c r="D7" s="163"/>
      <c r="E7" s="43" t="s">
        <v>152</v>
      </c>
      <c r="F7" s="163"/>
      <c r="G7" s="43" t="s">
        <v>149</v>
      </c>
      <c r="H7" s="163"/>
      <c r="I7" s="43" t="s">
        <v>149</v>
      </c>
      <c r="J7" s="163"/>
      <c r="K7" s="43" t="s">
        <v>150</v>
      </c>
      <c r="L7" s="163"/>
      <c r="M7" s="43" t="s">
        <v>151</v>
      </c>
      <c r="N7" s="163"/>
      <c r="O7" s="43" t="s">
        <v>153</v>
      </c>
      <c r="P7" s="163"/>
      <c r="Q7" s="43" t="s">
        <v>154</v>
      </c>
      <c r="R7" s="163"/>
      <c r="S7" s="43" t="s">
        <v>956</v>
      </c>
    </row>
    <row r="8" spans="1:21">
      <c r="A8" s="12"/>
      <c r="C8" s="163"/>
      <c r="D8" s="163"/>
      <c r="E8" s="163"/>
      <c r="F8" s="163"/>
      <c r="G8" s="163"/>
      <c r="H8" s="163"/>
      <c r="I8" s="163"/>
      <c r="J8" s="163"/>
      <c r="K8" s="163"/>
      <c r="L8" s="163"/>
      <c r="M8" s="163"/>
      <c r="N8" s="163"/>
      <c r="O8" s="163"/>
      <c r="P8" s="163"/>
      <c r="Q8" s="163"/>
      <c r="R8" s="163"/>
      <c r="S8" s="163"/>
    </row>
    <row r="9" spans="1:21">
      <c r="A9" s="12" t="s">
        <v>449</v>
      </c>
      <c r="C9" s="163"/>
      <c r="D9" s="163"/>
      <c r="E9" s="163"/>
      <c r="F9" s="163"/>
      <c r="G9" s="163"/>
      <c r="H9" s="163"/>
      <c r="I9" s="163"/>
      <c r="J9" s="163"/>
      <c r="K9" s="163"/>
      <c r="L9" s="163"/>
      <c r="M9" s="163"/>
      <c r="N9" s="163"/>
      <c r="O9" s="163"/>
      <c r="P9" s="163"/>
      <c r="Q9" s="163"/>
      <c r="R9" s="163"/>
      <c r="S9" s="163"/>
    </row>
    <row r="10" spans="1:21">
      <c r="B10" s="10" t="s">
        <v>455</v>
      </c>
      <c r="C10" s="24">
        <f>'Summary - Reserve - PG 2 (Fin)'!E10+'Summary - Reserve - PG 2 (Fin)'!E35+'Summary - Reserve - PG 2 (Fin)'!E51</f>
        <v>-3103890.72</v>
      </c>
      <c r="D10" s="24"/>
      <c r="E10" s="24">
        <v>0</v>
      </c>
      <c r="F10" s="24"/>
      <c r="G10" s="24">
        <v>0</v>
      </c>
      <c r="H10" s="24"/>
      <c r="I10" s="24">
        <v>0</v>
      </c>
      <c r="J10" s="24"/>
      <c r="K10" s="24">
        <v>0</v>
      </c>
      <c r="L10" s="24"/>
      <c r="M10" s="24">
        <f>3056.45+3056.47+3056.45</f>
        <v>9169.369999999999</v>
      </c>
      <c r="N10" s="24"/>
      <c r="O10" s="24">
        <v>0</v>
      </c>
      <c r="P10" s="24"/>
      <c r="Q10" s="24">
        <v>0</v>
      </c>
      <c r="R10" s="24"/>
      <c r="S10" s="24">
        <f t="shared" ref="S10:S34" si="0">C10-E10+G10+I10+K10+M10+O10+Q10</f>
        <v>-3094721.35</v>
      </c>
      <c r="T10" s="24"/>
    </row>
    <row r="11" spans="1:21">
      <c r="B11" s="10" t="s">
        <v>851</v>
      </c>
      <c r="C11" s="24">
        <f>'Summary - Reserve - PG 2 (Fin)'!E11</f>
        <v>-515.09999999999991</v>
      </c>
      <c r="D11" s="24"/>
      <c r="E11" s="24">
        <v>0</v>
      </c>
      <c r="F11" s="24"/>
      <c r="G11" s="24">
        <v>0</v>
      </c>
      <c r="H11" s="24"/>
      <c r="I11" s="24">
        <v>0</v>
      </c>
      <c r="J11" s="24"/>
      <c r="K11" s="24">
        <v>0</v>
      </c>
      <c r="L11" s="24"/>
      <c r="M11" s="24">
        <v>0</v>
      </c>
      <c r="N11" s="24"/>
      <c r="O11" s="24">
        <v>0</v>
      </c>
      <c r="P11" s="24"/>
      <c r="Q11" s="24">
        <v>0</v>
      </c>
      <c r="R11" s="24"/>
      <c r="S11" s="24">
        <f t="shared" si="0"/>
        <v>-515.09999999999991</v>
      </c>
      <c r="T11" s="24"/>
    </row>
    <row r="12" spans="1:21">
      <c r="B12" s="10" t="s">
        <v>48</v>
      </c>
      <c r="C12" s="25">
        <f>SUM(C10:C11)</f>
        <v>-3104405.8200000003</v>
      </c>
      <c r="D12" s="24"/>
      <c r="E12" s="25">
        <f>SUM(E10:E11)</f>
        <v>0</v>
      </c>
      <c r="F12" s="24"/>
      <c r="G12" s="25">
        <f>SUM(G10:G11)</f>
        <v>0</v>
      </c>
      <c r="H12" s="24"/>
      <c r="I12" s="25">
        <f>SUM(I10:I11)</f>
        <v>0</v>
      </c>
      <c r="J12" s="24"/>
      <c r="K12" s="25">
        <f>SUM(K10:K11)</f>
        <v>0</v>
      </c>
      <c r="L12" s="24"/>
      <c r="M12" s="25">
        <f>SUM(M10:M11)</f>
        <v>9169.369999999999</v>
      </c>
      <c r="N12" s="24"/>
      <c r="O12" s="25">
        <f>SUM(O10:O11)</f>
        <v>0</v>
      </c>
      <c r="P12" s="24"/>
      <c r="Q12" s="25">
        <f>SUM(Q10:Q11)</f>
        <v>0</v>
      </c>
      <c r="R12" s="24"/>
      <c r="S12" s="25">
        <f>SUM(S10:S11)</f>
        <v>-3095236.45</v>
      </c>
      <c r="T12" s="24"/>
      <c r="U12" s="72">
        <f>S12*0.71</f>
        <v>-2197617.8794999998</v>
      </c>
    </row>
    <row r="13" spans="1:21">
      <c r="C13" s="24"/>
      <c r="D13" s="24"/>
      <c r="E13" s="24"/>
      <c r="F13" s="24"/>
      <c r="G13" s="24"/>
      <c r="H13" s="24"/>
      <c r="I13" s="24"/>
      <c r="J13" s="24"/>
      <c r="K13" s="24"/>
      <c r="L13" s="24"/>
      <c r="M13" s="24"/>
      <c r="N13" s="24"/>
      <c r="O13" s="24"/>
      <c r="P13" s="24"/>
      <c r="Q13" s="24"/>
      <c r="R13" s="24"/>
      <c r="S13" s="24"/>
      <c r="T13" s="24"/>
    </row>
    <row r="14" spans="1:21">
      <c r="B14" s="10" t="s">
        <v>113</v>
      </c>
      <c r="C14" s="24">
        <f>'Summary - Reserve - PG 2 (Fin)'!E12+'Summary - Reserve - PG 2 (Fin)'!E36+'Summary - Reserve - PG 2 (Fin)'!E52</f>
        <v>-5982410.3700000001</v>
      </c>
      <c r="D14" s="24"/>
      <c r="E14" s="24">
        <v>0</v>
      </c>
      <c r="F14" s="24"/>
      <c r="G14" s="24">
        <v>0</v>
      </c>
      <c r="H14" s="24"/>
      <c r="I14" s="24">
        <v>0</v>
      </c>
      <c r="J14" s="24"/>
      <c r="K14" s="24">
        <v>0</v>
      </c>
      <c r="L14" s="24"/>
      <c r="M14" s="24">
        <v>0</v>
      </c>
      <c r="N14" s="24"/>
      <c r="O14" s="24">
        <v>0</v>
      </c>
      <c r="P14" s="24"/>
      <c r="Q14" s="24">
        <v>0</v>
      </c>
      <c r="R14" s="24"/>
      <c r="S14" s="24">
        <f t="shared" si="0"/>
        <v>-5982410.3700000001</v>
      </c>
      <c r="T14" s="24"/>
    </row>
    <row r="15" spans="1:21">
      <c r="B15" s="10" t="s">
        <v>852</v>
      </c>
      <c r="C15" s="24">
        <f>'Summary - Reserve - PG 2 (Fin)'!E13</f>
        <v>-2849.7799999999997</v>
      </c>
      <c r="D15" s="24"/>
      <c r="E15" s="24">
        <v>0</v>
      </c>
      <c r="F15" s="24"/>
      <c r="G15" s="24">
        <v>0</v>
      </c>
      <c r="H15" s="24"/>
      <c r="I15" s="24">
        <v>0</v>
      </c>
      <c r="J15" s="24"/>
      <c r="K15" s="24">
        <v>0</v>
      </c>
      <c r="L15" s="24"/>
      <c r="M15" s="24">
        <v>0</v>
      </c>
      <c r="N15" s="24"/>
      <c r="O15" s="24">
        <v>0</v>
      </c>
      <c r="P15" s="24"/>
      <c r="Q15" s="24">
        <v>0</v>
      </c>
      <c r="R15" s="24"/>
      <c r="S15" s="24">
        <f t="shared" si="0"/>
        <v>-2849.7799999999997</v>
      </c>
      <c r="T15" s="24"/>
      <c r="U15" s="72"/>
    </row>
    <row r="16" spans="1:21">
      <c r="B16" s="10" t="s">
        <v>114</v>
      </c>
      <c r="C16" s="24">
        <f>'Summary - Reserve - PG 2 (Fin)'!E14+'Summary - Reserve - PG 2 (Fin)'!E37+'Summary - Reserve - PG 2 (Fin)'!E53</f>
        <v>-137887.97</v>
      </c>
      <c r="D16" s="24"/>
      <c r="E16" s="24">
        <v>0</v>
      </c>
      <c r="F16" s="24"/>
      <c r="G16" s="24">
        <v>0</v>
      </c>
      <c r="H16" s="24"/>
      <c r="I16" s="24">
        <v>0</v>
      </c>
      <c r="J16" s="24"/>
      <c r="K16" s="24">
        <v>0</v>
      </c>
      <c r="L16" s="24"/>
      <c r="M16" s="24">
        <f>25695.91+26685.25+27674.6</f>
        <v>80055.760000000009</v>
      </c>
      <c r="N16" s="24"/>
      <c r="O16" s="24">
        <v>0</v>
      </c>
      <c r="P16" s="24"/>
      <c r="Q16" s="24">
        <v>0</v>
      </c>
      <c r="R16" s="24"/>
      <c r="S16" s="24">
        <f t="shared" si="0"/>
        <v>-57832.209999999992</v>
      </c>
      <c r="T16" s="24"/>
    </row>
    <row r="17" spans="2:21">
      <c r="B17" s="10" t="s">
        <v>115</v>
      </c>
      <c r="C17" s="24">
        <f>'Summary - Reserve - PG 2 (Fin)'!E15+'Summary - Reserve - PG 2 (Fin)'!E38+'Summary - Reserve - PG 2 (Fin)'!E54</f>
        <v>-152207.15</v>
      </c>
      <c r="D17" s="24"/>
      <c r="E17" s="24">
        <v>0</v>
      </c>
      <c r="F17" s="24"/>
      <c r="G17" s="24">
        <v>0</v>
      </c>
      <c r="H17" s="24"/>
      <c r="I17" s="24">
        <v>0</v>
      </c>
      <c r="J17" s="24"/>
      <c r="K17" s="24">
        <v>0</v>
      </c>
      <c r="L17" s="24"/>
      <c r="M17" s="24">
        <v>0</v>
      </c>
      <c r="N17" s="24"/>
      <c r="O17" s="24">
        <v>0</v>
      </c>
      <c r="P17" s="24"/>
      <c r="Q17" s="24">
        <v>0</v>
      </c>
      <c r="R17" s="24"/>
      <c r="S17" s="24">
        <f t="shared" si="0"/>
        <v>-152207.15</v>
      </c>
      <c r="T17" s="24"/>
    </row>
    <row r="18" spans="2:21">
      <c r="B18" s="10" t="s">
        <v>853</v>
      </c>
      <c r="C18" s="24">
        <f>'Summary - Reserve - PG 2 (Fin)'!E16</f>
        <v>-437.13</v>
      </c>
      <c r="D18" s="24"/>
      <c r="E18" s="24">
        <v>0</v>
      </c>
      <c r="F18" s="24"/>
      <c r="G18" s="24">
        <v>0</v>
      </c>
      <c r="H18" s="24"/>
      <c r="I18" s="24">
        <v>0</v>
      </c>
      <c r="J18" s="24"/>
      <c r="K18" s="24">
        <v>0</v>
      </c>
      <c r="L18" s="24"/>
      <c r="M18" s="24">
        <v>0</v>
      </c>
      <c r="N18" s="24"/>
      <c r="O18" s="24">
        <v>0</v>
      </c>
      <c r="P18" s="24"/>
      <c r="Q18" s="24">
        <v>0</v>
      </c>
      <c r="R18" s="24"/>
      <c r="S18" s="24">
        <f t="shared" si="0"/>
        <v>-437.13</v>
      </c>
      <c r="T18" s="24"/>
    </row>
    <row r="19" spans="2:21">
      <c r="B19" s="10" t="s">
        <v>117</v>
      </c>
      <c r="C19" s="24">
        <f>'Summary - Reserve - PG 2 (Fin)'!E17+'Summary - Reserve - PG 2 (Fin)'!E39+'Summary - Reserve - PG 2 (Fin)'!E55</f>
        <v>-2185164.1599999997</v>
      </c>
      <c r="D19" s="24"/>
      <c r="E19" s="24">
        <v>0</v>
      </c>
      <c r="F19" s="24"/>
      <c r="G19" s="24">
        <v>0</v>
      </c>
      <c r="H19" s="24"/>
      <c r="I19" s="24">
        <v>0</v>
      </c>
      <c r="J19" s="24"/>
      <c r="K19" s="24">
        <f>5312.39+5312.39+5312.39</f>
        <v>15937.170000000002</v>
      </c>
      <c r="L19" s="24"/>
      <c r="M19" s="24">
        <v>0</v>
      </c>
      <c r="N19" s="24"/>
      <c r="O19" s="24">
        <v>0</v>
      </c>
      <c r="P19" s="24"/>
      <c r="Q19" s="24">
        <v>0</v>
      </c>
      <c r="R19" s="24"/>
      <c r="S19" s="24">
        <f t="shared" si="0"/>
        <v>-2169226.9899999998</v>
      </c>
      <c r="T19" s="24"/>
    </row>
    <row r="20" spans="2:21">
      <c r="B20" s="10" t="s">
        <v>953</v>
      </c>
      <c r="C20" s="24">
        <f>'Summary - Reserve - PG 2 (Fin)'!E18</f>
        <v>-289.68</v>
      </c>
      <c r="D20" s="24"/>
      <c r="E20" s="24">
        <v>0</v>
      </c>
      <c r="F20" s="24"/>
      <c r="G20" s="24">
        <v>0</v>
      </c>
      <c r="H20" s="24"/>
      <c r="I20" s="24">
        <v>0</v>
      </c>
      <c r="J20" s="24"/>
      <c r="K20" s="24">
        <v>0</v>
      </c>
      <c r="L20" s="24"/>
      <c r="M20" s="24">
        <v>0</v>
      </c>
      <c r="N20" s="24"/>
      <c r="O20" s="24">
        <v>0</v>
      </c>
      <c r="P20" s="24"/>
      <c r="Q20" s="24">
        <v>0</v>
      </c>
      <c r="R20" s="24"/>
      <c r="S20" s="24">
        <f t="shared" si="0"/>
        <v>-289.68</v>
      </c>
      <c r="T20" s="24"/>
    </row>
    <row r="21" spans="2:21">
      <c r="B21" s="10" t="s">
        <v>118</v>
      </c>
      <c r="C21" s="24">
        <f>'Summary - Reserve - PG 2 (Fin)'!E19+'Summary - Reserve - PG 2 (Fin)'!E40+'Summary - Reserve - PG 2 (Fin)'!E56</f>
        <v>-18151737.710000001</v>
      </c>
      <c r="D21" s="24"/>
      <c r="E21" s="24">
        <f>5247.35+5247.35+5247.35</f>
        <v>15742.050000000001</v>
      </c>
      <c r="F21" s="24"/>
      <c r="G21" s="24">
        <v>0</v>
      </c>
      <c r="H21" s="24"/>
      <c r="I21" s="24">
        <f>13260.52+13260.52+13260.52</f>
        <v>39781.56</v>
      </c>
      <c r="J21" s="24"/>
      <c r="K21" s="24">
        <v>0</v>
      </c>
      <c r="L21" s="24"/>
      <c r="M21" s="24">
        <v>0</v>
      </c>
      <c r="N21" s="24"/>
      <c r="O21" s="24">
        <v>0</v>
      </c>
      <c r="P21" s="24"/>
      <c r="Q21" s="24">
        <v>0</v>
      </c>
      <c r="R21" s="24"/>
      <c r="S21" s="24">
        <f>C21-E21+G21+I21+K21+M21+O21+Q21</f>
        <v>-18127698.200000003</v>
      </c>
      <c r="T21" s="24"/>
      <c r="U21" s="72"/>
    </row>
    <row r="22" spans="2:21">
      <c r="B22" s="10" t="s">
        <v>949</v>
      </c>
      <c r="C22" s="24">
        <f>'Summary - Reserve - PG 2 (Fin)'!E20</f>
        <v>-448236.04999999993</v>
      </c>
      <c r="D22" s="24"/>
      <c r="E22" s="24"/>
      <c r="F22" s="24"/>
      <c r="G22" s="24">
        <v>0</v>
      </c>
      <c r="H22" s="24"/>
      <c r="I22" s="24">
        <v>0</v>
      </c>
      <c r="J22" s="24"/>
      <c r="K22" s="24">
        <v>0</v>
      </c>
      <c r="L22" s="24"/>
      <c r="M22" s="24">
        <v>0</v>
      </c>
      <c r="N22" s="24"/>
      <c r="O22" s="24">
        <v>0</v>
      </c>
      <c r="P22" s="24"/>
      <c r="Q22" s="24">
        <v>0</v>
      </c>
      <c r="R22" s="24"/>
      <c r="S22" s="24">
        <f t="shared" si="0"/>
        <v>-448236.04999999993</v>
      </c>
      <c r="T22" s="24"/>
    </row>
    <row r="23" spans="2:21">
      <c r="B23" s="10" t="s">
        <v>119</v>
      </c>
      <c r="C23" s="24">
        <f>'Summary - Reserve - PG 2 (Fin)'!E21+'Summary - Reserve - PG 2 (Fin)'!E41+'Summary - Reserve - PG 2 (Fin)'!E57</f>
        <v>-1427801.2899999998</v>
      </c>
      <c r="D23" s="24"/>
      <c r="E23" s="24">
        <v>0</v>
      </c>
      <c r="F23" s="24"/>
      <c r="G23" s="24">
        <v>0</v>
      </c>
      <c r="H23" s="24"/>
      <c r="I23" s="24">
        <v>0</v>
      </c>
      <c r="J23" s="24"/>
      <c r="K23" s="24">
        <v>0</v>
      </c>
      <c r="L23" s="24"/>
      <c r="M23" s="24">
        <v>0</v>
      </c>
      <c r="N23" s="24"/>
      <c r="O23" s="24">
        <v>0</v>
      </c>
      <c r="P23" s="24"/>
      <c r="Q23" s="24">
        <v>0</v>
      </c>
      <c r="R23" s="24"/>
      <c r="S23" s="24">
        <f t="shared" si="0"/>
        <v>-1427801.2899999998</v>
      </c>
      <c r="T23" s="24"/>
    </row>
    <row r="24" spans="2:21">
      <c r="B24" s="10" t="s">
        <v>950</v>
      </c>
      <c r="C24" s="24">
        <f>'Summary - Reserve - PG 2 (Fin)'!E22</f>
        <v>-2038.83</v>
      </c>
      <c r="D24" s="24"/>
      <c r="E24" s="24">
        <v>0</v>
      </c>
      <c r="F24" s="24"/>
      <c r="G24" s="24">
        <v>0</v>
      </c>
      <c r="H24" s="24"/>
      <c r="I24" s="24">
        <v>0</v>
      </c>
      <c r="J24" s="24"/>
      <c r="K24" s="24">
        <v>0</v>
      </c>
      <c r="L24" s="24"/>
      <c r="M24" s="24">
        <v>0</v>
      </c>
      <c r="N24" s="24"/>
      <c r="O24" s="24">
        <v>0</v>
      </c>
      <c r="P24" s="24"/>
      <c r="Q24" s="24">
        <v>0</v>
      </c>
      <c r="R24" s="24"/>
      <c r="S24" s="24">
        <f t="shared" si="0"/>
        <v>-2038.83</v>
      </c>
      <c r="T24" s="24"/>
    </row>
    <row r="25" spans="2:21">
      <c r="B25" s="10" t="s">
        <v>49</v>
      </c>
      <c r="C25" s="25">
        <f>SUM(C14:C24)</f>
        <v>-28491060.120000001</v>
      </c>
      <c r="D25" s="24"/>
      <c r="E25" s="25">
        <f>SUM(E14:E24)</f>
        <v>15742.050000000001</v>
      </c>
      <c r="F25" s="24"/>
      <c r="G25" s="25">
        <f>SUM(G14:G24)</f>
        <v>0</v>
      </c>
      <c r="H25" s="24"/>
      <c r="I25" s="25">
        <f>SUM(I14:I24)</f>
        <v>39781.56</v>
      </c>
      <c r="J25" s="24"/>
      <c r="K25" s="25">
        <f>SUM(K14:K24)</f>
        <v>15937.170000000002</v>
      </c>
      <c r="L25" s="24"/>
      <c r="M25" s="25">
        <f>SUM(M14:M24)</f>
        <v>80055.760000000009</v>
      </c>
      <c r="N25" s="24"/>
      <c r="O25" s="25">
        <f>SUM(O14:O24)</f>
        <v>0</v>
      </c>
      <c r="P25" s="24"/>
      <c r="Q25" s="25">
        <f>SUM(Q14:Q24)</f>
        <v>0</v>
      </c>
      <c r="R25" s="24"/>
      <c r="S25" s="25">
        <f>SUM(S14:S24)</f>
        <v>-28371027.680000003</v>
      </c>
      <c r="T25" s="24"/>
      <c r="U25" s="72"/>
    </row>
    <row r="26" spans="2:21">
      <c r="C26" s="24"/>
      <c r="D26" s="24"/>
      <c r="E26" s="24"/>
      <c r="F26" s="24"/>
      <c r="G26" s="24"/>
      <c r="H26" s="24"/>
      <c r="I26" s="24"/>
      <c r="J26" s="24"/>
      <c r="K26" s="24"/>
      <c r="L26" s="24"/>
      <c r="M26" s="24"/>
      <c r="N26" s="24"/>
      <c r="O26" s="24"/>
      <c r="P26" s="24"/>
      <c r="Q26" s="24"/>
      <c r="R26" s="24"/>
      <c r="S26" s="24"/>
      <c r="T26" s="24"/>
    </row>
    <row r="27" spans="2:21">
      <c r="B27" s="10" t="s">
        <v>121</v>
      </c>
      <c r="C27" s="24">
        <f>'Summary - Reserve - PG 2 (Fin)'!E23+'Summary - Reserve - PG 2 (Fin)'!E42+'Summary - Reserve - PG 2 (Fin)'!E58</f>
        <v>-3852937.95</v>
      </c>
      <c r="D27" s="24"/>
      <c r="E27" s="24">
        <v>0</v>
      </c>
      <c r="F27" s="24"/>
      <c r="G27" s="24">
        <v>0</v>
      </c>
      <c r="H27" s="24"/>
      <c r="I27" s="24">
        <v>0</v>
      </c>
      <c r="J27" s="24"/>
      <c r="K27" s="24">
        <v>0</v>
      </c>
      <c r="L27" s="24"/>
      <c r="M27" s="24">
        <v>0</v>
      </c>
      <c r="N27" s="24"/>
      <c r="O27" s="24">
        <v>0</v>
      </c>
      <c r="P27" s="24"/>
      <c r="Q27" s="24">
        <v>0</v>
      </c>
      <c r="R27" s="24"/>
      <c r="S27" s="24">
        <f t="shared" si="0"/>
        <v>-3852937.95</v>
      </c>
      <c r="T27" s="24"/>
    </row>
    <row r="28" spans="2:21">
      <c r="B28" s="10" t="s">
        <v>951</v>
      </c>
      <c r="C28" s="24">
        <f>'Summary - Reserve - PG 2 (Fin)'!E24</f>
        <v>-74185.929999999993</v>
      </c>
      <c r="D28" s="24"/>
      <c r="E28" s="24">
        <v>0</v>
      </c>
      <c r="F28" s="24"/>
      <c r="G28" s="24">
        <v>0</v>
      </c>
      <c r="H28" s="24"/>
      <c r="I28" s="24">
        <v>0</v>
      </c>
      <c r="J28" s="24"/>
      <c r="K28" s="24">
        <v>0</v>
      </c>
      <c r="L28" s="24"/>
      <c r="M28" s="24">
        <v>0</v>
      </c>
      <c r="N28" s="24"/>
      <c r="O28" s="24">
        <v>0</v>
      </c>
      <c r="P28" s="24"/>
      <c r="Q28" s="24">
        <v>0</v>
      </c>
      <c r="R28" s="24"/>
      <c r="S28" s="24">
        <f t="shared" si="0"/>
        <v>-74185.929999999993</v>
      </c>
      <c r="T28" s="24"/>
    </row>
    <row r="29" spans="2:21">
      <c r="B29" s="10" t="s">
        <v>122</v>
      </c>
      <c r="C29" s="24">
        <f>'Summary - Reserve - PG 2 (Fin)'!E25+'Summary - Reserve - PG 2 (Fin)'!E43+'Summary - Reserve - PG 2 (Fin)'!E59</f>
        <v>-92481.41</v>
      </c>
      <c r="D29" s="24"/>
      <c r="E29" s="24">
        <v>0</v>
      </c>
      <c r="F29" s="24"/>
      <c r="G29" s="24">
        <v>0</v>
      </c>
      <c r="H29" s="24"/>
      <c r="I29" s="24">
        <v>0</v>
      </c>
      <c r="J29" s="24"/>
      <c r="K29" s="24">
        <v>0</v>
      </c>
      <c r="L29" s="24"/>
      <c r="M29" s="24">
        <f>10446.21+11143.15+12078.86</f>
        <v>33668.22</v>
      </c>
      <c r="N29" s="24"/>
      <c r="O29" s="24">
        <v>0</v>
      </c>
      <c r="P29" s="24"/>
      <c r="Q29" s="24">
        <v>0</v>
      </c>
      <c r="R29" s="24"/>
      <c r="S29" s="24">
        <f>C29-E29+G29+I29+K29+M29+O29+Q29</f>
        <v>-58813.19</v>
      </c>
      <c r="T29" s="24"/>
    </row>
    <row r="30" spans="2:21">
      <c r="B30" s="10" t="s">
        <v>124</v>
      </c>
      <c r="C30" s="24">
        <f>'Summary - Reserve - PG 2 (Fin)'!E26+'Summary - Reserve - PG 2 (Fin)'!E44+'Summary - Reserve - PG 2 (Fin)'!E60</f>
        <v>-339666.92999999993</v>
      </c>
      <c r="D30" s="24"/>
      <c r="E30" s="24">
        <f>1872.77+2272.44+2270.72</f>
        <v>6415.93</v>
      </c>
      <c r="F30" s="24"/>
      <c r="G30" s="24">
        <v>0</v>
      </c>
      <c r="H30" s="24"/>
      <c r="I30" s="24">
        <v>0</v>
      </c>
      <c r="J30" s="24"/>
      <c r="K30" s="24">
        <v>0</v>
      </c>
      <c r="L30" s="24"/>
      <c r="M30" s="24">
        <v>0</v>
      </c>
      <c r="N30" s="24"/>
      <c r="O30" s="24">
        <v>0</v>
      </c>
      <c r="P30" s="24"/>
      <c r="Q30" s="24">
        <v>0</v>
      </c>
      <c r="R30" s="24"/>
      <c r="S30" s="24">
        <f t="shared" si="0"/>
        <v>-346082.85999999993</v>
      </c>
      <c r="T30" s="24"/>
    </row>
    <row r="31" spans="2:21">
      <c r="B31" s="10" t="s">
        <v>952</v>
      </c>
      <c r="C31" s="24">
        <f>'Summary - Reserve - PG 2 (Fin)'!E27</f>
        <v>-55045.34</v>
      </c>
      <c r="D31" s="24"/>
      <c r="E31" s="24">
        <v>0</v>
      </c>
      <c r="F31" s="24"/>
      <c r="G31" s="24">
        <v>0</v>
      </c>
      <c r="H31" s="24"/>
      <c r="I31" s="24">
        <v>0</v>
      </c>
      <c r="J31" s="24"/>
      <c r="K31" s="24">
        <v>0</v>
      </c>
      <c r="L31" s="24"/>
      <c r="M31" s="24">
        <v>0</v>
      </c>
      <c r="N31" s="24"/>
      <c r="O31" s="24">
        <v>0</v>
      </c>
      <c r="P31" s="24"/>
      <c r="Q31" s="24">
        <v>0</v>
      </c>
      <c r="R31" s="24"/>
      <c r="S31" s="24">
        <f t="shared" si="0"/>
        <v>-55045.34</v>
      </c>
      <c r="T31" s="24"/>
    </row>
    <row r="32" spans="2:21">
      <c r="B32" s="10" t="s">
        <v>129</v>
      </c>
      <c r="C32" s="24">
        <f>'Summary - Reserve - PG 2 (Fin)'!E28+'Summary - Reserve - PG 2 (Fin)'!E45+'Summary - Reserve - PG 2 (Fin)'!E61</f>
        <v>0</v>
      </c>
      <c r="D32" s="24"/>
      <c r="E32" s="24">
        <v>0</v>
      </c>
      <c r="F32" s="24"/>
      <c r="G32" s="24">
        <v>0</v>
      </c>
      <c r="H32" s="24"/>
      <c r="I32" s="24">
        <v>0</v>
      </c>
      <c r="J32" s="24"/>
      <c r="K32" s="24">
        <v>0</v>
      </c>
      <c r="L32" s="24"/>
      <c r="M32" s="24">
        <v>0</v>
      </c>
      <c r="N32" s="24"/>
      <c r="O32" s="24">
        <v>0</v>
      </c>
      <c r="P32" s="24"/>
      <c r="Q32" s="24">
        <v>0</v>
      </c>
      <c r="R32" s="24"/>
      <c r="S32" s="24">
        <f t="shared" si="0"/>
        <v>0</v>
      </c>
      <c r="T32" s="24"/>
    </row>
    <row r="33" spans="1:21">
      <c r="B33" s="10" t="s">
        <v>125</v>
      </c>
      <c r="C33" s="24">
        <f>'Summary - Reserve - PG 2 (Fin)'!E29+'Summary - Reserve - PG 2 (Fin)'!E46+'Summary - Reserve - PG 2 (Fin)'!E62</f>
        <v>-17579.800000000003</v>
      </c>
      <c r="D33" s="24"/>
      <c r="E33" s="24">
        <v>0</v>
      </c>
      <c r="F33" s="24"/>
      <c r="G33" s="24">
        <v>0</v>
      </c>
      <c r="H33" s="24"/>
      <c r="I33" s="24">
        <v>0</v>
      </c>
      <c r="J33" s="24"/>
      <c r="K33" s="24">
        <v>0</v>
      </c>
      <c r="L33" s="24"/>
      <c r="M33" s="24">
        <v>0</v>
      </c>
      <c r="N33" s="24"/>
      <c r="O33" s="24">
        <v>0</v>
      </c>
      <c r="P33" s="24"/>
      <c r="Q33" s="24">
        <v>0</v>
      </c>
      <c r="R33" s="24"/>
      <c r="S33" s="24">
        <f t="shared" si="0"/>
        <v>-17579.800000000003</v>
      </c>
      <c r="T33" s="24"/>
    </row>
    <row r="34" spans="1:21">
      <c r="B34" s="10" t="s">
        <v>1443</v>
      </c>
      <c r="C34" s="28">
        <f>+'Summary - Reserve - PG 2 (Fin)'!E30</f>
        <v>-26453.13</v>
      </c>
      <c r="D34" s="27"/>
      <c r="E34" s="28">
        <v>0</v>
      </c>
      <c r="F34" s="27"/>
      <c r="G34" s="28">
        <v>0</v>
      </c>
      <c r="H34" s="27"/>
      <c r="I34" s="28">
        <v>0</v>
      </c>
      <c r="J34" s="27"/>
      <c r="K34" s="28">
        <v>0</v>
      </c>
      <c r="L34" s="27"/>
      <c r="M34" s="28">
        <v>0</v>
      </c>
      <c r="N34" s="27"/>
      <c r="O34" s="28">
        <v>0</v>
      </c>
      <c r="P34" s="27"/>
      <c r="Q34" s="28">
        <v>0</v>
      </c>
      <c r="R34" s="27"/>
      <c r="S34" s="28">
        <f t="shared" si="0"/>
        <v>-26453.13</v>
      </c>
      <c r="T34" s="24"/>
    </row>
    <row r="35" spans="1:21">
      <c r="B35" s="10" t="s">
        <v>50</v>
      </c>
      <c r="C35" s="25">
        <f>SUM(C27:C34)</f>
        <v>-4458350.49</v>
      </c>
      <c r="D35" s="27"/>
      <c r="E35" s="25">
        <f>SUM(E27:E34)</f>
        <v>6415.93</v>
      </c>
      <c r="F35" s="27"/>
      <c r="G35" s="25">
        <f>SUM(G27:G34)</f>
        <v>0</v>
      </c>
      <c r="H35" s="27"/>
      <c r="I35" s="25">
        <f>SUM(I27:I34)</f>
        <v>0</v>
      </c>
      <c r="J35" s="27"/>
      <c r="K35" s="25">
        <f>SUM(K27:K34)</f>
        <v>0</v>
      </c>
      <c r="L35" s="27"/>
      <c r="M35" s="25">
        <f>SUM(M27:M34)</f>
        <v>33668.22</v>
      </c>
      <c r="N35" s="27"/>
      <c r="O35" s="25">
        <f>SUM(O27:O34)</f>
        <v>0</v>
      </c>
      <c r="P35" s="27"/>
      <c r="Q35" s="25">
        <f>SUM(Q27:Q34)</f>
        <v>0</v>
      </c>
      <c r="R35" s="27"/>
      <c r="S35" s="25">
        <f>SUM(S27:S34)</f>
        <v>-4431098.2</v>
      </c>
      <c r="T35" s="24"/>
    </row>
    <row r="36" spans="1:21">
      <c r="C36" s="27"/>
      <c r="D36" s="27"/>
      <c r="E36" s="27"/>
      <c r="F36" s="27"/>
      <c r="G36" s="27"/>
      <c r="H36" s="27"/>
      <c r="I36" s="27"/>
      <c r="J36" s="27"/>
      <c r="K36" s="27"/>
      <c r="L36" s="27"/>
      <c r="M36" s="27"/>
      <c r="N36" s="27"/>
      <c r="O36" s="27"/>
      <c r="P36" s="27"/>
      <c r="Q36" s="27"/>
      <c r="R36" s="27"/>
      <c r="S36" s="27"/>
      <c r="T36" s="24"/>
    </row>
    <row r="37" spans="1:21" ht="13.5" thickBot="1">
      <c r="B37" s="11" t="s">
        <v>35</v>
      </c>
      <c r="C37" s="73">
        <f>C35+C25+C12</f>
        <v>-36053816.43</v>
      </c>
      <c r="D37" s="27"/>
      <c r="E37" s="73">
        <f>E35+E25+E12</f>
        <v>22157.980000000003</v>
      </c>
      <c r="F37" s="27"/>
      <c r="G37" s="73">
        <f>G35+G25+G12</f>
        <v>0</v>
      </c>
      <c r="H37" s="27"/>
      <c r="I37" s="73">
        <f>I35+I25+I12</f>
        <v>39781.56</v>
      </c>
      <c r="J37" s="27"/>
      <c r="K37" s="73">
        <f>K35+K25+K12</f>
        <v>15937.170000000002</v>
      </c>
      <c r="L37" s="27"/>
      <c r="M37" s="73">
        <f>M35+M25+M12</f>
        <v>122893.35</v>
      </c>
      <c r="N37" s="27"/>
      <c r="O37" s="73">
        <f>O35+O25+O12</f>
        <v>0</v>
      </c>
      <c r="P37" s="27"/>
      <c r="Q37" s="73">
        <f>Q35+Q25+Q12</f>
        <v>0</v>
      </c>
      <c r="R37" s="27"/>
      <c r="S37" s="73">
        <f>S35+S25+S12</f>
        <v>-35897362.330000006</v>
      </c>
      <c r="T37" s="24"/>
    </row>
    <row r="38" spans="1:21" ht="13.5" thickTop="1">
      <c r="C38" s="27"/>
      <c r="D38" s="27"/>
      <c r="E38" s="27"/>
      <c r="F38" s="27"/>
      <c r="G38" s="27"/>
      <c r="H38" s="27"/>
      <c r="I38" s="27"/>
      <c r="J38" s="27"/>
      <c r="K38" s="27"/>
      <c r="L38" s="27"/>
      <c r="M38" s="27"/>
      <c r="N38" s="27"/>
      <c r="O38" s="27"/>
      <c r="P38" s="27"/>
      <c r="Q38" s="27"/>
      <c r="R38" s="27"/>
      <c r="S38" s="27"/>
    </row>
    <row r="39" spans="1:21">
      <c r="A39" s="12" t="s">
        <v>658</v>
      </c>
      <c r="C39" s="27"/>
      <c r="D39" s="27"/>
      <c r="E39" s="27"/>
      <c r="F39" s="27"/>
      <c r="G39" s="27"/>
      <c r="H39" s="27"/>
      <c r="I39" s="27"/>
      <c r="J39" s="27"/>
      <c r="K39" s="27"/>
      <c r="L39" s="27"/>
      <c r="M39" s="27"/>
      <c r="N39" s="27"/>
      <c r="O39" s="27"/>
      <c r="P39" s="27"/>
      <c r="Q39" s="27"/>
      <c r="R39" s="27"/>
      <c r="S39" s="27"/>
      <c r="T39" s="24"/>
    </row>
    <row r="40" spans="1:21">
      <c r="B40" s="10" t="s">
        <v>652</v>
      </c>
      <c r="C40" s="27">
        <f>'Summary - Reserve - PG 2 (Fin)'!E81</f>
        <v>-2177175.2999999998</v>
      </c>
      <c r="D40" s="27"/>
      <c r="E40" s="27">
        <v>0</v>
      </c>
      <c r="F40" s="27"/>
      <c r="G40" s="27">
        <v>0</v>
      </c>
      <c r="H40" s="27"/>
      <c r="I40" s="27">
        <v>0</v>
      </c>
      <c r="J40" s="27"/>
      <c r="K40" s="27">
        <v>0</v>
      </c>
      <c r="L40" s="27"/>
      <c r="M40" s="27">
        <v>0</v>
      </c>
      <c r="N40" s="27"/>
      <c r="O40" s="27">
        <v>0</v>
      </c>
      <c r="P40" s="27"/>
      <c r="Q40" s="27">
        <v>0</v>
      </c>
      <c r="R40" s="27"/>
      <c r="S40" s="27">
        <f>Q40+O40+M40+K40+I40+G40+E40+C40</f>
        <v>-2177175.2999999998</v>
      </c>
      <c r="T40" s="24"/>
      <c r="U40" s="72"/>
    </row>
    <row r="41" spans="1:21">
      <c r="B41" s="10" t="s">
        <v>112</v>
      </c>
      <c r="C41" s="27">
        <f>'Summary - Reserve - PG 2 (Fin)'!E82</f>
        <v>0</v>
      </c>
      <c r="D41" s="27"/>
      <c r="E41" s="27">
        <v>0</v>
      </c>
      <c r="F41" s="27"/>
      <c r="G41" s="27">
        <v>0</v>
      </c>
      <c r="H41" s="27"/>
      <c r="I41" s="27">
        <v>0</v>
      </c>
      <c r="J41" s="27"/>
      <c r="K41" s="27">
        <v>0</v>
      </c>
      <c r="L41" s="27"/>
      <c r="M41" s="27">
        <v>0</v>
      </c>
      <c r="N41" s="27"/>
      <c r="O41" s="27">
        <v>0</v>
      </c>
      <c r="P41" s="27"/>
      <c r="Q41" s="27">
        <v>0</v>
      </c>
      <c r="R41" s="27"/>
      <c r="S41" s="27">
        <f>Q41+O41+M41+K41+I41+G41+E41+C41</f>
        <v>0</v>
      </c>
      <c r="T41" s="24"/>
    </row>
    <row r="42" spans="1:21">
      <c r="B42" s="10" t="s">
        <v>120</v>
      </c>
      <c r="C42" s="28">
        <f>'Summary - Reserve - PG 2 (Fin)'!E83</f>
        <v>0</v>
      </c>
      <c r="D42" s="27"/>
      <c r="E42" s="28">
        <v>0</v>
      </c>
      <c r="F42" s="27"/>
      <c r="G42" s="28">
        <v>0</v>
      </c>
      <c r="H42" s="27"/>
      <c r="I42" s="28">
        <v>0</v>
      </c>
      <c r="J42" s="27"/>
      <c r="K42" s="28">
        <v>0</v>
      </c>
      <c r="L42" s="27"/>
      <c r="M42" s="28">
        <v>0</v>
      </c>
      <c r="N42" s="27"/>
      <c r="O42" s="28">
        <v>0</v>
      </c>
      <c r="P42" s="27"/>
      <c r="Q42" s="28">
        <v>0</v>
      </c>
      <c r="R42" s="27"/>
      <c r="S42" s="28">
        <f>Q42+O42+M42+K42+I42+G42+E42+C42</f>
        <v>0</v>
      </c>
      <c r="T42" s="24"/>
    </row>
    <row r="43" spans="1:21">
      <c r="B43" s="120"/>
      <c r="C43" s="27">
        <f>SUM(C40:C42)</f>
        <v>-2177175.2999999998</v>
      </c>
      <c r="D43" s="27"/>
      <c r="E43" s="27">
        <f>SUM(E40:E42)</f>
        <v>0</v>
      </c>
      <c r="F43" s="27"/>
      <c r="G43" s="27">
        <f>SUM(G40:G42)</f>
        <v>0</v>
      </c>
      <c r="H43" s="27"/>
      <c r="I43" s="27">
        <f>SUM(I40:I42)</f>
        <v>0</v>
      </c>
      <c r="J43" s="27"/>
      <c r="K43" s="27">
        <f>SUM(K40:K42)</f>
        <v>0</v>
      </c>
      <c r="L43" s="27"/>
      <c r="M43" s="27">
        <f>SUM(M40:M42)</f>
        <v>0</v>
      </c>
      <c r="N43" s="27"/>
      <c r="O43" s="27">
        <f>SUM(O40:O42)</f>
        <v>0</v>
      </c>
      <c r="P43" s="27"/>
      <c r="Q43" s="27">
        <f>SUM(Q40:Q42)</f>
        <v>0</v>
      </c>
      <c r="R43" s="27"/>
      <c r="S43" s="27">
        <f>SUM(S40:S42)</f>
        <v>-2177175.2999999998</v>
      </c>
      <c r="T43" s="24"/>
    </row>
    <row r="44" spans="1:21">
      <c r="B44" s="120"/>
      <c r="C44" s="27"/>
      <c r="D44" s="27"/>
      <c r="E44" s="27"/>
      <c r="F44" s="27"/>
      <c r="G44" s="27"/>
      <c r="H44" s="27"/>
      <c r="I44" s="27"/>
      <c r="J44" s="27"/>
      <c r="K44" s="27"/>
      <c r="L44" s="27"/>
      <c r="M44" s="27"/>
      <c r="N44" s="27"/>
      <c r="O44" s="27"/>
      <c r="P44" s="27"/>
      <c r="Q44" s="27"/>
      <c r="R44" s="27"/>
      <c r="S44" s="27"/>
      <c r="T44" s="24"/>
    </row>
    <row r="45" spans="1:21">
      <c r="C45" s="24"/>
      <c r="D45" s="24"/>
      <c r="E45" s="24"/>
      <c r="F45" s="24"/>
      <c r="G45" s="24"/>
      <c r="H45" s="24"/>
      <c r="I45" s="24"/>
      <c r="J45" s="24"/>
      <c r="K45" s="24"/>
      <c r="L45" s="24"/>
      <c r="M45" s="24"/>
      <c r="N45" s="24"/>
      <c r="O45" s="24"/>
      <c r="P45" s="24"/>
      <c r="Q45" s="24"/>
      <c r="R45" s="24"/>
      <c r="S45" s="24"/>
      <c r="T45" s="24"/>
    </row>
    <row r="46" spans="1:21" ht="13.5" thickBot="1">
      <c r="B46" s="12" t="s">
        <v>148</v>
      </c>
      <c r="C46" s="73">
        <f>C37+C43</f>
        <v>-38230991.729999997</v>
      </c>
      <c r="D46" s="24"/>
      <c r="E46" s="24"/>
      <c r="F46" s="24"/>
      <c r="G46" s="24"/>
      <c r="H46" s="24"/>
      <c r="I46" s="24"/>
      <c r="J46" s="24"/>
      <c r="K46" s="24"/>
      <c r="L46" s="24"/>
      <c r="M46" s="24"/>
      <c r="N46" s="24"/>
      <c r="O46" s="24"/>
      <c r="P46" s="24"/>
      <c r="Q46" s="24"/>
      <c r="R46" s="24"/>
      <c r="S46" s="73">
        <f>S37+S43</f>
        <v>-38074537.630000003</v>
      </c>
      <c r="T46" s="24"/>
    </row>
    <row r="47" spans="1:21" ht="13.5" thickTop="1">
      <c r="C47" s="24"/>
      <c r="D47" s="24"/>
      <c r="E47" s="24"/>
      <c r="F47" s="24"/>
      <c r="G47" s="24"/>
      <c r="H47" s="24"/>
      <c r="I47" s="24"/>
      <c r="J47" s="24"/>
      <c r="K47" s="24"/>
      <c r="L47" s="24"/>
      <c r="M47" s="24"/>
      <c r="N47" s="24"/>
      <c r="O47" s="24"/>
      <c r="P47" s="24"/>
      <c r="Q47" s="24"/>
      <c r="R47" s="24"/>
      <c r="S47" s="24"/>
      <c r="T47" s="24"/>
    </row>
    <row r="48" spans="1:21">
      <c r="C48" s="24"/>
      <c r="D48" s="24"/>
      <c r="E48" s="24"/>
      <c r="F48" s="24"/>
      <c r="G48" s="24"/>
      <c r="H48" s="24"/>
      <c r="I48" s="24"/>
      <c r="J48" s="24"/>
      <c r="K48" s="24"/>
      <c r="L48" s="24"/>
      <c r="M48" s="24"/>
      <c r="N48" s="24"/>
      <c r="O48" s="24"/>
      <c r="P48" s="24"/>
      <c r="Q48" s="24"/>
      <c r="R48" s="24"/>
      <c r="S48" s="24"/>
      <c r="T48" s="24"/>
    </row>
    <row r="49" spans="3:20">
      <c r="C49" s="342" t="s">
        <v>1380</v>
      </c>
      <c r="D49" s="342"/>
      <c r="E49" s="342"/>
      <c r="F49" s="342"/>
      <c r="G49" s="342"/>
      <c r="H49" s="21"/>
      <c r="I49" s="21"/>
      <c r="J49" s="21"/>
      <c r="K49" s="342" t="s">
        <v>51</v>
      </c>
      <c r="L49" s="342"/>
      <c r="M49" s="342"/>
      <c r="N49" s="21"/>
      <c r="O49" s="21"/>
      <c r="P49" s="21"/>
      <c r="Q49" s="21"/>
      <c r="R49" s="21"/>
      <c r="S49" s="21"/>
      <c r="T49" s="21"/>
    </row>
    <row r="50" spans="3:20">
      <c r="C50" s="21"/>
      <c r="D50" s="21"/>
      <c r="E50" s="21"/>
      <c r="F50" s="21"/>
      <c r="G50" s="21"/>
      <c r="H50" s="21"/>
      <c r="I50" s="21"/>
      <c r="J50" s="21"/>
      <c r="K50" s="21"/>
      <c r="L50" s="21"/>
      <c r="M50" s="21"/>
      <c r="N50" s="21"/>
      <c r="O50" s="21"/>
      <c r="P50" s="21"/>
      <c r="Q50" s="21"/>
      <c r="R50" s="21"/>
      <c r="S50" s="21"/>
      <c r="T50" s="21"/>
    </row>
    <row r="51" spans="3:20">
      <c r="C51" s="21" t="s">
        <v>52</v>
      </c>
      <c r="D51" s="21"/>
      <c r="E51" s="21" t="s">
        <v>1381</v>
      </c>
      <c r="F51" s="21"/>
      <c r="G51" s="21">
        <v>1545794.46</v>
      </c>
      <c r="H51" s="21"/>
      <c r="I51" s="21"/>
      <c r="J51" s="21"/>
      <c r="K51" s="21" t="s">
        <v>52</v>
      </c>
      <c r="L51" s="21"/>
      <c r="M51" s="21" t="s">
        <v>53</v>
      </c>
      <c r="N51" s="21"/>
      <c r="O51" s="21">
        <v>30115664.460000001</v>
      </c>
      <c r="P51" s="21"/>
      <c r="Q51" s="21"/>
      <c r="R51" s="21"/>
      <c r="S51" s="21"/>
      <c r="T51" s="21"/>
    </row>
    <row r="52" spans="3:20">
      <c r="C52" s="21"/>
      <c r="D52" s="21"/>
      <c r="E52" s="21"/>
      <c r="F52" s="21"/>
      <c r="G52" s="21"/>
      <c r="H52" s="21"/>
      <c r="I52" s="21"/>
      <c r="J52" s="21"/>
      <c r="K52" s="21"/>
      <c r="L52" s="21"/>
      <c r="M52" s="21" t="s">
        <v>54</v>
      </c>
      <c r="N52" s="21"/>
      <c r="O52" s="21">
        <v>454217.2</v>
      </c>
      <c r="P52" s="21"/>
      <c r="Q52" s="21"/>
      <c r="R52" s="21"/>
      <c r="S52" s="21"/>
      <c r="T52" s="21"/>
    </row>
    <row r="53" spans="3:20">
      <c r="C53" s="21"/>
      <c r="D53" s="21"/>
      <c r="E53" s="21"/>
      <c r="F53" s="21"/>
      <c r="G53" s="343">
        <f>SUM(G51:G52)</f>
        <v>1545794.46</v>
      </c>
      <c r="H53" s="21"/>
      <c r="I53" s="21"/>
      <c r="J53" s="21"/>
      <c r="K53" s="21"/>
      <c r="L53" s="21"/>
      <c r="M53" s="21"/>
      <c r="N53" s="21"/>
      <c r="O53" s="343">
        <f>SUM(O51:O52)</f>
        <v>30569881.66</v>
      </c>
      <c r="P53" s="21"/>
      <c r="Q53" s="21"/>
      <c r="R53" s="21"/>
      <c r="S53" s="21"/>
      <c r="T53" s="21"/>
    </row>
    <row r="54" spans="3:20">
      <c r="C54" s="21"/>
      <c r="D54" s="21"/>
      <c r="E54" s="21"/>
      <c r="F54" s="21"/>
      <c r="G54" s="21"/>
      <c r="H54" s="21"/>
      <c r="I54" s="21"/>
      <c r="J54" s="21"/>
      <c r="K54" s="21"/>
      <c r="L54" s="21"/>
      <c r="M54" s="21"/>
      <c r="N54" s="21"/>
      <c r="O54" s="21"/>
      <c r="P54" s="21"/>
      <c r="Q54" s="21"/>
      <c r="R54" s="21"/>
      <c r="S54" s="21"/>
      <c r="T54" s="21"/>
    </row>
    <row r="55" spans="3:20">
      <c r="C55" s="21" t="s">
        <v>579</v>
      </c>
      <c r="D55" s="21"/>
      <c r="E55" s="21"/>
      <c r="F55" s="21"/>
      <c r="G55" s="21"/>
      <c r="H55" s="21"/>
      <c r="I55" s="21"/>
      <c r="J55" s="21"/>
      <c r="K55" s="21" t="s">
        <v>579</v>
      </c>
      <c r="L55" s="21"/>
      <c r="M55" s="21"/>
      <c r="N55" s="21"/>
      <c r="O55" s="21"/>
      <c r="P55" s="21"/>
      <c r="Q55" s="21"/>
      <c r="R55" s="21"/>
      <c r="S55" s="21"/>
      <c r="T55" s="21"/>
    </row>
    <row r="56" spans="3:20">
      <c r="C56" s="21"/>
      <c r="D56" s="21"/>
      <c r="E56" s="21" t="s">
        <v>49</v>
      </c>
      <c r="F56" s="21"/>
      <c r="G56" s="21">
        <f>-S41</f>
        <v>0</v>
      </c>
      <c r="H56" s="21"/>
      <c r="I56" s="21"/>
      <c r="J56" s="21"/>
      <c r="K56" s="21"/>
      <c r="L56" s="21"/>
      <c r="M56" s="21" t="s">
        <v>49</v>
      </c>
      <c r="N56" s="21"/>
      <c r="O56" s="21">
        <f>-S25</f>
        <v>28371027.680000003</v>
      </c>
      <c r="P56" s="21"/>
      <c r="Q56" s="21"/>
      <c r="R56" s="21"/>
      <c r="S56" s="21"/>
      <c r="T56" s="21"/>
    </row>
    <row r="57" spans="3:20">
      <c r="C57" s="21"/>
      <c r="D57" s="21"/>
      <c r="E57" s="21" t="s">
        <v>1267</v>
      </c>
      <c r="F57" s="21"/>
      <c r="G57" s="21">
        <f>-S40*0.71</f>
        <v>1545794.4629999998</v>
      </c>
      <c r="H57" s="21"/>
      <c r="I57" s="21"/>
      <c r="J57" s="21"/>
      <c r="K57" s="21" t="s">
        <v>48</v>
      </c>
      <c r="L57" s="21"/>
      <c r="M57" s="21">
        <f>-S12</f>
        <v>3095236.45</v>
      </c>
      <c r="P57" s="21"/>
      <c r="Q57" s="21"/>
      <c r="R57" s="21"/>
      <c r="S57" s="21"/>
      <c r="T57" s="21"/>
    </row>
    <row r="58" spans="3:20">
      <c r="C58" s="21"/>
      <c r="D58" s="21"/>
      <c r="E58" s="21"/>
      <c r="F58" s="21"/>
      <c r="G58" s="343">
        <f>SUM(G56:G57)</f>
        <v>1545794.4629999998</v>
      </c>
      <c r="H58" s="21"/>
      <c r="I58" s="21"/>
      <c r="J58" s="21"/>
      <c r="K58" s="10" t="s">
        <v>1441</v>
      </c>
      <c r="M58" s="72">
        <f>+'KY_Res by Plant Acct-P29 (Fin)'!D420</f>
        <v>-4262.3999999999996</v>
      </c>
      <c r="O58" s="72">
        <f>-M58</f>
        <v>4262.3999999999996</v>
      </c>
      <c r="P58" s="21"/>
      <c r="Q58" s="21"/>
      <c r="R58" s="21"/>
      <c r="S58" s="21"/>
      <c r="T58" s="21"/>
    </row>
    <row r="59" spans="3:20">
      <c r="C59" s="21"/>
      <c r="D59" s="21"/>
      <c r="E59" s="21"/>
      <c r="F59" s="21"/>
      <c r="G59" s="21"/>
      <c r="H59" s="21"/>
      <c r="I59" s="21"/>
      <c r="J59" s="21"/>
      <c r="K59" s="21" t="s">
        <v>48</v>
      </c>
      <c r="M59" s="343">
        <f>+M57+M58</f>
        <v>3090974.0500000003</v>
      </c>
      <c r="P59" s="21"/>
      <c r="Q59" s="21"/>
      <c r="R59" s="21"/>
      <c r="S59" s="21"/>
      <c r="T59" s="21"/>
    </row>
    <row r="60" spans="3:20" ht="13.5" thickBot="1">
      <c r="C60" s="21"/>
      <c r="D60" s="21"/>
      <c r="E60" s="21" t="s">
        <v>580</v>
      </c>
      <c r="F60" s="21"/>
      <c r="G60" s="344">
        <f>G58-G53</f>
        <v>2.9999997932463884E-3</v>
      </c>
      <c r="H60" s="21"/>
      <c r="I60" s="21"/>
      <c r="J60" s="21"/>
      <c r="K60" s="21" t="s">
        <v>1442</v>
      </c>
      <c r="L60" s="21"/>
      <c r="M60" s="345">
        <v>0.71</v>
      </c>
      <c r="O60" s="21">
        <f>ROUND(+M59*M60,2)</f>
        <v>2194591.58</v>
      </c>
      <c r="P60" s="21"/>
      <c r="Q60" s="243">
        <f>O60+G58</f>
        <v>3740386.0429999996</v>
      </c>
      <c r="R60" s="21"/>
      <c r="S60" s="21"/>
      <c r="T60" s="21"/>
    </row>
    <row r="61" spans="3:20" ht="13.5" thickTop="1">
      <c r="C61" s="21"/>
      <c r="D61" s="21"/>
      <c r="E61" s="21"/>
      <c r="F61" s="21"/>
      <c r="G61" s="21"/>
      <c r="H61" s="21"/>
      <c r="I61" s="21"/>
      <c r="J61" s="21"/>
      <c r="K61" s="21"/>
      <c r="L61" s="21"/>
      <c r="M61" s="21"/>
      <c r="N61" s="21"/>
      <c r="O61" s="343">
        <f>SUM(O56:O60)</f>
        <v>30569881.660000004</v>
      </c>
      <c r="P61" s="21"/>
      <c r="Q61" s="243">
        <f>O61</f>
        <v>30569881.660000004</v>
      </c>
      <c r="R61" s="21"/>
      <c r="S61" s="21">
        <f>Q61-'[2]Functional Assignment'!$F$576</f>
        <v>-91400481.244700015</v>
      </c>
      <c r="T61" s="21"/>
    </row>
    <row r="62" spans="3:20">
      <c r="C62" s="21"/>
      <c r="D62" s="21"/>
      <c r="E62" s="21"/>
      <c r="F62" s="21"/>
      <c r="G62" s="21"/>
      <c r="H62" s="21"/>
      <c r="I62" s="21"/>
      <c r="J62" s="21"/>
      <c r="K62" s="21"/>
      <c r="L62" s="21"/>
      <c r="M62" s="21"/>
      <c r="N62" s="21"/>
      <c r="O62" s="21"/>
      <c r="P62" s="21"/>
      <c r="Q62" s="21"/>
      <c r="R62" s="21"/>
      <c r="S62" s="21"/>
      <c r="T62" s="21"/>
    </row>
    <row r="63" spans="3:20" ht="13.5" thickBot="1">
      <c r="C63" s="21"/>
      <c r="D63" s="21"/>
      <c r="E63" s="21"/>
      <c r="F63" s="21"/>
      <c r="G63" s="21"/>
      <c r="H63" s="21"/>
      <c r="I63" s="21"/>
      <c r="J63" s="21"/>
      <c r="K63" s="21"/>
      <c r="L63" s="21"/>
      <c r="M63" s="21" t="s">
        <v>580</v>
      </c>
      <c r="N63" s="21"/>
      <c r="O63" s="344">
        <f>O61-O53</f>
        <v>0</v>
      </c>
      <c r="P63" s="21"/>
      <c r="Q63" s="21"/>
      <c r="R63" s="21"/>
      <c r="S63" s="21"/>
      <c r="T63" s="21"/>
    </row>
    <row r="64" spans="3:20" ht="13.5" thickTop="1">
      <c r="C64" s="21" t="s">
        <v>578</v>
      </c>
      <c r="D64" s="21"/>
      <c r="E64" s="21" t="s">
        <v>1381</v>
      </c>
      <c r="F64" s="21"/>
      <c r="G64" s="21">
        <v>631380.84</v>
      </c>
      <c r="H64" s="21"/>
      <c r="I64" s="21"/>
      <c r="J64" s="21"/>
      <c r="K64" s="21"/>
      <c r="L64" s="21"/>
      <c r="M64" s="21"/>
      <c r="N64" s="21"/>
      <c r="O64" s="21"/>
      <c r="P64" s="21"/>
      <c r="Q64" s="21"/>
      <c r="R64" s="21"/>
      <c r="S64" s="21"/>
      <c r="T64" s="21"/>
    </row>
    <row r="65" spans="3:20">
      <c r="C65" s="21"/>
      <c r="D65" s="21"/>
      <c r="E65" s="21"/>
      <c r="F65" s="21"/>
      <c r="G65" s="21"/>
      <c r="H65" s="21"/>
      <c r="I65" s="21"/>
      <c r="J65" s="21"/>
      <c r="K65" s="21" t="s">
        <v>578</v>
      </c>
      <c r="L65" s="21"/>
      <c r="M65" s="21" t="s">
        <v>53</v>
      </c>
      <c r="N65" s="21"/>
      <c r="O65" s="21">
        <v>5171646.8899999997</v>
      </c>
      <c r="P65" s="21"/>
      <c r="Q65" s="21"/>
      <c r="R65" s="21"/>
      <c r="S65" s="21"/>
      <c r="T65" s="21"/>
    </row>
    <row r="66" spans="3:20">
      <c r="C66" s="21"/>
      <c r="D66" s="21"/>
      <c r="E66" s="21"/>
      <c r="F66" s="21"/>
      <c r="G66" s="343">
        <f>SUM(G64:G65)</f>
        <v>631380.84</v>
      </c>
      <c r="H66" s="21"/>
      <c r="I66" s="21"/>
      <c r="J66" s="21"/>
      <c r="K66" s="21"/>
      <c r="L66" s="21"/>
      <c r="M66" s="21" t="s">
        <v>54</v>
      </c>
      <c r="N66" s="21"/>
      <c r="O66" s="21">
        <v>155833.76999999999</v>
      </c>
      <c r="P66" s="21"/>
      <c r="Q66" s="21"/>
      <c r="R66" s="21"/>
      <c r="S66" s="21"/>
      <c r="T66" s="21"/>
    </row>
    <row r="67" spans="3:20">
      <c r="C67" s="21"/>
      <c r="D67" s="21"/>
      <c r="E67" s="21"/>
      <c r="F67" s="21"/>
      <c r="G67" s="21"/>
      <c r="H67" s="21"/>
      <c r="I67" s="21"/>
      <c r="J67" s="21"/>
      <c r="K67" s="21"/>
      <c r="L67" s="21"/>
      <c r="M67" s="21"/>
      <c r="N67" s="21"/>
      <c r="O67" s="343">
        <f>SUM(O65:O66)</f>
        <v>5327480.6599999992</v>
      </c>
      <c r="P67" s="21"/>
      <c r="Q67" s="21"/>
      <c r="R67" s="21"/>
      <c r="S67" s="21"/>
      <c r="T67" s="21"/>
    </row>
    <row r="68" spans="3:20">
      <c r="C68" s="21" t="s">
        <v>579</v>
      </c>
      <c r="D68" s="21"/>
      <c r="E68" s="21"/>
      <c r="F68" s="21"/>
      <c r="G68" s="21"/>
      <c r="H68" s="21"/>
      <c r="I68" s="21"/>
      <c r="J68" s="21"/>
      <c r="K68" s="21"/>
      <c r="L68" s="21"/>
      <c r="M68" s="21"/>
      <c r="N68" s="21"/>
      <c r="O68" s="21"/>
      <c r="P68" s="21"/>
      <c r="Q68" s="21"/>
      <c r="R68" s="21"/>
      <c r="S68" s="21"/>
      <c r="T68" s="21"/>
    </row>
    <row r="69" spans="3:20">
      <c r="C69" s="21"/>
      <c r="D69" s="21"/>
      <c r="E69" s="21" t="s">
        <v>581</v>
      </c>
      <c r="F69" s="21"/>
      <c r="G69" s="21">
        <f>-S42</f>
        <v>0</v>
      </c>
      <c r="H69" s="21"/>
      <c r="I69" s="21"/>
      <c r="J69" s="21"/>
      <c r="K69" s="21" t="s">
        <v>579</v>
      </c>
      <c r="L69" s="21"/>
      <c r="M69" s="21"/>
      <c r="N69" s="21"/>
      <c r="O69" s="21"/>
      <c r="P69" s="21"/>
      <c r="Q69" s="21"/>
      <c r="R69" s="21"/>
      <c r="S69" s="21"/>
      <c r="T69" s="21"/>
    </row>
    <row r="70" spans="3:20">
      <c r="C70" s="21"/>
      <c r="D70" s="21"/>
      <c r="E70" s="21" t="s">
        <v>1268</v>
      </c>
      <c r="F70" s="21"/>
      <c r="G70" s="21">
        <f>-S40*0.29</f>
        <v>631380.83699999994</v>
      </c>
      <c r="H70" s="21"/>
      <c r="I70" s="21"/>
      <c r="J70" s="21"/>
      <c r="K70" s="21"/>
      <c r="L70" s="21"/>
      <c r="M70" s="21" t="s">
        <v>581</v>
      </c>
      <c r="N70" s="21"/>
      <c r="O70" s="21">
        <f>-S35</f>
        <v>4431098.2</v>
      </c>
      <c r="P70" s="21"/>
      <c r="Q70" s="21"/>
      <c r="R70" s="21"/>
      <c r="S70" s="21"/>
      <c r="T70" s="21"/>
    </row>
    <row r="71" spans="3:20">
      <c r="C71" s="21"/>
      <c r="D71" s="21"/>
      <c r="E71" s="21"/>
      <c r="F71" s="21"/>
      <c r="G71" s="343">
        <f>SUM(G69:G70)</f>
        <v>631380.83699999994</v>
      </c>
      <c r="H71" s="21"/>
      <c r="I71" s="21"/>
      <c r="J71" s="21"/>
      <c r="K71" s="21" t="s">
        <v>48</v>
      </c>
      <c r="L71" s="21"/>
      <c r="M71" s="21">
        <f>-S12</f>
        <v>3095236.45</v>
      </c>
      <c r="N71" s="21"/>
      <c r="O71" s="21"/>
      <c r="P71" s="21"/>
      <c r="Q71" s="21"/>
      <c r="R71" s="21"/>
      <c r="S71" s="21"/>
      <c r="T71" s="21"/>
    </row>
    <row r="72" spans="3:20">
      <c r="C72" s="21"/>
      <c r="D72" s="21"/>
      <c r="E72" s="21"/>
      <c r="F72" s="21"/>
      <c r="G72" s="21"/>
      <c r="H72" s="21"/>
      <c r="I72" s="21"/>
      <c r="J72" s="21"/>
      <c r="K72" s="10" t="s">
        <v>1441</v>
      </c>
      <c r="M72" s="72">
        <f>+M58</f>
        <v>-4262.3999999999996</v>
      </c>
      <c r="N72" s="21"/>
      <c r="O72" s="21"/>
      <c r="P72" s="21"/>
      <c r="Q72" s="21"/>
      <c r="R72" s="21"/>
      <c r="S72" s="21"/>
      <c r="T72" s="21"/>
    </row>
    <row r="73" spans="3:20" ht="13.5" thickBot="1">
      <c r="C73" s="21"/>
      <c r="D73" s="21"/>
      <c r="E73" s="21" t="s">
        <v>580</v>
      </c>
      <c r="F73" s="21"/>
      <c r="G73" s="344">
        <f>G71-G66</f>
        <v>-3.0000000260770321E-3</v>
      </c>
      <c r="H73" s="21"/>
      <c r="I73" s="21"/>
      <c r="J73" s="21"/>
      <c r="K73" s="21" t="s">
        <v>48</v>
      </c>
      <c r="M73" s="343">
        <f>+M71+M72</f>
        <v>3090974.0500000003</v>
      </c>
      <c r="N73" s="21"/>
      <c r="O73" s="21"/>
      <c r="P73" s="21"/>
      <c r="Q73" s="243"/>
      <c r="R73" s="21"/>
      <c r="S73" s="21"/>
      <c r="T73" s="21"/>
    </row>
    <row r="74" spans="3:20" ht="13.5" thickTop="1">
      <c r="C74" s="21"/>
      <c r="D74" s="21"/>
      <c r="E74" s="21"/>
      <c r="F74" s="21"/>
      <c r="G74" s="21"/>
      <c r="H74" s="21"/>
      <c r="I74" s="21"/>
      <c r="J74" s="21"/>
      <c r="K74" s="21" t="s">
        <v>1442</v>
      </c>
      <c r="L74" s="21"/>
      <c r="M74" s="345">
        <v>0.28999999999999998</v>
      </c>
      <c r="N74" s="21"/>
      <c r="O74" s="21">
        <f>ROUND(+M73*M74,2)</f>
        <v>896382.47</v>
      </c>
      <c r="P74" s="21"/>
      <c r="Q74" s="21"/>
      <c r="R74" s="21"/>
      <c r="S74" s="21"/>
      <c r="T74" s="21"/>
    </row>
    <row r="75" spans="3:20">
      <c r="C75" s="21"/>
      <c r="D75" s="21"/>
      <c r="E75" s="21"/>
      <c r="F75" s="21"/>
      <c r="G75" s="21"/>
      <c r="H75" s="21"/>
      <c r="I75" s="21"/>
      <c r="J75" s="21"/>
      <c r="K75" s="21"/>
      <c r="L75" s="21"/>
      <c r="M75" s="21"/>
      <c r="N75" s="21"/>
      <c r="O75" s="343">
        <f>SUM(O70:O74)</f>
        <v>5327480.67</v>
      </c>
      <c r="P75" s="21"/>
      <c r="Q75" s="21"/>
      <c r="R75" s="21"/>
      <c r="S75" s="21"/>
      <c r="T75" s="21"/>
    </row>
    <row r="76" spans="3:20">
      <c r="C76" s="21"/>
      <c r="D76" s="21"/>
      <c r="E76" s="21"/>
      <c r="F76" s="21"/>
      <c r="G76" s="21"/>
      <c r="H76" s="21"/>
      <c r="I76" s="21"/>
      <c r="J76" s="21"/>
      <c r="K76" s="21"/>
      <c r="L76" s="21"/>
      <c r="M76" s="21"/>
      <c r="N76" s="21"/>
      <c r="O76" s="21"/>
      <c r="P76" s="21"/>
      <c r="Q76" s="21"/>
      <c r="R76" s="21"/>
      <c r="S76" s="21"/>
      <c r="T76" s="21"/>
    </row>
    <row r="77" spans="3:20" ht="13.5" thickBot="1">
      <c r="C77" s="21"/>
      <c r="D77" s="21"/>
      <c r="E77" s="21"/>
      <c r="F77" s="21"/>
      <c r="G77" s="21"/>
      <c r="H77" s="21"/>
      <c r="I77" s="21"/>
      <c r="J77" s="21"/>
      <c r="K77" s="21"/>
      <c r="L77" s="21"/>
      <c r="M77" s="21" t="s">
        <v>580</v>
      </c>
      <c r="N77" s="21"/>
      <c r="O77" s="344">
        <f>O75-O67</f>
        <v>1.0000000707805157E-2</v>
      </c>
      <c r="P77" s="21"/>
      <c r="Q77" s="21"/>
      <c r="R77" s="21"/>
      <c r="S77" s="21"/>
      <c r="T77" s="21"/>
    </row>
    <row r="78" spans="3:20" ht="13.5" thickTop="1">
      <c r="C78" s="21"/>
      <c r="D78" s="21"/>
      <c r="E78" s="21"/>
      <c r="F78" s="21"/>
      <c r="G78" s="21"/>
      <c r="H78" s="21"/>
      <c r="I78" s="21"/>
      <c r="J78" s="21"/>
      <c r="P78" s="21"/>
      <c r="Q78" s="21"/>
      <c r="R78" s="21"/>
      <c r="S78" s="21"/>
      <c r="T78" s="21"/>
    </row>
    <row r="79" spans="3:20">
      <c r="C79" s="21"/>
      <c r="D79" s="21"/>
      <c r="E79" s="21"/>
      <c r="F79" s="21"/>
      <c r="G79" s="21"/>
      <c r="H79" s="21"/>
      <c r="I79" s="21"/>
      <c r="J79" s="21"/>
      <c r="P79" s="21"/>
      <c r="Q79" s="21"/>
      <c r="R79" s="21"/>
      <c r="S79" s="21"/>
      <c r="T79" s="21"/>
    </row>
    <row r="80" spans="3:20">
      <c r="C80" s="21"/>
      <c r="D80" s="21"/>
      <c r="E80" s="21"/>
      <c r="F80" s="21"/>
      <c r="G80" s="21"/>
      <c r="H80" s="21"/>
      <c r="I80" s="21"/>
      <c r="J80" s="21"/>
      <c r="K80" s="21"/>
      <c r="L80" s="21"/>
      <c r="M80" s="21"/>
      <c r="N80" s="21"/>
      <c r="O80" s="21"/>
      <c r="P80" s="21"/>
      <c r="Q80" s="21"/>
      <c r="R80" s="21"/>
      <c r="S80" s="21"/>
      <c r="T80" s="21"/>
    </row>
    <row r="81" spans="3:20">
      <c r="C81" s="21"/>
      <c r="D81" s="21"/>
      <c r="E81" s="21"/>
      <c r="F81" s="21"/>
      <c r="G81" s="21"/>
      <c r="H81" s="21"/>
      <c r="I81" s="21"/>
      <c r="J81" s="21"/>
      <c r="K81" s="21"/>
      <c r="L81" s="21"/>
      <c r="M81" s="21"/>
      <c r="N81" s="21"/>
      <c r="O81" s="21"/>
      <c r="P81" s="21"/>
      <c r="Q81" s="21"/>
      <c r="R81" s="21"/>
      <c r="S81" s="21"/>
      <c r="T81" s="21"/>
    </row>
    <row r="82" spans="3:20">
      <c r="C82" s="21"/>
      <c r="D82" s="21"/>
      <c r="E82" s="21"/>
      <c r="F82" s="21"/>
      <c r="G82" s="21"/>
      <c r="H82" s="21"/>
      <c r="I82" s="21"/>
      <c r="J82" s="21"/>
      <c r="K82" s="21"/>
      <c r="L82" s="21"/>
      <c r="M82" s="21"/>
      <c r="N82" s="21"/>
      <c r="O82" s="21"/>
      <c r="P82" s="21"/>
      <c r="Q82" s="21"/>
      <c r="R82" s="21"/>
      <c r="S82" s="21"/>
      <c r="T82" s="21"/>
    </row>
    <row r="83" spans="3:20">
      <c r="C83" s="21"/>
      <c r="D83" s="21"/>
      <c r="E83" s="21"/>
      <c r="F83" s="21"/>
      <c r="G83" s="21"/>
      <c r="H83" s="21"/>
      <c r="I83" s="21"/>
      <c r="J83" s="21"/>
      <c r="K83" s="21"/>
      <c r="L83" s="21"/>
      <c r="M83" s="21"/>
      <c r="N83" s="21"/>
      <c r="O83" s="21"/>
      <c r="P83" s="21"/>
      <c r="Q83" s="21"/>
      <c r="R83" s="21"/>
      <c r="S83" s="21"/>
      <c r="T83" s="21"/>
    </row>
    <row r="84" spans="3:20">
      <c r="C84" s="21"/>
      <c r="D84" s="21"/>
      <c r="E84" s="21"/>
      <c r="F84" s="21"/>
      <c r="G84" s="21"/>
      <c r="H84" s="21"/>
      <c r="I84" s="21"/>
      <c r="J84" s="21"/>
      <c r="K84" s="21"/>
      <c r="L84" s="21"/>
      <c r="M84" s="21"/>
      <c r="N84" s="21"/>
      <c r="O84" s="21"/>
      <c r="P84" s="21"/>
      <c r="Q84" s="21"/>
      <c r="R84" s="21"/>
      <c r="S84" s="21"/>
      <c r="T84" s="21"/>
    </row>
    <row r="85" spans="3:20">
      <c r="C85" s="21"/>
      <c r="D85" s="21"/>
      <c r="E85" s="21"/>
      <c r="F85" s="21"/>
      <c r="G85" s="21"/>
      <c r="H85" s="21"/>
      <c r="I85" s="21"/>
      <c r="J85" s="21"/>
      <c r="K85" s="21"/>
      <c r="L85" s="21"/>
      <c r="M85" s="21"/>
      <c r="N85" s="21"/>
      <c r="O85" s="21"/>
      <c r="P85" s="21"/>
      <c r="Q85" s="21"/>
      <c r="R85" s="21"/>
      <c r="S85" s="21"/>
      <c r="T85" s="21"/>
    </row>
    <row r="86" spans="3:20">
      <c r="C86" s="21"/>
      <c r="D86" s="21"/>
      <c r="E86" s="21"/>
      <c r="F86" s="21"/>
      <c r="G86" s="21"/>
      <c r="H86" s="21"/>
      <c r="I86" s="21"/>
      <c r="J86" s="21"/>
      <c r="K86" s="21"/>
      <c r="L86" s="21"/>
      <c r="M86" s="21"/>
      <c r="N86" s="21"/>
      <c r="O86" s="21"/>
      <c r="P86" s="21"/>
      <c r="Q86" s="21"/>
      <c r="R86" s="21"/>
      <c r="S86" s="21"/>
      <c r="T86" s="21"/>
    </row>
    <row r="87" spans="3:20">
      <c r="C87" s="21"/>
      <c r="D87" s="21"/>
      <c r="E87" s="21"/>
      <c r="F87" s="21"/>
      <c r="G87" s="21"/>
      <c r="H87" s="21"/>
      <c r="I87" s="21"/>
      <c r="J87" s="21"/>
      <c r="K87" s="21"/>
      <c r="L87" s="21"/>
      <c r="M87" s="21"/>
      <c r="N87" s="21"/>
      <c r="O87" s="21"/>
      <c r="P87" s="21"/>
      <c r="Q87" s="21"/>
      <c r="R87" s="21"/>
      <c r="S87" s="21"/>
      <c r="T87" s="21"/>
    </row>
    <row r="88" spans="3:20">
      <c r="C88" s="21"/>
      <c r="D88" s="21"/>
      <c r="E88" s="21"/>
      <c r="F88" s="21"/>
      <c r="G88" s="21"/>
      <c r="H88" s="21"/>
      <c r="I88" s="21"/>
      <c r="J88" s="21"/>
      <c r="K88" s="21"/>
      <c r="L88" s="21"/>
      <c r="M88" s="21"/>
      <c r="N88" s="21"/>
      <c r="O88" s="21"/>
      <c r="P88" s="21"/>
      <c r="Q88" s="21"/>
      <c r="R88" s="21"/>
      <c r="S88" s="21"/>
      <c r="T88" s="21"/>
    </row>
    <row r="89" spans="3:20">
      <c r="C89" s="21"/>
      <c r="D89" s="21"/>
      <c r="E89" s="21"/>
      <c r="F89" s="21"/>
      <c r="G89" s="21"/>
      <c r="H89" s="21"/>
      <c r="I89" s="21"/>
      <c r="J89" s="21"/>
      <c r="K89" s="21"/>
      <c r="L89" s="21"/>
      <c r="M89" s="21"/>
      <c r="N89" s="21"/>
      <c r="O89" s="21"/>
      <c r="P89" s="21"/>
      <c r="Q89" s="21"/>
      <c r="R89" s="21"/>
      <c r="S89" s="21"/>
      <c r="T89" s="21"/>
    </row>
    <row r="90" spans="3:20">
      <c r="C90" s="21"/>
      <c r="D90" s="21"/>
      <c r="E90" s="21"/>
      <c r="F90" s="21"/>
      <c r="G90" s="21"/>
      <c r="H90" s="21"/>
      <c r="I90" s="21"/>
      <c r="J90" s="21"/>
      <c r="K90" s="21"/>
      <c r="L90" s="21"/>
      <c r="M90" s="21"/>
      <c r="N90" s="21"/>
      <c r="O90" s="21"/>
      <c r="P90" s="21"/>
      <c r="Q90" s="21"/>
      <c r="R90" s="21"/>
      <c r="S90" s="21"/>
      <c r="T90" s="21"/>
    </row>
    <row r="91" spans="3:20">
      <c r="C91" s="21"/>
      <c r="D91" s="21"/>
      <c r="E91" s="21"/>
      <c r="F91" s="21"/>
      <c r="G91" s="21"/>
      <c r="H91" s="21"/>
      <c r="I91" s="21"/>
      <c r="J91" s="21"/>
      <c r="K91" s="21"/>
      <c r="L91" s="21"/>
      <c r="M91" s="21"/>
      <c r="N91" s="21"/>
      <c r="O91" s="21"/>
      <c r="P91" s="21"/>
      <c r="Q91" s="21"/>
      <c r="R91" s="21"/>
      <c r="S91" s="21"/>
      <c r="T91" s="21"/>
    </row>
    <row r="92" spans="3:20">
      <c r="C92" s="21"/>
      <c r="D92" s="21"/>
      <c r="E92" s="21"/>
      <c r="F92" s="21"/>
      <c r="G92" s="21"/>
      <c r="H92" s="21"/>
      <c r="I92" s="21"/>
      <c r="J92" s="21"/>
      <c r="K92" s="21"/>
      <c r="L92" s="21"/>
      <c r="M92" s="21"/>
      <c r="N92" s="21"/>
      <c r="O92" s="21"/>
      <c r="P92" s="21"/>
      <c r="Q92" s="21"/>
      <c r="R92" s="21"/>
      <c r="S92" s="21"/>
      <c r="T92" s="21"/>
    </row>
    <row r="93" spans="3:20">
      <c r="C93" s="21"/>
      <c r="D93" s="21"/>
      <c r="E93" s="21"/>
      <c r="F93" s="21"/>
      <c r="G93" s="21"/>
      <c r="H93" s="21"/>
      <c r="I93" s="21"/>
      <c r="J93" s="21"/>
      <c r="K93" s="21"/>
      <c r="L93" s="21"/>
      <c r="M93" s="21"/>
      <c r="N93" s="21"/>
      <c r="O93" s="21"/>
      <c r="P93" s="21"/>
      <c r="Q93" s="21"/>
      <c r="R93" s="21"/>
      <c r="S93" s="21"/>
      <c r="T93" s="21"/>
    </row>
    <row r="94" spans="3:20">
      <c r="C94" s="21"/>
      <c r="D94" s="21"/>
      <c r="E94" s="21"/>
      <c r="F94" s="21"/>
      <c r="G94" s="21"/>
      <c r="H94" s="21"/>
      <c r="I94" s="21"/>
      <c r="J94" s="21"/>
      <c r="K94" s="21"/>
      <c r="L94" s="21"/>
      <c r="M94" s="21"/>
      <c r="N94" s="21"/>
      <c r="O94" s="21"/>
      <c r="P94" s="21"/>
      <c r="Q94" s="21"/>
      <c r="R94" s="21"/>
      <c r="S94" s="21"/>
      <c r="T94" s="21"/>
    </row>
    <row r="95" spans="3:20">
      <c r="C95" s="21"/>
      <c r="D95" s="21"/>
      <c r="E95" s="21"/>
      <c r="F95" s="21"/>
      <c r="G95" s="21"/>
      <c r="H95" s="21"/>
      <c r="I95" s="21"/>
      <c r="J95" s="21"/>
      <c r="K95" s="21"/>
      <c r="L95" s="21"/>
      <c r="M95" s="21"/>
      <c r="N95" s="21"/>
      <c r="O95" s="21"/>
      <c r="P95" s="21"/>
      <c r="Q95" s="21"/>
      <c r="R95" s="21"/>
      <c r="S95" s="21"/>
      <c r="T95" s="21"/>
    </row>
    <row r="96" spans="3:20">
      <c r="C96" s="21"/>
      <c r="D96" s="21"/>
      <c r="E96" s="21"/>
      <c r="F96" s="21"/>
      <c r="G96" s="21"/>
      <c r="H96" s="21"/>
      <c r="I96" s="21"/>
      <c r="J96" s="21"/>
      <c r="K96" s="21"/>
      <c r="L96" s="21"/>
      <c r="M96" s="21"/>
      <c r="N96" s="21"/>
      <c r="O96" s="21"/>
      <c r="P96" s="21"/>
      <c r="Q96" s="21"/>
      <c r="R96" s="21"/>
      <c r="S96" s="21"/>
      <c r="T96" s="21"/>
    </row>
    <row r="97" spans="3:20">
      <c r="C97" s="21"/>
      <c r="D97" s="21"/>
      <c r="E97" s="21"/>
      <c r="F97" s="21"/>
      <c r="G97" s="21"/>
      <c r="H97" s="21"/>
      <c r="I97" s="21"/>
      <c r="J97" s="21"/>
      <c r="K97" s="21"/>
      <c r="L97" s="21"/>
      <c r="M97" s="21"/>
      <c r="N97" s="21"/>
      <c r="O97" s="21"/>
      <c r="P97" s="21"/>
      <c r="Q97" s="21"/>
      <c r="R97" s="21"/>
      <c r="S97" s="21"/>
      <c r="T97" s="21"/>
    </row>
    <row r="98" spans="3:20">
      <c r="C98" s="21"/>
      <c r="D98" s="21"/>
      <c r="E98" s="21"/>
      <c r="F98" s="21"/>
      <c r="G98" s="21"/>
      <c r="H98" s="21"/>
      <c r="I98" s="21"/>
      <c r="J98" s="21"/>
      <c r="K98" s="21"/>
      <c r="L98" s="21"/>
      <c r="M98" s="21"/>
      <c r="N98" s="21"/>
      <c r="O98" s="21"/>
      <c r="P98" s="21"/>
      <c r="Q98" s="21"/>
      <c r="R98" s="21"/>
      <c r="S98" s="21"/>
      <c r="T98" s="21"/>
    </row>
    <row r="99" spans="3:20">
      <c r="C99" s="21"/>
      <c r="D99" s="21"/>
      <c r="E99" s="21"/>
      <c r="F99" s="21"/>
      <c r="G99" s="21"/>
      <c r="H99" s="21"/>
      <c r="I99" s="21"/>
      <c r="J99" s="21"/>
      <c r="K99" s="21"/>
      <c r="L99" s="21"/>
      <c r="M99" s="21"/>
      <c r="N99" s="21"/>
      <c r="O99" s="21"/>
      <c r="P99" s="21"/>
      <c r="Q99" s="21"/>
      <c r="R99" s="21"/>
      <c r="S99" s="21"/>
      <c r="T99" s="21"/>
    </row>
    <row r="100" spans="3:20">
      <c r="C100" s="21"/>
      <c r="D100" s="21"/>
      <c r="E100" s="21"/>
      <c r="F100" s="21"/>
      <c r="G100" s="21"/>
      <c r="H100" s="21"/>
      <c r="I100" s="21"/>
      <c r="J100" s="21"/>
      <c r="K100" s="21"/>
      <c r="L100" s="21"/>
      <c r="M100" s="21"/>
      <c r="N100" s="21"/>
      <c r="O100" s="21"/>
      <c r="P100" s="21"/>
      <c r="Q100" s="21"/>
      <c r="R100" s="21"/>
      <c r="S100" s="21"/>
      <c r="T100" s="21"/>
    </row>
    <row r="101" spans="3:20">
      <c r="C101" s="21"/>
      <c r="D101" s="21"/>
      <c r="E101" s="21"/>
      <c r="F101" s="21"/>
      <c r="G101" s="21"/>
      <c r="H101" s="21"/>
      <c r="I101" s="21"/>
      <c r="J101" s="21"/>
      <c r="K101" s="21"/>
      <c r="L101" s="21"/>
      <c r="M101" s="21"/>
      <c r="N101" s="21"/>
      <c r="O101" s="21"/>
      <c r="P101" s="21"/>
      <c r="Q101" s="21"/>
      <c r="R101" s="21"/>
      <c r="S101" s="21"/>
      <c r="T101" s="21"/>
    </row>
    <row r="102" spans="3:20">
      <c r="C102" s="21"/>
      <c r="D102" s="21"/>
      <c r="E102" s="21"/>
      <c r="F102" s="21"/>
      <c r="G102" s="21"/>
      <c r="H102" s="21"/>
      <c r="I102" s="21"/>
      <c r="J102" s="21"/>
      <c r="K102" s="21"/>
      <c r="L102" s="21"/>
      <c r="M102" s="21"/>
      <c r="N102" s="21"/>
      <c r="O102" s="21"/>
      <c r="P102" s="21"/>
      <c r="Q102" s="21"/>
      <c r="R102" s="21"/>
      <c r="S102" s="21"/>
      <c r="T102" s="21"/>
    </row>
    <row r="103" spans="3:20">
      <c r="C103" s="21"/>
      <c r="D103" s="21"/>
      <c r="E103" s="21"/>
      <c r="F103" s="21"/>
      <c r="G103" s="21"/>
      <c r="H103" s="21"/>
      <c r="I103" s="21"/>
      <c r="J103" s="21"/>
      <c r="K103" s="21"/>
      <c r="L103" s="21"/>
      <c r="M103" s="21"/>
      <c r="N103" s="21"/>
      <c r="O103" s="21"/>
      <c r="P103" s="21"/>
      <c r="Q103" s="21"/>
      <c r="R103" s="21"/>
      <c r="S103" s="21"/>
      <c r="T103" s="21"/>
    </row>
    <row r="104" spans="3:20">
      <c r="C104" s="21"/>
      <c r="D104" s="21"/>
      <c r="E104" s="21"/>
      <c r="F104" s="21"/>
      <c r="G104" s="21"/>
      <c r="H104" s="21"/>
      <c r="I104" s="21"/>
      <c r="J104" s="21"/>
      <c r="K104" s="21"/>
      <c r="L104" s="21"/>
      <c r="M104" s="21"/>
      <c r="N104" s="21"/>
      <c r="O104" s="21"/>
      <c r="P104" s="21"/>
      <c r="Q104" s="21"/>
      <c r="R104" s="21"/>
      <c r="S104" s="21"/>
      <c r="T104" s="21"/>
    </row>
    <row r="105" spans="3:20">
      <c r="C105" s="21"/>
      <c r="D105" s="21"/>
      <c r="E105" s="21"/>
      <c r="F105" s="21"/>
      <c r="G105" s="21"/>
      <c r="H105" s="21"/>
      <c r="I105" s="21"/>
      <c r="J105" s="21"/>
      <c r="K105" s="21"/>
      <c r="L105" s="21"/>
      <c r="M105" s="21"/>
      <c r="N105" s="21"/>
      <c r="O105" s="21"/>
      <c r="P105" s="21"/>
      <c r="Q105" s="21"/>
      <c r="R105" s="21"/>
      <c r="S105" s="21"/>
      <c r="T105" s="21"/>
    </row>
    <row r="106" spans="3:20">
      <c r="C106" s="21"/>
      <c r="D106" s="21"/>
      <c r="E106" s="21"/>
      <c r="F106" s="21"/>
      <c r="G106" s="21"/>
      <c r="H106" s="21"/>
      <c r="I106" s="21"/>
      <c r="J106" s="21"/>
      <c r="K106" s="21"/>
      <c r="L106" s="21"/>
      <c r="M106" s="21"/>
      <c r="N106" s="21"/>
      <c r="O106" s="21"/>
      <c r="P106" s="21"/>
      <c r="Q106" s="21"/>
      <c r="R106" s="21"/>
      <c r="S106" s="21"/>
      <c r="T106" s="21"/>
    </row>
    <row r="107" spans="3:20">
      <c r="C107" s="21"/>
      <c r="D107" s="21"/>
      <c r="E107" s="21"/>
      <c r="F107" s="21"/>
      <c r="G107" s="21"/>
      <c r="H107" s="21"/>
      <c r="I107" s="21"/>
      <c r="J107" s="21"/>
      <c r="K107" s="21"/>
      <c r="L107" s="21"/>
      <c r="M107" s="21"/>
      <c r="N107" s="21"/>
      <c r="O107" s="21"/>
      <c r="P107" s="21"/>
      <c r="Q107" s="21"/>
      <c r="R107" s="21"/>
      <c r="S107" s="21"/>
      <c r="T107" s="21"/>
    </row>
    <row r="108" spans="3:20">
      <c r="C108" s="21"/>
      <c r="D108" s="21"/>
      <c r="E108" s="21"/>
      <c r="F108" s="21"/>
      <c r="G108" s="21"/>
      <c r="H108" s="21"/>
      <c r="I108" s="21"/>
      <c r="J108" s="21"/>
      <c r="K108" s="21"/>
      <c r="L108" s="21"/>
      <c r="M108" s="21"/>
      <c r="N108" s="21"/>
      <c r="O108" s="21"/>
      <c r="P108" s="21"/>
      <c r="Q108" s="21"/>
      <c r="R108" s="21"/>
      <c r="S108" s="21"/>
      <c r="T108" s="21"/>
    </row>
    <row r="109" spans="3:20">
      <c r="C109" s="21"/>
      <c r="D109" s="21"/>
      <c r="E109" s="21"/>
      <c r="F109" s="21"/>
      <c r="G109" s="21"/>
      <c r="H109" s="21"/>
      <c r="I109" s="21"/>
      <c r="J109" s="21"/>
      <c r="K109" s="21"/>
      <c r="L109" s="21"/>
      <c r="M109" s="21"/>
      <c r="N109" s="21"/>
      <c r="O109" s="21"/>
      <c r="P109" s="21"/>
      <c r="Q109" s="21"/>
      <c r="R109" s="21"/>
      <c r="S109" s="21"/>
      <c r="T109" s="21"/>
    </row>
    <row r="110" spans="3:20">
      <c r="C110" s="21"/>
      <c r="D110" s="21"/>
      <c r="E110" s="21"/>
      <c r="F110" s="21"/>
      <c r="G110" s="21"/>
      <c r="H110" s="21"/>
      <c r="I110" s="21"/>
      <c r="J110" s="21"/>
      <c r="K110" s="21"/>
      <c r="L110" s="21"/>
      <c r="M110" s="21"/>
      <c r="N110" s="21"/>
      <c r="O110" s="21"/>
      <c r="P110" s="21"/>
      <c r="Q110" s="21"/>
      <c r="R110" s="21"/>
      <c r="S110" s="21"/>
      <c r="T110" s="21"/>
    </row>
    <row r="111" spans="3:20">
      <c r="C111" s="21"/>
      <c r="D111" s="21"/>
      <c r="E111" s="21"/>
      <c r="F111" s="21"/>
      <c r="G111" s="21"/>
      <c r="H111" s="21"/>
      <c r="I111" s="21"/>
      <c r="J111" s="21"/>
      <c r="K111" s="21"/>
      <c r="L111" s="21"/>
      <c r="M111" s="21"/>
      <c r="N111" s="21"/>
      <c r="O111" s="21"/>
      <c r="P111" s="21"/>
      <c r="Q111" s="21"/>
      <c r="R111" s="21"/>
      <c r="S111" s="21"/>
      <c r="T111" s="21"/>
    </row>
    <row r="112" spans="3:20">
      <c r="C112" s="21"/>
      <c r="D112" s="21"/>
      <c r="E112" s="21"/>
      <c r="F112" s="21"/>
      <c r="G112" s="21"/>
      <c r="H112" s="21"/>
      <c r="I112" s="21"/>
      <c r="J112" s="21"/>
      <c r="K112" s="21"/>
      <c r="L112" s="21"/>
      <c r="M112" s="21"/>
      <c r="N112" s="21"/>
      <c r="O112" s="21"/>
      <c r="P112" s="21"/>
      <c r="Q112" s="21"/>
      <c r="R112" s="21"/>
      <c r="S112" s="21"/>
      <c r="T112" s="21"/>
    </row>
    <row r="113" spans="3:20">
      <c r="C113" s="21"/>
      <c r="D113" s="21"/>
      <c r="E113" s="21"/>
      <c r="F113" s="21"/>
      <c r="G113" s="21"/>
      <c r="H113" s="21"/>
      <c r="I113" s="21"/>
      <c r="J113" s="21"/>
      <c r="K113" s="21"/>
      <c r="L113" s="21"/>
      <c r="M113" s="21"/>
      <c r="N113" s="21"/>
      <c r="O113" s="21"/>
      <c r="P113" s="21"/>
      <c r="Q113" s="21"/>
      <c r="R113" s="21"/>
      <c r="S113" s="21"/>
      <c r="T113" s="21"/>
    </row>
    <row r="114" spans="3:20">
      <c r="C114" s="21"/>
      <c r="D114" s="21"/>
      <c r="E114" s="21"/>
      <c r="F114" s="21"/>
      <c r="G114" s="21"/>
      <c r="H114" s="21"/>
      <c r="I114" s="21"/>
      <c r="J114" s="21"/>
      <c r="K114" s="21"/>
      <c r="L114" s="21"/>
      <c r="M114" s="21"/>
      <c r="N114" s="21"/>
      <c r="O114" s="21"/>
      <c r="P114" s="21"/>
      <c r="Q114" s="21"/>
      <c r="R114" s="21"/>
      <c r="S114" s="21"/>
      <c r="T114" s="21"/>
    </row>
    <row r="115" spans="3:20">
      <c r="C115" s="21"/>
      <c r="D115" s="21"/>
      <c r="E115" s="21"/>
      <c r="F115" s="21"/>
      <c r="G115" s="21"/>
      <c r="H115" s="21"/>
      <c r="I115" s="21"/>
      <c r="J115" s="21"/>
      <c r="K115" s="21"/>
      <c r="L115" s="21"/>
      <c r="M115" s="21"/>
      <c r="N115" s="21"/>
      <c r="O115" s="21"/>
      <c r="P115" s="21"/>
      <c r="Q115" s="21"/>
      <c r="R115" s="21"/>
      <c r="S115" s="21"/>
      <c r="T115" s="21"/>
    </row>
    <row r="116" spans="3:20">
      <c r="C116" s="21"/>
      <c r="D116" s="21"/>
      <c r="E116" s="21"/>
      <c r="F116" s="21"/>
      <c r="G116" s="21"/>
      <c r="H116" s="21"/>
      <c r="I116" s="21"/>
      <c r="J116" s="21"/>
      <c r="K116" s="21"/>
      <c r="L116" s="21"/>
      <c r="M116" s="21"/>
      <c r="N116" s="21"/>
      <c r="O116" s="21"/>
      <c r="P116" s="21"/>
      <c r="Q116" s="21"/>
      <c r="R116" s="21"/>
      <c r="S116" s="21"/>
      <c r="T116" s="21"/>
    </row>
    <row r="117" spans="3:20">
      <c r="C117" s="21"/>
      <c r="D117" s="21"/>
      <c r="E117" s="21"/>
      <c r="F117" s="21"/>
      <c r="G117" s="21"/>
      <c r="H117" s="21"/>
      <c r="I117" s="21"/>
      <c r="J117" s="21"/>
      <c r="K117" s="21"/>
      <c r="L117" s="21"/>
      <c r="M117" s="21"/>
      <c r="N117" s="21"/>
      <c r="O117" s="21"/>
      <c r="P117" s="21"/>
      <c r="Q117" s="21"/>
      <c r="R117" s="21"/>
      <c r="S117" s="21"/>
      <c r="T117" s="21"/>
    </row>
    <row r="118" spans="3:20">
      <c r="C118" s="21"/>
      <c r="D118" s="21"/>
      <c r="E118" s="21"/>
      <c r="F118" s="21"/>
      <c r="G118" s="21"/>
      <c r="H118" s="21"/>
      <c r="I118" s="21"/>
      <c r="J118" s="21"/>
      <c r="K118" s="21"/>
      <c r="L118" s="21"/>
      <c r="M118" s="21"/>
      <c r="N118" s="21"/>
      <c r="O118" s="21"/>
      <c r="P118" s="21"/>
      <c r="Q118" s="21"/>
      <c r="R118" s="21"/>
      <c r="S118" s="21"/>
      <c r="T118" s="21"/>
    </row>
    <row r="119" spans="3:20">
      <c r="C119" s="21"/>
      <c r="D119" s="21"/>
      <c r="E119" s="21"/>
      <c r="F119" s="21"/>
      <c r="G119" s="21"/>
      <c r="H119" s="21"/>
      <c r="I119" s="21"/>
      <c r="J119" s="21"/>
      <c r="K119" s="21"/>
      <c r="L119" s="21"/>
      <c r="M119" s="21"/>
      <c r="N119" s="21"/>
      <c r="O119" s="21"/>
      <c r="P119" s="21"/>
      <c r="Q119" s="21"/>
      <c r="R119" s="21"/>
      <c r="S119" s="21"/>
      <c r="T119" s="21"/>
    </row>
    <row r="120" spans="3:20">
      <c r="C120" s="21"/>
      <c r="D120" s="21"/>
      <c r="E120" s="21"/>
      <c r="F120" s="21"/>
      <c r="G120" s="21"/>
      <c r="H120" s="21"/>
      <c r="I120" s="21"/>
      <c r="J120" s="21"/>
      <c r="K120" s="21"/>
      <c r="L120" s="21"/>
      <c r="M120" s="21"/>
      <c r="N120" s="21"/>
      <c r="O120" s="21"/>
      <c r="P120" s="21"/>
      <c r="Q120" s="21"/>
      <c r="R120" s="21"/>
      <c r="S120" s="21"/>
      <c r="T120" s="21"/>
    </row>
    <row r="121" spans="3:20">
      <c r="C121" s="21"/>
      <c r="D121" s="21"/>
      <c r="E121" s="21"/>
      <c r="F121" s="21"/>
      <c r="G121" s="21"/>
      <c r="H121" s="21"/>
      <c r="I121" s="21"/>
      <c r="J121" s="21"/>
      <c r="K121" s="21"/>
      <c r="L121" s="21"/>
      <c r="M121" s="21"/>
      <c r="N121" s="21"/>
      <c r="O121" s="21"/>
      <c r="P121" s="21"/>
      <c r="Q121" s="21"/>
      <c r="R121" s="21"/>
      <c r="S121" s="21"/>
      <c r="T121" s="21"/>
    </row>
    <row r="122" spans="3:20">
      <c r="C122" s="21"/>
      <c r="D122" s="21"/>
      <c r="E122" s="21"/>
      <c r="F122" s="21"/>
      <c r="G122" s="21"/>
      <c r="H122" s="21"/>
      <c r="I122" s="21"/>
      <c r="J122" s="21"/>
      <c r="K122" s="21"/>
      <c r="L122" s="21"/>
      <c r="M122" s="21"/>
      <c r="N122" s="21"/>
      <c r="O122" s="21"/>
      <c r="P122" s="21"/>
      <c r="Q122" s="21"/>
      <c r="R122" s="21"/>
      <c r="S122" s="21"/>
      <c r="T122" s="21"/>
    </row>
    <row r="123" spans="3:20">
      <c r="C123" s="21"/>
      <c r="D123" s="21"/>
      <c r="E123" s="21"/>
      <c r="F123" s="21"/>
      <c r="G123" s="21"/>
      <c r="H123" s="21"/>
      <c r="I123" s="21"/>
      <c r="J123" s="21"/>
      <c r="K123" s="21"/>
      <c r="L123" s="21"/>
      <c r="M123" s="21"/>
      <c r="N123" s="21"/>
      <c r="O123" s="21"/>
      <c r="P123" s="21"/>
      <c r="Q123" s="21"/>
      <c r="R123" s="21"/>
      <c r="S123" s="21"/>
      <c r="T123" s="21"/>
    </row>
    <row r="124" spans="3:20">
      <c r="C124" s="21"/>
      <c r="D124" s="21"/>
      <c r="E124" s="21"/>
      <c r="F124" s="21"/>
      <c r="G124" s="21"/>
      <c r="H124" s="21"/>
      <c r="I124" s="21"/>
      <c r="J124" s="21"/>
      <c r="K124" s="21"/>
      <c r="L124" s="21"/>
      <c r="M124" s="21"/>
      <c r="N124" s="21"/>
      <c r="O124" s="21"/>
      <c r="P124" s="21"/>
      <c r="Q124" s="21"/>
      <c r="R124" s="21"/>
      <c r="S124" s="21"/>
      <c r="T124" s="21"/>
    </row>
    <row r="125" spans="3:20">
      <c r="C125" s="21"/>
      <c r="D125" s="21"/>
      <c r="E125" s="21"/>
      <c r="F125" s="21"/>
      <c r="G125" s="21"/>
      <c r="H125" s="21"/>
      <c r="I125" s="21"/>
      <c r="J125" s="21"/>
      <c r="K125" s="21"/>
      <c r="L125" s="21"/>
      <c r="M125" s="21"/>
      <c r="N125" s="21"/>
      <c r="O125" s="21"/>
      <c r="P125" s="21"/>
      <c r="Q125" s="21"/>
      <c r="R125" s="21"/>
      <c r="S125" s="21"/>
      <c r="T125" s="21"/>
    </row>
    <row r="126" spans="3:20">
      <c r="C126" s="21"/>
      <c r="D126" s="21"/>
      <c r="E126" s="21"/>
      <c r="F126" s="21"/>
      <c r="G126" s="21"/>
      <c r="H126" s="21"/>
      <c r="I126" s="21"/>
      <c r="J126" s="21"/>
      <c r="K126" s="21"/>
      <c r="L126" s="21"/>
      <c r="M126" s="21"/>
      <c r="N126" s="21"/>
      <c r="O126" s="21"/>
      <c r="P126" s="21"/>
      <c r="Q126" s="21"/>
      <c r="R126" s="21"/>
      <c r="S126" s="21"/>
      <c r="T126" s="21"/>
    </row>
    <row r="127" spans="3:20">
      <c r="C127" s="21"/>
      <c r="D127" s="21"/>
      <c r="E127" s="21"/>
      <c r="F127" s="21"/>
      <c r="G127" s="21"/>
      <c r="H127" s="21"/>
      <c r="I127" s="21"/>
      <c r="J127" s="21"/>
      <c r="K127" s="21"/>
      <c r="L127" s="21"/>
      <c r="M127" s="21"/>
      <c r="N127" s="21"/>
      <c r="O127" s="21"/>
      <c r="P127" s="21"/>
      <c r="Q127" s="21"/>
      <c r="R127" s="21"/>
      <c r="S127" s="21"/>
      <c r="T127" s="21"/>
    </row>
    <row r="128" spans="3:20">
      <c r="C128" s="21"/>
      <c r="D128" s="21"/>
      <c r="E128" s="21"/>
      <c r="F128" s="21"/>
      <c r="G128" s="21"/>
      <c r="H128" s="21"/>
      <c r="I128" s="21"/>
      <c r="J128" s="21"/>
      <c r="K128" s="21"/>
      <c r="L128" s="21"/>
      <c r="M128" s="21"/>
      <c r="N128" s="21"/>
      <c r="O128" s="21"/>
      <c r="P128" s="21"/>
      <c r="Q128" s="21"/>
      <c r="R128" s="21"/>
      <c r="S128" s="21"/>
      <c r="T128" s="21"/>
    </row>
    <row r="129" spans="3:20">
      <c r="C129" s="21"/>
      <c r="D129" s="21"/>
      <c r="E129" s="21"/>
      <c r="F129" s="21"/>
      <c r="G129" s="21"/>
      <c r="H129" s="21"/>
      <c r="I129" s="21"/>
      <c r="J129" s="21"/>
      <c r="K129" s="21"/>
      <c r="L129" s="21"/>
      <c r="M129" s="21"/>
      <c r="N129" s="21"/>
      <c r="O129" s="21"/>
      <c r="P129" s="21"/>
      <c r="Q129" s="21"/>
      <c r="R129" s="21"/>
      <c r="S129" s="21"/>
      <c r="T129" s="21"/>
    </row>
    <row r="130" spans="3:20">
      <c r="C130" s="21"/>
      <c r="D130" s="21"/>
      <c r="E130" s="21"/>
      <c r="F130" s="21"/>
      <c r="G130" s="21"/>
      <c r="H130" s="21"/>
      <c r="I130" s="21"/>
      <c r="J130" s="21"/>
      <c r="K130" s="21"/>
      <c r="L130" s="21"/>
      <c r="M130" s="21"/>
      <c r="N130" s="21"/>
      <c r="O130" s="21"/>
      <c r="P130" s="21"/>
      <c r="Q130" s="21"/>
      <c r="R130" s="21"/>
      <c r="S130" s="21"/>
      <c r="T130" s="21"/>
    </row>
    <row r="131" spans="3:20">
      <c r="C131" s="21"/>
      <c r="D131" s="21"/>
      <c r="E131" s="21"/>
      <c r="F131" s="21"/>
      <c r="G131" s="21"/>
      <c r="H131" s="21"/>
      <c r="I131" s="21"/>
      <c r="J131" s="21"/>
      <c r="K131" s="21"/>
      <c r="L131" s="21"/>
      <c r="M131" s="21"/>
      <c r="N131" s="21"/>
      <c r="O131" s="21"/>
      <c r="P131" s="21"/>
      <c r="Q131" s="21"/>
      <c r="R131" s="21"/>
      <c r="S131" s="21"/>
      <c r="T131" s="21"/>
    </row>
    <row r="132" spans="3:20">
      <c r="C132" s="21"/>
      <c r="D132" s="21"/>
      <c r="E132" s="21"/>
      <c r="F132" s="21"/>
      <c r="G132" s="21"/>
      <c r="H132" s="21"/>
      <c r="I132" s="21"/>
      <c r="J132" s="21"/>
      <c r="K132" s="21"/>
      <c r="L132" s="21"/>
      <c r="M132" s="21"/>
      <c r="N132" s="21"/>
      <c r="O132" s="21"/>
      <c r="P132" s="21"/>
      <c r="Q132" s="21"/>
      <c r="R132" s="21"/>
      <c r="S132" s="21"/>
      <c r="T132" s="21"/>
    </row>
    <row r="133" spans="3:20">
      <c r="C133" s="21"/>
      <c r="D133" s="21"/>
      <c r="E133" s="21"/>
      <c r="F133" s="21"/>
      <c r="G133" s="21"/>
      <c r="H133" s="21"/>
      <c r="I133" s="21"/>
      <c r="J133" s="21"/>
      <c r="K133" s="21"/>
      <c r="L133" s="21"/>
      <c r="M133" s="21"/>
      <c r="N133" s="21"/>
      <c r="O133" s="21"/>
      <c r="P133" s="21"/>
      <c r="Q133" s="21"/>
      <c r="R133" s="21"/>
      <c r="S133" s="21"/>
      <c r="T133" s="21"/>
    </row>
    <row r="134" spans="3:20">
      <c r="C134" s="21"/>
      <c r="D134" s="21"/>
      <c r="E134" s="21"/>
      <c r="F134" s="21"/>
      <c r="G134" s="21"/>
      <c r="H134" s="21"/>
      <c r="I134" s="21"/>
      <c r="J134" s="21"/>
      <c r="K134" s="21"/>
      <c r="L134" s="21"/>
      <c r="M134" s="21"/>
      <c r="N134" s="21"/>
      <c r="O134" s="21"/>
      <c r="P134" s="21"/>
      <c r="Q134" s="21"/>
      <c r="R134" s="21"/>
      <c r="S134" s="21"/>
      <c r="T134" s="21"/>
    </row>
    <row r="135" spans="3:20">
      <c r="C135" s="21"/>
      <c r="D135" s="21"/>
      <c r="E135" s="21"/>
      <c r="F135" s="21"/>
      <c r="G135" s="21"/>
      <c r="H135" s="21"/>
      <c r="I135" s="21"/>
      <c r="J135" s="21"/>
      <c r="K135" s="21"/>
      <c r="L135" s="21"/>
      <c r="M135" s="21"/>
      <c r="N135" s="21"/>
      <c r="O135" s="21"/>
      <c r="P135" s="21"/>
      <c r="Q135" s="21"/>
      <c r="R135" s="21"/>
      <c r="S135" s="21"/>
      <c r="T135" s="21"/>
    </row>
    <row r="136" spans="3:20">
      <c r="C136" s="21"/>
      <c r="D136" s="21"/>
      <c r="E136" s="21"/>
      <c r="F136" s="21"/>
      <c r="G136" s="21"/>
      <c r="H136" s="21"/>
      <c r="I136" s="21"/>
      <c r="J136" s="21"/>
      <c r="K136" s="21"/>
      <c r="L136" s="21"/>
      <c r="M136" s="21"/>
      <c r="N136" s="21"/>
      <c r="O136" s="21"/>
      <c r="P136" s="21"/>
      <c r="Q136" s="21"/>
      <c r="R136" s="21"/>
      <c r="S136" s="21"/>
      <c r="T136" s="21"/>
    </row>
    <row r="137" spans="3:20">
      <c r="C137" s="21"/>
      <c r="D137" s="21"/>
      <c r="E137" s="21"/>
      <c r="F137" s="21"/>
      <c r="G137" s="21"/>
      <c r="H137" s="21"/>
      <c r="I137" s="21"/>
      <c r="J137" s="21"/>
      <c r="K137" s="21"/>
      <c r="L137" s="21"/>
      <c r="M137" s="21"/>
      <c r="N137" s="21"/>
      <c r="O137" s="21"/>
      <c r="P137" s="21"/>
      <c r="Q137" s="21"/>
      <c r="R137" s="21"/>
      <c r="S137" s="21"/>
      <c r="T137" s="21"/>
    </row>
    <row r="138" spans="3:20">
      <c r="C138" s="21"/>
      <c r="D138" s="21"/>
      <c r="E138" s="21"/>
      <c r="F138" s="21"/>
      <c r="G138" s="21"/>
      <c r="H138" s="21"/>
      <c r="I138" s="21"/>
      <c r="J138" s="21"/>
      <c r="K138" s="21"/>
      <c r="L138" s="21"/>
      <c r="M138" s="21"/>
      <c r="N138" s="21"/>
      <c r="O138" s="21"/>
      <c r="P138" s="21"/>
      <c r="Q138" s="21"/>
      <c r="R138" s="21"/>
      <c r="S138" s="21"/>
      <c r="T138" s="21"/>
    </row>
    <row r="139" spans="3:20">
      <c r="C139" s="21"/>
      <c r="D139" s="21"/>
      <c r="E139" s="21"/>
      <c r="F139" s="21"/>
      <c r="G139" s="21"/>
      <c r="H139" s="21"/>
      <c r="I139" s="21"/>
      <c r="J139" s="21"/>
      <c r="K139" s="21"/>
      <c r="L139" s="21"/>
      <c r="M139" s="21"/>
      <c r="N139" s="21"/>
      <c r="O139" s="21"/>
      <c r="P139" s="21"/>
      <c r="Q139" s="21"/>
      <c r="R139" s="21"/>
      <c r="S139" s="21"/>
      <c r="T139" s="21"/>
    </row>
    <row r="140" spans="3:20">
      <c r="C140" s="21"/>
      <c r="D140" s="21"/>
      <c r="E140" s="21"/>
      <c r="F140" s="21"/>
      <c r="G140" s="21"/>
      <c r="H140" s="21"/>
      <c r="I140" s="21"/>
      <c r="J140" s="21"/>
      <c r="K140" s="21"/>
      <c r="L140" s="21"/>
      <c r="M140" s="21"/>
      <c r="N140" s="21"/>
      <c r="O140" s="21"/>
      <c r="P140" s="21"/>
      <c r="Q140" s="21"/>
      <c r="R140" s="21"/>
      <c r="S140" s="21"/>
      <c r="T140" s="21"/>
    </row>
    <row r="141" spans="3:20">
      <c r="C141" s="21"/>
      <c r="D141" s="21"/>
      <c r="E141" s="21"/>
      <c r="F141" s="21"/>
      <c r="G141" s="21"/>
      <c r="H141" s="21"/>
      <c r="I141" s="21"/>
      <c r="J141" s="21"/>
      <c r="K141" s="21"/>
      <c r="L141" s="21"/>
      <c r="M141" s="21"/>
      <c r="N141" s="21"/>
      <c r="O141" s="21"/>
      <c r="P141" s="21"/>
      <c r="Q141" s="21"/>
      <c r="R141" s="21"/>
      <c r="S141" s="21"/>
      <c r="T141" s="21"/>
    </row>
    <row r="142" spans="3:20">
      <c r="C142" s="21"/>
      <c r="D142" s="21"/>
      <c r="E142" s="21"/>
      <c r="F142" s="21"/>
      <c r="G142" s="21"/>
      <c r="H142" s="21"/>
      <c r="I142" s="21"/>
      <c r="J142" s="21"/>
      <c r="K142" s="21"/>
      <c r="L142" s="21"/>
      <c r="M142" s="21"/>
      <c r="N142" s="21"/>
      <c r="O142" s="21"/>
      <c r="P142" s="21"/>
      <c r="Q142" s="21"/>
      <c r="R142" s="21"/>
      <c r="S142" s="21"/>
      <c r="T142" s="21"/>
    </row>
    <row r="143" spans="3:20">
      <c r="C143" s="21"/>
      <c r="D143" s="21"/>
      <c r="E143" s="21"/>
      <c r="F143" s="21"/>
      <c r="G143" s="21"/>
      <c r="H143" s="21"/>
      <c r="I143" s="21"/>
      <c r="J143" s="21"/>
      <c r="K143" s="21"/>
      <c r="L143" s="21"/>
      <c r="M143" s="21"/>
      <c r="N143" s="21"/>
      <c r="O143" s="21"/>
      <c r="P143" s="21"/>
      <c r="Q143" s="21"/>
      <c r="R143" s="21"/>
      <c r="S143" s="21"/>
      <c r="T143" s="21"/>
    </row>
    <row r="144" spans="3:20">
      <c r="C144" s="21"/>
      <c r="D144" s="21"/>
      <c r="E144" s="21"/>
      <c r="F144" s="21"/>
      <c r="G144" s="21"/>
      <c r="H144" s="21"/>
      <c r="I144" s="21"/>
      <c r="J144" s="21"/>
      <c r="K144" s="21"/>
      <c r="L144" s="21"/>
      <c r="M144" s="21"/>
      <c r="N144" s="21"/>
      <c r="O144" s="21"/>
      <c r="P144" s="21"/>
      <c r="Q144" s="21"/>
      <c r="R144" s="21"/>
      <c r="S144" s="21"/>
      <c r="T144" s="21"/>
    </row>
    <row r="145" spans="3:20">
      <c r="C145" s="21"/>
      <c r="D145" s="21"/>
      <c r="E145" s="21"/>
      <c r="F145" s="21"/>
      <c r="G145" s="21"/>
      <c r="H145" s="21"/>
      <c r="I145" s="21"/>
      <c r="J145" s="21"/>
      <c r="K145" s="21"/>
      <c r="L145" s="21"/>
      <c r="M145" s="21"/>
      <c r="N145" s="21"/>
      <c r="O145" s="21"/>
      <c r="P145" s="21"/>
      <c r="Q145" s="21"/>
      <c r="R145" s="21"/>
      <c r="S145" s="21"/>
      <c r="T145" s="21"/>
    </row>
    <row r="146" spans="3:20">
      <c r="C146" s="21"/>
      <c r="D146" s="21"/>
      <c r="E146" s="21"/>
      <c r="F146" s="21"/>
      <c r="G146" s="21"/>
      <c r="H146" s="21"/>
      <c r="I146" s="21"/>
      <c r="J146" s="21"/>
      <c r="K146" s="21"/>
      <c r="L146" s="21"/>
      <c r="M146" s="21"/>
      <c r="N146" s="21"/>
      <c r="O146" s="21"/>
      <c r="P146" s="21"/>
      <c r="Q146" s="21"/>
      <c r="R146" s="21"/>
      <c r="S146" s="21"/>
      <c r="T146" s="21"/>
    </row>
    <row r="147" spans="3:20">
      <c r="C147" s="21"/>
      <c r="D147" s="21"/>
      <c r="E147" s="21"/>
      <c r="F147" s="21"/>
      <c r="G147" s="21"/>
      <c r="H147" s="21"/>
      <c r="I147" s="21"/>
      <c r="J147" s="21"/>
      <c r="K147" s="21"/>
      <c r="L147" s="21"/>
      <c r="M147" s="21"/>
      <c r="N147" s="21"/>
      <c r="O147" s="21"/>
      <c r="P147" s="21"/>
      <c r="Q147" s="21"/>
      <c r="R147" s="21"/>
      <c r="S147" s="21"/>
      <c r="T147" s="21"/>
    </row>
    <row r="148" spans="3:20">
      <c r="C148" s="21"/>
      <c r="D148" s="21"/>
      <c r="E148" s="21"/>
      <c r="F148" s="21"/>
      <c r="G148" s="21"/>
      <c r="H148" s="21"/>
      <c r="I148" s="21"/>
      <c r="J148" s="21"/>
      <c r="K148" s="21"/>
      <c r="L148" s="21"/>
      <c r="M148" s="21"/>
      <c r="N148" s="21"/>
      <c r="O148" s="21"/>
      <c r="P148" s="21"/>
      <c r="Q148" s="21"/>
      <c r="R148" s="21"/>
      <c r="S148" s="21"/>
      <c r="T148" s="21"/>
    </row>
    <row r="149" spans="3:20">
      <c r="C149" s="21"/>
      <c r="D149" s="21"/>
      <c r="E149" s="21"/>
      <c r="F149" s="21"/>
      <c r="G149" s="21"/>
      <c r="H149" s="21"/>
      <c r="I149" s="21"/>
      <c r="J149" s="21"/>
      <c r="K149" s="21"/>
      <c r="L149" s="21"/>
      <c r="M149" s="21"/>
      <c r="N149" s="21"/>
      <c r="O149" s="21"/>
      <c r="P149" s="21"/>
      <c r="Q149" s="21"/>
      <c r="R149" s="21"/>
      <c r="S149" s="21"/>
      <c r="T149" s="21"/>
    </row>
    <row r="150" spans="3:20">
      <c r="C150" s="21"/>
      <c r="D150" s="21"/>
      <c r="E150" s="21"/>
      <c r="F150" s="21"/>
      <c r="G150" s="21"/>
      <c r="H150" s="21"/>
      <c r="I150" s="21"/>
      <c r="J150" s="21"/>
      <c r="K150" s="21"/>
      <c r="L150" s="21"/>
      <c r="M150" s="21"/>
      <c r="N150" s="21"/>
      <c r="O150" s="21"/>
      <c r="P150" s="21"/>
      <c r="Q150" s="21"/>
      <c r="R150" s="21"/>
      <c r="S150" s="21"/>
      <c r="T150" s="21"/>
    </row>
    <row r="151" spans="3:20">
      <c r="C151" s="21"/>
      <c r="D151" s="21"/>
      <c r="E151" s="21"/>
      <c r="F151" s="21"/>
      <c r="G151" s="21"/>
      <c r="H151" s="21"/>
      <c r="I151" s="21"/>
      <c r="J151" s="21"/>
      <c r="K151" s="21"/>
      <c r="L151" s="21"/>
      <c r="M151" s="21"/>
      <c r="N151" s="21"/>
      <c r="O151" s="21"/>
      <c r="P151" s="21"/>
      <c r="Q151" s="21"/>
      <c r="R151" s="21"/>
      <c r="S151" s="21"/>
      <c r="T151" s="21"/>
    </row>
    <row r="152" spans="3:20">
      <c r="C152" s="21"/>
      <c r="D152" s="21"/>
      <c r="E152" s="21"/>
      <c r="F152" s="21"/>
      <c r="G152" s="21"/>
      <c r="H152" s="21"/>
      <c r="I152" s="21"/>
      <c r="J152" s="21"/>
      <c r="K152" s="21"/>
      <c r="L152" s="21"/>
      <c r="M152" s="21"/>
      <c r="N152" s="21"/>
      <c r="O152" s="21"/>
      <c r="P152" s="21"/>
      <c r="Q152" s="21"/>
      <c r="R152" s="21"/>
      <c r="S152" s="21"/>
      <c r="T152" s="21"/>
    </row>
    <row r="153" spans="3:20">
      <c r="C153" s="21"/>
      <c r="D153" s="21"/>
      <c r="E153" s="21"/>
      <c r="F153" s="21"/>
      <c r="G153" s="21"/>
      <c r="H153" s="21"/>
      <c r="I153" s="21"/>
      <c r="J153" s="21"/>
      <c r="K153" s="21"/>
      <c r="L153" s="21"/>
      <c r="M153" s="21"/>
      <c r="N153" s="21"/>
      <c r="O153" s="21"/>
      <c r="P153" s="21"/>
      <c r="Q153" s="21"/>
      <c r="R153" s="21"/>
      <c r="S153" s="21"/>
      <c r="T153" s="21"/>
    </row>
    <row r="154" spans="3:20">
      <c r="C154" s="21"/>
      <c r="D154" s="21"/>
      <c r="E154" s="21"/>
      <c r="F154" s="21"/>
      <c r="G154" s="21"/>
      <c r="H154" s="21"/>
      <c r="I154" s="21"/>
      <c r="J154" s="21"/>
      <c r="K154" s="21"/>
      <c r="L154" s="21"/>
      <c r="M154" s="21"/>
      <c r="N154" s="21"/>
      <c r="O154" s="21"/>
      <c r="P154" s="21"/>
      <c r="Q154" s="21"/>
      <c r="R154" s="21"/>
      <c r="S154" s="21"/>
      <c r="T154" s="21"/>
    </row>
    <row r="155" spans="3:20">
      <c r="C155" s="21"/>
      <c r="D155" s="21"/>
      <c r="E155" s="21"/>
      <c r="F155" s="21"/>
      <c r="G155" s="21"/>
      <c r="H155" s="21"/>
      <c r="I155" s="21"/>
      <c r="J155" s="21"/>
      <c r="K155" s="21"/>
      <c r="L155" s="21"/>
      <c r="M155" s="21"/>
      <c r="N155" s="21"/>
      <c r="O155" s="21"/>
      <c r="P155" s="21"/>
      <c r="Q155" s="21"/>
      <c r="R155" s="21"/>
      <c r="S155" s="21"/>
      <c r="T155" s="21"/>
    </row>
    <row r="156" spans="3:20">
      <c r="C156" s="21"/>
      <c r="D156" s="21"/>
      <c r="E156" s="21"/>
      <c r="F156" s="21"/>
      <c r="G156" s="21"/>
      <c r="H156" s="21"/>
      <c r="I156" s="21"/>
      <c r="J156" s="21"/>
      <c r="K156" s="21"/>
      <c r="L156" s="21"/>
      <c r="M156" s="21"/>
      <c r="N156" s="21"/>
      <c r="O156" s="21"/>
      <c r="P156" s="21"/>
      <c r="Q156" s="21"/>
      <c r="R156" s="21"/>
      <c r="S156" s="21"/>
      <c r="T156" s="21"/>
    </row>
    <row r="157" spans="3:20">
      <c r="C157" s="21"/>
      <c r="D157" s="21"/>
      <c r="E157" s="21"/>
      <c r="F157" s="21"/>
      <c r="G157" s="21"/>
      <c r="H157" s="21"/>
      <c r="I157" s="21"/>
      <c r="J157" s="21"/>
      <c r="K157" s="21"/>
      <c r="L157" s="21"/>
      <c r="M157" s="21"/>
      <c r="N157" s="21"/>
      <c r="O157" s="21"/>
      <c r="P157" s="21"/>
      <c r="Q157" s="21"/>
      <c r="R157" s="21"/>
      <c r="S157" s="21"/>
      <c r="T157" s="21"/>
    </row>
    <row r="158" spans="3:20">
      <c r="C158" s="21"/>
      <c r="D158" s="21"/>
      <c r="E158" s="21"/>
      <c r="F158" s="21"/>
      <c r="G158" s="21"/>
      <c r="H158" s="21"/>
      <c r="I158" s="21"/>
      <c r="J158" s="21"/>
      <c r="K158" s="21"/>
      <c r="L158" s="21"/>
      <c r="M158" s="21"/>
      <c r="N158" s="21"/>
      <c r="O158" s="21"/>
      <c r="P158" s="21"/>
      <c r="Q158" s="21"/>
      <c r="R158" s="21"/>
      <c r="S158" s="21"/>
      <c r="T158" s="21"/>
    </row>
    <row r="159" spans="3:20">
      <c r="C159" s="21"/>
      <c r="D159" s="21"/>
      <c r="E159" s="21"/>
      <c r="F159" s="21"/>
      <c r="G159" s="21"/>
      <c r="H159" s="21"/>
      <c r="I159" s="21"/>
      <c r="J159" s="21"/>
      <c r="K159" s="21"/>
      <c r="L159" s="21"/>
      <c r="M159" s="21"/>
      <c r="N159" s="21"/>
      <c r="O159" s="21"/>
      <c r="P159" s="21"/>
      <c r="Q159" s="21"/>
      <c r="R159" s="21"/>
      <c r="S159" s="21"/>
      <c r="T159" s="21"/>
    </row>
    <row r="160" spans="3:20">
      <c r="C160" s="21"/>
      <c r="D160" s="21"/>
      <c r="E160" s="21"/>
      <c r="F160" s="21"/>
      <c r="G160" s="21"/>
      <c r="H160" s="21"/>
      <c r="I160" s="21"/>
      <c r="J160" s="21"/>
      <c r="K160" s="21"/>
      <c r="L160" s="21"/>
      <c r="M160" s="21"/>
      <c r="N160" s="21"/>
      <c r="O160" s="21"/>
      <c r="P160" s="21"/>
      <c r="Q160" s="21"/>
      <c r="R160" s="21"/>
      <c r="S160" s="21"/>
      <c r="T160" s="21"/>
    </row>
    <row r="161" spans="3:20">
      <c r="C161" s="21"/>
      <c r="D161" s="21"/>
      <c r="E161" s="21"/>
      <c r="F161" s="21"/>
      <c r="G161" s="21"/>
      <c r="H161" s="21"/>
      <c r="I161" s="21"/>
      <c r="J161" s="21"/>
      <c r="K161" s="21"/>
      <c r="L161" s="21"/>
      <c r="M161" s="21"/>
      <c r="N161" s="21"/>
      <c r="O161" s="21"/>
      <c r="P161" s="21"/>
      <c r="Q161" s="21"/>
      <c r="R161" s="21"/>
      <c r="S161" s="21"/>
      <c r="T161" s="21"/>
    </row>
    <row r="162" spans="3:20">
      <c r="C162" s="21"/>
      <c r="D162" s="21"/>
      <c r="E162" s="21"/>
      <c r="F162" s="21"/>
      <c r="G162" s="21"/>
      <c r="H162" s="21"/>
      <c r="I162" s="21"/>
      <c r="J162" s="21"/>
      <c r="K162" s="21"/>
      <c r="L162" s="21"/>
      <c r="M162" s="21"/>
      <c r="N162" s="21"/>
      <c r="O162" s="21"/>
      <c r="P162" s="21"/>
      <c r="Q162" s="21"/>
      <c r="R162" s="21"/>
      <c r="S162" s="21"/>
      <c r="T162" s="21"/>
    </row>
    <row r="163" spans="3:20">
      <c r="C163" s="21"/>
      <c r="D163" s="21"/>
      <c r="E163" s="21"/>
      <c r="F163" s="21"/>
      <c r="G163" s="21"/>
      <c r="H163" s="21"/>
      <c r="I163" s="21"/>
      <c r="J163" s="21"/>
      <c r="K163" s="21"/>
      <c r="L163" s="21"/>
      <c r="M163" s="21"/>
      <c r="N163" s="21"/>
      <c r="O163" s="21"/>
      <c r="P163" s="21"/>
      <c r="Q163" s="21"/>
      <c r="R163" s="21"/>
      <c r="S163" s="21"/>
      <c r="T163" s="21"/>
    </row>
    <row r="164" spans="3:20">
      <c r="C164" s="21"/>
      <c r="D164" s="21"/>
      <c r="E164" s="21"/>
      <c r="F164" s="21"/>
      <c r="G164" s="21"/>
      <c r="H164" s="21"/>
      <c r="I164" s="21"/>
      <c r="J164" s="21"/>
      <c r="K164" s="21"/>
      <c r="L164" s="21"/>
      <c r="M164" s="21"/>
      <c r="N164" s="21"/>
      <c r="O164" s="21"/>
      <c r="P164" s="21"/>
      <c r="Q164" s="21"/>
      <c r="R164" s="21"/>
      <c r="S164" s="21"/>
      <c r="T164" s="21"/>
    </row>
    <row r="165" spans="3:20">
      <c r="C165" s="21"/>
      <c r="D165" s="21"/>
      <c r="E165" s="21"/>
      <c r="F165" s="21"/>
      <c r="G165" s="21"/>
      <c r="H165" s="21"/>
      <c r="I165" s="21"/>
      <c r="J165" s="21"/>
      <c r="K165" s="21"/>
      <c r="L165" s="21"/>
      <c r="M165" s="21"/>
      <c r="N165" s="21"/>
      <c r="O165" s="21"/>
      <c r="P165" s="21"/>
      <c r="Q165" s="21"/>
      <c r="R165" s="21"/>
      <c r="S165" s="21"/>
      <c r="T165" s="21"/>
    </row>
    <row r="166" spans="3:20">
      <c r="C166" s="21"/>
      <c r="D166" s="21"/>
      <c r="E166" s="21"/>
      <c r="F166" s="21"/>
      <c r="G166" s="21"/>
      <c r="H166" s="21"/>
      <c r="I166" s="21"/>
      <c r="J166" s="21"/>
      <c r="K166" s="21"/>
      <c r="L166" s="21"/>
      <c r="M166" s="21"/>
      <c r="N166" s="21"/>
      <c r="O166" s="21"/>
      <c r="P166" s="21"/>
      <c r="Q166" s="21"/>
      <c r="R166" s="21"/>
      <c r="S166" s="21"/>
      <c r="T166" s="21"/>
    </row>
    <row r="167" spans="3:20">
      <c r="C167" s="21"/>
      <c r="D167" s="21"/>
      <c r="E167" s="21"/>
      <c r="F167" s="21"/>
      <c r="G167" s="21"/>
      <c r="H167" s="21"/>
      <c r="I167" s="21"/>
      <c r="J167" s="21"/>
      <c r="K167" s="21"/>
      <c r="L167" s="21"/>
      <c r="M167" s="21"/>
      <c r="N167" s="21"/>
      <c r="O167" s="21"/>
      <c r="P167" s="21"/>
      <c r="Q167" s="21"/>
      <c r="R167" s="21"/>
      <c r="S167" s="21"/>
      <c r="T167" s="21"/>
    </row>
    <row r="168" spans="3:20">
      <c r="C168" s="21"/>
      <c r="D168" s="21"/>
      <c r="E168" s="21"/>
      <c r="F168" s="21"/>
      <c r="G168" s="21"/>
      <c r="H168" s="21"/>
      <c r="I168" s="21"/>
      <c r="J168" s="21"/>
      <c r="K168" s="21"/>
      <c r="L168" s="21"/>
      <c r="M168" s="21"/>
      <c r="N168" s="21"/>
      <c r="O168" s="21"/>
      <c r="P168" s="21"/>
      <c r="Q168" s="21"/>
      <c r="R168" s="21"/>
      <c r="S168" s="21"/>
      <c r="T168" s="21"/>
    </row>
    <row r="169" spans="3:20">
      <c r="C169" s="21"/>
      <c r="D169" s="21"/>
      <c r="E169" s="21"/>
      <c r="F169" s="21"/>
      <c r="G169" s="21"/>
      <c r="H169" s="21"/>
      <c r="I169" s="21"/>
      <c r="J169" s="21"/>
      <c r="K169" s="21"/>
      <c r="L169" s="21"/>
      <c r="M169" s="21"/>
      <c r="N169" s="21"/>
      <c r="O169" s="21"/>
      <c r="P169" s="21"/>
      <c r="Q169" s="21"/>
      <c r="R169" s="21"/>
      <c r="S169" s="21"/>
      <c r="T169" s="21"/>
    </row>
    <row r="170" spans="3:20">
      <c r="C170" s="21"/>
      <c r="D170" s="21"/>
      <c r="E170" s="21"/>
      <c r="F170" s="21"/>
      <c r="G170" s="21"/>
      <c r="H170" s="21"/>
      <c r="I170" s="21"/>
      <c r="J170" s="21"/>
      <c r="K170" s="21"/>
      <c r="L170" s="21"/>
      <c r="M170" s="21"/>
      <c r="N170" s="21"/>
      <c r="O170" s="21"/>
      <c r="P170" s="21"/>
      <c r="Q170" s="21"/>
      <c r="R170" s="21"/>
      <c r="S170" s="21"/>
      <c r="T170" s="21"/>
    </row>
    <row r="171" spans="3:20">
      <c r="C171" s="21"/>
      <c r="D171" s="21"/>
      <c r="E171" s="21"/>
      <c r="F171" s="21"/>
      <c r="G171" s="21"/>
      <c r="H171" s="21"/>
      <c r="I171" s="21"/>
      <c r="J171" s="21"/>
      <c r="K171" s="21"/>
      <c r="L171" s="21"/>
      <c r="M171" s="21"/>
      <c r="N171" s="21"/>
      <c r="O171" s="21"/>
      <c r="P171" s="21"/>
      <c r="Q171" s="21"/>
      <c r="R171" s="21"/>
      <c r="S171" s="21"/>
      <c r="T171" s="21"/>
    </row>
    <row r="172" spans="3:20">
      <c r="C172" s="21"/>
      <c r="D172" s="21"/>
      <c r="E172" s="21"/>
      <c r="F172" s="21"/>
      <c r="G172" s="21"/>
      <c r="H172" s="21"/>
      <c r="I172" s="21"/>
      <c r="J172" s="21"/>
      <c r="K172" s="21"/>
      <c r="L172" s="21"/>
      <c r="M172" s="21"/>
      <c r="N172" s="21"/>
      <c r="O172" s="21"/>
      <c r="P172" s="21"/>
      <c r="Q172" s="21"/>
      <c r="R172" s="21"/>
      <c r="S172" s="21"/>
      <c r="T172" s="21"/>
    </row>
    <row r="173" spans="3:20">
      <c r="C173" s="21"/>
      <c r="D173" s="21"/>
      <c r="E173" s="21"/>
      <c r="F173" s="21"/>
      <c r="G173" s="21"/>
      <c r="H173" s="21"/>
      <c r="I173" s="21"/>
      <c r="J173" s="21"/>
      <c r="K173" s="21"/>
      <c r="L173" s="21"/>
      <c r="M173" s="21"/>
      <c r="N173" s="21"/>
      <c r="O173" s="21"/>
      <c r="P173" s="21"/>
      <c r="Q173" s="21"/>
      <c r="R173" s="21"/>
      <c r="S173" s="21"/>
      <c r="T173" s="21"/>
    </row>
    <row r="174" spans="3:20">
      <c r="C174" s="21"/>
      <c r="D174" s="21"/>
      <c r="E174" s="21"/>
      <c r="F174" s="21"/>
      <c r="G174" s="21"/>
      <c r="H174" s="21"/>
      <c r="I174" s="21"/>
      <c r="J174" s="21"/>
      <c r="K174" s="21"/>
      <c r="L174" s="21"/>
      <c r="M174" s="21"/>
      <c r="N174" s="21"/>
      <c r="O174" s="21"/>
      <c r="P174" s="21"/>
      <c r="Q174" s="21"/>
      <c r="R174" s="21"/>
      <c r="S174" s="21"/>
      <c r="T174" s="21"/>
    </row>
    <row r="175" spans="3:20">
      <c r="C175" s="21"/>
      <c r="D175" s="21"/>
      <c r="E175" s="21"/>
      <c r="F175" s="21"/>
      <c r="G175" s="21"/>
      <c r="H175" s="21"/>
      <c r="I175" s="21"/>
      <c r="J175" s="21"/>
      <c r="K175" s="21"/>
      <c r="L175" s="21"/>
      <c r="M175" s="21"/>
      <c r="N175" s="21"/>
      <c r="O175" s="21"/>
      <c r="P175" s="21"/>
      <c r="Q175" s="21"/>
      <c r="R175" s="21"/>
      <c r="S175" s="21"/>
      <c r="T175" s="21"/>
    </row>
    <row r="176" spans="3:20">
      <c r="C176" s="21"/>
      <c r="D176" s="21"/>
      <c r="E176" s="21"/>
      <c r="F176" s="21"/>
      <c r="G176" s="21"/>
      <c r="H176" s="21"/>
      <c r="I176" s="21"/>
      <c r="J176" s="21"/>
      <c r="K176" s="21"/>
      <c r="L176" s="21"/>
      <c r="M176" s="21"/>
      <c r="N176" s="21"/>
      <c r="O176" s="21"/>
      <c r="P176" s="21"/>
      <c r="Q176" s="21"/>
      <c r="R176" s="21"/>
      <c r="S176" s="21"/>
      <c r="T176" s="21"/>
    </row>
    <row r="177" spans="3:20">
      <c r="C177" s="21"/>
      <c r="D177" s="21"/>
      <c r="E177" s="21"/>
      <c r="F177" s="21"/>
      <c r="G177" s="21"/>
      <c r="H177" s="21"/>
      <c r="I177" s="21"/>
      <c r="J177" s="21"/>
      <c r="K177" s="21"/>
      <c r="L177" s="21"/>
      <c r="M177" s="21"/>
      <c r="N177" s="21"/>
      <c r="O177" s="21"/>
      <c r="P177" s="21"/>
      <c r="Q177" s="21"/>
      <c r="R177" s="21"/>
      <c r="S177" s="21"/>
      <c r="T177" s="21"/>
    </row>
    <row r="178" spans="3:20">
      <c r="C178" s="21"/>
      <c r="D178" s="21"/>
      <c r="E178" s="21"/>
      <c r="F178" s="21"/>
      <c r="G178" s="21"/>
      <c r="H178" s="21"/>
      <c r="I178" s="21"/>
      <c r="J178" s="21"/>
      <c r="K178" s="21"/>
      <c r="L178" s="21"/>
      <c r="M178" s="21"/>
      <c r="N178" s="21"/>
      <c r="O178" s="21"/>
      <c r="P178" s="21"/>
      <c r="Q178" s="21"/>
      <c r="R178" s="21"/>
      <c r="S178" s="21"/>
      <c r="T178" s="21"/>
    </row>
    <row r="179" spans="3:20">
      <c r="C179" s="21"/>
      <c r="D179" s="21"/>
      <c r="E179" s="21"/>
      <c r="F179" s="21"/>
      <c r="G179" s="21"/>
      <c r="H179" s="21"/>
      <c r="I179" s="21"/>
      <c r="J179" s="21"/>
      <c r="K179" s="21"/>
      <c r="L179" s="21"/>
      <c r="M179" s="21"/>
      <c r="N179" s="21"/>
      <c r="O179" s="21"/>
      <c r="P179" s="21"/>
      <c r="Q179" s="21"/>
      <c r="R179" s="21"/>
      <c r="S179" s="21"/>
      <c r="T179" s="21"/>
    </row>
    <row r="180" spans="3:20">
      <c r="C180" s="21"/>
      <c r="D180" s="21"/>
      <c r="E180" s="21"/>
      <c r="F180" s="21"/>
      <c r="G180" s="21"/>
      <c r="H180" s="21"/>
      <c r="I180" s="21"/>
      <c r="J180" s="21"/>
      <c r="K180" s="21"/>
      <c r="L180" s="21"/>
      <c r="M180" s="21"/>
      <c r="N180" s="21"/>
      <c r="O180" s="21"/>
      <c r="P180" s="21"/>
      <c r="Q180" s="21"/>
      <c r="R180" s="21"/>
      <c r="S180" s="21"/>
      <c r="T180" s="21"/>
    </row>
    <row r="181" spans="3:20">
      <c r="C181" s="21"/>
      <c r="D181" s="21"/>
      <c r="E181" s="21"/>
      <c r="F181" s="21"/>
      <c r="G181" s="21"/>
      <c r="H181" s="21"/>
      <c r="I181" s="21"/>
      <c r="J181" s="21"/>
      <c r="K181" s="21"/>
      <c r="L181" s="21"/>
      <c r="M181" s="21"/>
      <c r="N181" s="21"/>
      <c r="O181" s="21"/>
      <c r="P181" s="21"/>
      <c r="Q181" s="21"/>
      <c r="R181" s="21"/>
      <c r="S181" s="21"/>
      <c r="T181" s="21"/>
    </row>
    <row r="182" spans="3:20">
      <c r="C182" s="21"/>
      <c r="D182" s="21"/>
      <c r="E182" s="21"/>
      <c r="F182" s="21"/>
      <c r="G182" s="21"/>
      <c r="H182" s="21"/>
      <c r="I182" s="21"/>
      <c r="J182" s="21"/>
      <c r="K182" s="21"/>
      <c r="L182" s="21"/>
      <c r="M182" s="21"/>
      <c r="N182" s="21"/>
      <c r="O182" s="21"/>
      <c r="P182" s="21"/>
      <c r="Q182" s="21"/>
      <c r="R182" s="21"/>
      <c r="S182" s="21"/>
      <c r="T182" s="21"/>
    </row>
    <row r="183" spans="3:20">
      <c r="C183" s="21"/>
      <c r="D183" s="21"/>
      <c r="E183" s="21"/>
      <c r="F183" s="21"/>
      <c r="G183" s="21"/>
      <c r="H183" s="21"/>
      <c r="I183" s="21"/>
      <c r="J183" s="21"/>
      <c r="K183" s="21"/>
      <c r="L183" s="21"/>
      <c r="M183" s="21"/>
      <c r="N183" s="21"/>
      <c r="O183" s="21"/>
      <c r="P183" s="21"/>
      <c r="Q183" s="21"/>
      <c r="R183" s="21"/>
      <c r="S183" s="21"/>
      <c r="T183" s="21"/>
    </row>
    <row r="184" spans="3:20">
      <c r="C184" s="21"/>
      <c r="D184" s="21"/>
      <c r="E184" s="21"/>
      <c r="F184" s="21"/>
      <c r="G184" s="21"/>
      <c r="H184" s="21"/>
      <c r="I184" s="21"/>
      <c r="J184" s="21"/>
      <c r="K184" s="21"/>
      <c r="L184" s="21"/>
      <c r="M184" s="21"/>
      <c r="N184" s="21"/>
      <c r="O184" s="21"/>
      <c r="P184" s="21"/>
      <c r="Q184" s="21"/>
      <c r="R184" s="21"/>
      <c r="S184" s="21"/>
      <c r="T184" s="21"/>
    </row>
    <row r="185" spans="3:20">
      <c r="C185" s="21"/>
      <c r="D185" s="21"/>
      <c r="E185" s="21"/>
      <c r="F185" s="21"/>
      <c r="G185" s="21"/>
      <c r="H185" s="21"/>
      <c r="I185" s="21"/>
      <c r="J185" s="21"/>
      <c r="K185" s="21"/>
      <c r="L185" s="21"/>
      <c r="M185" s="21"/>
      <c r="N185" s="21"/>
      <c r="O185" s="21"/>
      <c r="P185" s="21"/>
      <c r="Q185" s="21"/>
      <c r="R185" s="21"/>
      <c r="S185" s="21"/>
      <c r="T185" s="21"/>
    </row>
    <row r="186" spans="3:20">
      <c r="C186" s="21"/>
      <c r="D186" s="21"/>
      <c r="E186" s="21"/>
      <c r="F186" s="21"/>
      <c r="G186" s="21"/>
      <c r="H186" s="21"/>
      <c r="I186" s="21"/>
      <c r="J186" s="21"/>
      <c r="K186" s="21"/>
      <c r="L186" s="21"/>
      <c r="M186" s="21"/>
      <c r="N186" s="21"/>
      <c r="O186" s="21"/>
      <c r="P186" s="21"/>
      <c r="Q186" s="21"/>
      <c r="R186" s="21"/>
      <c r="S186" s="21"/>
      <c r="T186" s="21"/>
    </row>
    <row r="187" spans="3:20">
      <c r="C187" s="21"/>
      <c r="D187" s="21"/>
      <c r="E187" s="21"/>
      <c r="F187" s="21"/>
      <c r="G187" s="21"/>
      <c r="H187" s="21"/>
      <c r="I187" s="21"/>
      <c r="J187" s="21"/>
      <c r="K187" s="21"/>
      <c r="L187" s="21"/>
      <c r="M187" s="21"/>
      <c r="N187" s="21"/>
      <c r="O187" s="21"/>
      <c r="P187" s="21"/>
      <c r="Q187" s="21"/>
      <c r="R187" s="21"/>
      <c r="S187" s="21"/>
      <c r="T187" s="21"/>
    </row>
    <row r="188" spans="3:20">
      <c r="C188" s="21"/>
      <c r="D188" s="21"/>
      <c r="E188" s="21"/>
      <c r="F188" s="21"/>
      <c r="G188" s="21"/>
      <c r="H188" s="21"/>
      <c r="I188" s="21"/>
      <c r="J188" s="21"/>
      <c r="K188" s="21"/>
      <c r="L188" s="21"/>
      <c r="M188" s="21"/>
      <c r="N188" s="21"/>
      <c r="O188" s="21"/>
      <c r="P188" s="21"/>
      <c r="Q188" s="21"/>
      <c r="R188" s="21"/>
      <c r="S188" s="21"/>
      <c r="T188" s="21"/>
    </row>
    <row r="189" spans="3:20">
      <c r="C189" s="21"/>
      <c r="D189" s="21"/>
      <c r="E189" s="21"/>
      <c r="F189" s="21"/>
      <c r="G189" s="21"/>
      <c r="H189" s="21"/>
      <c r="I189" s="21"/>
      <c r="J189" s="21"/>
      <c r="K189" s="21"/>
      <c r="L189" s="21"/>
      <c r="M189" s="21"/>
      <c r="N189" s="21"/>
      <c r="O189" s="21"/>
      <c r="P189" s="21"/>
      <c r="Q189" s="21"/>
      <c r="R189" s="21"/>
      <c r="S189" s="21"/>
      <c r="T189" s="21"/>
    </row>
    <row r="190" spans="3:20">
      <c r="C190" s="21"/>
      <c r="D190" s="21"/>
      <c r="E190" s="21"/>
      <c r="F190" s="21"/>
      <c r="G190" s="21"/>
      <c r="H190" s="21"/>
      <c r="I190" s="21"/>
      <c r="J190" s="21"/>
      <c r="K190" s="21"/>
      <c r="L190" s="21"/>
      <c r="M190" s="21"/>
      <c r="N190" s="21"/>
      <c r="O190" s="21"/>
      <c r="P190" s="21"/>
      <c r="Q190" s="21"/>
      <c r="R190" s="21"/>
      <c r="S190" s="21"/>
      <c r="T190" s="21"/>
    </row>
    <row r="191" spans="3:20">
      <c r="C191" s="21"/>
      <c r="D191" s="21"/>
      <c r="E191" s="21"/>
      <c r="F191" s="21"/>
      <c r="G191" s="21"/>
      <c r="H191" s="21"/>
      <c r="I191" s="21"/>
      <c r="J191" s="21"/>
      <c r="K191" s="21"/>
      <c r="L191" s="21"/>
      <c r="M191" s="21"/>
      <c r="N191" s="21"/>
      <c r="O191" s="21"/>
      <c r="P191" s="21"/>
      <c r="Q191" s="21"/>
      <c r="R191" s="21"/>
      <c r="S191" s="21"/>
      <c r="T191" s="21"/>
    </row>
    <row r="192" spans="3:20">
      <c r="C192" s="21"/>
      <c r="D192" s="21"/>
      <c r="E192" s="21"/>
      <c r="F192" s="21"/>
      <c r="G192" s="21"/>
      <c r="H192" s="21"/>
      <c r="I192" s="21"/>
      <c r="J192" s="21"/>
      <c r="K192" s="21"/>
      <c r="L192" s="21"/>
      <c r="M192" s="21"/>
      <c r="N192" s="21"/>
      <c r="O192" s="21"/>
      <c r="P192" s="21"/>
      <c r="Q192" s="21"/>
      <c r="R192" s="21"/>
      <c r="S192" s="21"/>
      <c r="T192" s="21"/>
    </row>
    <row r="193" spans="3:20">
      <c r="C193" s="21"/>
      <c r="D193" s="21"/>
      <c r="E193" s="21"/>
      <c r="F193" s="21"/>
      <c r="G193" s="21"/>
      <c r="H193" s="21"/>
      <c r="I193" s="21"/>
      <c r="J193" s="21"/>
      <c r="K193" s="21"/>
      <c r="L193" s="21"/>
      <c r="M193" s="21"/>
      <c r="N193" s="21"/>
      <c r="O193" s="21"/>
      <c r="P193" s="21"/>
      <c r="Q193" s="21"/>
      <c r="R193" s="21"/>
      <c r="S193" s="21"/>
      <c r="T193" s="21"/>
    </row>
    <row r="194" spans="3:20">
      <c r="C194" s="21"/>
      <c r="D194" s="21"/>
      <c r="E194" s="21"/>
      <c r="F194" s="21"/>
      <c r="G194" s="21"/>
      <c r="H194" s="21"/>
      <c r="I194" s="21"/>
      <c r="J194" s="21"/>
      <c r="K194" s="21"/>
      <c r="L194" s="21"/>
      <c r="M194" s="21"/>
      <c r="N194" s="21"/>
      <c r="O194" s="21"/>
      <c r="P194" s="21"/>
      <c r="Q194" s="21"/>
      <c r="R194" s="21"/>
      <c r="S194" s="21"/>
      <c r="T194" s="21"/>
    </row>
    <row r="195" spans="3:20">
      <c r="C195" s="21"/>
      <c r="D195" s="21"/>
      <c r="E195" s="21"/>
      <c r="F195" s="21"/>
      <c r="G195" s="21"/>
      <c r="H195" s="21"/>
      <c r="I195" s="21"/>
      <c r="J195" s="21"/>
      <c r="K195" s="21"/>
      <c r="L195" s="21"/>
      <c r="M195" s="21"/>
      <c r="N195" s="21"/>
      <c r="O195" s="21"/>
      <c r="P195" s="21"/>
      <c r="Q195" s="21"/>
      <c r="R195" s="21"/>
      <c r="S195" s="21"/>
      <c r="T195" s="21"/>
    </row>
    <row r="196" spans="3:20">
      <c r="C196" s="21"/>
      <c r="D196" s="21"/>
      <c r="E196" s="21"/>
      <c r="F196" s="21"/>
      <c r="G196" s="21"/>
      <c r="H196" s="21"/>
      <c r="I196" s="21"/>
      <c r="J196" s="21"/>
      <c r="K196" s="21"/>
      <c r="L196" s="21"/>
      <c r="M196" s="21"/>
      <c r="N196" s="21"/>
      <c r="O196" s="21"/>
      <c r="P196" s="21"/>
      <c r="Q196" s="21"/>
      <c r="R196" s="21"/>
      <c r="S196" s="21"/>
      <c r="T196" s="21"/>
    </row>
    <row r="197" spans="3:20">
      <c r="C197" s="21"/>
      <c r="D197" s="21"/>
      <c r="E197" s="21"/>
      <c r="F197" s="21"/>
      <c r="G197" s="21"/>
      <c r="H197" s="21"/>
      <c r="I197" s="21"/>
      <c r="J197" s="21"/>
      <c r="K197" s="21"/>
      <c r="L197" s="21"/>
      <c r="M197" s="21"/>
      <c r="N197" s="21"/>
      <c r="O197" s="21"/>
      <c r="P197" s="21"/>
      <c r="Q197" s="21"/>
      <c r="R197" s="21"/>
      <c r="S197" s="21"/>
      <c r="T197" s="21"/>
    </row>
    <row r="198" spans="3:20">
      <c r="C198" s="21"/>
      <c r="D198" s="21"/>
      <c r="E198" s="21"/>
      <c r="F198" s="21"/>
      <c r="G198" s="21"/>
      <c r="H198" s="21"/>
      <c r="I198" s="21"/>
      <c r="J198" s="21"/>
      <c r="K198" s="21"/>
      <c r="L198" s="21"/>
      <c r="M198" s="21"/>
      <c r="N198" s="21"/>
      <c r="O198" s="21"/>
      <c r="P198" s="21"/>
      <c r="Q198" s="21"/>
      <c r="R198" s="21"/>
      <c r="S198" s="21"/>
      <c r="T198" s="21"/>
    </row>
    <row r="199" spans="3:20">
      <c r="C199" s="21"/>
      <c r="D199" s="21"/>
      <c r="E199" s="21"/>
      <c r="F199" s="21"/>
      <c r="G199" s="21"/>
      <c r="H199" s="21"/>
      <c r="I199" s="21"/>
      <c r="J199" s="21"/>
      <c r="K199" s="21"/>
      <c r="L199" s="21"/>
      <c r="M199" s="21"/>
      <c r="N199" s="21"/>
      <c r="O199" s="21"/>
      <c r="P199" s="21"/>
      <c r="Q199" s="21"/>
      <c r="R199" s="21"/>
      <c r="S199" s="21"/>
      <c r="T199" s="21"/>
    </row>
    <row r="200" spans="3:20">
      <c r="C200" s="21"/>
      <c r="D200" s="21"/>
      <c r="E200" s="21"/>
      <c r="F200" s="21"/>
      <c r="G200" s="21"/>
      <c r="H200" s="21"/>
      <c r="I200" s="21"/>
      <c r="J200" s="21"/>
      <c r="K200" s="21"/>
      <c r="L200" s="21"/>
      <c r="M200" s="21"/>
      <c r="N200" s="21"/>
      <c r="O200" s="21"/>
      <c r="P200" s="21"/>
      <c r="Q200" s="21"/>
      <c r="R200" s="21"/>
      <c r="S200" s="21"/>
      <c r="T200" s="21"/>
    </row>
    <row r="201" spans="3:20">
      <c r="C201" s="21"/>
      <c r="D201" s="21"/>
      <c r="E201" s="21"/>
      <c r="F201" s="21"/>
      <c r="G201" s="21"/>
      <c r="H201" s="21"/>
      <c r="I201" s="21"/>
      <c r="J201" s="21"/>
      <c r="K201" s="21"/>
      <c r="L201" s="21"/>
      <c r="M201" s="21"/>
      <c r="N201" s="21"/>
      <c r="O201" s="21"/>
      <c r="P201" s="21"/>
      <c r="Q201" s="21"/>
      <c r="R201" s="21"/>
      <c r="S201" s="21"/>
      <c r="T201" s="21"/>
    </row>
    <row r="202" spans="3:20">
      <c r="C202" s="21"/>
      <c r="D202" s="21"/>
      <c r="E202" s="21"/>
      <c r="F202" s="21"/>
      <c r="G202" s="21"/>
      <c r="H202" s="21"/>
      <c r="I202" s="21"/>
      <c r="J202" s="21"/>
      <c r="K202" s="21"/>
      <c r="L202" s="21"/>
      <c r="M202" s="21"/>
      <c r="N202" s="21"/>
      <c r="O202" s="21"/>
      <c r="P202" s="21"/>
      <c r="Q202" s="21"/>
      <c r="R202" s="21"/>
      <c r="S202" s="21"/>
      <c r="T202" s="21"/>
    </row>
    <row r="203" spans="3:20">
      <c r="C203" s="21"/>
      <c r="D203" s="21"/>
      <c r="E203" s="21"/>
      <c r="F203" s="21"/>
      <c r="G203" s="21"/>
      <c r="H203" s="21"/>
      <c r="I203" s="21"/>
      <c r="J203" s="21"/>
      <c r="K203" s="21"/>
      <c r="L203" s="21"/>
      <c r="M203" s="21"/>
      <c r="N203" s="21"/>
      <c r="O203" s="21"/>
      <c r="P203" s="21"/>
      <c r="Q203" s="21"/>
      <c r="R203" s="21"/>
      <c r="S203" s="21"/>
      <c r="T203" s="21"/>
    </row>
    <row r="204" spans="3:20">
      <c r="C204" s="21"/>
      <c r="D204" s="21"/>
      <c r="E204" s="21"/>
      <c r="F204" s="21"/>
      <c r="G204" s="21"/>
      <c r="H204" s="21"/>
      <c r="I204" s="21"/>
      <c r="J204" s="21"/>
      <c r="K204" s="21"/>
      <c r="L204" s="21"/>
      <c r="M204" s="21"/>
      <c r="N204" s="21"/>
      <c r="O204" s="21"/>
      <c r="P204" s="21"/>
      <c r="Q204" s="21"/>
      <c r="R204" s="21"/>
      <c r="S204" s="21"/>
      <c r="T204" s="21"/>
    </row>
    <row r="205" spans="3:20">
      <c r="C205" s="21"/>
      <c r="D205" s="21"/>
      <c r="E205" s="21"/>
      <c r="F205" s="21"/>
      <c r="G205" s="21"/>
      <c r="H205" s="21"/>
      <c r="I205" s="21"/>
      <c r="J205" s="21"/>
      <c r="K205" s="21"/>
      <c r="L205" s="21"/>
      <c r="M205" s="21"/>
      <c r="N205" s="21"/>
      <c r="O205" s="21"/>
      <c r="P205" s="21"/>
      <c r="Q205" s="21"/>
      <c r="R205" s="21"/>
      <c r="S205" s="21"/>
      <c r="T205" s="21"/>
    </row>
    <row r="206" spans="3:20">
      <c r="C206" s="21"/>
      <c r="D206" s="21"/>
      <c r="E206" s="21"/>
      <c r="F206" s="21"/>
      <c r="G206" s="21"/>
      <c r="H206" s="21"/>
      <c r="I206" s="21"/>
      <c r="J206" s="21"/>
      <c r="K206" s="21"/>
      <c r="L206" s="21"/>
      <c r="M206" s="21"/>
      <c r="N206" s="21"/>
      <c r="O206" s="21"/>
      <c r="P206" s="21"/>
      <c r="Q206" s="21"/>
      <c r="R206" s="21"/>
      <c r="S206" s="21"/>
      <c r="T206" s="21"/>
    </row>
    <row r="207" spans="3:20">
      <c r="C207" s="21"/>
      <c r="D207" s="21"/>
      <c r="E207" s="21"/>
      <c r="F207" s="21"/>
      <c r="G207" s="21"/>
      <c r="H207" s="21"/>
      <c r="I207" s="21"/>
      <c r="J207" s="21"/>
      <c r="K207" s="21"/>
      <c r="L207" s="21"/>
      <c r="M207" s="21"/>
      <c r="N207" s="21"/>
      <c r="O207" s="21"/>
      <c r="P207" s="21"/>
      <c r="Q207" s="21"/>
      <c r="R207" s="21"/>
      <c r="S207" s="21"/>
      <c r="T207" s="21"/>
    </row>
    <row r="208" spans="3:20">
      <c r="C208" s="21"/>
      <c r="D208" s="21"/>
      <c r="E208" s="21"/>
      <c r="F208" s="21"/>
      <c r="G208" s="21"/>
      <c r="H208" s="21"/>
      <c r="I208" s="21"/>
      <c r="J208" s="21"/>
      <c r="K208" s="21"/>
      <c r="L208" s="21"/>
      <c r="M208" s="21"/>
      <c r="N208" s="21"/>
      <c r="O208" s="21"/>
      <c r="P208" s="21"/>
      <c r="Q208" s="21"/>
      <c r="R208" s="21"/>
      <c r="S208" s="21"/>
      <c r="T208" s="21"/>
    </row>
    <row r="209" spans="3:20">
      <c r="C209" s="21"/>
      <c r="D209" s="21"/>
      <c r="E209" s="21"/>
      <c r="F209" s="21"/>
      <c r="G209" s="21"/>
      <c r="H209" s="21"/>
      <c r="I209" s="21"/>
      <c r="J209" s="21"/>
      <c r="K209" s="21"/>
      <c r="L209" s="21"/>
      <c r="M209" s="21"/>
      <c r="N209" s="21"/>
      <c r="O209" s="21"/>
      <c r="P209" s="21"/>
      <c r="Q209" s="21"/>
      <c r="R209" s="21"/>
      <c r="S209" s="21"/>
      <c r="T209" s="21"/>
    </row>
    <row r="210" spans="3:20">
      <c r="C210" s="21"/>
      <c r="D210" s="21"/>
      <c r="E210" s="21"/>
      <c r="F210" s="21"/>
      <c r="G210" s="21"/>
      <c r="H210" s="21"/>
      <c r="I210" s="21"/>
      <c r="J210" s="21"/>
      <c r="K210" s="21"/>
      <c r="L210" s="21"/>
      <c r="M210" s="21"/>
      <c r="N210" s="21"/>
      <c r="O210" s="21"/>
      <c r="P210" s="21"/>
      <c r="Q210" s="21"/>
      <c r="R210" s="21"/>
      <c r="S210" s="21"/>
      <c r="T210" s="21"/>
    </row>
    <row r="211" spans="3:20">
      <c r="C211" s="21"/>
      <c r="D211" s="21"/>
      <c r="E211" s="21"/>
      <c r="F211" s="21"/>
      <c r="G211" s="21"/>
      <c r="H211" s="21"/>
      <c r="I211" s="21"/>
      <c r="J211" s="21"/>
      <c r="K211" s="21"/>
      <c r="L211" s="21"/>
      <c r="M211" s="21"/>
      <c r="N211" s="21"/>
      <c r="O211" s="21"/>
      <c r="P211" s="21"/>
      <c r="Q211" s="21"/>
      <c r="R211" s="21"/>
      <c r="S211" s="21"/>
      <c r="T211" s="21"/>
    </row>
    <row r="212" spans="3:20">
      <c r="C212" s="21"/>
      <c r="D212" s="21"/>
      <c r="E212" s="21"/>
      <c r="F212" s="21"/>
      <c r="G212" s="21"/>
      <c r="H212" s="21"/>
      <c r="I212" s="21"/>
      <c r="J212" s="21"/>
      <c r="K212" s="21"/>
      <c r="L212" s="21"/>
      <c r="M212" s="21"/>
      <c r="N212" s="21"/>
      <c r="O212" s="21"/>
      <c r="P212" s="21"/>
      <c r="Q212" s="21"/>
      <c r="R212" s="21"/>
      <c r="S212" s="21"/>
      <c r="T212" s="21"/>
    </row>
    <row r="213" spans="3:20">
      <c r="C213" s="21"/>
      <c r="D213" s="21"/>
      <c r="E213" s="21"/>
      <c r="F213" s="21"/>
      <c r="G213" s="21"/>
      <c r="H213" s="21"/>
      <c r="I213" s="21"/>
      <c r="J213" s="21"/>
      <c r="K213" s="21"/>
      <c r="L213" s="21"/>
      <c r="M213" s="21"/>
      <c r="N213" s="21"/>
      <c r="O213" s="21"/>
      <c r="P213" s="21"/>
      <c r="Q213" s="21"/>
      <c r="R213" s="21"/>
      <c r="S213" s="21"/>
      <c r="T213" s="21"/>
    </row>
    <row r="214" spans="3:20">
      <c r="C214" s="21"/>
      <c r="D214" s="21"/>
      <c r="E214" s="21"/>
      <c r="F214" s="21"/>
      <c r="G214" s="21"/>
      <c r="H214" s="21"/>
      <c r="I214" s="21"/>
      <c r="J214" s="21"/>
      <c r="K214" s="21"/>
      <c r="L214" s="21"/>
      <c r="M214" s="21"/>
      <c r="N214" s="21"/>
      <c r="O214" s="21"/>
      <c r="P214" s="21"/>
      <c r="Q214" s="21"/>
      <c r="R214" s="21"/>
      <c r="S214" s="21"/>
      <c r="T214" s="21"/>
    </row>
    <row r="215" spans="3:20">
      <c r="C215" s="21"/>
      <c r="D215" s="21"/>
      <c r="E215" s="21"/>
      <c r="F215" s="21"/>
      <c r="G215" s="21"/>
      <c r="H215" s="21"/>
      <c r="I215" s="21"/>
      <c r="J215" s="21"/>
      <c r="K215" s="21"/>
      <c r="L215" s="21"/>
      <c r="M215" s="21"/>
      <c r="N215" s="21"/>
      <c r="O215" s="21"/>
      <c r="P215" s="21"/>
      <c r="Q215" s="21"/>
      <c r="R215" s="21"/>
      <c r="S215" s="21"/>
      <c r="T215" s="21"/>
    </row>
    <row r="216" spans="3:20">
      <c r="C216" s="21"/>
      <c r="D216" s="21"/>
      <c r="E216" s="21"/>
      <c r="F216" s="21"/>
      <c r="G216" s="21"/>
      <c r="H216" s="21"/>
      <c r="I216" s="21"/>
      <c r="J216" s="21"/>
      <c r="K216" s="21"/>
      <c r="L216" s="21"/>
      <c r="M216" s="21"/>
      <c r="N216" s="21"/>
      <c r="O216" s="21"/>
      <c r="P216" s="21"/>
      <c r="Q216" s="21"/>
      <c r="R216" s="21"/>
      <c r="S216" s="21"/>
      <c r="T216" s="21"/>
    </row>
    <row r="217" spans="3:20">
      <c r="C217" s="21"/>
      <c r="D217" s="21"/>
      <c r="E217" s="21"/>
      <c r="F217" s="21"/>
      <c r="G217" s="21"/>
      <c r="H217" s="21"/>
      <c r="I217" s="21"/>
      <c r="J217" s="21"/>
      <c r="K217" s="21"/>
      <c r="L217" s="21"/>
      <c r="M217" s="21"/>
      <c r="N217" s="21"/>
      <c r="O217" s="21"/>
      <c r="P217" s="21"/>
      <c r="Q217" s="21"/>
      <c r="R217" s="21"/>
      <c r="S217" s="21"/>
      <c r="T217" s="21"/>
    </row>
    <row r="218" spans="3:20">
      <c r="C218" s="21"/>
      <c r="D218" s="21"/>
      <c r="E218" s="21"/>
      <c r="F218" s="21"/>
      <c r="G218" s="21"/>
      <c r="H218" s="21"/>
      <c r="I218" s="21"/>
      <c r="J218" s="21"/>
      <c r="K218" s="21"/>
      <c r="L218" s="21"/>
      <c r="M218" s="21"/>
      <c r="N218" s="21"/>
      <c r="O218" s="21"/>
      <c r="P218" s="21"/>
      <c r="Q218" s="21"/>
      <c r="R218" s="21"/>
      <c r="S218" s="21"/>
      <c r="T218" s="21"/>
    </row>
    <row r="219" spans="3:20">
      <c r="C219" s="21"/>
      <c r="D219" s="21"/>
      <c r="E219" s="21"/>
      <c r="F219" s="21"/>
      <c r="G219" s="21"/>
      <c r="H219" s="21"/>
      <c r="I219" s="21"/>
      <c r="J219" s="21"/>
      <c r="K219" s="21"/>
      <c r="L219" s="21"/>
      <c r="M219" s="21"/>
      <c r="N219" s="21"/>
      <c r="O219" s="21"/>
      <c r="P219" s="21"/>
      <c r="Q219" s="21"/>
      <c r="R219" s="21"/>
      <c r="S219" s="21"/>
      <c r="T219" s="21"/>
    </row>
    <row r="220" spans="3:20">
      <c r="C220" s="21"/>
      <c r="D220" s="21"/>
      <c r="E220" s="21"/>
      <c r="F220" s="21"/>
      <c r="G220" s="21"/>
      <c r="H220" s="21"/>
      <c r="I220" s="21"/>
      <c r="J220" s="21"/>
      <c r="K220" s="21"/>
      <c r="L220" s="21"/>
      <c r="M220" s="21"/>
      <c r="N220" s="21"/>
      <c r="O220" s="21"/>
      <c r="P220" s="21"/>
      <c r="Q220" s="21"/>
      <c r="R220" s="21"/>
      <c r="S220" s="21"/>
      <c r="T220" s="21"/>
    </row>
    <row r="221" spans="3:20">
      <c r="C221" s="21"/>
      <c r="D221" s="21"/>
      <c r="E221" s="21"/>
      <c r="F221" s="21"/>
      <c r="G221" s="21"/>
      <c r="H221" s="21"/>
      <c r="I221" s="21"/>
      <c r="J221" s="21"/>
      <c r="K221" s="21"/>
      <c r="L221" s="21"/>
      <c r="M221" s="21"/>
      <c r="N221" s="21"/>
      <c r="O221" s="21"/>
      <c r="P221" s="21"/>
      <c r="Q221" s="21"/>
      <c r="R221" s="21"/>
      <c r="S221" s="21"/>
      <c r="T221" s="21"/>
    </row>
    <row r="222" spans="3:20">
      <c r="C222" s="21"/>
      <c r="D222" s="21"/>
      <c r="E222" s="21"/>
      <c r="F222" s="21"/>
      <c r="G222" s="21"/>
      <c r="H222" s="21"/>
      <c r="I222" s="21"/>
      <c r="J222" s="21"/>
      <c r="K222" s="21"/>
      <c r="L222" s="21"/>
      <c r="M222" s="21"/>
      <c r="N222" s="21"/>
      <c r="O222" s="21"/>
      <c r="P222" s="21"/>
      <c r="Q222" s="21"/>
      <c r="R222" s="21"/>
      <c r="S222" s="21"/>
      <c r="T222" s="21"/>
    </row>
    <row r="223" spans="3:20">
      <c r="C223" s="21"/>
      <c r="D223" s="21"/>
      <c r="E223" s="21"/>
      <c r="F223" s="21"/>
      <c r="G223" s="21"/>
      <c r="H223" s="21"/>
      <c r="I223" s="21"/>
      <c r="J223" s="21"/>
      <c r="K223" s="21"/>
      <c r="L223" s="21"/>
      <c r="M223" s="21"/>
      <c r="N223" s="21"/>
      <c r="O223" s="21"/>
      <c r="P223" s="21"/>
      <c r="Q223" s="21"/>
      <c r="R223" s="21"/>
      <c r="S223" s="21"/>
      <c r="T223" s="21"/>
    </row>
    <row r="224" spans="3:20">
      <c r="C224" s="21"/>
      <c r="D224" s="21"/>
      <c r="E224" s="21"/>
      <c r="F224" s="21"/>
      <c r="G224" s="21"/>
      <c r="H224" s="21"/>
      <c r="I224" s="21"/>
      <c r="J224" s="21"/>
      <c r="K224" s="21"/>
      <c r="L224" s="21"/>
      <c r="M224" s="21"/>
      <c r="N224" s="21"/>
      <c r="O224" s="21"/>
      <c r="P224" s="21"/>
      <c r="Q224" s="21"/>
      <c r="R224" s="21"/>
      <c r="S224" s="21"/>
      <c r="T224" s="21"/>
    </row>
    <row r="225" spans="3:20">
      <c r="C225" s="21"/>
      <c r="D225" s="21"/>
      <c r="E225" s="21"/>
      <c r="F225" s="21"/>
      <c r="G225" s="21"/>
      <c r="H225" s="21"/>
      <c r="I225" s="21"/>
      <c r="J225" s="21"/>
      <c r="K225" s="21"/>
      <c r="L225" s="21"/>
      <c r="M225" s="21"/>
      <c r="N225" s="21"/>
      <c r="O225" s="21"/>
      <c r="P225" s="21"/>
      <c r="Q225" s="21"/>
      <c r="R225" s="21"/>
      <c r="S225" s="21"/>
      <c r="T225" s="21"/>
    </row>
    <row r="226" spans="3:20">
      <c r="C226" s="21"/>
      <c r="D226" s="21"/>
      <c r="E226" s="21"/>
      <c r="F226" s="21"/>
      <c r="G226" s="21"/>
      <c r="H226" s="21"/>
      <c r="I226" s="21"/>
      <c r="J226" s="21"/>
      <c r="K226" s="21"/>
      <c r="L226" s="21"/>
      <c r="M226" s="21"/>
      <c r="N226" s="21"/>
      <c r="O226" s="21"/>
      <c r="P226" s="21"/>
      <c r="Q226" s="21"/>
      <c r="R226" s="21"/>
      <c r="S226" s="21"/>
      <c r="T226" s="21"/>
    </row>
    <row r="227" spans="3:20">
      <c r="C227" s="21"/>
      <c r="D227" s="21"/>
      <c r="E227" s="21"/>
      <c r="F227" s="21"/>
      <c r="G227" s="21"/>
      <c r="H227" s="21"/>
      <c r="I227" s="21"/>
      <c r="J227" s="21"/>
      <c r="K227" s="21"/>
      <c r="L227" s="21"/>
      <c r="M227" s="21"/>
      <c r="N227" s="21"/>
      <c r="O227" s="21"/>
      <c r="P227" s="21"/>
      <c r="Q227" s="21"/>
      <c r="R227" s="21"/>
      <c r="S227" s="21"/>
      <c r="T227" s="21"/>
    </row>
    <row r="228" spans="3:20">
      <c r="C228" s="21"/>
      <c r="D228" s="21"/>
      <c r="E228" s="21"/>
      <c r="F228" s="21"/>
      <c r="G228" s="21"/>
      <c r="H228" s="21"/>
      <c r="I228" s="21"/>
      <c r="J228" s="21"/>
      <c r="K228" s="21"/>
      <c r="L228" s="21"/>
      <c r="M228" s="21"/>
      <c r="N228" s="21"/>
      <c r="O228" s="21"/>
      <c r="P228" s="21"/>
      <c r="Q228" s="21"/>
      <c r="R228" s="21"/>
      <c r="S228" s="21"/>
      <c r="T228" s="21"/>
    </row>
    <row r="229" spans="3:20">
      <c r="C229" s="21"/>
      <c r="D229" s="21"/>
      <c r="E229" s="21"/>
      <c r="F229" s="21"/>
      <c r="G229" s="21"/>
      <c r="H229" s="21"/>
      <c r="I229" s="21"/>
      <c r="J229" s="21"/>
      <c r="K229" s="21"/>
      <c r="L229" s="21"/>
      <c r="M229" s="21"/>
      <c r="N229" s="21"/>
      <c r="O229" s="21"/>
      <c r="P229" s="21"/>
      <c r="Q229" s="21"/>
      <c r="R229" s="21"/>
      <c r="S229" s="21"/>
      <c r="T229" s="21"/>
    </row>
    <row r="230" spans="3:20">
      <c r="C230" s="21"/>
      <c r="D230" s="21"/>
      <c r="E230" s="21"/>
      <c r="F230" s="21"/>
      <c r="G230" s="21"/>
      <c r="H230" s="21"/>
      <c r="I230" s="21"/>
      <c r="J230" s="21"/>
      <c r="K230" s="21"/>
      <c r="L230" s="21"/>
      <c r="M230" s="21"/>
      <c r="N230" s="21"/>
      <c r="O230" s="21"/>
      <c r="P230" s="21"/>
      <c r="Q230" s="21"/>
      <c r="R230" s="21"/>
      <c r="S230" s="21"/>
      <c r="T230" s="21"/>
    </row>
    <row r="231" spans="3:20">
      <c r="C231" s="21"/>
      <c r="D231" s="21"/>
      <c r="E231" s="21"/>
      <c r="F231" s="21"/>
      <c r="G231" s="21"/>
      <c r="H231" s="21"/>
      <c r="I231" s="21"/>
      <c r="J231" s="21"/>
      <c r="K231" s="21"/>
      <c r="L231" s="21"/>
      <c r="M231" s="21"/>
      <c r="N231" s="21"/>
      <c r="O231" s="21"/>
      <c r="P231" s="21"/>
      <c r="Q231" s="21"/>
      <c r="R231" s="21"/>
      <c r="S231" s="21"/>
      <c r="T231" s="21"/>
    </row>
    <row r="232" spans="3:20">
      <c r="C232" s="21"/>
      <c r="D232" s="21"/>
      <c r="E232" s="21"/>
      <c r="F232" s="21"/>
      <c r="G232" s="21"/>
      <c r="H232" s="21"/>
      <c r="I232" s="21"/>
      <c r="J232" s="21"/>
      <c r="K232" s="21"/>
      <c r="L232" s="21"/>
      <c r="M232" s="21"/>
      <c r="N232" s="21"/>
      <c r="O232" s="21"/>
      <c r="P232" s="21"/>
      <c r="Q232" s="21"/>
      <c r="R232" s="21"/>
      <c r="S232" s="21"/>
      <c r="T232" s="21"/>
    </row>
    <row r="233" spans="3:20">
      <c r="C233" s="21"/>
      <c r="D233" s="21"/>
      <c r="E233" s="21"/>
      <c r="F233" s="21"/>
      <c r="G233" s="21"/>
      <c r="H233" s="21"/>
      <c r="I233" s="21"/>
      <c r="J233" s="21"/>
      <c r="K233" s="21"/>
      <c r="L233" s="21"/>
      <c r="M233" s="21"/>
      <c r="N233" s="21"/>
      <c r="O233" s="21"/>
      <c r="P233" s="21"/>
      <c r="Q233" s="21"/>
      <c r="R233" s="21"/>
      <c r="S233" s="21"/>
      <c r="T233" s="21"/>
    </row>
    <row r="234" spans="3:20">
      <c r="C234" s="21"/>
      <c r="D234" s="21"/>
      <c r="E234" s="21"/>
      <c r="F234" s="21"/>
      <c r="G234" s="21"/>
      <c r="H234" s="21"/>
      <c r="I234" s="21"/>
      <c r="J234" s="21"/>
      <c r="K234" s="21"/>
      <c r="L234" s="21"/>
      <c r="M234" s="21"/>
      <c r="N234" s="21"/>
      <c r="O234" s="21"/>
      <c r="P234" s="21"/>
      <c r="Q234" s="21"/>
      <c r="R234" s="21"/>
      <c r="S234" s="21"/>
      <c r="T234" s="21"/>
    </row>
    <row r="235" spans="3:20">
      <c r="C235" s="21"/>
      <c r="D235" s="21"/>
      <c r="E235" s="21"/>
      <c r="F235" s="21"/>
      <c r="G235" s="21"/>
      <c r="H235" s="21"/>
      <c r="I235" s="21"/>
      <c r="J235" s="21"/>
      <c r="K235" s="21"/>
      <c r="L235" s="21"/>
      <c r="M235" s="21"/>
      <c r="N235" s="21"/>
      <c r="O235" s="21"/>
      <c r="P235" s="21"/>
      <c r="Q235" s="21"/>
      <c r="R235" s="21"/>
      <c r="S235" s="21"/>
      <c r="T235" s="21"/>
    </row>
    <row r="236" spans="3:20">
      <c r="C236" s="21"/>
      <c r="D236" s="21"/>
      <c r="E236" s="21"/>
      <c r="F236" s="21"/>
      <c r="G236" s="21"/>
      <c r="H236" s="21"/>
      <c r="I236" s="21"/>
      <c r="J236" s="21"/>
      <c r="K236" s="21"/>
      <c r="L236" s="21"/>
      <c r="M236" s="21"/>
      <c r="N236" s="21"/>
      <c r="O236" s="21"/>
      <c r="P236" s="21"/>
      <c r="Q236" s="21"/>
      <c r="R236" s="21"/>
      <c r="S236" s="21"/>
      <c r="T236" s="21"/>
    </row>
    <row r="237" spans="3:20">
      <c r="C237" s="21"/>
      <c r="D237" s="21"/>
      <c r="E237" s="21"/>
      <c r="F237" s="21"/>
      <c r="G237" s="21"/>
      <c r="H237" s="21"/>
      <c r="I237" s="21"/>
      <c r="J237" s="21"/>
      <c r="K237" s="21"/>
      <c r="L237" s="21"/>
      <c r="M237" s="21"/>
      <c r="N237" s="21"/>
      <c r="O237" s="21"/>
      <c r="P237" s="21"/>
      <c r="Q237" s="21"/>
      <c r="R237" s="21"/>
      <c r="S237" s="21"/>
      <c r="T237" s="21"/>
    </row>
    <row r="238" spans="3:20">
      <c r="C238" s="21"/>
      <c r="D238" s="21"/>
      <c r="E238" s="21"/>
      <c r="F238" s="21"/>
      <c r="G238" s="21"/>
      <c r="H238" s="21"/>
      <c r="I238" s="21"/>
      <c r="J238" s="21"/>
      <c r="K238" s="21"/>
      <c r="L238" s="21"/>
      <c r="M238" s="21"/>
      <c r="N238" s="21"/>
      <c r="O238" s="21"/>
      <c r="P238" s="21"/>
      <c r="Q238" s="21"/>
      <c r="R238" s="21"/>
      <c r="S238" s="21"/>
      <c r="T238" s="21"/>
    </row>
    <row r="239" spans="3:20">
      <c r="C239" s="21"/>
      <c r="D239" s="21"/>
      <c r="E239" s="21"/>
      <c r="F239" s="21"/>
      <c r="G239" s="21"/>
      <c r="H239" s="21"/>
      <c r="I239" s="21"/>
      <c r="J239" s="21"/>
      <c r="K239" s="21"/>
      <c r="L239" s="21"/>
      <c r="M239" s="21"/>
      <c r="N239" s="21"/>
      <c r="O239" s="21"/>
      <c r="P239" s="21"/>
      <c r="Q239" s="21"/>
      <c r="R239" s="21"/>
      <c r="S239" s="21"/>
      <c r="T239" s="21"/>
    </row>
    <row r="240" spans="3:20">
      <c r="C240" s="21"/>
      <c r="D240" s="21"/>
      <c r="E240" s="21"/>
      <c r="F240" s="21"/>
      <c r="G240" s="21"/>
      <c r="H240" s="21"/>
      <c r="I240" s="21"/>
      <c r="J240" s="21"/>
      <c r="K240" s="21"/>
      <c r="L240" s="21"/>
      <c r="M240" s="21"/>
      <c r="N240" s="21"/>
      <c r="O240" s="21"/>
      <c r="P240" s="21"/>
      <c r="Q240" s="21"/>
      <c r="R240" s="21"/>
      <c r="S240" s="21"/>
      <c r="T240" s="21"/>
    </row>
    <row r="241" spans="3:20">
      <c r="C241" s="21"/>
      <c r="D241" s="21"/>
      <c r="E241" s="21"/>
      <c r="F241" s="21"/>
      <c r="G241" s="21"/>
      <c r="H241" s="21"/>
      <c r="I241" s="21"/>
      <c r="J241" s="21"/>
      <c r="K241" s="21"/>
      <c r="L241" s="21"/>
      <c r="M241" s="21"/>
      <c r="N241" s="21"/>
      <c r="O241" s="21"/>
      <c r="P241" s="21"/>
      <c r="Q241" s="21"/>
      <c r="R241" s="21"/>
      <c r="S241" s="21"/>
      <c r="T241" s="21"/>
    </row>
    <row r="242" spans="3:20">
      <c r="C242" s="21"/>
      <c r="D242" s="21"/>
      <c r="E242" s="21"/>
      <c r="F242" s="21"/>
      <c r="G242" s="21"/>
      <c r="H242" s="21"/>
      <c r="I242" s="21"/>
      <c r="J242" s="21"/>
      <c r="K242" s="21"/>
      <c r="L242" s="21"/>
      <c r="M242" s="21"/>
      <c r="N242" s="21"/>
      <c r="O242" s="21"/>
      <c r="P242" s="21"/>
      <c r="Q242" s="21"/>
      <c r="R242" s="21"/>
      <c r="S242" s="21"/>
      <c r="T242" s="21"/>
    </row>
    <row r="243" spans="3:20">
      <c r="C243" s="21"/>
      <c r="D243" s="21"/>
      <c r="E243" s="21"/>
      <c r="F243" s="21"/>
      <c r="G243" s="21"/>
      <c r="H243" s="21"/>
      <c r="I243" s="21"/>
      <c r="J243" s="21"/>
      <c r="K243" s="21"/>
      <c r="L243" s="21"/>
      <c r="M243" s="21"/>
      <c r="N243" s="21"/>
      <c r="O243" s="21"/>
      <c r="P243" s="21"/>
      <c r="Q243" s="21"/>
      <c r="R243" s="21"/>
      <c r="S243" s="21"/>
      <c r="T243" s="21"/>
    </row>
    <row r="244" spans="3:20">
      <c r="C244" s="21"/>
      <c r="D244" s="21"/>
      <c r="E244" s="21"/>
      <c r="F244" s="21"/>
      <c r="G244" s="21"/>
      <c r="H244" s="21"/>
      <c r="I244" s="21"/>
      <c r="J244" s="21"/>
      <c r="K244" s="21"/>
      <c r="L244" s="21"/>
      <c r="M244" s="21"/>
      <c r="N244" s="21"/>
      <c r="O244" s="21"/>
      <c r="P244" s="21"/>
      <c r="Q244" s="21"/>
      <c r="R244" s="21"/>
      <c r="S244" s="21"/>
      <c r="T244" s="21"/>
    </row>
    <row r="245" spans="3:20">
      <c r="C245" s="21"/>
      <c r="D245" s="21"/>
      <c r="E245" s="21"/>
      <c r="F245" s="21"/>
      <c r="G245" s="21"/>
      <c r="H245" s="21"/>
      <c r="I245" s="21"/>
      <c r="J245" s="21"/>
      <c r="K245" s="21"/>
      <c r="L245" s="21"/>
      <c r="M245" s="21"/>
      <c r="N245" s="21"/>
      <c r="O245" s="21"/>
      <c r="P245" s="21"/>
      <c r="Q245" s="21"/>
      <c r="R245" s="21"/>
      <c r="S245" s="21"/>
      <c r="T245" s="21"/>
    </row>
    <row r="246" spans="3:20">
      <c r="C246" s="21"/>
      <c r="D246" s="21"/>
      <c r="E246" s="21"/>
      <c r="F246" s="21"/>
      <c r="G246" s="21"/>
      <c r="H246" s="21"/>
      <c r="I246" s="21"/>
      <c r="J246" s="21"/>
      <c r="K246" s="21"/>
      <c r="L246" s="21"/>
      <c r="M246" s="21"/>
      <c r="N246" s="21"/>
      <c r="O246" s="21"/>
      <c r="P246" s="21"/>
      <c r="Q246" s="21"/>
      <c r="R246" s="21"/>
      <c r="S246" s="21"/>
      <c r="T246" s="21"/>
    </row>
    <row r="247" spans="3:20">
      <c r="C247" s="21"/>
      <c r="D247" s="21"/>
      <c r="E247" s="21"/>
      <c r="F247" s="21"/>
      <c r="G247" s="21"/>
      <c r="H247" s="21"/>
      <c r="I247" s="21"/>
      <c r="J247" s="21"/>
      <c r="K247" s="21"/>
      <c r="L247" s="21"/>
      <c r="M247" s="21"/>
      <c r="N247" s="21"/>
      <c r="O247" s="21"/>
      <c r="P247" s="21"/>
      <c r="Q247" s="21"/>
      <c r="R247" s="21"/>
      <c r="S247" s="21"/>
      <c r="T247" s="21"/>
    </row>
    <row r="248" spans="3:20">
      <c r="C248" s="21"/>
      <c r="D248" s="21"/>
      <c r="E248" s="21"/>
      <c r="F248" s="21"/>
      <c r="G248" s="21"/>
      <c r="H248" s="21"/>
      <c r="I248" s="21"/>
      <c r="J248" s="21"/>
      <c r="K248" s="21"/>
      <c r="L248" s="21"/>
      <c r="M248" s="21"/>
      <c r="N248" s="21"/>
      <c r="O248" s="21"/>
      <c r="P248" s="21"/>
      <c r="Q248" s="21"/>
      <c r="R248" s="21"/>
      <c r="S248" s="21"/>
      <c r="T248" s="21"/>
    </row>
    <row r="249" spans="3:20">
      <c r="C249" s="21"/>
      <c r="D249" s="21"/>
      <c r="E249" s="21"/>
      <c r="F249" s="21"/>
      <c r="G249" s="21"/>
      <c r="H249" s="21"/>
      <c r="I249" s="21"/>
      <c r="J249" s="21"/>
      <c r="K249" s="21"/>
      <c r="L249" s="21"/>
      <c r="M249" s="21"/>
      <c r="N249" s="21"/>
      <c r="O249" s="21"/>
      <c r="P249" s="21"/>
      <c r="Q249" s="21"/>
      <c r="R249" s="21"/>
      <c r="S249" s="21"/>
      <c r="T249" s="21"/>
    </row>
    <row r="250" spans="3:20">
      <c r="C250" s="21"/>
      <c r="D250" s="21"/>
      <c r="E250" s="21"/>
      <c r="F250" s="21"/>
      <c r="G250" s="21"/>
      <c r="H250" s="21"/>
      <c r="I250" s="21"/>
      <c r="J250" s="21"/>
      <c r="K250" s="21"/>
      <c r="L250" s="21"/>
      <c r="M250" s="21"/>
      <c r="N250" s="21"/>
      <c r="O250" s="21"/>
      <c r="P250" s="21"/>
      <c r="Q250" s="21"/>
      <c r="R250" s="21"/>
      <c r="S250" s="21"/>
      <c r="T250" s="21"/>
    </row>
    <row r="251" spans="3:20">
      <c r="C251" s="21"/>
      <c r="D251" s="21"/>
      <c r="E251" s="21"/>
      <c r="F251" s="21"/>
      <c r="G251" s="21"/>
      <c r="H251" s="21"/>
      <c r="I251" s="21"/>
      <c r="J251" s="21"/>
      <c r="K251" s="21"/>
      <c r="L251" s="21"/>
      <c r="M251" s="21"/>
      <c r="N251" s="21"/>
      <c r="O251" s="21"/>
      <c r="P251" s="21"/>
      <c r="Q251" s="21"/>
      <c r="R251" s="21"/>
      <c r="S251" s="21"/>
      <c r="T251" s="21"/>
    </row>
    <row r="252" spans="3:20">
      <c r="C252" s="21"/>
      <c r="D252" s="21"/>
      <c r="E252" s="21"/>
      <c r="F252" s="21"/>
      <c r="G252" s="21"/>
      <c r="H252" s="21"/>
      <c r="I252" s="21"/>
      <c r="J252" s="21"/>
      <c r="K252" s="21"/>
      <c r="L252" s="21"/>
      <c r="M252" s="21"/>
      <c r="N252" s="21"/>
      <c r="O252" s="21"/>
      <c r="P252" s="21"/>
      <c r="Q252" s="21"/>
      <c r="R252" s="21"/>
      <c r="S252" s="21"/>
      <c r="T252" s="21"/>
    </row>
    <row r="253" spans="3:20">
      <c r="C253" s="21"/>
      <c r="D253" s="21"/>
      <c r="E253" s="21"/>
      <c r="F253" s="21"/>
      <c r="G253" s="21"/>
      <c r="H253" s="21"/>
      <c r="I253" s="21"/>
      <c r="J253" s="21"/>
      <c r="K253" s="21"/>
      <c r="L253" s="21"/>
      <c r="M253" s="21"/>
      <c r="N253" s="21"/>
      <c r="O253" s="21"/>
      <c r="P253" s="21"/>
      <c r="Q253" s="21"/>
      <c r="R253" s="21"/>
      <c r="S253" s="21"/>
      <c r="T253" s="21"/>
    </row>
    <row r="254" spans="3:20">
      <c r="C254" s="21"/>
      <c r="D254" s="21"/>
      <c r="E254" s="21"/>
      <c r="F254" s="21"/>
      <c r="G254" s="21"/>
      <c r="H254" s="21"/>
      <c r="I254" s="21"/>
      <c r="J254" s="21"/>
      <c r="K254" s="21"/>
      <c r="L254" s="21"/>
      <c r="M254" s="21"/>
      <c r="N254" s="21"/>
      <c r="O254" s="21"/>
      <c r="P254" s="21"/>
      <c r="Q254" s="21"/>
      <c r="R254" s="21"/>
      <c r="S254" s="21"/>
      <c r="T254" s="21"/>
    </row>
    <row r="255" spans="3:20">
      <c r="C255" s="21"/>
      <c r="D255" s="21"/>
      <c r="E255" s="21"/>
      <c r="F255" s="21"/>
      <c r="G255" s="21"/>
      <c r="H255" s="21"/>
      <c r="I255" s="21"/>
      <c r="J255" s="21"/>
      <c r="K255" s="21"/>
      <c r="L255" s="21"/>
      <c r="M255" s="21"/>
      <c r="N255" s="21"/>
      <c r="O255" s="21"/>
      <c r="P255" s="21"/>
      <c r="Q255" s="21"/>
      <c r="R255" s="21"/>
      <c r="S255" s="21"/>
      <c r="T255" s="21"/>
    </row>
    <row r="256" spans="3:20">
      <c r="C256" s="21"/>
      <c r="D256" s="21"/>
      <c r="E256" s="21"/>
      <c r="F256" s="21"/>
      <c r="G256" s="21"/>
      <c r="H256" s="21"/>
      <c r="I256" s="21"/>
      <c r="J256" s="21"/>
      <c r="K256" s="21"/>
      <c r="L256" s="21"/>
      <c r="M256" s="21"/>
      <c r="N256" s="21"/>
      <c r="O256" s="21"/>
      <c r="P256" s="21"/>
      <c r="Q256" s="21"/>
      <c r="R256" s="21"/>
      <c r="S256" s="21"/>
      <c r="T256" s="21"/>
    </row>
    <row r="257" spans="3:20">
      <c r="C257" s="21"/>
      <c r="D257" s="21"/>
      <c r="E257" s="21"/>
      <c r="F257" s="21"/>
      <c r="G257" s="21"/>
      <c r="H257" s="21"/>
      <c r="I257" s="21"/>
      <c r="J257" s="21"/>
      <c r="K257" s="21"/>
      <c r="L257" s="21"/>
      <c r="M257" s="21"/>
      <c r="N257" s="21"/>
      <c r="O257" s="21"/>
      <c r="P257" s="21"/>
      <c r="Q257" s="21"/>
      <c r="R257" s="21"/>
      <c r="S257" s="21"/>
      <c r="T257" s="21"/>
    </row>
    <row r="258" spans="3:20">
      <c r="C258" s="21"/>
      <c r="D258" s="21"/>
      <c r="E258" s="21"/>
      <c r="F258" s="21"/>
      <c r="G258" s="21"/>
      <c r="H258" s="21"/>
      <c r="I258" s="21"/>
      <c r="J258" s="21"/>
      <c r="K258" s="21"/>
      <c r="L258" s="21"/>
      <c r="M258" s="21"/>
      <c r="N258" s="21"/>
      <c r="O258" s="21"/>
      <c r="P258" s="21"/>
      <c r="Q258" s="21"/>
      <c r="R258" s="21"/>
      <c r="S258" s="21"/>
      <c r="T258" s="21"/>
    </row>
    <row r="259" spans="3:20">
      <c r="C259" s="21"/>
      <c r="D259" s="21"/>
      <c r="E259" s="21"/>
      <c r="F259" s="21"/>
      <c r="G259" s="21"/>
      <c r="H259" s="21"/>
      <c r="I259" s="21"/>
      <c r="J259" s="21"/>
      <c r="K259" s="21"/>
      <c r="L259" s="21"/>
      <c r="M259" s="21"/>
      <c r="N259" s="21"/>
      <c r="O259" s="21"/>
      <c r="P259" s="21"/>
      <c r="Q259" s="21"/>
      <c r="R259" s="21"/>
      <c r="S259" s="21"/>
      <c r="T259" s="21"/>
    </row>
    <row r="260" spans="3:20">
      <c r="C260" s="21"/>
      <c r="D260" s="21"/>
      <c r="E260" s="21"/>
      <c r="F260" s="21"/>
      <c r="G260" s="21"/>
      <c r="H260" s="21"/>
      <c r="I260" s="21"/>
      <c r="J260" s="21"/>
      <c r="K260" s="21"/>
      <c r="L260" s="21"/>
      <c r="M260" s="21"/>
      <c r="N260" s="21"/>
      <c r="O260" s="21"/>
      <c r="P260" s="21"/>
      <c r="Q260" s="21"/>
      <c r="R260" s="21"/>
      <c r="S260" s="21"/>
      <c r="T260" s="21"/>
    </row>
    <row r="261" spans="3:20">
      <c r="C261" s="21"/>
      <c r="D261" s="21"/>
      <c r="E261" s="21"/>
      <c r="F261" s="21"/>
      <c r="G261" s="21"/>
      <c r="H261" s="21"/>
      <c r="I261" s="21"/>
      <c r="J261" s="21"/>
      <c r="K261" s="21"/>
      <c r="L261" s="21"/>
      <c r="M261" s="21"/>
      <c r="N261" s="21"/>
      <c r="O261" s="21"/>
      <c r="P261" s="21"/>
      <c r="Q261" s="21"/>
      <c r="R261" s="21"/>
      <c r="S261" s="21"/>
      <c r="T261" s="21"/>
    </row>
    <row r="262" spans="3:20">
      <c r="C262" s="21"/>
      <c r="D262" s="21"/>
      <c r="E262" s="21"/>
      <c r="F262" s="21"/>
      <c r="G262" s="21"/>
      <c r="H262" s="21"/>
      <c r="I262" s="21"/>
      <c r="J262" s="21"/>
      <c r="K262" s="21"/>
      <c r="L262" s="21"/>
      <c r="M262" s="21"/>
      <c r="N262" s="21"/>
      <c r="O262" s="21"/>
      <c r="P262" s="21"/>
      <c r="Q262" s="21"/>
      <c r="R262" s="21"/>
      <c r="S262" s="21"/>
      <c r="T262" s="21"/>
    </row>
    <row r="263" spans="3:20">
      <c r="C263" s="21"/>
      <c r="D263" s="21"/>
      <c r="E263" s="21"/>
      <c r="F263" s="21"/>
      <c r="G263" s="21"/>
      <c r="H263" s="21"/>
      <c r="I263" s="21"/>
      <c r="J263" s="21"/>
      <c r="K263" s="21"/>
      <c r="L263" s="21"/>
      <c r="M263" s="21"/>
      <c r="N263" s="21"/>
      <c r="O263" s="21"/>
      <c r="P263" s="21"/>
      <c r="Q263" s="21"/>
      <c r="R263" s="21"/>
      <c r="S263" s="21"/>
      <c r="T263" s="21"/>
    </row>
    <row r="264" spans="3:20">
      <c r="C264" s="21"/>
      <c r="D264" s="21"/>
      <c r="E264" s="21"/>
      <c r="F264" s="21"/>
      <c r="G264" s="21"/>
      <c r="H264" s="21"/>
      <c r="I264" s="21"/>
      <c r="J264" s="21"/>
      <c r="K264" s="21"/>
      <c r="L264" s="21"/>
      <c r="M264" s="21"/>
      <c r="N264" s="21"/>
      <c r="O264" s="21"/>
      <c r="P264" s="21"/>
      <c r="Q264" s="21"/>
      <c r="R264" s="21"/>
      <c r="S264" s="21"/>
      <c r="T264" s="21"/>
    </row>
    <row r="265" spans="3:20">
      <c r="C265" s="21"/>
      <c r="D265" s="21"/>
      <c r="E265" s="21"/>
      <c r="F265" s="21"/>
      <c r="G265" s="21"/>
      <c r="H265" s="21"/>
      <c r="I265" s="21"/>
      <c r="J265" s="21"/>
      <c r="K265" s="21"/>
      <c r="L265" s="21"/>
      <c r="M265" s="21"/>
      <c r="N265" s="21"/>
      <c r="O265" s="21"/>
      <c r="P265" s="21"/>
      <c r="Q265" s="21"/>
      <c r="R265" s="21"/>
      <c r="S265" s="21"/>
      <c r="T265" s="21"/>
    </row>
    <row r="266" spans="3:20">
      <c r="C266" s="21"/>
      <c r="D266" s="21"/>
      <c r="E266" s="21"/>
      <c r="F266" s="21"/>
      <c r="G266" s="21"/>
      <c r="H266" s="21"/>
      <c r="I266" s="21"/>
      <c r="J266" s="21"/>
      <c r="K266" s="21"/>
      <c r="L266" s="21"/>
      <c r="M266" s="21"/>
      <c r="N266" s="21"/>
      <c r="O266" s="21"/>
      <c r="P266" s="21"/>
      <c r="Q266" s="21"/>
      <c r="R266" s="21"/>
      <c r="S266" s="21"/>
      <c r="T266" s="21"/>
    </row>
    <row r="267" spans="3:20">
      <c r="C267" s="21"/>
      <c r="D267" s="21"/>
      <c r="E267" s="21"/>
      <c r="F267" s="21"/>
      <c r="G267" s="21"/>
      <c r="H267" s="21"/>
      <c r="I267" s="21"/>
      <c r="J267" s="21"/>
      <c r="K267" s="21"/>
      <c r="L267" s="21"/>
      <c r="M267" s="21"/>
      <c r="N267" s="21"/>
      <c r="O267" s="21"/>
      <c r="P267" s="21"/>
      <c r="Q267" s="21"/>
      <c r="R267" s="21"/>
      <c r="S267" s="21"/>
      <c r="T267" s="21"/>
    </row>
    <row r="268" spans="3:20">
      <c r="C268" s="21"/>
      <c r="D268" s="21"/>
      <c r="E268" s="21"/>
      <c r="F268" s="21"/>
      <c r="G268" s="21"/>
      <c r="H268" s="21"/>
      <c r="I268" s="21"/>
      <c r="J268" s="21"/>
      <c r="K268" s="21"/>
      <c r="L268" s="21"/>
      <c r="M268" s="21"/>
      <c r="N268" s="21"/>
      <c r="O268" s="21"/>
      <c r="P268" s="21"/>
      <c r="Q268" s="21"/>
      <c r="R268" s="21"/>
      <c r="S268" s="21"/>
      <c r="T268" s="21"/>
    </row>
    <row r="269" spans="3:20">
      <c r="C269" s="21"/>
      <c r="D269" s="21"/>
      <c r="E269" s="21"/>
      <c r="F269" s="21"/>
      <c r="G269" s="21"/>
      <c r="H269" s="21"/>
      <c r="I269" s="21"/>
      <c r="J269" s="21"/>
      <c r="K269" s="21"/>
      <c r="L269" s="21"/>
      <c r="M269" s="21"/>
      <c r="N269" s="21"/>
      <c r="O269" s="21"/>
      <c r="P269" s="21"/>
      <c r="Q269" s="21"/>
      <c r="R269" s="21"/>
      <c r="S269" s="21"/>
      <c r="T269" s="21"/>
    </row>
    <row r="270" spans="3:20">
      <c r="C270" s="21"/>
      <c r="D270" s="21"/>
      <c r="E270" s="21"/>
      <c r="F270" s="21"/>
      <c r="G270" s="21"/>
      <c r="H270" s="21"/>
      <c r="I270" s="21"/>
      <c r="J270" s="21"/>
      <c r="K270" s="21"/>
      <c r="L270" s="21"/>
      <c r="M270" s="21"/>
      <c r="N270" s="21"/>
      <c r="O270" s="21"/>
      <c r="P270" s="21"/>
      <c r="Q270" s="21"/>
      <c r="R270" s="21"/>
      <c r="S270" s="21"/>
      <c r="T270" s="21"/>
    </row>
    <row r="271" spans="3:20">
      <c r="C271" s="21"/>
      <c r="D271" s="21"/>
      <c r="E271" s="21"/>
      <c r="F271" s="21"/>
      <c r="G271" s="21"/>
      <c r="H271" s="21"/>
      <c r="I271" s="21"/>
      <c r="J271" s="21"/>
      <c r="K271" s="21"/>
      <c r="L271" s="21"/>
      <c r="M271" s="21"/>
      <c r="N271" s="21"/>
      <c r="O271" s="21"/>
      <c r="P271" s="21"/>
      <c r="Q271" s="21"/>
      <c r="R271" s="21"/>
      <c r="S271" s="21"/>
      <c r="T271" s="21"/>
    </row>
    <row r="272" spans="3:20">
      <c r="C272" s="21"/>
      <c r="D272" s="21"/>
      <c r="E272" s="21"/>
      <c r="F272" s="21"/>
      <c r="G272" s="21"/>
      <c r="H272" s="21"/>
      <c r="I272" s="21"/>
      <c r="J272" s="21"/>
      <c r="K272" s="21"/>
      <c r="L272" s="21"/>
      <c r="M272" s="21"/>
      <c r="N272" s="21"/>
      <c r="O272" s="21"/>
      <c r="P272" s="21"/>
      <c r="Q272" s="21"/>
      <c r="R272" s="21"/>
      <c r="S272" s="21"/>
      <c r="T272" s="21"/>
    </row>
    <row r="273" spans="3:20">
      <c r="C273" s="21"/>
      <c r="D273" s="21"/>
      <c r="E273" s="21"/>
      <c r="F273" s="21"/>
      <c r="G273" s="21"/>
      <c r="H273" s="21"/>
      <c r="I273" s="21"/>
      <c r="J273" s="21"/>
      <c r="K273" s="21"/>
      <c r="L273" s="21"/>
      <c r="M273" s="21"/>
      <c r="N273" s="21"/>
      <c r="O273" s="21"/>
      <c r="P273" s="21"/>
      <c r="Q273" s="21"/>
      <c r="R273" s="21"/>
      <c r="S273" s="21"/>
      <c r="T273" s="21"/>
    </row>
    <row r="274" spans="3:20">
      <c r="C274" s="21"/>
      <c r="D274" s="21"/>
      <c r="E274" s="21"/>
      <c r="F274" s="21"/>
      <c r="G274" s="21"/>
      <c r="H274" s="21"/>
      <c r="I274" s="21"/>
      <c r="J274" s="21"/>
      <c r="K274" s="21"/>
      <c r="L274" s="21"/>
      <c r="M274" s="21"/>
      <c r="N274" s="21"/>
      <c r="O274" s="21"/>
      <c r="P274" s="21"/>
      <c r="Q274" s="21"/>
      <c r="R274" s="21"/>
      <c r="S274" s="21"/>
      <c r="T274" s="21"/>
    </row>
    <row r="275" spans="3:20">
      <c r="C275" s="21"/>
      <c r="D275" s="21"/>
      <c r="E275" s="21"/>
      <c r="F275" s="21"/>
      <c r="G275" s="21"/>
      <c r="H275" s="21"/>
      <c r="I275" s="21"/>
      <c r="J275" s="21"/>
      <c r="K275" s="21"/>
      <c r="L275" s="21"/>
      <c r="M275" s="21"/>
      <c r="N275" s="21"/>
      <c r="O275" s="21"/>
      <c r="P275" s="21"/>
      <c r="Q275" s="21"/>
      <c r="R275" s="21"/>
      <c r="S275" s="21"/>
      <c r="T275" s="21"/>
    </row>
    <row r="276" spans="3:20">
      <c r="C276" s="21"/>
      <c r="D276" s="21"/>
      <c r="E276" s="21"/>
      <c r="F276" s="21"/>
      <c r="G276" s="21"/>
      <c r="H276" s="21"/>
      <c r="I276" s="21"/>
      <c r="J276" s="21"/>
      <c r="K276" s="21"/>
      <c r="L276" s="21"/>
      <c r="M276" s="21"/>
      <c r="N276" s="21"/>
      <c r="O276" s="21"/>
      <c r="P276" s="21"/>
      <c r="Q276" s="21"/>
      <c r="R276" s="21"/>
      <c r="S276" s="21"/>
      <c r="T276" s="21"/>
    </row>
    <row r="277" spans="3:20">
      <c r="C277" s="21"/>
      <c r="D277" s="21"/>
      <c r="E277" s="21"/>
      <c r="F277" s="21"/>
      <c r="G277" s="21"/>
      <c r="H277" s="21"/>
      <c r="I277" s="21"/>
      <c r="J277" s="21"/>
      <c r="K277" s="21"/>
      <c r="L277" s="21"/>
      <c r="M277" s="21"/>
      <c r="N277" s="21"/>
      <c r="O277" s="21"/>
      <c r="P277" s="21"/>
      <c r="Q277" s="21"/>
      <c r="R277" s="21"/>
      <c r="S277" s="21"/>
      <c r="T277" s="21"/>
    </row>
    <row r="278" spans="3:20">
      <c r="C278" s="21"/>
      <c r="D278" s="21"/>
      <c r="E278" s="21"/>
      <c r="F278" s="21"/>
      <c r="G278" s="21"/>
      <c r="H278" s="21"/>
      <c r="I278" s="21"/>
      <c r="J278" s="21"/>
      <c r="K278" s="21"/>
      <c r="L278" s="21"/>
      <c r="M278" s="21"/>
      <c r="N278" s="21"/>
      <c r="O278" s="21"/>
      <c r="P278" s="21"/>
      <c r="Q278" s="21"/>
      <c r="R278" s="21"/>
      <c r="S278" s="21"/>
      <c r="T278" s="21"/>
    </row>
    <row r="279" spans="3:20">
      <c r="C279" s="21"/>
      <c r="D279" s="21"/>
      <c r="E279" s="21"/>
      <c r="F279" s="21"/>
      <c r="G279" s="21"/>
      <c r="H279" s="21"/>
      <c r="I279" s="21"/>
      <c r="J279" s="21"/>
      <c r="K279" s="21"/>
      <c r="L279" s="21"/>
      <c r="M279" s="21"/>
      <c r="N279" s="21"/>
      <c r="O279" s="21"/>
      <c r="P279" s="21"/>
      <c r="Q279" s="21"/>
      <c r="R279" s="21"/>
      <c r="S279" s="21"/>
      <c r="T279" s="21"/>
    </row>
    <row r="280" spans="3:20">
      <c r="K280" s="21"/>
      <c r="L280" s="21"/>
      <c r="M280" s="21"/>
      <c r="N280" s="21"/>
      <c r="O280" s="21"/>
    </row>
    <row r="281" spans="3:20">
      <c r="K281" s="21"/>
      <c r="L281" s="21"/>
      <c r="M281" s="21"/>
      <c r="N281" s="21"/>
      <c r="O281" s="21"/>
    </row>
    <row r="282" spans="3:20">
      <c r="K282" s="21"/>
      <c r="L282" s="21"/>
      <c r="M282" s="21"/>
      <c r="N282" s="21"/>
      <c r="O282" s="21"/>
    </row>
  </sheetData>
  <customSheetViews>
    <customSheetView guid="{6B74E52F-9552-408A-8775-25AFF24E6639}" scale="75" showPageBreaks="1" fitToPage="1" showRuler="0">
      <selection activeCell="B5" sqref="B5"/>
      <pageMargins left="0.75" right="0.75" top="1" bottom="1" header="0.5" footer="0.5"/>
      <pageSetup scale="46" orientation="landscape" r:id="rId1"/>
      <headerFooter alignWithMargins="0">
        <oddFooter>&amp;L&amp;Z
&amp;F&amp;C&amp;A&amp;R4.&amp;P</oddFooter>
      </headerFooter>
    </customSheetView>
  </customSheetViews>
  <mergeCells count="3">
    <mergeCell ref="A1:S1"/>
    <mergeCell ref="A2:S2"/>
    <mergeCell ref="A3:S3"/>
  </mergeCells>
  <phoneticPr fontId="4" type="noConversion"/>
  <pageMargins left="0.75" right="0.75" top="1" bottom="1" header="0.5" footer="0.5"/>
  <pageSetup scale="46" orientation="landscape" r:id="rId2"/>
  <headerFooter alignWithMargins="0">
    <oddFooter>&amp;L&amp;Z
&amp;F&amp;C&amp;A&amp;R4.&amp;P</oddFooter>
  </headerFooter>
  <legacyDrawing r:id="rId3"/>
</worksheet>
</file>

<file path=xl/worksheets/sheet91.xml><?xml version="1.0" encoding="utf-8"?>
<worksheet xmlns="http://schemas.openxmlformats.org/spreadsheetml/2006/main" xmlns:r="http://schemas.openxmlformats.org/officeDocument/2006/relationships">
  <sheetPr codeName="Sheet73">
    <pageSetUpPr fitToPage="1"/>
  </sheetPr>
  <dimension ref="A1:P160"/>
  <sheetViews>
    <sheetView topLeftCell="C13" zoomScaleNormal="100" workbookViewId="0">
      <selection sqref="A1:P1"/>
    </sheetView>
  </sheetViews>
  <sheetFormatPr defaultRowHeight="12.75"/>
  <cols>
    <col min="1" max="1" width="40.5703125" bestFit="1" customWidth="1"/>
    <col min="2" max="2" width="17.7109375" customWidth="1"/>
    <col min="3" max="3" width="1.7109375" customWidth="1"/>
    <col min="4" max="4" width="17.7109375" customWidth="1"/>
    <col min="5" max="5" width="1.7109375" customWidth="1"/>
    <col min="6" max="6" width="17.7109375" customWidth="1"/>
    <col min="7" max="7" width="1.7109375" customWidth="1"/>
    <col min="8" max="8" width="17.7109375" customWidth="1"/>
    <col min="9" max="9" width="1.7109375" customWidth="1"/>
    <col min="10" max="10" width="17.7109375" customWidth="1"/>
    <col min="11" max="11" width="1.7109375" customWidth="1"/>
    <col min="12" max="12" width="17.7109375" customWidth="1"/>
    <col min="13" max="13" width="2.140625" customWidth="1"/>
    <col min="14" max="14" width="16.7109375" customWidth="1"/>
    <col min="15" max="15" width="2.28515625" customWidth="1"/>
    <col min="16" max="16" width="23.140625" bestFit="1" customWidth="1"/>
  </cols>
  <sheetData>
    <row r="1" spans="1:16" s="38" customFormat="1" ht="15.75">
      <c r="A1" s="366" t="s">
        <v>134</v>
      </c>
      <c r="B1" s="366"/>
      <c r="C1" s="366"/>
      <c r="D1" s="366"/>
      <c r="E1" s="366"/>
      <c r="F1" s="366"/>
      <c r="G1" s="366"/>
      <c r="H1" s="366"/>
      <c r="I1" s="366"/>
      <c r="J1" s="366"/>
      <c r="K1" s="366"/>
      <c r="L1" s="366"/>
      <c r="M1" s="366"/>
      <c r="N1" s="366"/>
      <c r="O1" s="366"/>
      <c r="P1" s="366"/>
    </row>
    <row r="2" spans="1:16" s="38" customFormat="1" ht="15.75">
      <c r="A2" s="367" t="s">
        <v>1213</v>
      </c>
      <c r="B2" s="366"/>
      <c r="C2" s="366"/>
      <c r="D2" s="366"/>
      <c r="E2" s="366"/>
      <c r="F2" s="366"/>
      <c r="G2" s="366"/>
      <c r="H2" s="366"/>
      <c r="I2" s="366"/>
      <c r="J2" s="366"/>
      <c r="K2" s="366"/>
      <c r="L2" s="366"/>
      <c r="M2" s="366"/>
      <c r="N2" s="366"/>
      <c r="O2" s="366"/>
      <c r="P2" s="366"/>
    </row>
    <row r="3" spans="1:16">
      <c r="A3" s="357" t="str">
        <f>'Summary - Cost - PG 1 (Fin)'!A3:N3</f>
        <v>MARCH 2012</v>
      </c>
      <c r="B3" s="357"/>
      <c r="C3" s="357"/>
      <c r="D3" s="357"/>
      <c r="E3" s="357"/>
      <c r="F3" s="357"/>
      <c r="G3" s="357"/>
      <c r="H3" s="357"/>
      <c r="I3" s="357"/>
      <c r="J3" s="357"/>
      <c r="K3" s="357"/>
      <c r="L3" s="357"/>
      <c r="M3" s="357"/>
      <c r="N3" s="357"/>
      <c r="O3" s="357"/>
      <c r="P3" s="357"/>
    </row>
    <row r="4" spans="1:16">
      <c r="A4" s="30"/>
      <c r="B4" s="30"/>
      <c r="C4" s="30"/>
      <c r="D4" s="30"/>
      <c r="E4" s="30"/>
      <c r="F4" s="30"/>
      <c r="G4" s="30"/>
      <c r="H4" s="30"/>
      <c r="I4" s="30"/>
      <c r="J4" s="30"/>
      <c r="K4" s="30"/>
      <c r="L4" s="30"/>
    </row>
    <row r="6" spans="1:16">
      <c r="B6" s="41" t="s">
        <v>25</v>
      </c>
      <c r="D6" s="45"/>
      <c r="F6" s="45"/>
      <c r="H6" s="41" t="s">
        <v>612</v>
      </c>
      <c r="J6" s="45"/>
      <c r="L6" s="41" t="s">
        <v>26</v>
      </c>
      <c r="P6" s="29" t="s">
        <v>422</v>
      </c>
    </row>
    <row r="7" spans="1:16" s="10" customFormat="1">
      <c r="A7" s="12" t="s">
        <v>371</v>
      </c>
      <c r="B7" s="42" t="s">
        <v>27</v>
      </c>
      <c r="C7"/>
      <c r="D7" s="42" t="s">
        <v>107</v>
      </c>
      <c r="E7"/>
      <c r="F7" s="42" t="s">
        <v>108</v>
      </c>
      <c r="G7"/>
      <c r="H7" s="42" t="s">
        <v>613</v>
      </c>
      <c r="I7"/>
      <c r="J7" s="42" t="s">
        <v>109</v>
      </c>
      <c r="K7"/>
      <c r="L7" s="42" t="s">
        <v>27</v>
      </c>
      <c r="N7" s="42" t="s">
        <v>46</v>
      </c>
      <c r="P7" s="42" t="s">
        <v>419</v>
      </c>
    </row>
    <row r="8" spans="1:16" s="10" customFormat="1">
      <c r="A8" s="12" t="s">
        <v>296</v>
      </c>
      <c r="B8" s="54"/>
      <c r="C8"/>
      <c r="D8" s="54"/>
      <c r="E8"/>
      <c r="F8" s="54"/>
      <c r="G8"/>
      <c r="H8" s="54"/>
      <c r="I8"/>
      <c r="J8" s="54"/>
      <c r="K8"/>
      <c r="L8" s="54"/>
    </row>
    <row r="9" spans="1:16" s="10" customFormat="1">
      <c r="A9" s="12" t="s">
        <v>420</v>
      </c>
      <c r="B9"/>
      <c r="C9"/>
      <c r="D9"/>
      <c r="E9"/>
      <c r="F9"/>
      <c r="G9"/>
      <c r="H9"/>
      <c r="I9"/>
      <c r="J9"/>
      <c r="K9"/>
      <c r="L9"/>
    </row>
    <row r="10" spans="1:16" s="10" customFormat="1">
      <c r="A10" s="12" t="s">
        <v>807</v>
      </c>
      <c r="B10"/>
      <c r="C10"/>
      <c r="D10"/>
      <c r="E10"/>
      <c r="F10"/>
      <c r="G10"/>
      <c r="H10"/>
      <c r="I10"/>
      <c r="J10"/>
      <c r="K10"/>
      <c r="L10"/>
    </row>
    <row r="11" spans="1:16">
      <c r="A11" t="s">
        <v>19</v>
      </c>
      <c r="B11" s="45">
        <f>'KY_Cost Plant Acct-Comm-P8(Fin)'!B11</f>
        <v>1685316.06</v>
      </c>
      <c r="C11" s="45"/>
      <c r="D11" s="45">
        <f>'KY_Cost Plant Acct-Comm-P8(Fin)'!D11</f>
        <v>0</v>
      </c>
      <c r="E11" s="45"/>
      <c r="F11" s="45">
        <f>'KY_Cost Plant Acct-Comm-P8(Fin)'!F11</f>
        <v>0</v>
      </c>
      <c r="G11" s="45"/>
      <c r="H11" s="45">
        <f>'KY_Cost Plant Acct-Comm-P8(Fin)'!H11</f>
        <v>0</v>
      </c>
      <c r="I11" s="45"/>
      <c r="J11" s="45">
        <f t="shared" ref="J11:J39" si="0">H11+F11+D11</f>
        <v>0</v>
      </c>
      <c r="K11" s="45"/>
      <c r="L11" s="45">
        <f t="shared" ref="L11:L39" si="1">J11+B11</f>
        <v>1685316.06</v>
      </c>
      <c r="M11" s="4"/>
      <c r="N11" s="89">
        <f>'KY_Res by Plant Acct-P29 (Fin)'!R405</f>
        <v>0</v>
      </c>
      <c r="P11" s="89">
        <f t="shared" ref="P11:P39" si="2">L11+N11</f>
        <v>1685316.06</v>
      </c>
    </row>
    <row r="12" spans="1:16">
      <c r="A12" t="s">
        <v>20</v>
      </c>
      <c r="B12" s="45">
        <f>'KY_Cost Plant Acct-Comm-P8(Fin)'!B12</f>
        <v>202094.94</v>
      </c>
      <c r="C12" s="45"/>
      <c r="D12" s="45">
        <f>'KY_Cost Plant Acct-Comm-P8(Fin)'!D12</f>
        <v>0</v>
      </c>
      <c r="E12" s="45"/>
      <c r="F12" s="45">
        <f>'KY_Cost Plant Acct-Comm-P8(Fin)'!F12</f>
        <v>0</v>
      </c>
      <c r="G12" s="45"/>
      <c r="H12" s="45">
        <f>'KY_Cost Plant Acct-Comm-P8(Fin)'!H12</f>
        <v>0</v>
      </c>
      <c r="I12" s="45"/>
      <c r="J12" s="45">
        <f t="shared" si="0"/>
        <v>0</v>
      </c>
      <c r="K12" s="45"/>
      <c r="L12" s="45">
        <f t="shared" si="1"/>
        <v>202094.94</v>
      </c>
      <c r="M12" s="4"/>
      <c r="N12" s="89">
        <f>'KY_Res by Plant Acct-P29 (Fin)'!R406</f>
        <v>-136357.19999999998</v>
      </c>
      <c r="P12" s="89">
        <f t="shared" si="2"/>
        <v>65737.74000000002</v>
      </c>
    </row>
    <row r="13" spans="1:16">
      <c r="A13" t="s">
        <v>266</v>
      </c>
      <c r="B13" s="45">
        <f>'KY_Cost Plant Acct-Comm-P8(Fin)'!B13+'KY_Cost Plant Acct-Comm-P8(Fin)'!B48</f>
        <v>61227532.320000008</v>
      </c>
      <c r="C13" s="45"/>
      <c r="D13" s="45">
        <f>'KY_Cost Plant Acct-Comm-P8(Fin)'!D13+'KY_Cost Plant Acct-Comm-P8(Fin)'!D48</f>
        <v>324894.92</v>
      </c>
      <c r="E13" s="45"/>
      <c r="F13" s="45">
        <f>'KY_Cost Plant Acct-Comm-P8(Fin)'!F13</f>
        <v>-119187.25</v>
      </c>
      <c r="G13" s="45"/>
      <c r="H13" s="45">
        <f>'KY_Cost Plant Acct-Comm-P8(Fin)'!H13</f>
        <v>0</v>
      </c>
      <c r="I13" s="45"/>
      <c r="J13" s="45">
        <f t="shared" si="0"/>
        <v>205707.66999999998</v>
      </c>
      <c r="K13" s="45"/>
      <c r="L13" s="45">
        <f t="shared" si="1"/>
        <v>61433239.99000001</v>
      </c>
      <c r="M13" s="4"/>
      <c r="N13" s="89">
        <f>'KY_Res by Plant Acct-P29 (Fin)'!R410+'KY_Res by Plant Acct-P29 (Fin)'!R407+'KY_Res by Plant Acct-P29 (Fin)'!R411+'KY_Res by Plant Acct-P29 (Fin)'!R409+'KY_Res by Plant Acct-P29 (Fin)'!R408</f>
        <v>-19432544.009999998</v>
      </c>
      <c r="P13" s="89">
        <f t="shared" si="2"/>
        <v>42000695.980000012</v>
      </c>
    </row>
    <row r="14" spans="1:16">
      <c r="A14" t="s">
        <v>84</v>
      </c>
      <c r="B14" s="45">
        <f>'KY_Cost Plant Acct-Comm-P8(Fin)'!B14</f>
        <v>412150.57</v>
      </c>
      <c r="C14" s="45"/>
      <c r="D14" s="45">
        <f>'KY_Cost Plant Acct-Comm-P8(Fin)'!D14</f>
        <v>0</v>
      </c>
      <c r="E14" s="45"/>
      <c r="F14" s="45">
        <f>'KY_Cost Plant Acct-Comm-P8(Fin)'!F14</f>
        <v>0</v>
      </c>
      <c r="G14" s="45"/>
      <c r="H14" s="45">
        <f>'KY_Cost Plant Acct-Comm-P8(Fin)'!H14</f>
        <v>0</v>
      </c>
      <c r="I14" s="45"/>
      <c r="J14" s="45">
        <f t="shared" si="0"/>
        <v>0</v>
      </c>
      <c r="K14" s="45"/>
      <c r="L14" s="45">
        <f t="shared" si="1"/>
        <v>412150.57</v>
      </c>
      <c r="M14" s="4"/>
      <c r="N14" s="89">
        <f>'KY_Res by Plant Acct-P29 (Fin)'!R412</f>
        <v>423179.26000000018</v>
      </c>
      <c r="P14" s="89">
        <f t="shared" si="2"/>
        <v>835329.83000000019</v>
      </c>
    </row>
    <row r="15" spans="1:16">
      <c r="A15" t="s">
        <v>85</v>
      </c>
      <c r="B15" s="45">
        <f>'KY_Cost Plant Acct-Comm-P8(Fin)'!B15</f>
        <v>10873331.24</v>
      </c>
      <c r="C15" s="45"/>
      <c r="D15" s="45">
        <f>'KY_Cost Plant Acct-Comm-P8(Fin)'!D15</f>
        <v>0</v>
      </c>
      <c r="E15" s="45"/>
      <c r="F15" s="45">
        <f>'KY_Cost Plant Acct-Comm-P8(Fin)'!F15</f>
        <v>-122833.7</v>
      </c>
      <c r="G15" s="45"/>
      <c r="H15" s="45">
        <f>'KY_Cost Plant Acct-Comm-P8(Fin)'!H15</f>
        <v>0</v>
      </c>
      <c r="I15" s="45"/>
      <c r="J15" s="45">
        <f t="shared" si="0"/>
        <v>-122833.7</v>
      </c>
      <c r="K15" s="45"/>
      <c r="L15" s="45">
        <f t="shared" si="1"/>
        <v>10750497.540000001</v>
      </c>
      <c r="M15" s="4"/>
      <c r="N15" s="89">
        <f>'KY_Res by Plant Acct-P29 (Fin)'!R413</f>
        <v>-7390979.0599999996</v>
      </c>
      <c r="P15" s="89">
        <f t="shared" si="2"/>
        <v>3359518.4800000014</v>
      </c>
    </row>
    <row r="16" spans="1:16">
      <c r="A16" t="s">
        <v>86</v>
      </c>
      <c r="B16" s="45">
        <f>'KY_Cost Plant Acct-Comm-P8(Fin)'!B16</f>
        <v>536692.07999999996</v>
      </c>
      <c r="C16" s="45"/>
      <c r="D16" s="45">
        <f>'KY_Cost Plant Acct-Comm-P8(Fin)'!D16</f>
        <v>0</v>
      </c>
      <c r="E16" s="45"/>
      <c r="F16" s="45">
        <f>'KY_Cost Plant Acct-Comm-P8(Fin)'!F16</f>
        <v>0</v>
      </c>
      <c r="G16" s="45"/>
      <c r="H16" s="45">
        <f>'KY_Cost Plant Acct-Comm-P8(Fin)'!H16</f>
        <v>0</v>
      </c>
      <c r="I16" s="45"/>
      <c r="J16" s="45">
        <f t="shared" si="0"/>
        <v>0</v>
      </c>
      <c r="K16" s="45"/>
      <c r="L16" s="45">
        <f t="shared" si="1"/>
        <v>536692.07999999996</v>
      </c>
      <c r="M16" s="4"/>
      <c r="N16" s="89">
        <f>'KY_Res by Plant Acct-P29 (Fin)'!R414</f>
        <v>-172694.86</v>
      </c>
      <c r="P16" s="89">
        <f t="shared" si="2"/>
        <v>363997.22</v>
      </c>
    </row>
    <row r="17" spans="1:16">
      <c r="A17" t="s">
        <v>87</v>
      </c>
      <c r="B17" s="182">
        <f>'KY_Cost Plant Acct-Comm-P8(Fin)'!B17+'KY_Cost Plant Acct-Comm-P8(Fin)'!B49</f>
        <v>1078816.3</v>
      </c>
      <c r="C17" s="45"/>
      <c r="D17" s="182">
        <f>'KY_Cost Plant Acct-Comm-P8(Fin)'!D17+'KY_Cost Plant Acct-Comm-P8(Fin)'!D49</f>
        <v>0</v>
      </c>
      <c r="E17" s="45"/>
      <c r="F17" s="182">
        <f>'KY_Cost Plant Acct-Comm-P8(Fin)'!F17+'KY_Cost Plant Acct-Comm-P8(Fin)'!F49</f>
        <v>0</v>
      </c>
      <c r="G17" s="45"/>
      <c r="H17" s="182">
        <f>'KY_Cost Plant Acct-Comm-P8(Fin)'!H17+'KY_Cost Plant Acct-Comm-P8(Fin)'!H49</f>
        <v>0</v>
      </c>
      <c r="I17" s="45"/>
      <c r="J17" s="45">
        <f t="shared" si="0"/>
        <v>0</v>
      </c>
      <c r="K17" s="45"/>
      <c r="L17" s="45">
        <f t="shared" si="1"/>
        <v>1078816.3</v>
      </c>
      <c r="M17" s="4"/>
      <c r="N17" s="89">
        <f>'KY_Res by Plant Acct-P29 (Fin)'!R415</f>
        <v>-251795.97</v>
      </c>
      <c r="P17" s="89">
        <f t="shared" si="2"/>
        <v>827020.33000000007</v>
      </c>
    </row>
    <row r="18" spans="1:16">
      <c r="A18" t="s">
        <v>88</v>
      </c>
      <c r="B18" s="45">
        <f>'KY_Cost Plant Acct-Comm-P8(Fin)'!B18+'KY_Cost Plant Acct-Comm-P8(Fin)'!B50</f>
        <v>8532464.3000000007</v>
      </c>
      <c r="C18" s="45"/>
      <c r="D18" s="45">
        <f>'KY_Cost Plant Acct-Comm-P8(Fin)'!D18+'KY_Cost Plant Acct-Comm-P8(Fin)'!D50</f>
        <v>141502.9</v>
      </c>
      <c r="E18" s="45"/>
      <c r="F18" s="45">
        <f>'KY_Cost Plant Acct-Comm-P8(Fin)'!F18</f>
        <v>0</v>
      </c>
      <c r="G18" s="45"/>
      <c r="H18" s="45">
        <f>'KY_Cost Plant Acct-Comm-P8(Fin)'!H18</f>
        <v>0</v>
      </c>
      <c r="I18" s="45"/>
      <c r="J18" s="45">
        <f t="shared" si="0"/>
        <v>141502.9</v>
      </c>
      <c r="K18" s="45"/>
      <c r="L18" s="45">
        <f t="shared" si="1"/>
        <v>8673967.2000000011</v>
      </c>
      <c r="M18" s="4"/>
      <c r="N18" s="89">
        <f>'KY_Res by Plant Acct-P29 (Fin)'!R416</f>
        <v>-2901567.1999999997</v>
      </c>
      <c r="P18" s="89">
        <f t="shared" si="2"/>
        <v>5772400.0000000019</v>
      </c>
    </row>
    <row r="19" spans="1:16">
      <c r="A19" t="s">
        <v>89</v>
      </c>
      <c r="B19" s="45">
        <f>'KY_Cost Plant Acct-Comm-P8(Fin)'!B19+'KY_Cost Plant Acct-Comm-P8(Fin)'!B51</f>
        <v>2086579.53</v>
      </c>
      <c r="C19" s="45"/>
      <c r="D19" s="45">
        <f>'KY_Cost Plant Acct-Comm-P8(Fin)'!D19+'KY_Cost Plant Acct-Comm-P8(Fin)'!D51</f>
        <v>0</v>
      </c>
      <c r="E19" s="45"/>
      <c r="F19" s="45">
        <f>'KY_Cost Plant Acct-Comm-P8(Fin)'!F19</f>
        <v>0</v>
      </c>
      <c r="G19" s="45"/>
      <c r="H19" s="45">
        <f>'KY_Cost Plant Acct-Comm-P8(Fin)'!H19</f>
        <v>0</v>
      </c>
      <c r="I19" s="45"/>
      <c r="J19" s="45">
        <f t="shared" si="0"/>
        <v>0</v>
      </c>
      <c r="K19" s="45"/>
      <c r="L19" s="45">
        <f t="shared" si="1"/>
        <v>2086579.53</v>
      </c>
      <c r="M19" s="4"/>
      <c r="N19" s="89">
        <f>'KY_Res by Plant Acct-P29 (Fin)'!R417</f>
        <v>-840722.2000000003</v>
      </c>
      <c r="P19" s="89">
        <f t="shared" si="2"/>
        <v>1245857.3299999996</v>
      </c>
    </row>
    <row r="20" spans="1:16">
      <c r="A20" t="s">
        <v>90</v>
      </c>
      <c r="B20" s="45">
        <f>'KY_Cost Plant Acct-Comm-P8(Fin)'!B20+'KY_Cost Plant Acct-Comm-P8(Fin)'!B52</f>
        <v>13652102.619999997</v>
      </c>
      <c r="C20" s="45"/>
      <c r="D20" s="45">
        <f>'KY_Cost Plant Acct-Comm-P8(Fin)'!D20+'KY_Cost Plant Acct-Comm-P8(Fin)'!D52</f>
        <v>856015.5</v>
      </c>
      <c r="E20" s="45"/>
      <c r="F20" s="45">
        <f>'KY_Cost Plant Acct-Comm-P8(Fin)'!F20</f>
        <v>0</v>
      </c>
      <c r="G20" s="45"/>
      <c r="H20" s="45">
        <f>'KY_Cost Plant Acct-Comm-P8(Fin)'!H20</f>
        <v>0</v>
      </c>
      <c r="I20" s="45"/>
      <c r="J20" s="45">
        <f t="shared" si="0"/>
        <v>856015.5</v>
      </c>
      <c r="K20" s="45"/>
      <c r="L20" s="45">
        <f t="shared" si="1"/>
        <v>14508118.119999997</v>
      </c>
      <c r="M20" s="4"/>
      <c r="N20" s="89">
        <f>'KY_Res by Plant Acct-P29 (Fin)'!R418</f>
        <v>-12976562.559999999</v>
      </c>
      <c r="P20" s="89">
        <f t="shared" si="2"/>
        <v>1531555.5599999987</v>
      </c>
    </row>
    <row r="21" spans="1:16">
      <c r="A21" t="s">
        <v>91</v>
      </c>
      <c r="B21" s="45">
        <f>'KY_Cost Plant Acct-Comm-P8(Fin)'!B21+'KY_Cost Plant Acct-Comm-P8(Fin)'!B53</f>
        <v>3810320.9299999997</v>
      </c>
      <c r="C21" s="45"/>
      <c r="D21" s="45">
        <f>'KY_Cost Plant Acct-Comm-P8(Fin)'!D21+'KY_Cost Plant Acct-Comm-P8(Fin)'!D53</f>
        <v>248747.5</v>
      </c>
      <c r="E21" s="45"/>
      <c r="F21" s="45">
        <f>'KY_Cost Plant Acct-Comm-P8(Fin)'!F21</f>
        <v>0</v>
      </c>
      <c r="G21" s="45"/>
      <c r="H21" s="45">
        <f>'KY_Cost Plant Acct-Comm-P8(Fin)'!H21</f>
        <v>0</v>
      </c>
      <c r="I21" s="45"/>
      <c r="J21" s="45">
        <f t="shared" si="0"/>
        <v>248747.5</v>
      </c>
      <c r="K21" s="45"/>
      <c r="L21" s="45">
        <f t="shared" si="1"/>
        <v>4059068.4299999997</v>
      </c>
      <c r="M21" s="4"/>
      <c r="N21" s="89">
        <f>'KY_Res by Plant Acct-P29 (Fin)'!R419</f>
        <v>-2435871.5</v>
      </c>
      <c r="P21" s="89">
        <f t="shared" si="2"/>
        <v>1623196.9299999997</v>
      </c>
    </row>
    <row r="22" spans="1:16">
      <c r="A22" s="179" t="s">
        <v>1430</v>
      </c>
      <c r="B22" s="182">
        <f>'KY_Cost Plant Acct-Comm-P8(Fin)'!B22+'KY_Cost Plant Acct-Comm-P8(Fin)'!B54</f>
        <v>77639.12</v>
      </c>
      <c r="C22" s="182"/>
      <c r="D22" s="182">
        <f>'KY_Cost Plant Acct-Comm-P8(Fin)'!D22+'KY_Cost Plant Acct-Comm-P8(Fin)'!D54</f>
        <v>0</v>
      </c>
      <c r="E22" s="182"/>
      <c r="F22" s="182">
        <f>'KY_Cost Plant Acct-Comm-P8(Fin)'!F22</f>
        <v>0</v>
      </c>
      <c r="G22" s="182"/>
      <c r="H22" s="182">
        <f>'KY_Cost Plant Acct-Comm-P8(Fin)'!H22</f>
        <v>0</v>
      </c>
      <c r="I22" s="182"/>
      <c r="J22" s="182">
        <f t="shared" ref="J22" si="3">H22+F22+D22</f>
        <v>0</v>
      </c>
      <c r="K22" s="182"/>
      <c r="L22" s="182">
        <f t="shared" ref="L22" si="4">J22+B22</f>
        <v>77639.12</v>
      </c>
      <c r="M22" s="4"/>
      <c r="N22" s="89">
        <f>'KY_Res by Plant Acct-P29 (Fin)'!R420</f>
        <v>-90426.319999999992</v>
      </c>
      <c r="P22" s="89">
        <f t="shared" ref="P22" si="5">L22+N22</f>
        <v>-12787.199999999997</v>
      </c>
    </row>
    <row r="23" spans="1:16">
      <c r="A23" t="s">
        <v>92</v>
      </c>
      <c r="B23" s="45">
        <f>'KY_Cost Plant Acct-Comm-P8(Fin)'!B23+'KY_Cost Plant Acct-Comm-P8(Fin)'!B54</f>
        <v>2241823.4399999995</v>
      </c>
      <c r="C23" s="45"/>
      <c r="D23" s="45">
        <f>'KY_Cost Plant Acct-Comm-P8(Fin)'!D23+'KY_Cost Plant Acct-Comm-P8(Fin)'!D54</f>
        <v>0</v>
      </c>
      <c r="E23" s="45"/>
      <c r="F23" s="45">
        <f>'KY_Cost Plant Acct-Comm-P8(Fin)'!F23</f>
        <v>0</v>
      </c>
      <c r="G23" s="45"/>
      <c r="H23" s="45">
        <f>'KY_Cost Plant Acct-Comm-P8(Fin)'!H23</f>
        <v>0</v>
      </c>
      <c r="I23" s="45"/>
      <c r="J23" s="45">
        <f t="shared" si="0"/>
        <v>0</v>
      </c>
      <c r="K23" s="45"/>
      <c r="L23" s="45">
        <f t="shared" si="1"/>
        <v>2241823.4399999995</v>
      </c>
      <c r="M23" s="4"/>
      <c r="N23" s="89">
        <f>'KY_Res by Plant Acct-P29 (Fin)'!R421</f>
        <v>-692836.28000000014</v>
      </c>
      <c r="P23" s="89">
        <f t="shared" si="2"/>
        <v>1548987.1599999992</v>
      </c>
    </row>
    <row r="24" spans="1:16">
      <c r="A24" t="s">
        <v>93</v>
      </c>
      <c r="B24" s="45">
        <f>'KY_Cost Plant Acct-Comm-P8(Fin)'!B24</f>
        <v>245096.51</v>
      </c>
      <c r="C24" s="45"/>
      <c r="D24" s="45">
        <f>'KY_Cost Plant Acct-Comm-P8(Fin)'!D24</f>
        <v>0</v>
      </c>
      <c r="E24" s="45"/>
      <c r="F24" s="45">
        <f>'KY_Cost Plant Acct-Comm-P8(Fin)'!F24</f>
        <v>0</v>
      </c>
      <c r="G24" s="45"/>
      <c r="H24" s="45">
        <f>'KY_Cost Plant Acct-Comm-P8(Fin)'!H24</f>
        <v>0</v>
      </c>
      <c r="I24" s="45"/>
      <c r="J24" s="45">
        <f t="shared" si="0"/>
        <v>0</v>
      </c>
      <c r="K24" s="45"/>
      <c r="L24" s="45">
        <f t="shared" si="1"/>
        <v>245096.51</v>
      </c>
      <c r="M24" s="4"/>
      <c r="N24" s="89">
        <f>'KY_Res by Plant Acct-P29 (Fin)'!R422</f>
        <v>-129629.27</v>
      </c>
      <c r="P24" s="89">
        <f t="shared" si="2"/>
        <v>115467.24</v>
      </c>
    </row>
    <row r="25" spans="1:16">
      <c r="A25" t="s">
        <v>94</v>
      </c>
      <c r="B25" s="45">
        <f>'KY_Cost Plant Acct-Comm-P8(Fin)'!B25</f>
        <v>83874.3</v>
      </c>
      <c r="C25" s="45"/>
      <c r="D25" s="45">
        <f>'KY_Cost Plant Acct-Comm-P8(Fin)'!D25+'KY_Cost Plant Acct-Comm-P8(Fin)'!D55</f>
        <v>0</v>
      </c>
      <c r="E25" s="45"/>
      <c r="F25" s="45">
        <f>'KY_Cost Plant Acct-Comm-P8(Fin)'!F25</f>
        <v>0</v>
      </c>
      <c r="G25" s="45"/>
      <c r="H25" s="45">
        <f>'KY_Cost Plant Acct-Comm-P8(Fin)'!H25</f>
        <v>0</v>
      </c>
      <c r="I25" s="45"/>
      <c r="J25" s="45">
        <f t="shared" si="0"/>
        <v>0</v>
      </c>
      <c r="K25" s="45"/>
      <c r="L25" s="45">
        <f t="shared" si="1"/>
        <v>83874.3</v>
      </c>
      <c r="M25" s="4"/>
      <c r="N25" s="89">
        <f>'KY_Res by Plant Acct-P29 (Fin)'!R423</f>
        <v>-29205.81</v>
      </c>
      <c r="P25" s="89">
        <f t="shared" si="2"/>
        <v>54668.490000000005</v>
      </c>
    </row>
    <row r="26" spans="1:16">
      <c r="A26" t="s">
        <v>95</v>
      </c>
      <c r="B26" s="45">
        <f>'KY_Cost Plant Acct-Comm-P8(Fin)'!B26+'KY_Cost Plant Acct-Comm-P8(Fin)'!B56</f>
        <v>1135864.0900000001</v>
      </c>
      <c r="C26" s="45"/>
      <c r="D26" s="45">
        <f>'KY_Cost Plant Acct-Comm-P8(Fin)'!D26+'KY_Cost Plant Acct-Comm-P8(Fin)'!D56</f>
        <v>0</v>
      </c>
      <c r="E26" s="45"/>
      <c r="F26" s="45">
        <f>'KY_Cost Plant Acct-Comm-P8(Fin)'!F26</f>
        <v>0</v>
      </c>
      <c r="G26" s="45"/>
      <c r="H26" s="45">
        <f>'KY_Cost Plant Acct-Comm-P8(Fin)'!H26</f>
        <v>0</v>
      </c>
      <c r="I26" s="45"/>
      <c r="J26" s="45">
        <f t="shared" si="0"/>
        <v>0</v>
      </c>
      <c r="K26" s="45"/>
      <c r="L26" s="45">
        <f t="shared" si="1"/>
        <v>1135864.0900000001</v>
      </c>
      <c r="M26" s="4"/>
      <c r="N26" s="89">
        <f>'KY_Res by Plant Acct-P29 (Fin)'!R424</f>
        <v>-536382.82999999996</v>
      </c>
      <c r="P26" s="89">
        <f t="shared" si="2"/>
        <v>599481.26000000013</v>
      </c>
    </row>
    <row r="27" spans="1:16">
      <c r="A27" t="s">
        <v>96</v>
      </c>
      <c r="B27" s="45">
        <f>'KY_Cost Plant Acct-Comm-P8(Fin)'!B27+'KY_Cost Plant Acct-Comm-P8(Fin)'!B57</f>
        <v>3619509.3200000003</v>
      </c>
      <c r="C27" s="45"/>
      <c r="D27" s="45">
        <f>'KY_Cost Plant Acct-Comm-P8(Fin)'!D27+'KY_Cost Plant Acct-Comm-P8(Fin)'!D57</f>
        <v>0</v>
      </c>
      <c r="E27" s="45"/>
      <c r="F27" s="45">
        <f>'KY_Cost Plant Acct-Comm-P8(Fin)'!F27</f>
        <v>0</v>
      </c>
      <c r="G27" s="45"/>
      <c r="H27" s="45">
        <f>'KY_Cost Plant Acct-Comm-P8(Fin)'!H27</f>
        <v>4609.58</v>
      </c>
      <c r="I27" s="45"/>
      <c r="J27" s="45">
        <f t="shared" si="0"/>
        <v>4609.58</v>
      </c>
      <c r="K27" s="45"/>
      <c r="L27" s="45">
        <f t="shared" si="1"/>
        <v>3624118.9000000004</v>
      </c>
      <c r="M27" s="4"/>
      <c r="N27" s="89">
        <f>'KY_Res by Plant Acct-P29 (Fin)'!R425</f>
        <v>-1155645.9699999997</v>
      </c>
      <c r="P27" s="89">
        <f t="shared" si="2"/>
        <v>2468472.9300000006</v>
      </c>
    </row>
    <row r="28" spans="1:16">
      <c r="A28" t="s">
        <v>97</v>
      </c>
      <c r="B28" s="45">
        <f>'KY_Cost Plant Acct-Comm-P8(Fin)'!B28</f>
        <v>0</v>
      </c>
      <c r="C28" s="45"/>
      <c r="D28" s="45">
        <f>'KY_Cost Plant Acct-Comm-P8(Fin)'!D28</f>
        <v>0</v>
      </c>
      <c r="E28" s="45"/>
      <c r="F28" s="45">
        <f>'KY_Cost Plant Acct-Comm-P8(Fin)'!F28</f>
        <v>0</v>
      </c>
      <c r="G28" s="45"/>
      <c r="H28" s="45">
        <f>'KY_Cost Plant Acct-Comm-P8(Fin)'!H28</f>
        <v>0</v>
      </c>
      <c r="I28" s="45"/>
      <c r="J28" s="45">
        <f t="shared" si="0"/>
        <v>0</v>
      </c>
      <c r="K28" s="45"/>
      <c r="L28" s="45">
        <f t="shared" si="1"/>
        <v>0</v>
      </c>
      <c r="M28" s="4"/>
      <c r="N28" s="89">
        <f>'KY_Res by Plant Acct-P29 (Fin)'!R426</f>
        <v>1.8189894035458565E-12</v>
      </c>
      <c r="P28" s="89">
        <f t="shared" si="2"/>
        <v>1.8189894035458565E-12</v>
      </c>
    </row>
    <row r="29" spans="1:16">
      <c r="A29" t="s">
        <v>98</v>
      </c>
      <c r="B29" s="45">
        <f>'KY_Cost Plant Acct-Comm-P8(Fin)'!B29</f>
        <v>235831.06</v>
      </c>
      <c r="C29" s="45"/>
      <c r="D29" s="45">
        <f>'KY_Cost Plant Acct-Comm-P8(Fin)'!D29</f>
        <v>0</v>
      </c>
      <c r="E29" s="45"/>
      <c r="F29" s="45">
        <f>'KY_Cost Plant Acct-Comm-P8(Fin)'!F29</f>
        <v>0</v>
      </c>
      <c r="G29" s="45"/>
      <c r="H29" s="45">
        <f>'KY_Cost Plant Acct-Comm-P8(Fin)'!H29</f>
        <v>0</v>
      </c>
      <c r="I29" s="45"/>
      <c r="J29" s="45">
        <f t="shared" si="0"/>
        <v>0</v>
      </c>
      <c r="K29" s="45"/>
      <c r="L29" s="45">
        <f t="shared" si="1"/>
        <v>235831.06</v>
      </c>
      <c r="M29" s="4"/>
      <c r="N29" s="89">
        <f>'KY_Res by Plant Acct-P29 (Fin)'!R427</f>
        <v>-208841.63</v>
      </c>
      <c r="P29" s="89">
        <f t="shared" si="2"/>
        <v>26989.429999999993</v>
      </c>
    </row>
    <row r="30" spans="1:16">
      <c r="A30" t="s">
        <v>99</v>
      </c>
      <c r="B30" s="45">
        <f>'KY_Cost Plant Acct-Comm-P8(Fin)'!B30</f>
        <v>14147.08</v>
      </c>
      <c r="C30" s="45"/>
      <c r="D30" s="45">
        <f>'KY_Cost Plant Acct-Comm-P8(Fin)'!D30</f>
        <v>0</v>
      </c>
      <c r="E30" s="45"/>
      <c r="F30" s="45">
        <f>'KY_Cost Plant Acct-Comm-P8(Fin)'!F30</f>
        <v>0</v>
      </c>
      <c r="G30" s="45"/>
      <c r="H30" s="45">
        <f>'KY_Cost Plant Acct-Comm-P8(Fin)'!H30</f>
        <v>0</v>
      </c>
      <c r="I30" s="45"/>
      <c r="J30" s="45">
        <f t="shared" si="0"/>
        <v>0</v>
      </c>
      <c r="K30" s="45"/>
      <c r="L30" s="45">
        <f t="shared" si="1"/>
        <v>14147.08</v>
      </c>
      <c r="M30" s="4"/>
      <c r="N30" s="89">
        <f>'KY_Res by Plant Acct-P29 (Fin)'!R428</f>
        <v>-9428.5700000000015</v>
      </c>
      <c r="P30" s="89">
        <f t="shared" si="2"/>
        <v>4718.5099999999984</v>
      </c>
    </row>
    <row r="31" spans="1:16">
      <c r="A31" t="s">
        <v>4</v>
      </c>
      <c r="B31" s="182">
        <f>+'KY_Cost Plant Acct-Comm-P8(Fin)'!B31+'KY_Cost Plant Acct-Comm-P8(Fin)'!B58+'IN_Cost Plant Acct-Com-P10(Fin)'!B11+'IN_Cost Plant Acct-Com-P10(Fin)'!B20</f>
        <v>41278294.039999999</v>
      </c>
      <c r="C31" s="45"/>
      <c r="D31" s="45">
        <f>+'KY_Cost Plant Acct-Comm-P8(Fin)'!D31+'KY_Cost Plant Acct-Comm-P8(Fin)'!D58+'IN_Cost Plant Acct-Com-P10(Fin)'!D11+'IN_Cost Plant Acct-Com-P10(Fin)'!D20</f>
        <v>165871.69</v>
      </c>
      <c r="E31" s="45"/>
      <c r="F31" s="182">
        <f>+'KY_Cost Plant Acct-Comm-P8(Fin)'!F31+'KY_Cost Plant Acct-Comm-P8(Fin)'!F58+'IN_Cost Plant Acct-Com-P10(Fin)'!F11+'IN_Cost Plant Acct-Com-P10(Fin)'!F20</f>
        <v>-1200.03</v>
      </c>
      <c r="G31" s="45"/>
      <c r="H31" s="182">
        <f>+'KY_Cost Plant Acct-Comm-P8(Fin)'!H31+'KY_Cost Plant Acct-Comm-P8(Fin)'!H58+'IN_Cost Plant Acct-Com-P10(Fin)'!H11+'IN_Cost Plant Acct-Com-P10(Fin)'!H20</f>
        <v>0</v>
      </c>
      <c r="I31" s="45"/>
      <c r="J31" s="45">
        <f t="shared" si="0"/>
        <v>164671.66</v>
      </c>
      <c r="K31" s="45"/>
      <c r="L31" s="45">
        <f t="shared" si="1"/>
        <v>41442965.699999996</v>
      </c>
      <c r="M31" s="4"/>
      <c r="N31" s="89">
        <f>'KY_Res by Plant Acct-P29 (Fin)'!R429+'IN_Res by Plant Acct-P30 (Fin)'!R43</f>
        <v>-25380519.469999999</v>
      </c>
      <c r="P31" s="89">
        <f t="shared" si="2"/>
        <v>16062446.229999997</v>
      </c>
    </row>
    <row r="32" spans="1:16">
      <c r="A32" t="s">
        <v>100</v>
      </c>
      <c r="B32" s="45">
        <f>'KY_Cost Plant Acct-Comm-P8(Fin)'!B32+'KY_Cost Plant Acct-Comm-P8(Fin)'!B59</f>
        <v>6479333.1699999999</v>
      </c>
      <c r="C32" s="45"/>
      <c r="D32" s="45">
        <f>'KY_Cost Plant Acct-Comm-P8(Fin)'!D32+'KY_Cost Plant Acct-Comm-P8(Fin)'!D59</f>
        <v>71987.520000000004</v>
      </c>
      <c r="E32" s="45"/>
      <c r="F32" s="45">
        <f>'KY_Cost Plant Acct-Comm-P8(Fin)'!F32</f>
        <v>0</v>
      </c>
      <c r="G32" s="45"/>
      <c r="H32" s="45">
        <f>'KY_Cost Plant Acct-Comm-P8(Fin)'!H32</f>
        <v>0</v>
      </c>
      <c r="I32" s="45"/>
      <c r="J32" s="45">
        <f t="shared" si="0"/>
        <v>71987.520000000004</v>
      </c>
      <c r="K32" s="45"/>
      <c r="L32" s="45">
        <f t="shared" si="1"/>
        <v>6551320.6899999995</v>
      </c>
      <c r="M32" s="4"/>
      <c r="N32" s="89">
        <f>'KY_Res by Plant Acct-P29 (Fin)'!R430</f>
        <v>-5822375.6299999999</v>
      </c>
      <c r="P32" s="89">
        <f t="shared" si="2"/>
        <v>728945.05999999959</v>
      </c>
    </row>
    <row r="33" spans="1:16">
      <c r="A33" t="s">
        <v>101</v>
      </c>
      <c r="B33" s="45">
        <f>'KY_Cost Plant Acct-Comm-P8(Fin)'!B33</f>
        <v>21815.609999999986</v>
      </c>
      <c r="C33" s="45"/>
      <c r="D33" s="45">
        <f>'KY_Cost Plant Acct-Comm-P8(Fin)'!D33+'KY_Cost Plant Acct-Comm-P8(Fin)'!D60</f>
        <v>0</v>
      </c>
      <c r="E33" s="45"/>
      <c r="F33" s="45">
        <f>'KY_Cost Plant Acct-Comm-P8(Fin)'!F33</f>
        <v>0</v>
      </c>
      <c r="G33" s="45"/>
      <c r="H33" s="45">
        <f>'KY_Cost Plant Acct-Comm-P8(Fin)'!H33</f>
        <v>-4609.58</v>
      </c>
      <c r="I33" s="45"/>
      <c r="J33" s="45">
        <f t="shared" si="0"/>
        <v>-4609.58</v>
      </c>
      <c r="K33" s="45"/>
      <c r="L33" s="45">
        <f t="shared" si="1"/>
        <v>17206.029999999984</v>
      </c>
      <c r="M33" s="4"/>
      <c r="N33" s="89">
        <f>'KY_Res by Plant Acct-P29 (Fin)'!R431</f>
        <v>-122328.81999999995</v>
      </c>
      <c r="P33" s="89">
        <f t="shared" si="2"/>
        <v>-105122.78999999996</v>
      </c>
    </row>
    <row r="34" spans="1:16">
      <c r="A34" t="s">
        <v>102</v>
      </c>
      <c r="B34" s="45">
        <f>'KY_Cost Plant Acct-Comm-P8(Fin)'!B34</f>
        <v>101389.77</v>
      </c>
      <c r="C34" s="45"/>
      <c r="D34" s="45">
        <f>'KY_Cost Plant Acct-Comm-P8(Fin)'!D34</f>
        <v>0</v>
      </c>
      <c r="E34" s="45"/>
      <c r="F34" s="45">
        <f>'KY_Cost Plant Acct-Comm-P8(Fin)'!F34</f>
        <v>0</v>
      </c>
      <c r="G34" s="45"/>
      <c r="H34" s="45">
        <f>'KY_Cost Plant Acct-Comm-P8(Fin)'!H34</f>
        <v>0</v>
      </c>
      <c r="I34" s="45"/>
      <c r="J34" s="45">
        <f t="shared" si="0"/>
        <v>0</v>
      </c>
      <c r="K34" s="45"/>
      <c r="L34" s="45">
        <f t="shared" si="1"/>
        <v>101389.77</v>
      </c>
      <c r="M34" s="4"/>
      <c r="N34" s="89">
        <f>'KY_Res by Plant Acct-P29 (Fin)'!R432</f>
        <v>-2918.6899999999973</v>
      </c>
      <c r="P34" s="89">
        <f t="shared" si="2"/>
        <v>98471.08</v>
      </c>
    </row>
    <row r="35" spans="1:16">
      <c r="A35" t="s">
        <v>103</v>
      </c>
      <c r="B35" s="45">
        <f>'KY_Cost Plant Acct-Comm-P8(Fin)'!B35</f>
        <v>83782.289999999994</v>
      </c>
      <c r="C35" s="45"/>
      <c r="D35" s="45">
        <f>'KY_Cost Plant Acct-Comm-P8(Fin)'!D35</f>
        <v>0</v>
      </c>
      <c r="E35" s="45"/>
      <c r="F35" s="45">
        <f>'KY_Cost Plant Acct-Comm-P8(Fin)'!F35</f>
        <v>0</v>
      </c>
      <c r="G35" s="45"/>
      <c r="H35" s="45">
        <f>'KY_Cost Plant Acct-Comm-P8(Fin)'!H35</f>
        <v>0</v>
      </c>
      <c r="I35" s="45"/>
      <c r="J35" s="45">
        <f t="shared" si="0"/>
        <v>0</v>
      </c>
      <c r="K35" s="45"/>
      <c r="L35" s="45">
        <f t="shared" si="1"/>
        <v>83782.289999999994</v>
      </c>
      <c r="M35" s="4"/>
      <c r="N35" s="89">
        <f>'KY_Res by Plant Acct-P29 (Fin)'!R447</f>
        <v>0</v>
      </c>
      <c r="P35" s="89">
        <f t="shared" si="2"/>
        <v>83782.289999999994</v>
      </c>
    </row>
    <row r="36" spans="1:16">
      <c r="A36" t="s">
        <v>267</v>
      </c>
      <c r="B36" s="45">
        <f>'KY_Cost Plant Acct-Comm-P8(Fin)'!B36</f>
        <v>0</v>
      </c>
      <c r="C36" s="45"/>
      <c r="D36" s="45">
        <f>'KY_Cost Plant Acct-Comm-P8(Fin)'!D36</f>
        <v>0</v>
      </c>
      <c r="E36" s="45"/>
      <c r="F36" s="45">
        <f>'KY_Cost Plant Acct-Comm-P8(Fin)'!F36</f>
        <v>0</v>
      </c>
      <c r="G36" s="45"/>
      <c r="H36" s="45">
        <f>'KY_Cost Plant Acct-Comm-P8(Fin)'!H36</f>
        <v>0</v>
      </c>
      <c r="I36" s="45"/>
      <c r="J36" s="45">
        <f t="shared" si="0"/>
        <v>0</v>
      </c>
      <c r="K36" s="45"/>
      <c r="L36" s="45">
        <f t="shared" si="1"/>
        <v>0</v>
      </c>
      <c r="M36" s="4"/>
      <c r="N36" s="89">
        <f>'KY_Res by Plant Acct-P29 (Fin)'!R448</f>
        <v>0</v>
      </c>
      <c r="P36" s="89">
        <f t="shared" si="2"/>
        <v>0</v>
      </c>
    </row>
    <row r="37" spans="1:16">
      <c r="A37" t="s">
        <v>268</v>
      </c>
      <c r="B37" s="45">
        <f>'KY_Cost Plant Acct-Comm-P8(Fin)'!B37+'KY_Cost Plant Acct-Comm-P8(Fin)'!B61</f>
        <v>18699664.039999999</v>
      </c>
      <c r="C37" s="45"/>
      <c r="D37" s="45">
        <f>'KY_Cost Plant Acct-Comm-P8(Fin)'!D37+'KY_Cost Plant Acct-Comm-P8(Fin)'!D61</f>
        <v>4367912.870000001</v>
      </c>
      <c r="E37" s="45"/>
      <c r="F37" s="45">
        <f>'KY_Cost Plant Acct-Comm-P8(Fin)'!F37</f>
        <v>-1193940.58</v>
      </c>
      <c r="G37" s="45"/>
      <c r="H37" s="45">
        <f>'KY_Cost Plant Acct-Comm-P8(Fin)'!H37</f>
        <v>0</v>
      </c>
      <c r="I37" s="45"/>
      <c r="J37" s="45">
        <f t="shared" si="0"/>
        <v>3173972.290000001</v>
      </c>
      <c r="K37" s="45"/>
      <c r="L37" s="45">
        <f t="shared" si="1"/>
        <v>21873636.329999998</v>
      </c>
      <c r="M37" s="4"/>
      <c r="N37" s="89">
        <f>'KY_Res by Plant Acct-P29 (Fin)'!R449</f>
        <v>-8584798.450000003</v>
      </c>
      <c r="P37" s="89">
        <f t="shared" si="2"/>
        <v>13288837.879999995</v>
      </c>
    </row>
    <row r="38" spans="1:16">
      <c r="A38" t="s">
        <v>1023</v>
      </c>
      <c r="B38" s="45">
        <f>'KY_Cost Plant Acct-Comm-P8(Fin)'!B38+'KY_Cost Plant Acct-Comm-P8(Fin)'!B62</f>
        <v>44348600.75999999</v>
      </c>
      <c r="C38" s="45"/>
      <c r="D38" s="45">
        <f>'KY_Cost Plant Acct-Comm-P8(Fin)'!D38+'KY_Cost Plant Acct-Comm-P8(Fin)'!D62</f>
        <v>165079.18</v>
      </c>
      <c r="E38" s="45"/>
      <c r="F38" s="45">
        <f>'KY_Cost Plant Acct-Comm-P8(Fin)'!F38</f>
        <v>0</v>
      </c>
      <c r="G38" s="45"/>
      <c r="H38" s="45">
        <f>'KY_Cost Plant Acct-Comm-P8(Fin)'!H38</f>
        <v>0</v>
      </c>
      <c r="I38" s="45"/>
      <c r="J38" s="45">
        <f t="shared" si="0"/>
        <v>165079.18</v>
      </c>
      <c r="K38" s="45"/>
      <c r="L38" s="45">
        <f t="shared" si="1"/>
        <v>44513679.93999999</v>
      </c>
      <c r="M38" s="4"/>
      <c r="N38" s="89">
        <f>'KY_Res by Plant Acct-P29 (Fin)'!R450</f>
        <v>-12470040.300000001</v>
      </c>
      <c r="P38" s="89">
        <f t="shared" si="2"/>
        <v>32043639.639999989</v>
      </c>
    </row>
    <row r="39" spans="1:16">
      <c r="A39" t="s">
        <v>269</v>
      </c>
      <c r="B39" s="48">
        <f>'KY_Cost Plant Acct-Comm-P8(Fin)'!B39</f>
        <v>0</v>
      </c>
      <c r="C39" s="52"/>
      <c r="D39" s="48">
        <f>'KY_Cost Plant Acct-Comm-P8(Fin)'!D39</f>
        <v>0</v>
      </c>
      <c r="E39" s="52"/>
      <c r="F39" s="48">
        <f>'KY_Cost Plant Acct-Comm-P8(Fin)'!F39</f>
        <v>0</v>
      </c>
      <c r="G39" s="52"/>
      <c r="H39" s="48">
        <f>'KY_Cost Plant Acct-Comm-P8(Fin)'!H39</f>
        <v>0</v>
      </c>
      <c r="I39" s="52"/>
      <c r="J39" s="48">
        <f t="shared" si="0"/>
        <v>0</v>
      </c>
      <c r="K39" s="52"/>
      <c r="L39" s="48">
        <f t="shared" si="1"/>
        <v>0</v>
      </c>
      <c r="M39" s="55"/>
      <c r="N39" s="90">
        <f>'KY_Res by Plant Acct-P29 (Fin)'!R451</f>
        <v>0</v>
      </c>
      <c r="P39" s="90">
        <f t="shared" si="2"/>
        <v>0</v>
      </c>
    </row>
    <row r="40" spans="1:16">
      <c r="B40" s="52">
        <f>SUM(B11:B39)</f>
        <v>222764065.49000001</v>
      </c>
      <c r="C40" s="52"/>
      <c r="D40" s="52">
        <f>SUM(D11:D39)</f>
        <v>6342012.0800000001</v>
      </c>
      <c r="E40" s="52"/>
      <c r="F40" s="52">
        <f>SUM(F11:F39)</f>
        <v>-1437161.56</v>
      </c>
      <c r="G40" s="52"/>
      <c r="H40" s="52">
        <f>SUM(H11:H39)</f>
        <v>0</v>
      </c>
      <c r="I40" s="52"/>
      <c r="J40" s="52">
        <f>SUM(J11:J39)</f>
        <v>4904850.5200000005</v>
      </c>
      <c r="K40" s="52"/>
      <c r="L40" s="52">
        <f>SUM(L11:L39)</f>
        <v>227668916.01000005</v>
      </c>
      <c r="M40" s="55"/>
      <c r="N40" s="52">
        <f>SUM(N11:N39)</f>
        <v>-101351293.33999997</v>
      </c>
      <c r="P40" s="52">
        <f>SUM(P11:P39)</f>
        <v>126317622.66999997</v>
      </c>
    </row>
    <row r="41" spans="1:16">
      <c r="B41" s="52"/>
      <c r="C41" s="52"/>
      <c r="D41" s="52"/>
      <c r="E41" s="52"/>
      <c r="F41" s="52"/>
      <c r="G41" s="52"/>
      <c r="H41" s="52"/>
      <c r="I41" s="52"/>
      <c r="J41" s="52"/>
      <c r="K41" s="52"/>
      <c r="L41" s="52"/>
      <c r="M41" s="55"/>
    </row>
    <row r="42" spans="1:16">
      <c r="B42" s="52"/>
      <c r="C42" s="52"/>
      <c r="D42" s="52"/>
      <c r="E42" s="52"/>
      <c r="F42" s="52"/>
      <c r="G42" s="52"/>
      <c r="H42" s="52"/>
      <c r="I42" s="52"/>
      <c r="J42" s="52"/>
      <c r="K42" s="52"/>
      <c r="L42" s="52"/>
      <c r="M42" s="55"/>
    </row>
    <row r="43" spans="1:16" ht="13.5" thickBot="1">
      <c r="A43" s="3" t="s">
        <v>203</v>
      </c>
      <c r="B43" s="46">
        <f>B40</f>
        <v>222764065.49000001</v>
      </c>
      <c r="C43" s="55"/>
      <c r="D43" s="46">
        <f>D40</f>
        <v>6342012.0800000001</v>
      </c>
      <c r="E43" s="55"/>
      <c r="F43" s="46">
        <f>F40</f>
        <v>-1437161.56</v>
      </c>
      <c r="G43" s="55"/>
      <c r="H43" s="46">
        <f>H40</f>
        <v>0</v>
      </c>
      <c r="I43" s="55"/>
      <c r="J43" s="46">
        <f>J40</f>
        <v>4904850.5200000005</v>
      </c>
      <c r="K43" s="55"/>
      <c r="L43" s="46">
        <f>L40</f>
        <v>227668916.01000005</v>
      </c>
      <c r="M43" s="55"/>
      <c r="N43" s="46">
        <f>N40</f>
        <v>-101351293.33999997</v>
      </c>
      <c r="P43" s="46">
        <f>P40</f>
        <v>126317622.66999997</v>
      </c>
    </row>
    <row r="44" spans="1:16" ht="13.5" thickTop="1">
      <c r="B44" s="52"/>
      <c r="C44" s="52"/>
      <c r="D44" s="52"/>
      <c r="E44" s="52"/>
      <c r="F44" s="52"/>
      <c r="G44" s="52"/>
      <c r="H44" s="52"/>
      <c r="I44" s="52"/>
      <c r="J44" s="52"/>
      <c r="K44" s="52"/>
      <c r="L44" s="52"/>
      <c r="M44" s="55"/>
    </row>
    <row r="45" spans="1:16">
      <c r="B45" s="52"/>
      <c r="C45" s="52"/>
      <c r="D45" s="52"/>
      <c r="E45" s="52"/>
      <c r="F45" s="52"/>
      <c r="G45" s="52"/>
      <c r="H45" s="52"/>
      <c r="I45" s="52"/>
      <c r="J45" s="52"/>
      <c r="K45" s="52"/>
      <c r="L45" s="52"/>
      <c r="M45" s="55"/>
    </row>
    <row r="46" spans="1:16">
      <c r="B46" s="45"/>
      <c r="C46" s="45"/>
      <c r="D46" s="45"/>
      <c r="E46" s="45"/>
      <c r="F46" s="45"/>
      <c r="G46" s="45"/>
      <c r="H46" s="45"/>
      <c r="I46" s="45"/>
      <c r="J46" s="45"/>
      <c r="K46" s="45"/>
      <c r="L46" s="45"/>
      <c r="M46" s="4"/>
    </row>
    <row r="47" spans="1:16">
      <c r="B47" s="4"/>
      <c r="C47" s="4"/>
      <c r="D47" s="4"/>
      <c r="E47" s="4"/>
      <c r="F47" s="4"/>
      <c r="G47" s="4"/>
      <c r="H47" s="4"/>
      <c r="I47" s="4"/>
      <c r="J47" s="4"/>
      <c r="K47" s="4"/>
      <c r="L47" s="4"/>
      <c r="M47" s="4"/>
    </row>
    <row r="48" spans="1:16">
      <c r="B48" s="4"/>
      <c r="C48" s="4"/>
      <c r="D48" s="4"/>
      <c r="E48" s="4"/>
      <c r="F48" s="4"/>
      <c r="G48" s="4"/>
      <c r="H48" s="4"/>
      <c r="I48" s="4"/>
      <c r="J48" s="4"/>
      <c r="K48" s="4"/>
      <c r="L48" s="4"/>
      <c r="M48" s="4"/>
    </row>
    <row r="49" spans="2:13">
      <c r="B49" s="4"/>
      <c r="C49" s="4"/>
      <c r="D49" s="4"/>
      <c r="E49" s="4"/>
      <c r="F49" s="4"/>
      <c r="G49" s="4"/>
      <c r="H49" s="4"/>
      <c r="I49" s="4"/>
      <c r="J49" s="4"/>
      <c r="K49" s="4"/>
      <c r="L49" s="4"/>
      <c r="M49" s="4"/>
    </row>
    <row r="50" spans="2:13">
      <c r="B50" s="4"/>
      <c r="C50" s="4"/>
      <c r="D50" s="4"/>
      <c r="E50" s="4"/>
      <c r="F50" s="4"/>
      <c r="G50" s="4"/>
      <c r="H50" s="4"/>
      <c r="I50" s="4"/>
      <c r="J50" s="4"/>
      <c r="K50" s="4"/>
      <c r="L50" s="4"/>
      <c r="M50" s="4"/>
    </row>
    <row r="51" spans="2:13">
      <c r="B51" s="4"/>
      <c r="C51" s="4"/>
      <c r="D51" s="4"/>
      <c r="E51" s="4"/>
      <c r="F51" s="4"/>
      <c r="G51" s="4"/>
      <c r="H51" s="4"/>
      <c r="I51" s="4"/>
      <c r="J51" s="4"/>
      <c r="K51" s="4"/>
      <c r="L51" s="4"/>
      <c r="M51" s="4"/>
    </row>
    <row r="52" spans="2:13">
      <c r="B52" s="4"/>
      <c r="C52" s="4"/>
      <c r="D52" s="4"/>
      <c r="E52" s="4"/>
      <c r="F52" s="4"/>
      <c r="G52" s="4"/>
      <c r="H52" s="4"/>
      <c r="I52" s="4"/>
      <c r="J52" s="4"/>
      <c r="K52" s="4"/>
      <c r="L52" s="4"/>
      <c r="M52" s="4"/>
    </row>
    <row r="53" spans="2:13">
      <c r="B53" s="4"/>
      <c r="C53" s="4"/>
      <c r="D53" s="4"/>
      <c r="E53" s="4"/>
      <c r="F53" s="4"/>
      <c r="G53" s="4"/>
      <c r="H53" s="4"/>
      <c r="I53" s="4"/>
      <c r="J53" s="4"/>
      <c r="K53" s="4"/>
      <c r="L53" s="4"/>
      <c r="M53" s="4"/>
    </row>
    <row r="54" spans="2:13">
      <c r="B54" s="4"/>
      <c r="C54" s="4"/>
      <c r="D54" s="4"/>
      <c r="E54" s="4"/>
      <c r="F54" s="4"/>
      <c r="G54" s="4"/>
      <c r="H54" s="4"/>
      <c r="I54" s="4"/>
      <c r="J54" s="4"/>
      <c r="K54" s="4"/>
      <c r="L54" s="4"/>
      <c r="M54" s="4"/>
    </row>
    <row r="55" spans="2:13">
      <c r="B55" s="4"/>
      <c r="C55" s="4"/>
      <c r="D55" s="4"/>
      <c r="E55" s="4"/>
      <c r="F55" s="4"/>
      <c r="G55" s="4"/>
      <c r="H55" s="4"/>
      <c r="I55" s="4"/>
      <c r="J55" s="4"/>
      <c r="K55" s="4"/>
      <c r="L55" s="4"/>
      <c r="M55" s="4"/>
    </row>
    <row r="56" spans="2:13">
      <c r="B56" s="4"/>
      <c r="C56" s="4"/>
      <c r="D56" s="4"/>
      <c r="E56" s="4"/>
      <c r="F56" s="4"/>
      <c r="G56" s="4"/>
      <c r="H56" s="4"/>
      <c r="I56" s="4"/>
      <c r="J56" s="4"/>
      <c r="K56" s="4"/>
      <c r="L56" s="4"/>
      <c r="M56" s="4"/>
    </row>
    <row r="57" spans="2:13">
      <c r="B57" s="4"/>
      <c r="C57" s="4"/>
      <c r="D57" s="4"/>
      <c r="E57" s="4"/>
      <c r="F57" s="4"/>
      <c r="G57" s="4"/>
      <c r="H57" s="4"/>
      <c r="I57" s="4"/>
      <c r="J57" s="4"/>
      <c r="K57" s="4"/>
      <c r="L57" s="4"/>
      <c r="M57" s="4"/>
    </row>
    <row r="58" spans="2:13">
      <c r="B58" s="4"/>
      <c r="C58" s="4"/>
      <c r="D58" s="4"/>
      <c r="E58" s="4"/>
      <c r="F58" s="4"/>
      <c r="G58" s="4"/>
      <c r="H58" s="4"/>
      <c r="I58" s="4"/>
      <c r="J58" s="4"/>
      <c r="K58" s="4"/>
      <c r="L58" s="4"/>
      <c r="M58" s="4"/>
    </row>
    <row r="59" spans="2:13">
      <c r="B59" s="4"/>
      <c r="C59" s="4"/>
      <c r="D59" s="4"/>
      <c r="E59" s="4"/>
      <c r="F59" s="4"/>
      <c r="G59" s="4"/>
      <c r="H59" s="4"/>
      <c r="I59" s="4"/>
      <c r="J59" s="4"/>
      <c r="K59" s="4"/>
      <c r="L59" s="4"/>
      <c r="M59" s="4"/>
    </row>
    <row r="60" spans="2:13">
      <c r="B60" s="4"/>
      <c r="C60" s="4"/>
      <c r="D60" s="4"/>
      <c r="E60" s="4"/>
      <c r="F60" s="4"/>
      <c r="G60" s="4"/>
      <c r="H60" s="4"/>
      <c r="I60" s="4"/>
      <c r="J60" s="4"/>
      <c r="K60" s="4"/>
      <c r="L60" s="4"/>
      <c r="M60" s="4"/>
    </row>
    <row r="61" spans="2:13">
      <c r="B61" s="4"/>
      <c r="C61" s="4"/>
      <c r="D61" s="4"/>
      <c r="E61" s="4"/>
      <c r="F61" s="4"/>
      <c r="G61" s="4"/>
      <c r="H61" s="4"/>
      <c r="I61" s="4"/>
      <c r="J61" s="4"/>
      <c r="K61" s="4"/>
      <c r="L61" s="4"/>
      <c r="M61" s="4"/>
    </row>
    <row r="62" spans="2:13">
      <c r="B62" s="4"/>
      <c r="C62" s="4"/>
      <c r="D62" s="4"/>
      <c r="E62" s="4"/>
      <c r="F62" s="4"/>
      <c r="G62" s="4"/>
      <c r="H62" s="4"/>
      <c r="I62" s="4"/>
      <c r="J62" s="4"/>
      <c r="K62" s="4"/>
      <c r="L62" s="4"/>
      <c r="M62" s="4"/>
    </row>
    <row r="63" spans="2:13">
      <c r="B63" s="4"/>
      <c r="C63" s="4"/>
      <c r="D63" s="4"/>
      <c r="E63" s="4"/>
      <c r="F63" s="4"/>
      <c r="G63" s="4"/>
      <c r="H63" s="4"/>
      <c r="I63" s="4"/>
      <c r="J63" s="4"/>
      <c r="K63" s="4"/>
      <c r="L63" s="4"/>
      <c r="M63" s="4"/>
    </row>
    <row r="64" spans="2:13">
      <c r="B64" s="4"/>
      <c r="C64" s="4"/>
      <c r="D64" s="4"/>
      <c r="E64" s="4"/>
      <c r="F64" s="4"/>
      <c r="G64" s="4"/>
      <c r="H64" s="4"/>
      <c r="I64" s="4"/>
      <c r="J64" s="4"/>
      <c r="K64" s="4"/>
      <c r="L64" s="4"/>
      <c r="M64" s="4"/>
    </row>
    <row r="65" spans="2:13">
      <c r="B65" s="4"/>
      <c r="C65" s="4"/>
      <c r="D65" s="4"/>
      <c r="E65" s="4"/>
      <c r="F65" s="4"/>
      <c r="G65" s="4"/>
      <c r="H65" s="4"/>
      <c r="I65" s="4"/>
      <c r="J65" s="4"/>
      <c r="K65" s="4"/>
      <c r="L65" s="4"/>
      <c r="M65" s="4"/>
    </row>
    <row r="66" spans="2:13">
      <c r="B66" s="4"/>
      <c r="C66" s="4"/>
      <c r="D66" s="4"/>
      <c r="E66" s="4"/>
      <c r="F66" s="4"/>
      <c r="G66" s="4"/>
      <c r="H66" s="4"/>
      <c r="I66" s="4"/>
      <c r="J66" s="4"/>
      <c r="K66" s="4"/>
      <c r="L66" s="4"/>
      <c r="M66" s="4"/>
    </row>
    <row r="67" spans="2:13">
      <c r="B67" s="4"/>
      <c r="C67" s="4"/>
      <c r="D67" s="4"/>
      <c r="E67" s="4"/>
      <c r="F67" s="4"/>
      <c r="G67" s="4"/>
      <c r="H67" s="4"/>
      <c r="I67" s="4"/>
      <c r="J67" s="4"/>
      <c r="K67" s="4"/>
      <c r="L67" s="4"/>
      <c r="M67" s="4"/>
    </row>
    <row r="68" spans="2:13">
      <c r="B68" s="4"/>
      <c r="C68" s="4"/>
      <c r="D68" s="4"/>
      <c r="E68" s="4"/>
      <c r="F68" s="4"/>
      <c r="G68" s="4"/>
      <c r="H68" s="4"/>
      <c r="I68" s="4"/>
      <c r="J68" s="4"/>
      <c r="K68" s="4"/>
      <c r="L68" s="4"/>
      <c r="M68" s="4"/>
    </row>
    <row r="69" spans="2:13">
      <c r="B69" s="4"/>
      <c r="C69" s="4"/>
      <c r="D69" s="4"/>
      <c r="E69" s="4"/>
      <c r="F69" s="4"/>
      <c r="G69" s="4"/>
      <c r="H69" s="4"/>
      <c r="I69" s="4"/>
      <c r="J69" s="4"/>
      <c r="K69" s="4"/>
      <c r="L69" s="4"/>
      <c r="M69" s="4"/>
    </row>
    <row r="70" spans="2:13">
      <c r="B70" s="4"/>
      <c r="C70" s="4"/>
      <c r="D70" s="4"/>
      <c r="E70" s="4"/>
      <c r="F70" s="4"/>
      <c r="G70" s="4"/>
      <c r="H70" s="4"/>
      <c r="I70" s="4"/>
      <c r="J70" s="4"/>
      <c r="K70" s="4"/>
      <c r="L70" s="4"/>
      <c r="M70" s="4"/>
    </row>
    <row r="71" spans="2:13">
      <c r="B71" s="4"/>
      <c r="C71" s="4"/>
      <c r="D71" s="4"/>
      <c r="E71" s="4"/>
      <c r="F71" s="4"/>
      <c r="G71" s="4"/>
      <c r="H71" s="4"/>
      <c r="I71" s="4"/>
      <c r="J71" s="4"/>
      <c r="K71" s="4"/>
      <c r="L71" s="4"/>
      <c r="M71" s="4"/>
    </row>
    <row r="72" spans="2:13">
      <c r="B72" s="4"/>
      <c r="C72" s="4"/>
      <c r="D72" s="4"/>
      <c r="E72" s="4"/>
      <c r="F72" s="4"/>
      <c r="G72" s="4"/>
      <c r="H72" s="4"/>
      <c r="I72" s="4"/>
      <c r="J72" s="4"/>
      <c r="K72" s="4"/>
      <c r="L72" s="4"/>
      <c r="M72" s="4"/>
    </row>
    <row r="73" spans="2:13">
      <c r="B73" s="4"/>
      <c r="C73" s="4"/>
      <c r="D73" s="4"/>
      <c r="E73" s="4"/>
      <c r="F73" s="4"/>
      <c r="G73" s="4"/>
      <c r="H73" s="4"/>
      <c r="I73" s="4"/>
      <c r="J73" s="4"/>
      <c r="K73" s="4"/>
      <c r="L73" s="4"/>
      <c r="M73" s="4"/>
    </row>
    <row r="74" spans="2:13">
      <c r="B74" s="4"/>
      <c r="C74" s="4"/>
      <c r="D74" s="4"/>
      <c r="E74" s="4"/>
      <c r="F74" s="4"/>
      <c r="G74" s="4"/>
      <c r="H74" s="4"/>
      <c r="I74" s="4"/>
      <c r="J74" s="4"/>
      <c r="K74" s="4"/>
      <c r="L74" s="4"/>
      <c r="M74" s="4"/>
    </row>
    <row r="75" spans="2:13">
      <c r="B75" s="4"/>
      <c r="C75" s="4"/>
      <c r="D75" s="4"/>
      <c r="E75" s="4"/>
      <c r="F75" s="4"/>
      <c r="G75" s="4"/>
      <c r="H75" s="4"/>
      <c r="I75" s="4"/>
      <c r="J75" s="4"/>
      <c r="K75" s="4"/>
      <c r="L75" s="4"/>
      <c r="M75" s="4"/>
    </row>
    <row r="76" spans="2:13">
      <c r="B76" s="4"/>
      <c r="C76" s="4"/>
      <c r="D76" s="4"/>
      <c r="E76" s="4"/>
      <c r="F76" s="4"/>
      <c r="G76" s="4"/>
      <c r="H76" s="4"/>
      <c r="I76" s="4"/>
      <c r="J76" s="4"/>
      <c r="K76" s="4"/>
      <c r="L76" s="4"/>
      <c r="M76" s="4"/>
    </row>
    <row r="77" spans="2:13">
      <c r="B77" s="4"/>
      <c r="C77" s="4"/>
      <c r="D77" s="4"/>
      <c r="E77" s="4"/>
      <c r="F77" s="4"/>
      <c r="G77" s="4"/>
      <c r="H77" s="4"/>
      <c r="I77" s="4"/>
      <c r="J77" s="4"/>
      <c r="K77" s="4"/>
      <c r="L77" s="4"/>
      <c r="M77" s="4"/>
    </row>
    <row r="78" spans="2:13">
      <c r="B78" s="4"/>
      <c r="C78" s="4"/>
      <c r="D78" s="4"/>
      <c r="E78" s="4"/>
      <c r="F78" s="4"/>
      <c r="G78" s="4"/>
      <c r="H78" s="4"/>
      <c r="I78" s="4"/>
      <c r="J78" s="4"/>
      <c r="K78" s="4"/>
      <c r="L78" s="4"/>
      <c r="M78" s="4"/>
    </row>
    <row r="79" spans="2:13">
      <c r="B79" s="4"/>
      <c r="C79" s="4"/>
      <c r="D79" s="4"/>
      <c r="E79" s="4"/>
      <c r="F79" s="4"/>
      <c r="G79" s="4"/>
      <c r="H79" s="4"/>
      <c r="I79" s="4"/>
      <c r="J79" s="4"/>
      <c r="K79" s="4"/>
      <c r="L79" s="4"/>
      <c r="M79" s="4"/>
    </row>
    <row r="80" spans="2:13">
      <c r="B80" s="4"/>
      <c r="C80" s="4"/>
      <c r="D80" s="4"/>
      <c r="E80" s="4"/>
      <c r="F80" s="4"/>
      <c r="G80" s="4"/>
      <c r="H80" s="4"/>
      <c r="I80" s="4"/>
      <c r="J80" s="4"/>
      <c r="K80" s="4"/>
      <c r="L80" s="4"/>
      <c r="M80" s="4"/>
    </row>
    <row r="81" spans="2:13">
      <c r="B81" s="4"/>
      <c r="C81" s="4"/>
      <c r="D81" s="4"/>
      <c r="E81" s="4"/>
      <c r="F81" s="4"/>
      <c r="G81" s="4"/>
      <c r="H81" s="4"/>
      <c r="I81" s="4"/>
      <c r="J81" s="4"/>
      <c r="K81" s="4"/>
      <c r="L81" s="4"/>
      <c r="M81" s="4"/>
    </row>
    <row r="82" spans="2:13">
      <c r="B82" s="4"/>
      <c r="C82" s="4"/>
      <c r="D82" s="4"/>
      <c r="E82" s="4"/>
      <c r="F82" s="4"/>
      <c r="G82" s="4"/>
      <c r="H82" s="4"/>
      <c r="I82" s="4"/>
      <c r="J82" s="4"/>
      <c r="K82" s="4"/>
      <c r="L82" s="4"/>
      <c r="M82" s="4"/>
    </row>
    <row r="83" spans="2:13">
      <c r="B83" s="4"/>
      <c r="C83" s="4"/>
      <c r="D83" s="4"/>
      <c r="E83" s="4"/>
      <c r="F83" s="4"/>
      <c r="G83" s="4"/>
      <c r="H83" s="4"/>
      <c r="I83" s="4"/>
      <c r="J83" s="4"/>
      <c r="K83" s="4"/>
      <c r="L83" s="4"/>
      <c r="M83" s="4"/>
    </row>
    <row r="84" spans="2:13">
      <c r="B84" s="4"/>
      <c r="C84" s="4"/>
      <c r="D84" s="4"/>
      <c r="E84" s="4"/>
      <c r="F84" s="4"/>
      <c r="G84" s="4"/>
      <c r="H84" s="4"/>
      <c r="I84" s="4"/>
      <c r="J84" s="4"/>
      <c r="K84" s="4"/>
      <c r="L84" s="4"/>
      <c r="M84" s="4"/>
    </row>
    <row r="85" spans="2:13">
      <c r="B85" s="4"/>
      <c r="C85" s="4"/>
      <c r="D85" s="4"/>
      <c r="E85" s="4"/>
      <c r="F85" s="4"/>
      <c r="G85" s="4"/>
      <c r="H85" s="4"/>
      <c r="I85" s="4"/>
      <c r="J85" s="4"/>
      <c r="K85" s="4"/>
      <c r="L85" s="4"/>
      <c r="M85" s="4"/>
    </row>
    <row r="86" spans="2:13">
      <c r="B86" s="4"/>
      <c r="C86" s="4"/>
      <c r="D86" s="4"/>
      <c r="E86" s="4"/>
      <c r="F86" s="4"/>
      <c r="G86" s="4"/>
      <c r="H86" s="4"/>
      <c r="I86" s="4"/>
      <c r="J86" s="4"/>
      <c r="K86" s="4"/>
      <c r="L86" s="4"/>
      <c r="M86" s="4"/>
    </row>
    <row r="87" spans="2:13">
      <c r="B87" s="4"/>
      <c r="C87" s="4"/>
      <c r="D87" s="4"/>
      <c r="E87" s="4"/>
      <c r="F87" s="4"/>
      <c r="G87" s="4"/>
      <c r="H87" s="4"/>
      <c r="I87" s="4"/>
      <c r="J87" s="4"/>
      <c r="K87" s="4"/>
      <c r="L87" s="4"/>
      <c r="M87" s="4"/>
    </row>
    <row r="88" spans="2:13">
      <c r="B88" s="4"/>
      <c r="C88" s="4"/>
      <c r="D88" s="4"/>
      <c r="E88" s="4"/>
      <c r="F88" s="4"/>
      <c r="G88" s="4"/>
      <c r="H88" s="4"/>
      <c r="I88" s="4"/>
      <c r="J88" s="4"/>
      <c r="K88" s="4"/>
      <c r="L88" s="4"/>
      <c r="M88" s="4"/>
    </row>
    <row r="89" spans="2:13">
      <c r="B89" s="4"/>
      <c r="C89" s="4"/>
      <c r="D89" s="4"/>
      <c r="E89" s="4"/>
      <c r="F89" s="4"/>
      <c r="G89" s="4"/>
      <c r="H89" s="4"/>
      <c r="I89" s="4"/>
      <c r="J89" s="4"/>
      <c r="K89" s="4"/>
      <c r="L89" s="4"/>
      <c r="M89" s="4"/>
    </row>
    <row r="90" spans="2:13">
      <c r="B90" s="4"/>
      <c r="C90" s="4"/>
      <c r="D90" s="4"/>
      <c r="E90" s="4"/>
      <c r="F90" s="4"/>
      <c r="G90" s="4"/>
      <c r="H90" s="4"/>
      <c r="I90" s="4"/>
      <c r="J90" s="4"/>
      <c r="K90" s="4"/>
      <c r="L90" s="4"/>
      <c r="M90" s="4"/>
    </row>
    <row r="91" spans="2:13">
      <c r="B91" s="4"/>
      <c r="C91" s="4"/>
      <c r="D91" s="4"/>
      <c r="E91" s="4"/>
      <c r="F91" s="4"/>
      <c r="G91" s="4"/>
      <c r="H91" s="4"/>
      <c r="I91" s="4"/>
      <c r="J91" s="4"/>
      <c r="K91" s="4"/>
      <c r="L91" s="4"/>
      <c r="M91" s="4"/>
    </row>
    <row r="92" spans="2:13">
      <c r="B92" s="4"/>
      <c r="C92" s="4"/>
      <c r="D92" s="4"/>
      <c r="E92" s="4"/>
      <c r="F92" s="4"/>
      <c r="G92" s="4"/>
      <c r="H92" s="4"/>
      <c r="I92" s="4"/>
      <c r="J92" s="4"/>
      <c r="K92" s="4"/>
      <c r="L92" s="4"/>
      <c r="M92" s="4"/>
    </row>
    <row r="93" spans="2:13">
      <c r="B93" s="4"/>
      <c r="C93" s="4"/>
      <c r="D93" s="4"/>
      <c r="E93" s="4"/>
      <c r="F93" s="4"/>
      <c r="G93" s="4"/>
      <c r="H93" s="4"/>
      <c r="I93" s="4"/>
      <c r="J93" s="4"/>
      <c r="K93" s="4"/>
      <c r="L93" s="4"/>
      <c r="M93" s="4"/>
    </row>
    <row r="94" spans="2:13">
      <c r="B94" s="4"/>
      <c r="C94" s="4"/>
      <c r="D94" s="4"/>
      <c r="E94" s="4"/>
      <c r="F94" s="4"/>
      <c r="G94" s="4"/>
      <c r="H94" s="4"/>
      <c r="I94" s="4"/>
      <c r="J94" s="4"/>
      <c r="K94" s="4"/>
      <c r="L94" s="4"/>
      <c r="M94" s="4"/>
    </row>
    <row r="95" spans="2:13">
      <c r="B95" s="4"/>
      <c r="C95" s="4"/>
      <c r="D95" s="4"/>
      <c r="E95" s="4"/>
      <c r="F95" s="4"/>
      <c r="G95" s="4"/>
      <c r="H95" s="4"/>
      <c r="I95" s="4"/>
      <c r="J95" s="4"/>
      <c r="K95" s="4"/>
      <c r="L95" s="4"/>
      <c r="M95" s="4"/>
    </row>
    <row r="96" spans="2:13">
      <c r="B96" s="4"/>
      <c r="C96" s="4"/>
      <c r="D96" s="4"/>
      <c r="E96" s="4"/>
      <c r="F96" s="4"/>
      <c r="G96" s="4"/>
      <c r="H96" s="4"/>
      <c r="I96" s="4"/>
      <c r="J96" s="4"/>
      <c r="K96" s="4"/>
      <c r="L96" s="4"/>
      <c r="M96" s="4"/>
    </row>
    <row r="97" spans="2:13">
      <c r="B97" s="4"/>
      <c r="C97" s="4"/>
      <c r="D97" s="4"/>
      <c r="E97" s="4"/>
      <c r="F97" s="4"/>
      <c r="G97" s="4"/>
      <c r="H97" s="4"/>
      <c r="I97" s="4"/>
      <c r="J97" s="4"/>
      <c r="K97" s="4"/>
      <c r="L97" s="4"/>
      <c r="M97" s="4"/>
    </row>
    <row r="98" spans="2:13">
      <c r="B98" s="4"/>
      <c r="C98" s="4"/>
      <c r="D98" s="4"/>
      <c r="E98" s="4"/>
      <c r="F98" s="4"/>
      <c r="G98" s="4"/>
      <c r="H98" s="4"/>
      <c r="I98" s="4"/>
      <c r="J98" s="4"/>
      <c r="K98" s="4"/>
      <c r="L98" s="4"/>
      <c r="M98" s="4"/>
    </row>
    <row r="99" spans="2:13">
      <c r="B99" s="4"/>
      <c r="C99" s="4"/>
      <c r="D99" s="4"/>
      <c r="E99" s="4"/>
      <c r="F99" s="4"/>
      <c r="G99" s="4"/>
      <c r="H99" s="4"/>
      <c r="I99" s="4"/>
      <c r="J99" s="4"/>
      <c r="K99" s="4"/>
      <c r="L99" s="4"/>
      <c r="M99" s="4"/>
    </row>
    <row r="100" spans="2:13">
      <c r="B100" s="4"/>
      <c r="C100" s="4"/>
      <c r="D100" s="4"/>
      <c r="E100" s="4"/>
      <c r="F100" s="4"/>
      <c r="G100" s="4"/>
      <c r="H100" s="4"/>
      <c r="I100" s="4"/>
      <c r="J100" s="4"/>
      <c r="K100" s="4"/>
      <c r="L100" s="4"/>
      <c r="M100" s="4"/>
    </row>
    <row r="101" spans="2:13">
      <c r="B101" s="4"/>
      <c r="C101" s="4"/>
      <c r="D101" s="4"/>
      <c r="E101" s="4"/>
      <c r="F101" s="4"/>
      <c r="G101" s="4"/>
      <c r="H101" s="4"/>
      <c r="I101" s="4"/>
      <c r="J101" s="4"/>
      <c r="K101" s="4"/>
      <c r="L101" s="4"/>
      <c r="M101" s="4"/>
    </row>
    <row r="102" spans="2:13">
      <c r="B102" s="4"/>
      <c r="C102" s="4"/>
      <c r="D102" s="4"/>
      <c r="E102" s="4"/>
      <c r="F102" s="4"/>
      <c r="G102" s="4"/>
      <c r="H102" s="4"/>
      <c r="I102" s="4"/>
      <c r="J102" s="4"/>
      <c r="K102" s="4"/>
      <c r="L102" s="4"/>
      <c r="M102" s="4"/>
    </row>
    <row r="103" spans="2:13">
      <c r="B103" s="4"/>
      <c r="C103" s="4"/>
      <c r="D103" s="4"/>
      <c r="E103" s="4"/>
      <c r="F103" s="4"/>
      <c r="G103" s="4"/>
      <c r="H103" s="4"/>
      <c r="I103" s="4"/>
      <c r="J103" s="4"/>
      <c r="K103" s="4"/>
      <c r="L103" s="4"/>
      <c r="M103" s="4"/>
    </row>
    <row r="104" spans="2:13">
      <c r="B104" s="4"/>
      <c r="C104" s="4"/>
      <c r="D104" s="4"/>
      <c r="E104" s="4"/>
      <c r="F104" s="4"/>
      <c r="G104" s="4"/>
      <c r="H104" s="4"/>
      <c r="I104" s="4"/>
      <c r="J104" s="4"/>
      <c r="K104" s="4"/>
      <c r="L104" s="4"/>
      <c r="M104" s="4"/>
    </row>
    <row r="105" spans="2:13">
      <c r="B105" s="4"/>
      <c r="C105" s="4"/>
      <c r="D105" s="4"/>
      <c r="E105" s="4"/>
      <c r="F105" s="4"/>
      <c r="G105" s="4"/>
      <c r="H105" s="4"/>
      <c r="I105" s="4"/>
      <c r="J105" s="4"/>
      <c r="K105" s="4"/>
      <c r="L105" s="4"/>
      <c r="M105" s="4"/>
    </row>
    <row r="106" spans="2:13">
      <c r="B106" s="4"/>
      <c r="C106" s="4"/>
      <c r="D106" s="4"/>
      <c r="E106" s="4"/>
      <c r="F106" s="4"/>
      <c r="G106" s="4"/>
      <c r="H106" s="4"/>
      <c r="I106" s="4"/>
      <c r="J106" s="4"/>
      <c r="K106" s="4"/>
      <c r="L106" s="4"/>
      <c r="M106" s="4"/>
    </row>
    <row r="107" spans="2:13">
      <c r="B107" s="4"/>
      <c r="C107" s="4"/>
      <c r="D107" s="4"/>
      <c r="E107" s="4"/>
      <c r="F107" s="4"/>
      <c r="G107" s="4"/>
      <c r="H107" s="4"/>
      <c r="I107" s="4"/>
      <c r="J107" s="4"/>
      <c r="K107" s="4"/>
      <c r="L107" s="4"/>
      <c r="M107" s="4"/>
    </row>
    <row r="108" spans="2:13">
      <c r="B108" s="4"/>
      <c r="C108" s="4"/>
      <c r="D108" s="4"/>
      <c r="E108" s="4"/>
      <c r="F108" s="4"/>
      <c r="G108" s="4"/>
      <c r="H108" s="4"/>
      <c r="I108" s="4"/>
      <c r="J108" s="4"/>
      <c r="K108" s="4"/>
      <c r="L108" s="4"/>
      <c r="M108" s="4"/>
    </row>
    <row r="109" spans="2:13">
      <c r="B109" s="4"/>
      <c r="C109" s="4"/>
      <c r="D109" s="4"/>
      <c r="E109" s="4"/>
      <c r="F109" s="4"/>
      <c r="G109" s="4"/>
      <c r="H109" s="4"/>
      <c r="I109" s="4"/>
      <c r="J109" s="4"/>
      <c r="K109" s="4"/>
      <c r="L109" s="4"/>
      <c r="M109" s="4"/>
    </row>
    <row r="110" spans="2:13">
      <c r="B110" s="4"/>
      <c r="C110" s="4"/>
      <c r="D110" s="4"/>
      <c r="E110" s="4"/>
      <c r="F110" s="4"/>
      <c r="G110" s="4"/>
      <c r="H110" s="4"/>
      <c r="I110" s="4"/>
      <c r="J110" s="4"/>
      <c r="K110" s="4"/>
      <c r="L110" s="4"/>
      <c r="M110" s="4"/>
    </row>
    <row r="111" spans="2:13">
      <c r="B111" s="4"/>
      <c r="C111" s="4"/>
      <c r="D111" s="4"/>
      <c r="E111" s="4"/>
      <c r="F111" s="4"/>
      <c r="G111" s="4"/>
      <c r="H111" s="4"/>
      <c r="I111" s="4"/>
      <c r="J111" s="4"/>
      <c r="K111" s="4"/>
      <c r="L111" s="4"/>
      <c r="M111" s="4"/>
    </row>
    <row r="112" spans="2:13">
      <c r="B112" s="4"/>
      <c r="C112" s="4"/>
      <c r="D112" s="4"/>
      <c r="E112" s="4"/>
      <c r="F112" s="4"/>
      <c r="G112" s="4"/>
      <c r="H112" s="4"/>
      <c r="I112" s="4"/>
      <c r="J112" s="4"/>
      <c r="K112" s="4"/>
      <c r="L112" s="4"/>
      <c r="M112" s="4"/>
    </row>
    <row r="113" spans="2:13">
      <c r="B113" s="4"/>
      <c r="C113" s="4"/>
      <c r="D113" s="4"/>
      <c r="E113" s="4"/>
      <c r="F113" s="4"/>
      <c r="G113" s="4"/>
      <c r="H113" s="4"/>
      <c r="I113" s="4"/>
      <c r="J113" s="4"/>
      <c r="K113" s="4"/>
      <c r="L113" s="4"/>
      <c r="M113" s="4"/>
    </row>
    <row r="114" spans="2:13">
      <c r="B114" s="4"/>
      <c r="C114" s="4"/>
      <c r="D114" s="4"/>
      <c r="E114" s="4"/>
      <c r="F114" s="4"/>
      <c r="G114" s="4"/>
      <c r="H114" s="4"/>
      <c r="I114" s="4"/>
      <c r="J114" s="4"/>
      <c r="K114" s="4"/>
      <c r="L114" s="4"/>
      <c r="M114" s="4"/>
    </row>
    <row r="115" spans="2:13">
      <c r="B115" s="4"/>
      <c r="C115" s="4"/>
      <c r="D115" s="4"/>
      <c r="E115" s="4"/>
      <c r="F115" s="4"/>
      <c r="G115" s="4"/>
      <c r="H115" s="4"/>
      <c r="I115" s="4"/>
      <c r="J115" s="4"/>
      <c r="K115" s="4"/>
      <c r="L115" s="4"/>
      <c r="M115" s="4"/>
    </row>
    <row r="116" spans="2:13">
      <c r="B116" s="4"/>
      <c r="C116" s="4"/>
      <c r="D116" s="4"/>
      <c r="E116" s="4"/>
      <c r="F116" s="4"/>
      <c r="G116" s="4"/>
      <c r="H116" s="4"/>
      <c r="I116" s="4"/>
      <c r="J116" s="4"/>
      <c r="K116" s="4"/>
      <c r="L116" s="4"/>
      <c r="M116" s="4"/>
    </row>
    <row r="117" spans="2:13">
      <c r="B117" s="4"/>
      <c r="C117" s="4"/>
      <c r="D117" s="4"/>
      <c r="E117" s="4"/>
      <c r="F117" s="4"/>
      <c r="G117" s="4"/>
      <c r="H117" s="4"/>
      <c r="I117" s="4"/>
      <c r="J117" s="4"/>
      <c r="K117" s="4"/>
      <c r="L117" s="4"/>
      <c r="M117" s="4"/>
    </row>
    <row r="118" spans="2:13">
      <c r="B118" s="4"/>
      <c r="C118" s="4"/>
      <c r="D118" s="4"/>
      <c r="E118" s="4"/>
      <c r="F118" s="4"/>
      <c r="G118" s="4"/>
      <c r="H118" s="4"/>
      <c r="I118" s="4"/>
      <c r="J118" s="4"/>
      <c r="K118" s="4"/>
      <c r="L118" s="4"/>
      <c r="M118" s="4"/>
    </row>
    <row r="119" spans="2:13">
      <c r="B119" s="4"/>
      <c r="C119" s="4"/>
      <c r="D119" s="4"/>
      <c r="E119" s="4"/>
      <c r="F119" s="4"/>
      <c r="G119" s="4"/>
      <c r="H119" s="4"/>
      <c r="I119" s="4"/>
      <c r="J119" s="4"/>
      <c r="K119" s="4"/>
      <c r="L119" s="4"/>
      <c r="M119" s="4"/>
    </row>
    <row r="120" spans="2:13">
      <c r="B120" s="4"/>
      <c r="C120" s="4"/>
      <c r="D120" s="4"/>
      <c r="E120" s="4"/>
      <c r="F120" s="4"/>
      <c r="G120" s="4"/>
      <c r="H120" s="4"/>
      <c r="I120" s="4"/>
      <c r="J120" s="4"/>
      <c r="K120" s="4"/>
      <c r="L120" s="4"/>
      <c r="M120" s="4"/>
    </row>
    <row r="121" spans="2:13">
      <c r="B121" s="4"/>
      <c r="C121" s="4"/>
      <c r="D121" s="4"/>
      <c r="E121" s="4"/>
      <c r="F121" s="4"/>
      <c r="G121" s="4"/>
      <c r="H121" s="4"/>
      <c r="I121" s="4"/>
      <c r="J121" s="4"/>
      <c r="K121" s="4"/>
      <c r="L121" s="4"/>
      <c r="M121" s="4"/>
    </row>
    <row r="122" spans="2:13">
      <c r="B122" s="4"/>
      <c r="C122" s="4"/>
      <c r="D122" s="4"/>
      <c r="E122" s="4"/>
      <c r="F122" s="4"/>
      <c r="G122" s="4"/>
      <c r="H122" s="4"/>
      <c r="I122" s="4"/>
      <c r="J122" s="4"/>
      <c r="K122" s="4"/>
      <c r="L122" s="4"/>
      <c r="M122" s="4"/>
    </row>
    <row r="123" spans="2:13">
      <c r="B123" s="4"/>
      <c r="C123" s="4"/>
      <c r="D123" s="4"/>
      <c r="E123" s="4"/>
      <c r="F123" s="4"/>
      <c r="G123" s="4"/>
      <c r="H123" s="4"/>
      <c r="I123" s="4"/>
      <c r="J123" s="4"/>
      <c r="K123" s="4"/>
      <c r="L123" s="4"/>
      <c r="M123" s="4"/>
    </row>
    <row r="124" spans="2:13">
      <c r="B124" s="4"/>
      <c r="C124" s="4"/>
      <c r="D124" s="4"/>
      <c r="E124" s="4"/>
      <c r="F124" s="4"/>
      <c r="G124" s="4"/>
      <c r="H124" s="4"/>
      <c r="I124" s="4"/>
      <c r="J124" s="4"/>
      <c r="K124" s="4"/>
      <c r="L124" s="4"/>
      <c r="M124" s="4"/>
    </row>
    <row r="125" spans="2:13">
      <c r="B125" s="4"/>
      <c r="C125" s="4"/>
      <c r="D125" s="4"/>
      <c r="E125" s="4"/>
      <c r="F125" s="4"/>
      <c r="G125" s="4"/>
      <c r="H125" s="4"/>
      <c r="I125" s="4"/>
      <c r="J125" s="4"/>
      <c r="K125" s="4"/>
      <c r="L125" s="4"/>
      <c r="M125" s="4"/>
    </row>
    <row r="126" spans="2:13">
      <c r="B126" s="4"/>
      <c r="C126" s="4"/>
      <c r="D126" s="4"/>
      <c r="E126" s="4"/>
      <c r="F126" s="4"/>
      <c r="G126" s="4"/>
      <c r="H126" s="4"/>
      <c r="I126" s="4"/>
      <c r="J126" s="4"/>
      <c r="K126" s="4"/>
      <c r="L126" s="4"/>
      <c r="M126" s="4"/>
    </row>
    <row r="127" spans="2:13">
      <c r="B127" s="4"/>
      <c r="C127" s="4"/>
      <c r="D127" s="4"/>
      <c r="E127" s="4"/>
      <c r="F127" s="4"/>
      <c r="G127" s="4"/>
      <c r="H127" s="4"/>
      <c r="I127" s="4"/>
      <c r="J127" s="4"/>
      <c r="K127" s="4"/>
      <c r="L127" s="4"/>
      <c r="M127" s="4"/>
    </row>
    <row r="128" spans="2:13">
      <c r="B128" s="4"/>
      <c r="C128" s="4"/>
      <c r="D128" s="4"/>
      <c r="E128" s="4"/>
      <c r="F128" s="4"/>
      <c r="G128" s="4"/>
      <c r="H128" s="4"/>
      <c r="I128" s="4"/>
      <c r="J128" s="4"/>
      <c r="K128" s="4"/>
      <c r="L128" s="4"/>
      <c r="M128" s="4"/>
    </row>
    <row r="129" spans="2:13">
      <c r="B129" s="4"/>
      <c r="C129" s="4"/>
      <c r="D129" s="4"/>
      <c r="E129" s="4"/>
      <c r="F129" s="4"/>
      <c r="G129" s="4"/>
      <c r="H129" s="4"/>
      <c r="I129" s="4"/>
      <c r="J129" s="4"/>
      <c r="K129" s="4"/>
      <c r="L129" s="4"/>
      <c r="M129" s="4"/>
    </row>
    <row r="130" spans="2:13">
      <c r="B130" s="4"/>
      <c r="C130" s="4"/>
      <c r="D130" s="4"/>
      <c r="E130" s="4"/>
      <c r="F130" s="4"/>
      <c r="G130" s="4"/>
      <c r="H130" s="4"/>
      <c r="I130" s="4"/>
      <c r="J130" s="4"/>
      <c r="K130" s="4"/>
      <c r="L130" s="4"/>
      <c r="M130" s="4"/>
    </row>
    <row r="131" spans="2:13">
      <c r="B131" s="4"/>
      <c r="C131" s="4"/>
      <c r="D131" s="4"/>
      <c r="E131" s="4"/>
      <c r="F131" s="4"/>
      <c r="G131" s="4"/>
      <c r="H131" s="4"/>
      <c r="I131" s="4"/>
      <c r="J131" s="4"/>
      <c r="K131" s="4"/>
      <c r="L131" s="4"/>
      <c r="M131" s="4"/>
    </row>
    <row r="132" spans="2:13">
      <c r="B132" s="4"/>
      <c r="C132" s="4"/>
      <c r="D132" s="4"/>
      <c r="E132" s="4"/>
      <c r="F132" s="4"/>
      <c r="G132" s="4"/>
      <c r="H132" s="4"/>
      <c r="I132" s="4"/>
      <c r="J132" s="4"/>
      <c r="K132" s="4"/>
      <c r="L132" s="4"/>
      <c r="M132" s="4"/>
    </row>
    <row r="133" spans="2:13">
      <c r="B133" s="4"/>
      <c r="C133" s="4"/>
      <c r="D133" s="4"/>
      <c r="E133" s="4"/>
      <c r="F133" s="4"/>
      <c r="G133" s="4"/>
      <c r="H133" s="4"/>
      <c r="I133" s="4"/>
      <c r="J133" s="4"/>
      <c r="K133" s="4"/>
      <c r="L133" s="4"/>
      <c r="M133" s="4"/>
    </row>
    <row r="134" spans="2:13">
      <c r="B134" s="4"/>
      <c r="C134" s="4"/>
      <c r="D134" s="4"/>
      <c r="E134" s="4"/>
      <c r="F134" s="4"/>
      <c r="G134" s="4"/>
      <c r="H134" s="4"/>
      <c r="I134" s="4"/>
      <c r="J134" s="4"/>
      <c r="K134" s="4"/>
      <c r="L134" s="4"/>
      <c r="M134" s="4"/>
    </row>
    <row r="135" spans="2:13">
      <c r="B135" s="4"/>
      <c r="C135" s="4"/>
      <c r="D135" s="4"/>
      <c r="E135" s="4"/>
      <c r="F135" s="4"/>
      <c r="G135" s="4"/>
      <c r="H135" s="4"/>
      <c r="I135" s="4"/>
      <c r="J135" s="4"/>
      <c r="K135" s="4"/>
      <c r="L135" s="4"/>
      <c r="M135" s="4"/>
    </row>
    <row r="136" spans="2:13">
      <c r="B136" s="4"/>
      <c r="C136" s="4"/>
      <c r="D136" s="4"/>
      <c r="E136" s="4"/>
      <c r="F136" s="4"/>
      <c r="G136" s="4"/>
      <c r="H136" s="4"/>
      <c r="I136" s="4"/>
      <c r="J136" s="4"/>
      <c r="K136" s="4"/>
      <c r="L136" s="4"/>
      <c r="M136" s="4"/>
    </row>
    <row r="137" spans="2:13">
      <c r="B137" s="4"/>
      <c r="C137" s="4"/>
      <c r="D137" s="4"/>
      <c r="E137" s="4"/>
      <c r="F137" s="4"/>
      <c r="G137" s="4"/>
      <c r="H137" s="4"/>
      <c r="I137" s="4"/>
      <c r="J137" s="4"/>
      <c r="K137" s="4"/>
      <c r="L137" s="4"/>
      <c r="M137" s="4"/>
    </row>
    <row r="138" spans="2:13">
      <c r="B138" s="4"/>
      <c r="C138" s="4"/>
      <c r="D138" s="4"/>
      <c r="E138" s="4"/>
      <c r="F138" s="4"/>
      <c r="G138" s="4"/>
      <c r="H138" s="4"/>
      <c r="I138" s="4"/>
      <c r="J138" s="4"/>
      <c r="K138" s="4"/>
      <c r="L138" s="4"/>
      <c r="M138" s="4"/>
    </row>
    <row r="139" spans="2:13">
      <c r="B139" s="4"/>
      <c r="C139" s="4"/>
      <c r="D139" s="4"/>
      <c r="E139" s="4"/>
      <c r="F139" s="4"/>
      <c r="G139" s="4"/>
      <c r="H139" s="4"/>
      <c r="I139" s="4"/>
      <c r="J139" s="4"/>
      <c r="K139" s="4"/>
      <c r="L139" s="4"/>
      <c r="M139" s="4"/>
    </row>
    <row r="140" spans="2:13">
      <c r="B140" s="4"/>
      <c r="C140" s="4"/>
      <c r="D140" s="4"/>
      <c r="E140" s="4"/>
      <c r="F140" s="4"/>
      <c r="G140" s="4"/>
      <c r="H140" s="4"/>
      <c r="I140" s="4"/>
      <c r="J140" s="4"/>
      <c r="K140" s="4"/>
      <c r="L140" s="4"/>
      <c r="M140" s="4"/>
    </row>
    <row r="141" spans="2:13">
      <c r="B141" s="4"/>
      <c r="C141" s="4"/>
      <c r="D141" s="4"/>
      <c r="E141" s="4"/>
      <c r="F141" s="4"/>
      <c r="G141" s="4"/>
      <c r="H141" s="4"/>
      <c r="I141" s="4"/>
      <c r="J141" s="4"/>
      <c r="K141" s="4"/>
      <c r="L141" s="4"/>
      <c r="M141" s="4"/>
    </row>
    <row r="142" spans="2:13">
      <c r="B142" s="4"/>
      <c r="C142" s="4"/>
      <c r="D142" s="4"/>
      <c r="E142" s="4"/>
      <c r="F142" s="4"/>
      <c r="G142" s="4"/>
      <c r="H142" s="4"/>
      <c r="I142" s="4"/>
      <c r="J142" s="4"/>
      <c r="K142" s="4"/>
      <c r="L142" s="4"/>
      <c r="M142" s="4"/>
    </row>
    <row r="143" spans="2:13">
      <c r="B143" s="4"/>
      <c r="C143" s="4"/>
      <c r="D143" s="4"/>
      <c r="E143" s="4"/>
      <c r="F143" s="4"/>
      <c r="G143" s="4"/>
      <c r="H143" s="4"/>
      <c r="I143" s="4"/>
      <c r="J143" s="4"/>
      <c r="K143" s="4"/>
      <c r="L143" s="4"/>
      <c r="M143" s="4"/>
    </row>
    <row r="144" spans="2:13">
      <c r="B144" s="4"/>
      <c r="C144" s="4"/>
      <c r="D144" s="4"/>
      <c r="E144" s="4"/>
      <c r="F144" s="4"/>
      <c r="G144" s="4"/>
      <c r="H144" s="4"/>
      <c r="I144" s="4"/>
      <c r="J144" s="4"/>
      <c r="K144" s="4"/>
      <c r="L144" s="4"/>
      <c r="M144" s="4"/>
    </row>
    <row r="145" spans="2:13">
      <c r="B145" s="4"/>
      <c r="C145" s="4"/>
      <c r="D145" s="4"/>
      <c r="E145" s="4"/>
      <c r="F145" s="4"/>
      <c r="G145" s="4"/>
      <c r="H145" s="4"/>
      <c r="I145" s="4"/>
      <c r="J145" s="4"/>
      <c r="K145" s="4"/>
      <c r="L145" s="4"/>
      <c r="M145" s="4"/>
    </row>
    <row r="146" spans="2:13">
      <c r="B146" s="4"/>
      <c r="C146" s="4"/>
      <c r="D146" s="4"/>
      <c r="E146" s="4"/>
      <c r="F146" s="4"/>
      <c r="G146" s="4"/>
      <c r="H146" s="4"/>
      <c r="I146" s="4"/>
      <c r="J146" s="4"/>
      <c r="K146" s="4"/>
      <c r="L146" s="4"/>
      <c r="M146" s="4"/>
    </row>
    <row r="147" spans="2:13">
      <c r="B147" s="4"/>
      <c r="C147" s="4"/>
      <c r="D147" s="4"/>
      <c r="E147" s="4"/>
      <c r="F147" s="4"/>
      <c r="G147" s="4"/>
      <c r="H147" s="4"/>
      <c r="I147" s="4"/>
      <c r="J147" s="4"/>
      <c r="K147" s="4"/>
      <c r="L147" s="4"/>
      <c r="M147" s="4"/>
    </row>
    <row r="148" spans="2:13">
      <c r="B148" s="4"/>
      <c r="C148" s="4"/>
      <c r="D148" s="4"/>
      <c r="E148" s="4"/>
      <c r="F148" s="4"/>
      <c r="G148" s="4"/>
      <c r="H148" s="4"/>
      <c r="I148" s="4"/>
      <c r="J148" s="4"/>
      <c r="K148" s="4"/>
      <c r="L148" s="4"/>
      <c r="M148" s="4"/>
    </row>
    <row r="149" spans="2:13">
      <c r="B149" s="4"/>
      <c r="C149" s="4"/>
      <c r="D149" s="4"/>
      <c r="E149" s="4"/>
      <c r="F149" s="4"/>
      <c r="G149" s="4"/>
      <c r="H149" s="4"/>
      <c r="I149" s="4"/>
      <c r="J149" s="4"/>
      <c r="K149" s="4"/>
      <c r="L149" s="4"/>
      <c r="M149" s="4"/>
    </row>
    <row r="150" spans="2:13">
      <c r="B150" s="4"/>
      <c r="C150" s="4"/>
      <c r="D150" s="4"/>
      <c r="E150" s="4"/>
      <c r="F150" s="4"/>
      <c r="G150" s="4"/>
      <c r="H150" s="4"/>
      <c r="I150" s="4"/>
      <c r="J150" s="4"/>
      <c r="K150" s="4"/>
      <c r="L150" s="4"/>
      <c r="M150" s="4"/>
    </row>
    <row r="151" spans="2:13">
      <c r="B151" s="4"/>
      <c r="C151" s="4"/>
      <c r="D151" s="4"/>
      <c r="E151" s="4"/>
      <c r="F151" s="4"/>
      <c r="G151" s="4"/>
      <c r="H151" s="4"/>
      <c r="I151" s="4"/>
      <c r="J151" s="4"/>
      <c r="K151" s="4"/>
      <c r="L151" s="4"/>
      <c r="M151" s="4"/>
    </row>
    <row r="152" spans="2:13">
      <c r="B152" s="4"/>
      <c r="C152" s="4"/>
      <c r="D152" s="4"/>
      <c r="E152" s="4"/>
      <c r="F152" s="4"/>
      <c r="G152" s="4"/>
      <c r="H152" s="4"/>
      <c r="I152" s="4"/>
      <c r="J152" s="4"/>
      <c r="K152" s="4"/>
      <c r="L152" s="4"/>
      <c r="M152" s="4"/>
    </row>
    <row r="153" spans="2:13">
      <c r="B153" s="4"/>
      <c r="C153" s="4"/>
      <c r="D153" s="4"/>
      <c r="E153" s="4"/>
      <c r="F153" s="4"/>
      <c r="G153" s="4"/>
      <c r="H153" s="4"/>
      <c r="I153" s="4"/>
      <c r="J153" s="4"/>
      <c r="K153" s="4"/>
      <c r="L153" s="4"/>
      <c r="M153" s="4"/>
    </row>
    <row r="154" spans="2:13">
      <c r="B154" s="4"/>
      <c r="C154" s="4"/>
      <c r="D154" s="4"/>
      <c r="E154" s="4"/>
      <c r="F154" s="4"/>
      <c r="G154" s="4"/>
      <c r="H154" s="4"/>
      <c r="I154" s="4"/>
      <c r="J154" s="4"/>
      <c r="K154" s="4"/>
      <c r="L154" s="4"/>
      <c r="M154" s="4"/>
    </row>
    <row r="155" spans="2:13">
      <c r="B155" s="4"/>
      <c r="C155" s="4"/>
      <c r="D155" s="4"/>
      <c r="E155" s="4"/>
      <c r="F155" s="4"/>
      <c r="G155" s="4"/>
      <c r="H155" s="4"/>
      <c r="I155" s="4"/>
      <c r="J155" s="4"/>
      <c r="K155" s="4"/>
      <c r="L155" s="4"/>
      <c r="M155" s="4"/>
    </row>
    <row r="156" spans="2:13">
      <c r="B156" s="4"/>
      <c r="C156" s="4"/>
      <c r="D156" s="4"/>
      <c r="E156" s="4"/>
      <c r="F156" s="4"/>
      <c r="G156" s="4"/>
      <c r="H156" s="4"/>
      <c r="I156" s="4"/>
      <c r="J156" s="4"/>
      <c r="K156" s="4"/>
      <c r="L156" s="4"/>
      <c r="M156" s="4"/>
    </row>
    <row r="157" spans="2:13">
      <c r="B157" s="4"/>
      <c r="C157" s="4"/>
      <c r="D157" s="4"/>
      <c r="E157" s="4"/>
      <c r="F157" s="4"/>
      <c r="G157" s="4"/>
      <c r="H157" s="4"/>
      <c r="I157" s="4"/>
      <c r="J157" s="4"/>
      <c r="K157" s="4"/>
      <c r="L157" s="4"/>
      <c r="M157" s="4"/>
    </row>
    <row r="158" spans="2:13">
      <c r="B158" s="4"/>
      <c r="C158" s="4"/>
      <c r="D158" s="4"/>
      <c r="E158" s="4"/>
      <c r="F158" s="4"/>
      <c r="G158" s="4"/>
      <c r="H158" s="4"/>
      <c r="I158" s="4"/>
      <c r="J158" s="4"/>
      <c r="K158" s="4"/>
      <c r="L158" s="4"/>
      <c r="M158" s="4"/>
    </row>
    <row r="159" spans="2:13">
      <c r="B159" s="4"/>
      <c r="C159" s="4"/>
      <c r="D159" s="4"/>
      <c r="E159" s="4"/>
      <c r="F159" s="4"/>
      <c r="G159" s="4"/>
      <c r="H159" s="4"/>
      <c r="I159" s="4"/>
      <c r="J159" s="4"/>
      <c r="K159" s="4"/>
      <c r="L159" s="4"/>
      <c r="M159" s="4"/>
    </row>
    <row r="160" spans="2:13">
      <c r="B160" s="4"/>
      <c r="C160" s="4"/>
      <c r="D160" s="4"/>
      <c r="E160" s="4"/>
      <c r="F160" s="4"/>
      <c r="G160" s="4"/>
      <c r="H160" s="4"/>
      <c r="I160" s="4"/>
      <c r="J160" s="4"/>
      <c r="K160" s="4"/>
      <c r="L160" s="4"/>
      <c r="M160" s="4"/>
    </row>
  </sheetData>
  <customSheetViews>
    <customSheetView guid="{6B74E52F-9552-408A-8775-25AFF24E6639}" scale="75" showPageBreaks="1" fitToPage="1" printArea="1" showRuler="0">
      <selection activeCell="A4" sqref="A4"/>
      <rowBreaks count="1" manualBreakCount="1">
        <brk id="43" max="15" man="1"/>
      </rowBreaks>
      <pageMargins left="0.75" right="0.75" top="1" bottom="1" header="0.5" footer="0.5"/>
      <pageSetup scale="61" orientation="landscape" r:id="rId1"/>
      <headerFooter alignWithMargins="0">
        <oddFooter>&amp;L&amp;Z
&amp;F&amp;C&amp;A&amp;R5.&amp;P</oddFooter>
      </headerFooter>
    </customSheetView>
  </customSheetViews>
  <mergeCells count="3">
    <mergeCell ref="A2:P2"/>
    <mergeCell ref="A1:P1"/>
    <mergeCell ref="A3:P3"/>
  </mergeCells>
  <phoneticPr fontId="0" type="noConversion"/>
  <pageMargins left="0.75" right="0.75" top="1" bottom="1" header="0.5" footer="0.5"/>
  <pageSetup scale="61" orientation="landscape" r:id="rId2"/>
  <headerFooter alignWithMargins="0">
    <oddFooter>&amp;L&amp;Z
&amp;F&amp;C&amp;A&amp;R5.&amp;P</oddFooter>
  </headerFooter>
  <rowBreaks count="1" manualBreakCount="1">
    <brk id="44" max="15" man="1"/>
  </rowBreaks>
</worksheet>
</file>

<file path=xl/worksheets/sheet92.xml><?xml version="1.0" encoding="utf-8"?>
<worksheet xmlns="http://schemas.openxmlformats.org/spreadsheetml/2006/main" xmlns:r="http://schemas.openxmlformats.org/officeDocument/2006/relationships">
  <sheetPr codeName="Sheet78"/>
  <dimension ref="A1:M193"/>
  <sheetViews>
    <sheetView topLeftCell="A25" zoomScaleNormal="100" workbookViewId="0">
      <selection activeCell="L40" sqref="L40"/>
    </sheetView>
  </sheetViews>
  <sheetFormatPr defaultRowHeight="12.75"/>
  <cols>
    <col min="1" max="1" width="40.5703125" bestFit="1" customWidth="1"/>
    <col min="2" max="2" width="17.7109375" customWidth="1"/>
    <col min="3" max="3" width="1.7109375" customWidth="1"/>
    <col min="4" max="4" width="17.7109375" customWidth="1"/>
    <col min="5" max="5" width="1.7109375" customWidth="1"/>
    <col min="6" max="6" width="17.7109375" customWidth="1"/>
    <col min="7" max="7" width="1.7109375" customWidth="1"/>
    <col min="8" max="8" width="17.7109375" customWidth="1"/>
    <col min="9" max="9" width="1.7109375" customWidth="1"/>
    <col min="10" max="10" width="17.7109375" customWidth="1"/>
    <col min="11" max="11" width="1.7109375" customWidth="1"/>
    <col min="12" max="12" width="17.7109375" customWidth="1"/>
    <col min="13" max="13" width="2.140625" customWidth="1"/>
  </cols>
  <sheetData>
    <row r="1" spans="1:13" s="38" customFormat="1" ht="15.75">
      <c r="A1" s="366" t="s">
        <v>134</v>
      </c>
      <c r="B1" s="366"/>
      <c r="C1" s="366"/>
      <c r="D1" s="366"/>
      <c r="E1" s="366"/>
      <c r="F1" s="366"/>
      <c r="G1" s="366"/>
      <c r="H1" s="366"/>
      <c r="I1" s="366"/>
      <c r="J1" s="366"/>
      <c r="K1" s="366"/>
      <c r="L1" s="366"/>
      <c r="M1" s="366"/>
    </row>
    <row r="2" spans="1:13" s="38" customFormat="1" ht="15.75">
      <c r="A2" s="367" t="s">
        <v>1214</v>
      </c>
      <c r="B2" s="366"/>
      <c r="C2" s="366"/>
      <c r="D2" s="366"/>
      <c r="E2" s="366"/>
      <c r="F2" s="366"/>
      <c r="G2" s="366"/>
      <c r="H2" s="366"/>
      <c r="I2" s="366"/>
      <c r="J2" s="366"/>
      <c r="K2" s="366"/>
      <c r="L2" s="366"/>
      <c r="M2" s="366"/>
    </row>
    <row r="3" spans="1:13">
      <c r="A3" s="357" t="str">
        <f>'Summary - Cost - PG 1 (Fin)'!A3:N3</f>
        <v>MARCH 2012</v>
      </c>
      <c r="B3" s="357"/>
      <c r="C3" s="357"/>
      <c r="D3" s="357"/>
      <c r="E3" s="357"/>
      <c r="F3" s="357"/>
      <c r="G3" s="357"/>
      <c r="H3" s="357"/>
      <c r="I3" s="357"/>
      <c r="J3" s="357"/>
      <c r="K3" s="357"/>
      <c r="L3" s="357"/>
      <c r="M3" s="357"/>
    </row>
    <row r="4" spans="1:13">
      <c r="A4" s="30"/>
      <c r="B4" s="30"/>
      <c r="C4" s="30"/>
      <c r="D4" s="30"/>
      <c r="E4" s="30"/>
      <c r="F4" s="30"/>
      <c r="G4" s="30"/>
      <c r="H4" s="30"/>
      <c r="I4" s="30"/>
      <c r="J4" s="30"/>
      <c r="K4" s="30"/>
      <c r="L4" s="30"/>
    </row>
    <row r="6" spans="1:13">
      <c r="B6" s="41" t="s">
        <v>25</v>
      </c>
      <c r="D6" s="45"/>
      <c r="F6" s="45"/>
      <c r="H6" s="41" t="s">
        <v>612</v>
      </c>
      <c r="J6" s="45"/>
      <c r="L6" s="41" t="s">
        <v>26</v>
      </c>
    </row>
    <row r="7" spans="1:13" s="10" customFormat="1">
      <c r="A7" s="12" t="s">
        <v>371</v>
      </c>
      <c r="B7" s="42" t="s">
        <v>27</v>
      </c>
      <c r="C7"/>
      <c r="D7" s="42" t="s">
        <v>107</v>
      </c>
      <c r="E7"/>
      <c r="F7" s="42" t="s">
        <v>108</v>
      </c>
      <c r="G7"/>
      <c r="H7" s="42" t="s">
        <v>613</v>
      </c>
      <c r="I7"/>
      <c r="J7" s="42" t="s">
        <v>109</v>
      </c>
      <c r="K7"/>
      <c r="L7" s="42" t="s">
        <v>27</v>
      </c>
    </row>
    <row r="8" spans="1:13" s="10" customFormat="1">
      <c r="A8" s="12" t="s">
        <v>205</v>
      </c>
      <c r="B8" s="54"/>
      <c r="C8"/>
      <c r="D8" s="54"/>
      <c r="E8"/>
      <c r="F8" s="54"/>
      <c r="G8"/>
      <c r="H8" s="54"/>
      <c r="I8"/>
      <c r="J8" s="54"/>
      <c r="K8"/>
      <c r="L8" s="54"/>
    </row>
    <row r="9" spans="1:13" s="10" customFormat="1">
      <c r="A9" s="12" t="s">
        <v>420</v>
      </c>
      <c r="B9"/>
      <c r="C9"/>
      <c r="D9"/>
      <c r="E9"/>
      <c r="F9"/>
      <c r="G9"/>
      <c r="H9"/>
      <c r="I9"/>
      <c r="J9"/>
      <c r="K9"/>
      <c r="L9"/>
    </row>
    <row r="10" spans="1:13" s="10" customFormat="1">
      <c r="A10" s="12" t="s">
        <v>807</v>
      </c>
      <c r="B10"/>
      <c r="C10"/>
      <c r="D10"/>
      <c r="E10"/>
      <c r="F10"/>
      <c r="G10"/>
      <c r="H10"/>
      <c r="I10"/>
      <c r="J10"/>
      <c r="K10"/>
      <c r="L10"/>
    </row>
    <row r="11" spans="1:13">
      <c r="A11" t="s">
        <v>19</v>
      </c>
      <c r="B11" s="45">
        <f>'KY_Cost Plant Acct-Comm-P8(Fin)'!B11</f>
        <v>1685316.06</v>
      </c>
      <c r="C11" s="45"/>
      <c r="D11" s="45">
        <f>'KY_Cost Plant Acct-Comm-P8(Fin)'!D11</f>
        <v>0</v>
      </c>
      <c r="E11" s="45"/>
      <c r="F11" s="45">
        <f>'KY_Cost Plant Acct-Comm-P8(Fin)'!F11</f>
        <v>0</v>
      </c>
      <c r="G11" s="45"/>
      <c r="H11" s="45">
        <f>'KY_Cost Plant Acct-Comm-P8(Fin)'!H11</f>
        <v>0</v>
      </c>
      <c r="I11" s="45"/>
      <c r="J11" s="45">
        <f t="shared" ref="J11:J39" si="0">H11+F11+D11</f>
        <v>0</v>
      </c>
      <c r="K11" s="45"/>
      <c r="L11" s="45">
        <f t="shared" ref="L11:L39" si="1">J11+B11</f>
        <v>1685316.06</v>
      </c>
      <c r="M11" s="4"/>
    </row>
    <row r="12" spans="1:13">
      <c r="A12" t="s">
        <v>20</v>
      </c>
      <c r="B12" s="45">
        <f>'KY_Cost Plant Acct-Comm-P8(Fin)'!B12</f>
        <v>202094.94</v>
      </c>
      <c r="C12" s="45"/>
      <c r="D12" s="45">
        <f>'KY_Cost Plant Acct-Comm-P8(Fin)'!D12</f>
        <v>0</v>
      </c>
      <c r="E12" s="45"/>
      <c r="F12" s="45">
        <f>'KY_Cost Plant Acct-Comm-P8(Fin)'!F12</f>
        <v>0</v>
      </c>
      <c r="G12" s="45"/>
      <c r="H12" s="45">
        <f>'KY_Cost Plant Acct-Comm-P8(Fin)'!H12</f>
        <v>0</v>
      </c>
      <c r="I12" s="45"/>
      <c r="J12" s="45">
        <f t="shared" si="0"/>
        <v>0</v>
      </c>
      <c r="K12" s="45"/>
      <c r="L12" s="45">
        <f t="shared" si="1"/>
        <v>202094.94</v>
      </c>
      <c r="M12" s="4"/>
    </row>
    <row r="13" spans="1:13">
      <c r="A13" t="s">
        <v>266</v>
      </c>
      <c r="B13" s="45">
        <f>'KY_Cost Plant Acct-Comm-P8(Fin)'!B13</f>
        <v>60747613.750000007</v>
      </c>
      <c r="C13" s="45"/>
      <c r="D13" s="45">
        <f>'KY_Cost Plant Acct-Comm-P8(Fin)'!D13</f>
        <v>795499</v>
      </c>
      <c r="E13" s="45"/>
      <c r="F13" s="45">
        <f>'KY_Cost Plant Acct-Comm-P8(Fin)'!F13</f>
        <v>-119187.25</v>
      </c>
      <c r="G13" s="45"/>
      <c r="H13" s="45">
        <f>'KY_Cost Plant Acct-Comm-P8(Fin)'!H13</f>
        <v>0</v>
      </c>
      <c r="I13" s="45"/>
      <c r="J13" s="45">
        <f t="shared" si="0"/>
        <v>676311.75</v>
      </c>
      <c r="K13" s="45"/>
      <c r="L13" s="45">
        <f t="shared" si="1"/>
        <v>61423925.500000007</v>
      </c>
      <c r="M13" s="4"/>
    </row>
    <row r="14" spans="1:13">
      <c r="A14" t="s">
        <v>84</v>
      </c>
      <c r="B14" s="45">
        <f>'KY_Cost Plant Acct-Comm-P8(Fin)'!B14</f>
        <v>412150.57</v>
      </c>
      <c r="C14" s="45"/>
      <c r="D14" s="45">
        <f>'KY_Cost Plant Acct-Comm-P8(Fin)'!D14</f>
        <v>0</v>
      </c>
      <c r="E14" s="45"/>
      <c r="F14" s="45">
        <f>'KY_Cost Plant Acct-Comm-P8(Fin)'!F14</f>
        <v>0</v>
      </c>
      <c r="G14" s="45"/>
      <c r="H14" s="45">
        <f>'KY_Cost Plant Acct-Comm-P8(Fin)'!H14</f>
        <v>0</v>
      </c>
      <c r="I14" s="45"/>
      <c r="J14" s="45">
        <f t="shared" si="0"/>
        <v>0</v>
      </c>
      <c r="K14" s="45"/>
      <c r="L14" s="45">
        <f t="shared" si="1"/>
        <v>412150.57</v>
      </c>
      <c r="M14" s="4"/>
    </row>
    <row r="15" spans="1:13">
      <c r="A15" t="s">
        <v>85</v>
      </c>
      <c r="B15" s="45">
        <f>'KY_Cost Plant Acct-Comm-P8(Fin)'!B15</f>
        <v>10873331.24</v>
      </c>
      <c r="C15" s="45"/>
      <c r="D15" s="45">
        <f>'KY_Cost Plant Acct-Comm-P8(Fin)'!D15</f>
        <v>0</v>
      </c>
      <c r="E15" s="45"/>
      <c r="F15" s="45">
        <f>'KY_Cost Plant Acct-Comm-P8(Fin)'!F15</f>
        <v>-122833.7</v>
      </c>
      <c r="G15" s="45"/>
      <c r="H15" s="45">
        <f>'KY_Cost Plant Acct-Comm-P8(Fin)'!H15</f>
        <v>0</v>
      </c>
      <c r="I15" s="45"/>
      <c r="J15" s="45">
        <f t="shared" si="0"/>
        <v>-122833.7</v>
      </c>
      <c r="K15" s="45"/>
      <c r="L15" s="45">
        <f t="shared" si="1"/>
        <v>10750497.540000001</v>
      </c>
      <c r="M15" s="4"/>
    </row>
    <row r="16" spans="1:13">
      <c r="A16" t="s">
        <v>86</v>
      </c>
      <c r="B16" s="45">
        <f>'KY_Cost Plant Acct-Comm-P8(Fin)'!B16</f>
        <v>536692.07999999996</v>
      </c>
      <c r="C16" s="45"/>
      <c r="D16" s="45">
        <f>'KY_Cost Plant Acct-Comm-P8(Fin)'!D16</f>
        <v>0</v>
      </c>
      <c r="E16" s="45"/>
      <c r="F16" s="45">
        <f>'KY_Cost Plant Acct-Comm-P8(Fin)'!F16</f>
        <v>0</v>
      </c>
      <c r="G16" s="45"/>
      <c r="H16" s="45">
        <f>'KY_Cost Plant Acct-Comm-P8(Fin)'!H16</f>
        <v>0</v>
      </c>
      <c r="I16" s="45"/>
      <c r="J16" s="45">
        <f t="shared" si="0"/>
        <v>0</v>
      </c>
      <c r="K16" s="45"/>
      <c r="L16" s="45">
        <f t="shared" si="1"/>
        <v>536692.07999999996</v>
      </c>
      <c r="M16" s="4"/>
    </row>
    <row r="17" spans="1:13">
      <c r="A17" t="s">
        <v>87</v>
      </c>
      <c r="B17" s="45">
        <f>'KY_Cost Plant Acct-Comm-P8(Fin)'!B17</f>
        <v>1078816.3</v>
      </c>
      <c r="C17" s="45"/>
      <c r="D17" s="45">
        <f>'KY_Cost Plant Acct-Comm-P8(Fin)'!D17</f>
        <v>0</v>
      </c>
      <c r="E17" s="45"/>
      <c r="F17" s="45">
        <f>'KY_Cost Plant Acct-Comm-P8(Fin)'!F17</f>
        <v>0</v>
      </c>
      <c r="G17" s="45"/>
      <c r="H17" s="45">
        <f>'KY_Cost Plant Acct-Comm-P8(Fin)'!H17</f>
        <v>0</v>
      </c>
      <c r="I17" s="45"/>
      <c r="J17" s="45">
        <f t="shared" si="0"/>
        <v>0</v>
      </c>
      <c r="K17" s="45"/>
      <c r="L17" s="45">
        <f t="shared" si="1"/>
        <v>1078816.3</v>
      </c>
      <c r="M17" s="4"/>
    </row>
    <row r="18" spans="1:13">
      <c r="A18" t="s">
        <v>88</v>
      </c>
      <c r="B18" s="45">
        <f>'KY_Cost Plant Acct-Comm-P8(Fin)'!B18</f>
        <v>8514480.290000001</v>
      </c>
      <c r="C18" s="45"/>
      <c r="D18" s="45">
        <f>'KY_Cost Plant Acct-Comm-P8(Fin)'!D18</f>
        <v>129257.69</v>
      </c>
      <c r="E18" s="45"/>
      <c r="F18" s="45">
        <f>'KY_Cost Plant Acct-Comm-P8(Fin)'!F18</f>
        <v>0</v>
      </c>
      <c r="G18" s="45"/>
      <c r="H18" s="45">
        <f>'KY_Cost Plant Acct-Comm-P8(Fin)'!H18</f>
        <v>0</v>
      </c>
      <c r="I18" s="45"/>
      <c r="J18" s="45">
        <f t="shared" si="0"/>
        <v>129257.69</v>
      </c>
      <c r="K18" s="45"/>
      <c r="L18" s="45">
        <f t="shared" si="1"/>
        <v>8643737.9800000004</v>
      </c>
      <c r="M18" s="4"/>
    </row>
    <row r="19" spans="1:13">
      <c r="A19" t="s">
        <v>89</v>
      </c>
      <c r="B19" s="45">
        <f>'KY_Cost Plant Acct-Comm-P8(Fin)'!B19</f>
        <v>2083919.99</v>
      </c>
      <c r="C19" s="45"/>
      <c r="D19" s="45">
        <f>'KY_Cost Plant Acct-Comm-P8(Fin)'!D19</f>
        <v>2659.54</v>
      </c>
      <c r="E19" s="45"/>
      <c r="F19" s="45">
        <f>'KY_Cost Plant Acct-Comm-P8(Fin)'!F19</f>
        <v>0</v>
      </c>
      <c r="G19" s="45"/>
      <c r="H19" s="45">
        <f>'KY_Cost Plant Acct-Comm-P8(Fin)'!H19</f>
        <v>0</v>
      </c>
      <c r="I19" s="45"/>
      <c r="J19" s="45">
        <f t="shared" si="0"/>
        <v>2659.54</v>
      </c>
      <c r="K19" s="45"/>
      <c r="L19" s="45">
        <f t="shared" si="1"/>
        <v>2086579.53</v>
      </c>
      <c r="M19" s="4"/>
    </row>
    <row r="20" spans="1:13">
      <c r="A20" t="s">
        <v>90</v>
      </c>
      <c r="B20" s="45">
        <f>'KY_Cost Plant Acct-Comm-P8(Fin)'!B20</f>
        <v>11765538.359999998</v>
      </c>
      <c r="C20" s="45"/>
      <c r="D20" s="45">
        <f>'KY_Cost Plant Acct-Comm-P8(Fin)'!D20</f>
        <v>2048060.2399999998</v>
      </c>
      <c r="E20" s="45"/>
      <c r="F20" s="45">
        <f>'KY_Cost Plant Acct-Comm-P8(Fin)'!F20</f>
        <v>0</v>
      </c>
      <c r="G20" s="45"/>
      <c r="H20" s="45">
        <f>'KY_Cost Plant Acct-Comm-P8(Fin)'!H20</f>
        <v>0</v>
      </c>
      <c r="I20" s="45"/>
      <c r="J20" s="45">
        <f t="shared" si="0"/>
        <v>2048060.2399999998</v>
      </c>
      <c r="K20" s="45"/>
      <c r="L20" s="45">
        <f t="shared" si="1"/>
        <v>13813598.599999998</v>
      </c>
      <c r="M20" s="4"/>
    </row>
    <row r="21" spans="1:13">
      <c r="A21" t="s">
        <v>91</v>
      </c>
      <c r="B21" s="45">
        <f>'KY_Cost Plant Acct-Comm-P8(Fin)'!B21</f>
        <v>3803547.09</v>
      </c>
      <c r="C21" s="45"/>
      <c r="D21" s="45">
        <f>'KY_Cost Plant Acct-Comm-P8(Fin)'!D21</f>
        <v>6773.84</v>
      </c>
      <c r="E21" s="45"/>
      <c r="F21" s="45">
        <f>'KY_Cost Plant Acct-Comm-P8(Fin)'!F21</f>
        <v>0</v>
      </c>
      <c r="G21" s="45"/>
      <c r="H21" s="45">
        <f>'KY_Cost Plant Acct-Comm-P8(Fin)'!H21</f>
        <v>0</v>
      </c>
      <c r="I21" s="45"/>
      <c r="J21" s="45">
        <f t="shared" si="0"/>
        <v>6773.84</v>
      </c>
      <c r="K21" s="45"/>
      <c r="L21" s="45">
        <f t="shared" si="1"/>
        <v>3810320.9299999997</v>
      </c>
      <c r="M21" s="4"/>
    </row>
    <row r="22" spans="1:13">
      <c r="A22" s="179" t="s">
        <v>1430</v>
      </c>
      <c r="B22" s="182">
        <f>'KY_Cost Plant Acct-Comm-P8(Fin)'!B22</f>
        <v>77639.12</v>
      </c>
      <c r="C22" s="182"/>
      <c r="D22" s="182">
        <f>'KY_Cost Plant Acct-Comm-P8(Fin)'!D22</f>
        <v>0</v>
      </c>
      <c r="E22" s="182"/>
      <c r="F22" s="182">
        <f>'KY_Cost Plant Acct-Comm-P8(Fin)'!F22</f>
        <v>0</v>
      </c>
      <c r="G22" s="182"/>
      <c r="H22" s="182">
        <f>'KY_Cost Plant Acct-Comm-P8(Fin)'!H22</f>
        <v>0</v>
      </c>
      <c r="I22" s="182"/>
      <c r="J22" s="182">
        <f t="shared" ref="J22" si="2">H22+F22+D22</f>
        <v>0</v>
      </c>
      <c r="K22" s="182"/>
      <c r="L22" s="182">
        <f t="shared" ref="L22" si="3">J22+B22</f>
        <v>77639.12</v>
      </c>
      <c r="M22" s="4"/>
    </row>
    <row r="23" spans="1:13">
      <c r="A23" t="s">
        <v>92</v>
      </c>
      <c r="B23" s="45">
        <f>'KY_Cost Plant Acct-Comm-P8(Fin)'!B23</f>
        <v>2241823.4399999995</v>
      </c>
      <c r="C23" s="45"/>
      <c r="D23" s="45">
        <f>'KY_Cost Plant Acct-Comm-P8(Fin)'!D23</f>
        <v>0</v>
      </c>
      <c r="E23" s="45"/>
      <c r="F23" s="45">
        <f>'KY_Cost Plant Acct-Comm-P8(Fin)'!F23</f>
        <v>0</v>
      </c>
      <c r="G23" s="45"/>
      <c r="H23" s="45">
        <f>'KY_Cost Plant Acct-Comm-P8(Fin)'!H23</f>
        <v>0</v>
      </c>
      <c r="I23" s="45"/>
      <c r="J23" s="45">
        <f t="shared" si="0"/>
        <v>0</v>
      </c>
      <c r="K23" s="45"/>
      <c r="L23" s="45">
        <f t="shared" si="1"/>
        <v>2241823.4399999995</v>
      </c>
      <c r="M23" s="4"/>
    </row>
    <row r="24" spans="1:13">
      <c r="A24" t="s">
        <v>93</v>
      </c>
      <c r="B24" s="45">
        <f>'KY_Cost Plant Acct-Comm-P8(Fin)'!B24</f>
        <v>245096.51</v>
      </c>
      <c r="C24" s="45"/>
      <c r="D24" s="45">
        <f>'KY_Cost Plant Acct-Comm-P8(Fin)'!D24</f>
        <v>0</v>
      </c>
      <c r="E24" s="45"/>
      <c r="F24" s="45">
        <f>'KY_Cost Plant Acct-Comm-P8(Fin)'!F24</f>
        <v>0</v>
      </c>
      <c r="G24" s="45"/>
      <c r="H24" s="45">
        <f>'KY_Cost Plant Acct-Comm-P8(Fin)'!H24</f>
        <v>0</v>
      </c>
      <c r="I24" s="45"/>
      <c r="J24" s="45">
        <f t="shared" si="0"/>
        <v>0</v>
      </c>
      <c r="K24" s="45"/>
      <c r="L24" s="45">
        <f t="shared" si="1"/>
        <v>245096.51</v>
      </c>
      <c r="M24" s="4"/>
    </row>
    <row r="25" spans="1:13">
      <c r="A25" t="s">
        <v>94</v>
      </c>
      <c r="B25" s="45">
        <f>'KY_Cost Plant Acct-Comm-P8(Fin)'!B25</f>
        <v>83874.3</v>
      </c>
      <c r="C25" s="45"/>
      <c r="D25" s="45">
        <f>'KY_Cost Plant Acct-Comm-P8(Fin)'!D25</f>
        <v>0</v>
      </c>
      <c r="E25" s="45"/>
      <c r="F25" s="45">
        <f>'KY_Cost Plant Acct-Comm-P8(Fin)'!F25</f>
        <v>0</v>
      </c>
      <c r="G25" s="45"/>
      <c r="H25" s="45">
        <f>'KY_Cost Plant Acct-Comm-P8(Fin)'!H25</f>
        <v>0</v>
      </c>
      <c r="I25" s="45"/>
      <c r="J25" s="45">
        <f t="shared" si="0"/>
        <v>0</v>
      </c>
      <c r="K25" s="45"/>
      <c r="L25" s="45">
        <f t="shared" si="1"/>
        <v>83874.3</v>
      </c>
      <c r="M25" s="4"/>
    </row>
    <row r="26" spans="1:13">
      <c r="A26" t="s">
        <v>95</v>
      </c>
      <c r="B26" s="45">
        <f>'KY_Cost Plant Acct-Comm-P8(Fin)'!B26</f>
        <v>1105412.4100000001</v>
      </c>
      <c r="C26" s="45"/>
      <c r="D26" s="45">
        <f>'KY_Cost Plant Acct-Comm-P8(Fin)'!D26</f>
        <v>30451.68</v>
      </c>
      <c r="E26" s="45"/>
      <c r="F26" s="45">
        <f>'KY_Cost Plant Acct-Comm-P8(Fin)'!F26</f>
        <v>0</v>
      </c>
      <c r="G26" s="45"/>
      <c r="H26" s="45">
        <f>'KY_Cost Plant Acct-Comm-P8(Fin)'!H26</f>
        <v>0</v>
      </c>
      <c r="I26" s="45"/>
      <c r="J26" s="45">
        <f t="shared" si="0"/>
        <v>30451.68</v>
      </c>
      <c r="K26" s="45"/>
      <c r="L26" s="45">
        <f t="shared" si="1"/>
        <v>1135864.0900000001</v>
      </c>
      <c r="M26" s="4"/>
    </row>
    <row r="27" spans="1:13">
      <c r="A27" t="s">
        <v>96</v>
      </c>
      <c r="B27" s="45">
        <f>'KY_Cost Plant Acct-Comm-P8(Fin)'!B27</f>
        <v>3619509.3200000003</v>
      </c>
      <c r="C27" s="45"/>
      <c r="D27" s="45">
        <f>'KY_Cost Plant Acct-Comm-P8(Fin)'!D27</f>
        <v>0</v>
      </c>
      <c r="E27" s="45"/>
      <c r="F27" s="45">
        <f>'KY_Cost Plant Acct-Comm-P8(Fin)'!F27</f>
        <v>0</v>
      </c>
      <c r="G27" s="45"/>
      <c r="H27" s="45">
        <f>'KY_Cost Plant Acct-Comm-P8(Fin)'!H27</f>
        <v>4609.58</v>
      </c>
      <c r="I27" s="45"/>
      <c r="J27" s="45">
        <f t="shared" si="0"/>
        <v>4609.58</v>
      </c>
      <c r="K27" s="45"/>
      <c r="L27" s="45">
        <f t="shared" si="1"/>
        <v>3624118.9000000004</v>
      </c>
      <c r="M27" s="4"/>
    </row>
    <row r="28" spans="1:13">
      <c r="A28" t="s">
        <v>97</v>
      </c>
      <c r="B28" s="45">
        <f>'KY_Cost Plant Acct-Comm-P8(Fin)'!B28</f>
        <v>0</v>
      </c>
      <c r="C28" s="45"/>
      <c r="D28" s="45">
        <f>'KY_Cost Plant Acct-Comm-P8(Fin)'!D28</f>
        <v>0</v>
      </c>
      <c r="E28" s="45"/>
      <c r="F28" s="45">
        <f>'KY_Cost Plant Acct-Comm-P8(Fin)'!F28</f>
        <v>0</v>
      </c>
      <c r="G28" s="45"/>
      <c r="H28" s="45">
        <f>'KY_Cost Plant Acct-Comm-P8(Fin)'!H28</f>
        <v>0</v>
      </c>
      <c r="I28" s="45"/>
      <c r="J28" s="45">
        <f t="shared" si="0"/>
        <v>0</v>
      </c>
      <c r="K28" s="45"/>
      <c r="L28" s="45">
        <f t="shared" si="1"/>
        <v>0</v>
      </c>
      <c r="M28" s="4"/>
    </row>
    <row r="29" spans="1:13">
      <c r="A29" t="s">
        <v>98</v>
      </c>
      <c r="B29" s="45">
        <f>'KY_Cost Plant Acct-Comm-P8(Fin)'!B29</f>
        <v>235831.06</v>
      </c>
      <c r="C29" s="45"/>
      <c r="D29" s="45">
        <f>'KY_Cost Plant Acct-Comm-P8(Fin)'!D29</f>
        <v>0</v>
      </c>
      <c r="E29" s="45"/>
      <c r="F29" s="45">
        <f>'KY_Cost Plant Acct-Comm-P8(Fin)'!F29</f>
        <v>0</v>
      </c>
      <c r="G29" s="45"/>
      <c r="H29" s="45">
        <f>'KY_Cost Plant Acct-Comm-P8(Fin)'!H29</f>
        <v>0</v>
      </c>
      <c r="I29" s="45"/>
      <c r="J29" s="45">
        <f t="shared" si="0"/>
        <v>0</v>
      </c>
      <c r="K29" s="45"/>
      <c r="L29" s="45">
        <f t="shared" si="1"/>
        <v>235831.06</v>
      </c>
      <c r="M29" s="4"/>
    </row>
    <row r="30" spans="1:13">
      <c r="A30" t="s">
        <v>99</v>
      </c>
      <c r="B30" s="45">
        <f>'KY_Cost Plant Acct-Comm-P8(Fin)'!B30</f>
        <v>14147.08</v>
      </c>
      <c r="C30" s="45"/>
      <c r="D30" s="45">
        <f>'KY_Cost Plant Acct-Comm-P8(Fin)'!D30</f>
        <v>0</v>
      </c>
      <c r="E30" s="45"/>
      <c r="F30" s="45">
        <f>'KY_Cost Plant Acct-Comm-P8(Fin)'!F30</f>
        <v>0</v>
      </c>
      <c r="G30" s="45"/>
      <c r="H30" s="45">
        <f>'KY_Cost Plant Acct-Comm-P8(Fin)'!H30</f>
        <v>0</v>
      </c>
      <c r="I30" s="45"/>
      <c r="J30" s="45">
        <f t="shared" si="0"/>
        <v>0</v>
      </c>
      <c r="K30" s="45"/>
      <c r="L30" s="45">
        <f t="shared" si="1"/>
        <v>14147.08</v>
      </c>
      <c r="M30" s="4"/>
    </row>
    <row r="31" spans="1:13">
      <c r="A31" t="s">
        <v>4</v>
      </c>
      <c r="B31" s="45">
        <f>'KY_Cost Plant Acct-Comm-P8(Fin)'!B31+'IN_Cost Plant Acct-Com-P10(Fin)'!B11</f>
        <v>41184573.880000003</v>
      </c>
      <c r="C31" s="45"/>
      <c r="D31" s="45">
        <f>'KY_Cost Plant Acct-Comm-P8(Fin)'!D31+'IN_Cost Plant Acct-Com-P10(Fin)'!D11</f>
        <v>90429.11</v>
      </c>
      <c r="E31" s="45"/>
      <c r="F31" s="45">
        <f>'KY_Cost Plant Acct-Comm-P8(Fin)'!F31+'IN_Cost Plant Acct-Com-P10(Fin)'!F11</f>
        <v>-1200.03</v>
      </c>
      <c r="G31" s="45"/>
      <c r="H31" s="45">
        <f>'KY_Cost Plant Acct-Comm-P8(Fin)'!H31+'IN_Cost Plant Acct-Com-P10(Fin)'!H11</f>
        <v>0</v>
      </c>
      <c r="I31" s="45"/>
      <c r="J31" s="45">
        <f t="shared" si="0"/>
        <v>89229.08</v>
      </c>
      <c r="K31" s="45"/>
      <c r="L31" s="45">
        <f t="shared" si="1"/>
        <v>41273802.960000001</v>
      </c>
      <c r="M31" s="4"/>
    </row>
    <row r="32" spans="1:13">
      <c r="A32" t="s">
        <v>100</v>
      </c>
      <c r="B32" s="45">
        <f>'KY_Cost Plant Acct-Comm-P8(Fin)'!B32</f>
        <v>6422469.2199999997</v>
      </c>
      <c r="C32" s="45"/>
      <c r="D32" s="45">
        <f>'KY_Cost Plant Acct-Comm-P8(Fin)'!D32</f>
        <v>56863.95</v>
      </c>
      <c r="E32" s="45"/>
      <c r="F32" s="45">
        <f>'KY_Cost Plant Acct-Comm-P8(Fin)'!F32</f>
        <v>0</v>
      </c>
      <c r="G32" s="45"/>
      <c r="H32" s="45">
        <f>'KY_Cost Plant Acct-Comm-P8(Fin)'!H32</f>
        <v>0</v>
      </c>
      <c r="I32" s="45"/>
      <c r="J32" s="45">
        <f t="shared" si="0"/>
        <v>56863.95</v>
      </c>
      <c r="K32" s="45"/>
      <c r="L32" s="45">
        <f t="shared" si="1"/>
        <v>6479333.1699999999</v>
      </c>
      <c r="M32" s="4"/>
    </row>
    <row r="33" spans="1:13">
      <c r="A33" t="s">
        <v>101</v>
      </c>
      <c r="B33" s="45">
        <f>'KY_Cost Plant Acct-Comm-P8(Fin)'!B33</f>
        <v>21815.609999999986</v>
      </c>
      <c r="C33" s="45"/>
      <c r="D33" s="45">
        <f>'KY_Cost Plant Acct-Comm-P8(Fin)'!D33</f>
        <v>0</v>
      </c>
      <c r="E33" s="45"/>
      <c r="F33" s="45">
        <f>'KY_Cost Plant Acct-Comm-P8(Fin)'!F33</f>
        <v>0</v>
      </c>
      <c r="G33" s="45"/>
      <c r="H33" s="45">
        <f>'KY_Cost Plant Acct-Comm-P8(Fin)'!H33</f>
        <v>-4609.58</v>
      </c>
      <c r="I33" s="45"/>
      <c r="J33" s="45">
        <f t="shared" si="0"/>
        <v>-4609.58</v>
      </c>
      <c r="K33" s="45"/>
      <c r="L33" s="45">
        <f t="shared" si="1"/>
        <v>17206.029999999984</v>
      </c>
      <c r="M33" s="4"/>
    </row>
    <row r="34" spans="1:13">
      <c r="A34" t="s">
        <v>102</v>
      </c>
      <c r="B34" s="45">
        <f>'KY_Cost Plant Acct-Comm-P8(Fin)'!B34</f>
        <v>101389.77</v>
      </c>
      <c r="C34" s="45"/>
      <c r="D34" s="45">
        <f>'KY_Cost Plant Acct-Comm-P8(Fin)'!D34</f>
        <v>0</v>
      </c>
      <c r="E34" s="45"/>
      <c r="F34" s="45">
        <f>'KY_Cost Plant Acct-Comm-P8(Fin)'!F34</f>
        <v>0</v>
      </c>
      <c r="G34" s="45"/>
      <c r="H34" s="45">
        <f>'KY_Cost Plant Acct-Comm-P8(Fin)'!H34</f>
        <v>0</v>
      </c>
      <c r="I34" s="45"/>
      <c r="J34" s="45">
        <f t="shared" si="0"/>
        <v>0</v>
      </c>
      <c r="K34" s="45"/>
      <c r="L34" s="45">
        <f t="shared" si="1"/>
        <v>101389.77</v>
      </c>
      <c r="M34" s="4"/>
    </row>
    <row r="35" spans="1:13">
      <c r="A35" t="s">
        <v>103</v>
      </c>
      <c r="B35" s="45">
        <f>'KY_Cost Plant Acct-Comm-P8(Fin)'!B35</f>
        <v>83782.289999999994</v>
      </c>
      <c r="C35" s="45"/>
      <c r="D35" s="45">
        <f>'KY_Cost Plant Acct-Comm-P8(Fin)'!D35</f>
        <v>0</v>
      </c>
      <c r="E35" s="45"/>
      <c r="F35" s="45">
        <f>'KY_Cost Plant Acct-Comm-P8(Fin)'!F35</f>
        <v>0</v>
      </c>
      <c r="G35" s="45"/>
      <c r="H35" s="45">
        <f>'KY_Cost Plant Acct-Comm-P8(Fin)'!H35</f>
        <v>0</v>
      </c>
      <c r="I35" s="45"/>
      <c r="J35" s="45">
        <f t="shared" si="0"/>
        <v>0</v>
      </c>
      <c r="K35" s="45"/>
      <c r="L35" s="45">
        <f t="shared" si="1"/>
        <v>83782.289999999994</v>
      </c>
      <c r="M35" s="4"/>
    </row>
    <row r="36" spans="1:13">
      <c r="A36" t="s">
        <v>267</v>
      </c>
      <c r="B36" s="45">
        <f>'KY_Cost Plant Acct-Comm-P8(Fin)'!B36</f>
        <v>0</v>
      </c>
      <c r="C36" s="45"/>
      <c r="D36" s="45">
        <f>'KY_Cost Plant Acct-Comm-P8(Fin)'!D36</f>
        <v>0</v>
      </c>
      <c r="E36" s="45"/>
      <c r="F36" s="45">
        <f>'KY_Cost Plant Acct-Comm-P8(Fin)'!F36</f>
        <v>0</v>
      </c>
      <c r="G36" s="45"/>
      <c r="H36" s="45">
        <f>'KY_Cost Plant Acct-Comm-P8(Fin)'!H36</f>
        <v>0</v>
      </c>
      <c r="I36" s="45"/>
      <c r="J36" s="45">
        <f t="shared" si="0"/>
        <v>0</v>
      </c>
      <c r="K36" s="45"/>
      <c r="L36" s="45">
        <f t="shared" si="1"/>
        <v>0</v>
      </c>
      <c r="M36" s="4"/>
    </row>
    <row r="37" spans="1:13">
      <c r="A37" t="s">
        <v>268</v>
      </c>
      <c r="B37" s="45">
        <f>'KY_Cost Plant Acct-Comm-P8(Fin)'!B37</f>
        <v>16750029.280000001</v>
      </c>
      <c r="C37" s="45"/>
      <c r="D37" s="45">
        <f>'KY_Cost Plant Acct-Comm-P8(Fin)'!D37</f>
        <v>466307.98</v>
      </c>
      <c r="E37" s="45"/>
      <c r="F37" s="45">
        <f>'KY_Cost Plant Acct-Comm-P8(Fin)'!F37</f>
        <v>-1193940.58</v>
      </c>
      <c r="G37" s="45"/>
      <c r="H37" s="45">
        <f>'KY_Cost Plant Acct-Comm-P8(Fin)'!H37</f>
        <v>0</v>
      </c>
      <c r="I37" s="45"/>
      <c r="J37" s="45">
        <f t="shared" si="0"/>
        <v>-727632.60000000009</v>
      </c>
      <c r="K37" s="45"/>
      <c r="L37" s="45">
        <f t="shared" si="1"/>
        <v>16022396.680000002</v>
      </c>
      <c r="M37" s="4"/>
    </row>
    <row r="38" spans="1:13">
      <c r="A38" t="s">
        <v>1023</v>
      </c>
      <c r="B38" s="45">
        <f>'KY_Cost Plant Acct-Comm-P8(Fin)'!B38</f>
        <v>44057351.25999999</v>
      </c>
      <c r="C38" s="45"/>
      <c r="D38" s="45">
        <f>'KY_Cost Plant Acct-Comm-P8(Fin)'!D38</f>
        <v>0</v>
      </c>
      <c r="E38" s="45"/>
      <c r="F38" s="45">
        <f>'KY_Cost Plant Acct-Comm-P8(Fin)'!F38</f>
        <v>0</v>
      </c>
      <c r="G38" s="45"/>
      <c r="H38" s="45">
        <f>'KY_Cost Plant Acct-Comm-P8(Fin)'!H38</f>
        <v>0</v>
      </c>
      <c r="I38" s="45"/>
      <c r="J38" s="45">
        <f t="shared" si="0"/>
        <v>0</v>
      </c>
      <c r="K38" s="45"/>
      <c r="L38" s="45">
        <f t="shared" si="1"/>
        <v>44057351.25999999</v>
      </c>
      <c r="M38" s="4"/>
    </row>
    <row r="39" spans="1:13">
      <c r="A39" t="s">
        <v>269</v>
      </c>
      <c r="B39" s="48">
        <f>'KY_Cost Plant Acct-Comm-P8(Fin)'!B39</f>
        <v>0</v>
      </c>
      <c r="C39" s="52"/>
      <c r="D39" s="48">
        <f>'KY_Cost Plant Acct-Comm-P8(Fin)'!D39</f>
        <v>0</v>
      </c>
      <c r="E39" s="52"/>
      <c r="F39" s="48">
        <f>'KY_Cost Plant Acct-Comm-P8(Fin)'!F39</f>
        <v>0</v>
      </c>
      <c r="G39" s="52"/>
      <c r="H39" s="48">
        <f>'KY_Cost Plant Acct-Comm-P8(Fin)'!H39</f>
        <v>0</v>
      </c>
      <c r="I39" s="52"/>
      <c r="J39" s="48">
        <f t="shared" si="0"/>
        <v>0</v>
      </c>
      <c r="K39" s="52"/>
      <c r="L39" s="48">
        <f t="shared" si="1"/>
        <v>0</v>
      </c>
      <c r="M39" s="55"/>
    </row>
    <row r="40" spans="1:13">
      <c r="B40" s="52">
        <f>SUM(B11:B39)</f>
        <v>217948245.22000003</v>
      </c>
      <c r="C40" s="52"/>
      <c r="D40" s="52">
        <f>SUM(D11:D39)</f>
        <v>3626303.03</v>
      </c>
      <c r="E40" s="52"/>
      <c r="F40" s="52">
        <f>SUM(F11:F39)</f>
        <v>-1437161.56</v>
      </c>
      <c r="G40" s="52"/>
      <c r="H40" s="52">
        <f>SUM(H11:H39)</f>
        <v>0</v>
      </c>
      <c r="I40" s="52"/>
      <c r="J40" s="52">
        <f>SUM(J11:J39)</f>
        <v>2189141.4699999997</v>
      </c>
      <c r="K40" s="52"/>
      <c r="L40" s="52">
        <f>SUM(L11:L39)</f>
        <v>220137386.69</v>
      </c>
      <c r="M40" s="55"/>
    </row>
    <row r="41" spans="1:13">
      <c r="B41" s="52"/>
      <c r="C41" s="52"/>
      <c r="D41" s="52"/>
      <c r="E41" s="52"/>
      <c r="F41" s="52"/>
      <c r="G41" s="52"/>
      <c r="H41" s="52"/>
      <c r="I41" s="52"/>
      <c r="J41" s="52"/>
      <c r="K41" s="52"/>
      <c r="L41" s="52"/>
      <c r="M41" s="55"/>
    </row>
    <row r="42" spans="1:13">
      <c r="B42" s="52"/>
      <c r="C42" s="52"/>
      <c r="D42" s="52"/>
      <c r="E42" s="52"/>
      <c r="F42" s="52"/>
      <c r="G42" s="52"/>
      <c r="H42" s="52"/>
      <c r="I42" s="52"/>
      <c r="J42" s="52"/>
      <c r="K42" s="52"/>
      <c r="L42" s="52"/>
      <c r="M42" s="55"/>
    </row>
    <row r="43" spans="1:13" s="10" customFormat="1">
      <c r="A43" s="12" t="s">
        <v>206</v>
      </c>
      <c r="B43" s="54"/>
      <c r="C43"/>
      <c r="D43" s="54"/>
      <c r="E43"/>
      <c r="F43" s="54"/>
      <c r="G43"/>
      <c r="H43" s="54"/>
      <c r="I43"/>
      <c r="J43" s="54"/>
      <c r="K43"/>
      <c r="L43" s="54"/>
    </row>
    <row r="44" spans="1:13" s="10" customFormat="1">
      <c r="A44" s="12" t="s">
        <v>420</v>
      </c>
      <c r="B44"/>
      <c r="C44"/>
      <c r="D44"/>
      <c r="E44"/>
      <c r="F44"/>
      <c r="G44"/>
      <c r="H44"/>
      <c r="I44"/>
      <c r="J44"/>
      <c r="K44"/>
      <c r="L44"/>
    </row>
    <row r="45" spans="1:13" s="10" customFormat="1">
      <c r="A45" s="12" t="s">
        <v>807</v>
      </c>
      <c r="B45"/>
      <c r="C45"/>
      <c r="D45"/>
      <c r="E45"/>
      <c r="F45"/>
      <c r="G45"/>
      <c r="H45"/>
      <c r="I45"/>
      <c r="J45"/>
      <c r="K45"/>
      <c r="L45"/>
    </row>
    <row r="46" spans="1:13">
      <c r="A46" t="s">
        <v>19</v>
      </c>
      <c r="B46" s="45">
        <v>0</v>
      </c>
      <c r="C46" s="45"/>
      <c r="D46" s="45">
        <v>0</v>
      </c>
      <c r="E46" s="45"/>
      <c r="F46" s="45">
        <v>0</v>
      </c>
      <c r="G46" s="45"/>
      <c r="H46" s="45">
        <v>0</v>
      </c>
      <c r="I46" s="45"/>
      <c r="J46" s="45">
        <f t="shared" ref="J46:J73" si="4">H46+F46+D46</f>
        <v>0</v>
      </c>
      <c r="K46" s="45"/>
      <c r="L46" s="45">
        <f t="shared" ref="L46:L73" si="5">J46+B46</f>
        <v>0</v>
      </c>
      <c r="M46" s="4"/>
    </row>
    <row r="47" spans="1:13">
      <c r="A47" t="s">
        <v>20</v>
      </c>
      <c r="B47" s="45">
        <v>0</v>
      </c>
      <c r="C47" s="45"/>
      <c r="D47" s="45">
        <v>0</v>
      </c>
      <c r="E47" s="45"/>
      <c r="F47" s="45">
        <v>0</v>
      </c>
      <c r="G47" s="45"/>
      <c r="H47" s="45">
        <v>0</v>
      </c>
      <c r="I47" s="45"/>
      <c r="J47" s="45">
        <f t="shared" si="4"/>
        <v>0</v>
      </c>
      <c r="K47" s="45"/>
      <c r="L47" s="45">
        <f t="shared" si="5"/>
        <v>0</v>
      </c>
      <c r="M47" s="4"/>
    </row>
    <row r="48" spans="1:13">
      <c r="A48" t="s">
        <v>266</v>
      </c>
      <c r="B48" s="45">
        <f>'KY_Cost Plant Acct-Comm-P8(Fin)'!B48</f>
        <v>479918.56999999995</v>
      </c>
      <c r="C48" s="45"/>
      <c r="D48" s="45">
        <f>'KY_Cost Plant Acct-Comm-P8(Fin)'!D48</f>
        <v>-470604.08</v>
      </c>
      <c r="E48" s="45"/>
      <c r="F48" s="45">
        <v>0</v>
      </c>
      <c r="G48" s="45"/>
      <c r="H48" s="45">
        <v>0</v>
      </c>
      <c r="I48" s="45"/>
      <c r="J48" s="45">
        <f t="shared" si="4"/>
        <v>-470604.08</v>
      </c>
      <c r="K48" s="45"/>
      <c r="L48" s="45">
        <f t="shared" si="5"/>
        <v>9314.4899999999325</v>
      </c>
      <c r="M48" s="4"/>
    </row>
    <row r="49" spans="1:13">
      <c r="A49" t="s">
        <v>84</v>
      </c>
      <c r="B49" s="45">
        <v>0</v>
      </c>
      <c r="C49" s="45"/>
      <c r="D49" s="45">
        <v>0</v>
      </c>
      <c r="E49" s="45"/>
      <c r="F49" s="45">
        <v>0</v>
      </c>
      <c r="G49" s="45"/>
      <c r="H49" s="45">
        <v>0</v>
      </c>
      <c r="I49" s="45"/>
      <c r="J49" s="45">
        <f t="shared" si="4"/>
        <v>0</v>
      </c>
      <c r="K49" s="45"/>
      <c r="L49" s="45">
        <f t="shared" si="5"/>
        <v>0</v>
      </c>
      <c r="M49" s="4"/>
    </row>
    <row r="50" spans="1:13">
      <c r="A50" t="s">
        <v>85</v>
      </c>
      <c r="B50" s="45">
        <v>0</v>
      </c>
      <c r="C50" s="45"/>
      <c r="D50" s="45">
        <v>0</v>
      </c>
      <c r="E50" s="45"/>
      <c r="F50" s="45">
        <v>0</v>
      </c>
      <c r="G50" s="45"/>
      <c r="H50" s="45">
        <v>0</v>
      </c>
      <c r="I50" s="45"/>
      <c r="J50" s="45">
        <f t="shared" si="4"/>
        <v>0</v>
      </c>
      <c r="K50" s="45"/>
      <c r="L50" s="45">
        <f t="shared" si="5"/>
        <v>0</v>
      </c>
      <c r="M50" s="4"/>
    </row>
    <row r="51" spans="1:13">
      <c r="A51" t="s">
        <v>86</v>
      </c>
      <c r="B51" s="45">
        <v>0</v>
      </c>
      <c r="C51" s="45"/>
      <c r="D51" s="45">
        <v>0</v>
      </c>
      <c r="E51" s="45"/>
      <c r="F51" s="45">
        <v>0</v>
      </c>
      <c r="G51" s="45"/>
      <c r="H51" s="45">
        <v>0</v>
      </c>
      <c r="I51" s="45"/>
      <c r="J51" s="45">
        <f t="shared" si="4"/>
        <v>0</v>
      </c>
      <c r="K51" s="45"/>
      <c r="L51" s="45">
        <f t="shared" si="5"/>
        <v>0</v>
      </c>
      <c r="M51" s="4"/>
    </row>
    <row r="52" spans="1:13">
      <c r="A52" t="s">
        <v>87</v>
      </c>
      <c r="B52" s="182">
        <f>'KY_Cost Plant Acct-Comm-P8(Fin)'!B49</f>
        <v>0</v>
      </c>
      <c r="C52" s="45"/>
      <c r="D52" s="182">
        <f>'KY_Cost Plant Acct-Comm-P8(Fin)'!D49</f>
        <v>0</v>
      </c>
      <c r="E52" s="45"/>
      <c r="F52" s="182">
        <f>'KY_Cost Plant Acct-Comm-P8(Fin)'!F49</f>
        <v>0</v>
      </c>
      <c r="G52" s="45"/>
      <c r="H52" s="182">
        <f>'KY_Cost Plant Acct-Comm-P8(Fin)'!H49</f>
        <v>0</v>
      </c>
      <c r="I52" s="45"/>
      <c r="J52" s="45">
        <f t="shared" si="4"/>
        <v>0</v>
      </c>
      <c r="K52" s="45"/>
      <c r="L52" s="45">
        <f t="shared" si="5"/>
        <v>0</v>
      </c>
      <c r="M52" s="4"/>
    </row>
    <row r="53" spans="1:13">
      <c r="A53" t="s">
        <v>88</v>
      </c>
      <c r="B53" s="45">
        <f>'KY_Cost Plant Acct-Comm-P8(Fin)'!B50</f>
        <v>17984.009999999998</v>
      </c>
      <c r="C53" s="45"/>
      <c r="D53" s="45">
        <f>'KY_Cost Plant Acct-Comm-P8(Fin)'!D50</f>
        <v>12245.21</v>
      </c>
      <c r="E53" s="45"/>
      <c r="F53" s="45">
        <v>0</v>
      </c>
      <c r="G53" s="45"/>
      <c r="H53" s="45">
        <v>0</v>
      </c>
      <c r="I53" s="45"/>
      <c r="J53" s="45">
        <f t="shared" si="4"/>
        <v>12245.21</v>
      </c>
      <c r="K53" s="45"/>
      <c r="L53" s="45">
        <f t="shared" si="5"/>
        <v>30229.219999999998</v>
      </c>
      <c r="M53" s="4"/>
    </row>
    <row r="54" spans="1:13">
      <c r="A54" t="s">
        <v>89</v>
      </c>
      <c r="B54" s="45">
        <f>'KY_Cost Plant Acct-Comm-P8(Fin)'!B51</f>
        <v>2659.54</v>
      </c>
      <c r="C54" s="45"/>
      <c r="D54" s="45">
        <f>'KY_Cost Plant Acct-Comm-P8(Fin)'!D51</f>
        <v>-2659.54</v>
      </c>
      <c r="E54" s="45"/>
      <c r="F54" s="45">
        <v>0</v>
      </c>
      <c r="G54" s="45"/>
      <c r="H54" s="45">
        <v>0</v>
      </c>
      <c r="I54" s="45"/>
      <c r="J54" s="45">
        <f t="shared" si="4"/>
        <v>-2659.54</v>
      </c>
      <c r="K54" s="45"/>
      <c r="L54" s="45">
        <f t="shared" si="5"/>
        <v>0</v>
      </c>
      <c r="M54" s="4"/>
    </row>
    <row r="55" spans="1:13">
      <c r="A55" t="s">
        <v>90</v>
      </c>
      <c r="B55" s="45">
        <f>'KY_Cost Plant Acct-Comm-P8(Fin)'!B52</f>
        <v>1886564.2599999998</v>
      </c>
      <c r="C55" s="45"/>
      <c r="D55" s="45">
        <f>'KY_Cost Plant Acct-Comm-P8(Fin)'!D52</f>
        <v>-1192044.7399999998</v>
      </c>
      <c r="E55" s="45"/>
      <c r="F55" s="45">
        <f>'KY_Cost Plant Acct-Comm-P8(Fin)'!F52</f>
        <v>0</v>
      </c>
      <c r="G55" s="45"/>
      <c r="H55" s="45">
        <f>'KY_Cost Plant Acct-Comm-P8(Fin)'!H52</f>
        <v>0</v>
      </c>
      <c r="I55" s="45"/>
      <c r="J55" s="45">
        <f t="shared" si="4"/>
        <v>-1192044.7399999998</v>
      </c>
      <c r="K55" s="45"/>
      <c r="L55" s="45">
        <f t="shared" si="5"/>
        <v>694519.52</v>
      </c>
      <c r="M55" s="4"/>
    </row>
    <row r="56" spans="1:13">
      <c r="A56" t="s">
        <v>91</v>
      </c>
      <c r="B56" s="45">
        <f>'KY_Cost Plant Acct-Comm-P8(Fin)'!B53</f>
        <v>6773.84</v>
      </c>
      <c r="C56" s="45"/>
      <c r="D56" s="45">
        <f>'KY_Cost Plant Acct-Comm-P8(Fin)'!D53</f>
        <v>241973.66</v>
      </c>
      <c r="E56" s="45"/>
      <c r="F56" s="45">
        <f>'KY_Cost Plant Acct-Comm-P8(Fin)'!F53</f>
        <v>0</v>
      </c>
      <c r="G56" s="45"/>
      <c r="H56" s="45">
        <f>'KY_Cost Plant Acct-Comm-P8(Fin)'!H53</f>
        <v>0</v>
      </c>
      <c r="I56" s="45"/>
      <c r="J56" s="45">
        <f t="shared" si="4"/>
        <v>241973.66</v>
      </c>
      <c r="K56" s="45"/>
      <c r="L56" s="45">
        <f t="shared" si="5"/>
        <v>248747.5</v>
      </c>
      <c r="M56" s="4"/>
    </row>
    <row r="57" spans="1:13">
      <c r="A57" t="s">
        <v>92</v>
      </c>
      <c r="B57" s="45">
        <f>'KY_Cost Plant Acct-Comm-P8(Fin)'!B54</f>
        <v>0</v>
      </c>
      <c r="C57" s="45"/>
      <c r="D57" s="45">
        <f>'KY_Cost Plant Acct-Comm-P8(Fin)'!D54</f>
        <v>0</v>
      </c>
      <c r="E57" s="45"/>
      <c r="F57" s="45">
        <v>0</v>
      </c>
      <c r="G57" s="45"/>
      <c r="H57" s="45">
        <v>0</v>
      </c>
      <c r="I57" s="45"/>
      <c r="J57" s="45">
        <f t="shared" si="4"/>
        <v>0</v>
      </c>
      <c r="K57" s="45"/>
      <c r="L57" s="45">
        <f t="shared" si="5"/>
        <v>0</v>
      </c>
      <c r="M57" s="4"/>
    </row>
    <row r="58" spans="1:13">
      <c r="A58" t="s">
        <v>93</v>
      </c>
      <c r="B58" s="45">
        <v>0</v>
      </c>
      <c r="C58" s="45"/>
      <c r="D58" s="45">
        <v>0</v>
      </c>
      <c r="E58" s="45"/>
      <c r="F58" s="45">
        <v>0</v>
      </c>
      <c r="G58" s="45"/>
      <c r="H58" s="45">
        <v>0</v>
      </c>
      <c r="I58" s="45"/>
      <c r="J58" s="45">
        <f t="shared" si="4"/>
        <v>0</v>
      </c>
      <c r="K58" s="45"/>
      <c r="L58" s="45">
        <f t="shared" si="5"/>
        <v>0</v>
      </c>
      <c r="M58" s="4"/>
    </row>
    <row r="59" spans="1:13">
      <c r="A59" t="s">
        <v>94</v>
      </c>
      <c r="B59" s="45">
        <v>0</v>
      </c>
      <c r="C59" s="45"/>
      <c r="D59" s="45">
        <f>'KY_Cost Plant Acct-Comm-P8(Fin)'!D55</f>
        <v>0</v>
      </c>
      <c r="E59" s="45"/>
      <c r="F59" s="45">
        <v>0</v>
      </c>
      <c r="G59" s="45"/>
      <c r="H59" s="45">
        <v>0</v>
      </c>
      <c r="I59" s="45"/>
      <c r="J59" s="45">
        <f t="shared" si="4"/>
        <v>0</v>
      </c>
      <c r="K59" s="45"/>
      <c r="L59" s="45">
        <f t="shared" si="5"/>
        <v>0</v>
      </c>
      <c r="M59" s="4"/>
    </row>
    <row r="60" spans="1:13">
      <c r="A60" t="s">
        <v>95</v>
      </c>
      <c r="B60" s="45">
        <f>+'KY_Cost Plant Acct-Comm-P8(Fin)'!B56</f>
        <v>30451.68</v>
      </c>
      <c r="C60" s="45"/>
      <c r="D60" s="45">
        <f>'KY_Cost Plant Acct-Comm-P8(Fin)'!D56</f>
        <v>-30451.68</v>
      </c>
      <c r="E60" s="45"/>
      <c r="F60" s="45">
        <v>0</v>
      </c>
      <c r="G60" s="45"/>
      <c r="H60" s="45">
        <v>0</v>
      </c>
      <c r="I60" s="45"/>
      <c r="J60" s="45">
        <f t="shared" si="4"/>
        <v>-30451.68</v>
      </c>
      <c r="K60" s="45"/>
      <c r="L60" s="45">
        <f t="shared" si="5"/>
        <v>0</v>
      </c>
      <c r="M60" s="4"/>
    </row>
    <row r="61" spans="1:13">
      <c r="A61" t="s">
        <v>96</v>
      </c>
      <c r="B61" s="45">
        <f>'KY_Cost Plant Acct-Comm-P8(Fin)'!B57</f>
        <v>0</v>
      </c>
      <c r="C61" s="45"/>
      <c r="D61" s="45">
        <f>'KY_Cost Plant Acct-Comm-P8(Fin)'!D57</f>
        <v>0</v>
      </c>
      <c r="E61" s="45"/>
      <c r="F61" s="45">
        <f>'KY_Cost Plant Acct-Comm-P8(Fin)'!F57</f>
        <v>0</v>
      </c>
      <c r="G61" s="45"/>
      <c r="H61" s="45">
        <f>'KY_Cost Plant Acct-Comm-P8(Fin)'!H57</f>
        <v>0</v>
      </c>
      <c r="I61" s="45"/>
      <c r="J61" s="45">
        <f t="shared" si="4"/>
        <v>0</v>
      </c>
      <c r="K61" s="45"/>
      <c r="L61" s="45">
        <f t="shared" si="5"/>
        <v>0</v>
      </c>
      <c r="M61" s="4"/>
    </row>
    <row r="62" spans="1:13">
      <c r="A62" t="s">
        <v>97</v>
      </c>
      <c r="B62" s="45">
        <v>0</v>
      </c>
      <c r="C62" s="45"/>
      <c r="D62" s="45">
        <v>0</v>
      </c>
      <c r="E62" s="45"/>
      <c r="F62" s="45">
        <v>0</v>
      </c>
      <c r="G62" s="45"/>
      <c r="H62" s="45">
        <v>0</v>
      </c>
      <c r="I62" s="45"/>
      <c r="J62" s="45">
        <f t="shared" si="4"/>
        <v>0</v>
      </c>
      <c r="K62" s="45"/>
      <c r="L62" s="45">
        <f t="shared" si="5"/>
        <v>0</v>
      </c>
      <c r="M62" s="4"/>
    </row>
    <row r="63" spans="1:13">
      <c r="A63" t="s">
        <v>98</v>
      </c>
      <c r="B63" s="45">
        <v>0</v>
      </c>
      <c r="C63" s="45"/>
      <c r="D63" s="45">
        <v>0</v>
      </c>
      <c r="E63" s="45"/>
      <c r="F63" s="45">
        <v>0</v>
      </c>
      <c r="G63" s="45"/>
      <c r="H63" s="45">
        <v>0</v>
      </c>
      <c r="I63" s="45"/>
      <c r="J63" s="45">
        <f t="shared" si="4"/>
        <v>0</v>
      </c>
      <c r="K63" s="45"/>
      <c r="L63" s="45">
        <f t="shared" si="5"/>
        <v>0</v>
      </c>
      <c r="M63" s="4"/>
    </row>
    <row r="64" spans="1:13">
      <c r="A64" t="s">
        <v>99</v>
      </c>
      <c r="B64" s="45">
        <v>0</v>
      </c>
      <c r="C64" s="45"/>
      <c r="D64" s="45">
        <v>0</v>
      </c>
      <c r="E64" s="45"/>
      <c r="F64" s="45">
        <v>0</v>
      </c>
      <c r="G64" s="45"/>
      <c r="H64" s="45">
        <v>0</v>
      </c>
      <c r="I64" s="45"/>
      <c r="J64" s="45">
        <f t="shared" si="4"/>
        <v>0</v>
      </c>
      <c r="K64" s="45"/>
      <c r="L64" s="45">
        <f t="shared" si="5"/>
        <v>0</v>
      </c>
      <c r="M64" s="4"/>
    </row>
    <row r="65" spans="1:13">
      <c r="A65" t="s">
        <v>4</v>
      </c>
      <c r="B65" s="182">
        <f>'KY_Cost Plant Acct-Comm-P8(Fin)'!B58+'IN_Cost Plant Acct-Com-P10(Fin)'!B20</f>
        <v>93720.159999999858</v>
      </c>
      <c r="C65" s="45"/>
      <c r="D65" s="45">
        <f>'KY_Cost Plant Acct-Comm-P8(Fin)'!D58+'IN_Cost Plant Acct-Com-P10(Fin)'!D20</f>
        <v>75442.58</v>
      </c>
      <c r="E65" s="45"/>
      <c r="F65" s="182">
        <f>'KY_Cost Plant Acct-Comm-P8(Fin)'!F58+'IN_Cost Plant Acct-Com-P10(Fin)'!F20</f>
        <v>0</v>
      </c>
      <c r="G65" s="45"/>
      <c r="H65" s="182">
        <f>'KY_Cost Plant Acct-Comm-P8(Fin)'!H58+'IN_Cost Plant Acct-Com-P10(Fin)'!H20</f>
        <v>0</v>
      </c>
      <c r="I65" s="45"/>
      <c r="J65" s="45">
        <f t="shared" si="4"/>
        <v>75442.58</v>
      </c>
      <c r="K65" s="45"/>
      <c r="L65" s="45">
        <f t="shared" si="5"/>
        <v>169162.73999999987</v>
      </c>
      <c r="M65" s="4"/>
    </row>
    <row r="66" spans="1:13">
      <c r="A66" t="s">
        <v>100</v>
      </c>
      <c r="B66" s="45">
        <f>'KY_Cost Plant Acct-Comm-P8(Fin)'!B59</f>
        <v>56863.95</v>
      </c>
      <c r="C66" s="45"/>
      <c r="D66" s="182">
        <f>'KY_Cost Plant Acct-Comm-P8(Fin)'!D59</f>
        <v>15123.570000000007</v>
      </c>
      <c r="E66" s="45"/>
      <c r="F66" s="45">
        <v>0</v>
      </c>
      <c r="G66" s="45"/>
      <c r="H66" s="45">
        <v>0</v>
      </c>
      <c r="I66" s="45"/>
      <c r="J66" s="45">
        <f t="shared" si="4"/>
        <v>15123.570000000007</v>
      </c>
      <c r="K66" s="45"/>
      <c r="L66" s="45">
        <f t="shared" si="5"/>
        <v>71987.520000000004</v>
      </c>
      <c r="M66" s="4"/>
    </row>
    <row r="67" spans="1:13">
      <c r="A67" t="s">
        <v>101</v>
      </c>
      <c r="B67" s="45">
        <v>0</v>
      </c>
      <c r="C67" s="45"/>
      <c r="D67" s="45">
        <f>'KY_Cost Plant Acct-Comm-P8(Fin)'!D60</f>
        <v>0</v>
      </c>
      <c r="E67" s="45"/>
      <c r="F67" s="45">
        <v>0</v>
      </c>
      <c r="G67" s="45"/>
      <c r="H67" s="45">
        <v>0</v>
      </c>
      <c r="I67" s="45"/>
      <c r="J67" s="45">
        <f t="shared" si="4"/>
        <v>0</v>
      </c>
      <c r="K67" s="45"/>
      <c r="L67" s="45">
        <f t="shared" si="5"/>
        <v>0</v>
      </c>
      <c r="M67" s="4"/>
    </row>
    <row r="68" spans="1:13">
      <c r="A68" t="s">
        <v>102</v>
      </c>
      <c r="B68" s="45">
        <v>0</v>
      </c>
      <c r="C68" s="45"/>
      <c r="D68" s="45">
        <v>0</v>
      </c>
      <c r="E68" s="45"/>
      <c r="F68" s="45">
        <v>0</v>
      </c>
      <c r="G68" s="45"/>
      <c r="H68" s="45">
        <v>0</v>
      </c>
      <c r="I68" s="45"/>
      <c r="J68" s="45">
        <f t="shared" si="4"/>
        <v>0</v>
      </c>
      <c r="K68" s="45"/>
      <c r="L68" s="45">
        <f t="shared" si="5"/>
        <v>0</v>
      </c>
      <c r="M68" s="4"/>
    </row>
    <row r="69" spans="1:13">
      <c r="A69" t="s">
        <v>103</v>
      </c>
      <c r="B69" s="45">
        <v>0</v>
      </c>
      <c r="C69" s="45"/>
      <c r="D69" s="45">
        <v>0</v>
      </c>
      <c r="E69" s="45"/>
      <c r="F69" s="45">
        <v>0</v>
      </c>
      <c r="G69" s="45"/>
      <c r="H69" s="45">
        <v>0</v>
      </c>
      <c r="I69" s="45"/>
      <c r="J69" s="45">
        <f t="shared" si="4"/>
        <v>0</v>
      </c>
      <c r="K69" s="45"/>
      <c r="L69" s="45">
        <f t="shared" si="5"/>
        <v>0</v>
      </c>
      <c r="M69" s="4"/>
    </row>
    <row r="70" spans="1:13">
      <c r="A70" t="s">
        <v>267</v>
      </c>
      <c r="B70" s="45">
        <v>0</v>
      </c>
      <c r="C70" s="45"/>
      <c r="D70" s="45">
        <v>0</v>
      </c>
      <c r="E70" s="45"/>
      <c r="F70" s="45">
        <v>0</v>
      </c>
      <c r="G70" s="45"/>
      <c r="H70" s="45">
        <v>0</v>
      </c>
      <c r="I70" s="45"/>
      <c r="J70" s="45">
        <f t="shared" si="4"/>
        <v>0</v>
      </c>
      <c r="K70" s="45"/>
      <c r="L70" s="45">
        <f t="shared" si="5"/>
        <v>0</v>
      </c>
      <c r="M70" s="4"/>
    </row>
    <row r="71" spans="1:13">
      <c r="A71" t="s">
        <v>268</v>
      </c>
      <c r="B71" s="45">
        <f>'KY_Cost Plant Acct-Comm-P8(Fin)'!B61</f>
        <v>1949634.7599999965</v>
      </c>
      <c r="C71" s="45"/>
      <c r="D71" s="45">
        <f>'KY_Cost Plant Acct-Comm-P8(Fin)'!D61</f>
        <v>3901604.8900000006</v>
      </c>
      <c r="E71" s="45"/>
      <c r="F71" s="45">
        <f>'KY_Cost Plant Acct-Comm-P8(Fin)'!F62</f>
        <v>0</v>
      </c>
      <c r="G71" s="45"/>
      <c r="H71" s="45">
        <f>'KY_Cost Plant Acct-Comm-P8(Fin)'!H62</f>
        <v>0</v>
      </c>
      <c r="I71" s="45"/>
      <c r="J71" s="45">
        <f t="shared" si="4"/>
        <v>3901604.8900000006</v>
      </c>
      <c r="K71" s="45"/>
      <c r="L71" s="45">
        <f t="shared" si="5"/>
        <v>5851239.6499999966</v>
      </c>
      <c r="M71" s="4"/>
    </row>
    <row r="72" spans="1:13">
      <c r="A72" t="s">
        <v>1023</v>
      </c>
      <c r="B72" s="182">
        <f>'KY_Cost Plant Acct-Comm-P8(Fin)'!B62</f>
        <v>291249.49999999988</v>
      </c>
      <c r="C72" s="45"/>
      <c r="D72" s="182">
        <f>'KY_Cost Plant Acct-Comm-P8(Fin)'!D62</f>
        <v>165079.18</v>
      </c>
      <c r="E72" s="45"/>
      <c r="F72" s="45">
        <v>0</v>
      </c>
      <c r="G72" s="45"/>
      <c r="H72" s="45">
        <v>0</v>
      </c>
      <c r="I72" s="45"/>
      <c r="J72" s="45">
        <f t="shared" si="4"/>
        <v>165079.18</v>
      </c>
      <c r="K72" s="45"/>
      <c r="L72" s="45">
        <f t="shared" si="5"/>
        <v>456328.67999999988</v>
      </c>
      <c r="M72" s="4"/>
    </row>
    <row r="73" spans="1:13">
      <c r="A73" t="s">
        <v>269</v>
      </c>
      <c r="B73" s="48">
        <v>0</v>
      </c>
      <c r="C73" s="52"/>
      <c r="D73" s="48">
        <v>0</v>
      </c>
      <c r="E73" s="52"/>
      <c r="F73" s="48">
        <v>0</v>
      </c>
      <c r="G73" s="52"/>
      <c r="H73" s="48">
        <v>0</v>
      </c>
      <c r="I73" s="52"/>
      <c r="J73" s="48">
        <f t="shared" si="4"/>
        <v>0</v>
      </c>
      <c r="K73" s="52"/>
      <c r="L73" s="48">
        <f t="shared" si="5"/>
        <v>0</v>
      </c>
      <c r="M73" s="55"/>
    </row>
    <row r="74" spans="1:13">
      <c r="B74" s="52">
        <f>SUM(B46:B73)</f>
        <v>4815820.2699999958</v>
      </c>
      <c r="C74" s="52"/>
      <c r="D74" s="52">
        <f>SUM(D46:D73)</f>
        <v>2715709.0500000012</v>
      </c>
      <c r="E74" s="52"/>
      <c r="F74" s="52">
        <f>SUM(F46:F73)</f>
        <v>0</v>
      </c>
      <c r="G74" s="52"/>
      <c r="H74" s="52">
        <f>SUM(H46:H73)</f>
        <v>0</v>
      </c>
      <c r="I74" s="52"/>
      <c r="J74" s="52">
        <f>SUM(J46:J73)</f>
        <v>2715709.0500000012</v>
      </c>
      <c r="K74" s="52"/>
      <c r="L74" s="52">
        <f>SUM(L46:L73)</f>
        <v>7531529.3199999966</v>
      </c>
      <c r="M74" s="55"/>
    </row>
    <row r="75" spans="1:13">
      <c r="B75" s="52"/>
      <c r="C75" s="52"/>
      <c r="D75" s="52"/>
      <c r="E75" s="52"/>
      <c r="F75" s="52"/>
      <c r="G75" s="52"/>
      <c r="H75" s="52"/>
      <c r="I75" s="52"/>
      <c r="J75" s="52"/>
      <c r="K75" s="52"/>
      <c r="L75" s="52"/>
      <c r="M75" s="55"/>
    </row>
    <row r="76" spans="1:13" ht="13.5" thickBot="1">
      <c r="A76" s="3" t="s">
        <v>203</v>
      </c>
      <c r="B76" s="46">
        <f>B74+B40</f>
        <v>222764065.49000001</v>
      </c>
      <c r="C76" s="55"/>
      <c r="D76" s="46">
        <f>D74+D40</f>
        <v>6342012.080000001</v>
      </c>
      <c r="E76" s="55"/>
      <c r="F76" s="46">
        <f>F74+F40</f>
        <v>-1437161.56</v>
      </c>
      <c r="G76" s="55"/>
      <c r="H76" s="46">
        <f>H74+H40</f>
        <v>0</v>
      </c>
      <c r="I76" s="55"/>
      <c r="J76" s="46">
        <f>J74+J40</f>
        <v>4904850.5200000014</v>
      </c>
      <c r="K76" s="55"/>
      <c r="L76" s="46">
        <f>L74+L40</f>
        <v>227668916.00999999</v>
      </c>
      <c r="M76" s="55"/>
    </row>
    <row r="77" spans="1:13" ht="13.5" thickTop="1">
      <c r="B77" s="52"/>
      <c r="C77" s="52"/>
      <c r="D77" s="52"/>
      <c r="E77" s="52"/>
      <c r="F77" s="52"/>
      <c r="G77" s="52"/>
      <c r="H77" s="52"/>
      <c r="I77" s="52"/>
      <c r="J77" s="52"/>
      <c r="K77" s="52"/>
      <c r="L77" s="52"/>
      <c r="M77" s="55"/>
    </row>
    <row r="78" spans="1:13">
      <c r="B78" s="52"/>
      <c r="C78" s="52"/>
      <c r="D78" s="52"/>
      <c r="E78" s="52"/>
      <c r="F78" s="52"/>
      <c r="G78" s="52"/>
      <c r="H78" s="52"/>
      <c r="I78" s="52"/>
      <c r="J78" s="52"/>
      <c r="K78" s="52"/>
      <c r="L78" s="52">
        <f>+L76-'KY_Cost Plant Acct-Comm-P8(Fin)'!L69-'IN_Cost Plant Acct-Com-P10(Fin)'!L26</f>
        <v>-1.4319084584712982E-8</v>
      </c>
      <c r="M78" s="55"/>
    </row>
    <row r="79" spans="1:13">
      <c r="B79" s="45"/>
      <c r="C79" s="45"/>
      <c r="D79" s="45"/>
      <c r="E79" s="45"/>
      <c r="F79" s="45"/>
      <c r="G79" s="45"/>
      <c r="H79" s="45"/>
      <c r="I79" s="45"/>
      <c r="J79" s="45"/>
      <c r="K79" s="45"/>
      <c r="L79" s="45"/>
      <c r="M79" s="4"/>
    </row>
    <row r="80" spans="1:13">
      <c r="B80" s="4"/>
      <c r="C80" s="4"/>
      <c r="D80" s="4"/>
      <c r="E80" s="4"/>
      <c r="F80" s="4"/>
      <c r="G80" s="4"/>
      <c r="H80" s="4"/>
      <c r="I80" s="4"/>
      <c r="J80" s="4"/>
      <c r="K80" s="4"/>
      <c r="L80" s="4"/>
      <c r="M80" s="4"/>
    </row>
    <row r="81" spans="2:13">
      <c r="B81" s="4"/>
      <c r="C81" s="4"/>
      <c r="D81" s="4"/>
      <c r="E81" s="4"/>
      <c r="F81" s="4"/>
      <c r="G81" s="4"/>
      <c r="H81" s="4"/>
      <c r="I81" s="4"/>
      <c r="J81" s="4"/>
      <c r="K81" s="4"/>
      <c r="L81" s="4"/>
      <c r="M81" s="4"/>
    </row>
    <row r="82" spans="2:13">
      <c r="B82" s="4"/>
      <c r="C82" s="4"/>
      <c r="D82" s="4"/>
      <c r="E82" s="4"/>
      <c r="F82" s="4"/>
      <c r="G82" s="4"/>
      <c r="H82" s="4"/>
      <c r="I82" s="4"/>
      <c r="J82" s="4"/>
      <c r="K82" s="4"/>
      <c r="L82" s="4"/>
      <c r="M82" s="4"/>
    </row>
    <row r="83" spans="2:13">
      <c r="B83" s="4"/>
      <c r="C83" s="4"/>
      <c r="D83" s="4"/>
      <c r="E83" s="4"/>
      <c r="F83" s="4"/>
      <c r="G83" s="4"/>
      <c r="H83" s="4"/>
      <c r="I83" s="4"/>
      <c r="J83" s="4"/>
      <c r="K83" s="4"/>
      <c r="L83" s="4"/>
      <c r="M83" s="4"/>
    </row>
    <row r="84" spans="2:13">
      <c r="B84" s="4"/>
      <c r="C84" s="4"/>
      <c r="D84" s="4"/>
      <c r="E84" s="4"/>
      <c r="F84" s="4"/>
      <c r="G84" s="4"/>
      <c r="H84" s="4"/>
      <c r="I84" s="4"/>
      <c r="J84" s="4"/>
      <c r="K84" s="4"/>
      <c r="L84" s="4"/>
      <c r="M84" s="4"/>
    </row>
    <row r="85" spans="2:13">
      <c r="B85" s="4"/>
      <c r="C85" s="4"/>
      <c r="D85" s="4"/>
      <c r="E85" s="4"/>
      <c r="F85" s="4"/>
      <c r="G85" s="4"/>
      <c r="H85" s="4"/>
      <c r="I85" s="4"/>
      <c r="J85" s="4"/>
      <c r="K85" s="4"/>
      <c r="L85" s="4"/>
      <c r="M85" s="4"/>
    </row>
    <row r="86" spans="2:13">
      <c r="B86" s="4"/>
      <c r="C86" s="4"/>
      <c r="D86" s="4"/>
      <c r="E86" s="4"/>
      <c r="F86" s="4"/>
      <c r="G86" s="4"/>
      <c r="H86" s="4"/>
      <c r="I86" s="4"/>
      <c r="J86" s="4"/>
      <c r="K86" s="4"/>
      <c r="L86" s="4"/>
      <c r="M86" s="4"/>
    </row>
    <row r="87" spans="2:13">
      <c r="B87" s="4"/>
      <c r="C87" s="4"/>
      <c r="D87" s="4"/>
      <c r="E87" s="4"/>
      <c r="F87" s="4"/>
      <c r="G87" s="4"/>
      <c r="H87" s="4"/>
      <c r="I87" s="4"/>
      <c r="J87" s="4"/>
      <c r="K87" s="4"/>
      <c r="L87" s="4"/>
      <c r="M87" s="4"/>
    </row>
    <row r="88" spans="2:13">
      <c r="B88" s="4"/>
      <c r="C88" s="4"/>
      <c r="D88" s="4"/>
      <c r="E88" s="4"/>
      <c r="F88" s="4"/>
      <c r="G88" s="4"/>
      <c r="H88" s="4"/>
      <c r="I88" s="4"/>
      <c r="J88" s="4"/>
      <c r="K88" s="4"/>
      <c r="L88" s="4"/>
      <c r="M88" s="4"/>
    </row>
    <row r="89" spans="2:13">
      <c r="B89" s="4"/>
      <c r="C89" s="4"/>
      <c r="D89" s="4"/>
      <c r="E89" s="4"/>
      <c r="F89" s="4"/>
      <c r="G89" s="4"/>
      <c r="H89" s="4"/>
      <c r="I89" s="4"/>
      <c r="J89" s="4"/>
      <c r="K89" s="4"/>
      <c r="L89" s="4"/>
      <c r="M89" s="4"/>
    </row>
    <row r="90" spans="2:13">
      <c r="B90" s="4"/>
      <c r="C90" s="4"/>
      <c r="D90" s="4"/>
      <c r="E90" s="4"/>
      <c r="F90" s="4"/>
      <c r="G90" s="4"/>
      <c r="H90" s="4"/>
      <c r="I90" s="4"/>
      <c r="J90" s="4"/>
      <c r="K90" s="4"/>
      <c r="L90" s="4"/>
      <c r="M90" s="4"/>
    </row>
    <row r="91" spans="2:13">
      <c r="B91" s="4"/>
      <c r="C91" s="4"/>
      <c r="D91" s="4"/>
      <c r="E91" s="4"/>
      <c r="F91" s="4"/>
      <c r="G91" s="4"/>
      <c r="H91" s="4"/>
      <c r="I91" s="4"/>
      <c r="J91" s="4"/>
      <c r="K91" s="4"/>
      <c r="L91" s="4"/>
      <c r="M91" s="4"/>
    </row>
    <row r="92" spans="2:13">
      <c r="B92" s="4"/>
      <c r="C92" s="4"/>
      <c r="D92" s="4"/>
      <c r="E92" s="4"/>
      <c r="F92" s="4"/>
      <c r="G92" s="4"/>
      <c r="H92" s="4"/>
      <c r="I92" s="4"/>
      <c r="J92" s="4"/>
      <c r="K92" s="4"/>
      <c r="L92" s="4"/>
      <c r="M92" s="4"/>
    </row>
    <row r="93" spans="2:13">
      <c r="B93" s="4"/>
      <c r="C93" s="4"/>
      <c r="D93" s="4"/>
      <c r="E93" s="4"/>
      <c r="F93" s="4"/>
      <c r="G93" s="4"/>
      <c r="H93" s="4"/>
      <c r="I93" s="4"/>
      <c r="J93" s="4"/>
      <c r="K93" s="4"/>
      <c r="L93" s="4"/>
      <c r="M93" s="4"/>
    </row>
    <row r="94" spans="2:13">
      <c r="B94" s="4"/>
      <c r="C94" s="4"/>
      <c r="D94" s="4"/>
      <c r="E94" s="4"/>
      <c r="F94" s="4"/>
      <c r="G94" s="4"/>
      <c r="H94" s="4"/>
      <c r="I94" s="4"/>
      <c r="J94" s="4"/>
      <c r="K94" s="4"/>
      <c r="L94" s="4"/>
      <c r="M94" s="4"/>
    </row>
    <row r="95" spans="2:13">
      <c r="B95" s="4"/>
      <c r="C95" s="4"/>
      <c r="D95" s="4"/>
      <c r="E95" s="4"/>
      <c r="F95" s="4"/>
      <c r="G95" s="4"/>
      <c r="H95" s="4"/>
      <c r="I95" s="4"/>
      <c r="J95" s="4"/>
      <c r="K95" s="4"/>
      <c r="L95" s="4"/>
      <c r="M95" s="4"/>
    </row>
    <row r="96" spans="2:13">
      <c r="B96" s="4"/>
      <c r="C96" s="4"/>
      <c r="D96" s="4"/>
      <c r="E96" s="4"/>
      <c r="F96" s="4"/>
      <c r="G96" s="4"/>
      <c r="H96" s="4"/>
      <c r="I96" s="4"/>
      <c r="J96" s="4"/>
      <c r="K96" s="4"/>
      <c r="L96" s="4"/>
      <c r="M96" s="4"/>
    </row>
    <row r="97" spans="2:13">
      <c r="B97" s="4"/>
      <c r="C97" s="4"/>
      <c r="D97" s="4"/>
      <c r="E97" s="4"/>
      <c r="F97" s="4"/>
      <c r="G97" s="4"/>
      <c r="H97" s="4"/>
      <c r="I97" s="4"/>
      <c r="J97" s="4"/>
      <c r="K97" s="4"/>
      <c r="L97" s="4"/>
      <c r="M97" s="4"/>
    </row>
    <row r="98" spans="2:13">
      <c r="B98" s="4"/>
      <c r="C98" s="4"/>
      <c r="D98" s="4"/>
      <c r="E98" s="4"/>
      <c r="F98" s="4"/>
      <c r="G98" s="4"/>
      <c r="H98" s="4"/>
      <c r="I98" s="4"/>
      <c r="J98" s="4"/>
      <c r="K98" s="4"/>
      <c r="L98" s="4"/>
      <c r="M98" s="4"/>
    </row>
    <row r="99" spans="2:13">
      <c r="B99" s="4"/>
      <c r="C99" s="4"/>
      <c r="D99" s="4"/>
      <c r="E99" s="4"/>
      <c r="F99" s="4"/>
      <c r="G99" s="4"/>
      <c r="H99" s="4"/>
      <c r="I99" s="4"/>
      <c r="J99" s="4"/>
      <c r="K99" s="4"/>
      <c r="L99" s="4"/>
      <c r="M99" s="4"/>
    </row>
    <row r="100" spans="2:13">
      <c r="B100" s="4"/>
      <c r="C100" s="4"/>
      <c r="D100" s="4"/>
      <c r="E100" s="4"/>
      <c r="F100" s="4"/>
      <c r="G100" s="4"/>
      <c r="H100" s="4"/>
      <c r="I100" s="4"/>
      <c r="J100" s="4"/>
      <c r="K100" s="4"/>
      <c r="L100" s="4"/>
      <c r="M100" s="4"/>
    </row>
    <row r="101" spans="2:13">
      <c r="B101" s="4"/>
      <c r="C101" s="4"/>
      <c r="D101" s="4"/>
      <c r="E101" s="4"/>
      <c r="F101" s="4"/>
      <c r="G101" s="4"/>
      <c r="H101" s="4"/>
      <c r="I101" s="4"/>
      <c r="J101" s="4"/>
      <c r="K101" s="4"/>
      <c r="L101" s="4"/>
      <c r="M101" s="4"/>
    </row>
    <row r="102" spans="2:13">
      <c r="B102" s="4"/>
      <c r="C102" s="4"/>
      <c r="D102" s="4"/>
      <c r="E102" s="4"/>
      <c r="F102" s="4"/>
      <c r="G102" s="4"/>
      <c r="H102" s="4"/>
      <c r="I102" s="4"/>
      <c r="J102" s="4"/>
      <c r="K102" s="4"/>
      <c r="L102" s="4"/>
      <c r="M102" s="4"/>
    </row>
    <row r="103" spans="2:13">
      <c r="B103" s="4"/>
      <c r="C103" s="4"/>
      <c r="D103" s="4"/>
      <c r="E103" s="4"/>
      <c r="F103" s="4"/>
      <c r="G103" s="4"/>
      <c r="H103" s="4"/>
      <c r="I103" s="4"/>
      <c r="J103" s="4"/>
      <c r="K103" s="4"/>
      <c r="L103" s="4"/>
      <c r="M103" s="4"/>
    </row>
    <row r="104" spans="2:13">
      <c r="B104" s="4"/>
      <c r="C104" s="4"/>
      <c r="D104" s="4"/>
      <c r="E104" s="4"/>
      <c r="F104" s="4"/>
      <c r="G104" s="4"/>
      <c r="H104" s="4"/>
      <c r="I104" s="4"/>
      <c r="J104" s="4"/>
      <c r="K104" s="4"/>
      <c r="L104" s="4"/>
      <c r="M104" s="4"/>
    </row>
    <row r="105" spans="2:13">
      <c r="B105" s="4"/>
      <c r="C105" s="4"/>
      <c r="D105" s="4"/>
      <c r="E105" s="4"/>
      <c r="F105" s="4"/>
      <c r="G105" s="4"/>
      <c r="H105" s="4"/>
      <c r="I105" s="4"/>
      <c r="J105" s="4"/>
      <c r="K105" s="4"/>
      <c r="L105" s="4"/>
      <c r="M105" s="4"/>
    </row>
    <row r="106" spans="2:13">
      <c r="B106" s="4"/>
      <c r="C106" s="4"/>
      <c r="D106" s="4"/>
      <c r="E106" s="4"/>
      <c r="F106" s="4"/>
      <c r="G106" s="4"/>
      <c r="H106" s="4"/>
      <c r="I106" s="4"/>
      <c r="J106" s="4"/>
      <c r="K106" s="4"/>
      <c r="L106" s="4"/>
      <c r="M106" s="4"/>
    </row>
    <row r="107" spans="2:13">
      <c r="B107" s="4"/>
      <c r="C107" s="4"/>
      <c r="D107" s="4"/>
      <c r="E107" s="4"/>
      <c r="F107" s="4"/>
      <c r="G107" s="4"/>
      <c r="H107" s="4"/>
      <c r="I107" s="4"/>
      <c r="J107" s="4"/>
      <c r="K107" s="4"/>
      <c r="L107" s="4"/>
      <c r="M107" s="4"/>
    </row>
    <row r="108" spans="2:13">
      <c r="B108" s="4"/>
      <c r="C108" s="4"/>
      <c r="D108" s="4"/>
      <c r="E108" s="4"/>
      <c r="F108" s="4"/>
      <c r="G108" s="4"/>
      <c r="H108" s="4"/>
      <c r="I108" s="4"/>
      <c r="J108" s="4"/>
      <c r="K108" s="4"/>
      <c r="L108" s="4"/>
      <c r="M108" s="4"/>
    </row>
    <row r="109" spans="2:13">
      <c r="B109" s="4"/>
      <c r="C109" s="4"/>
      <c r="D109" s="4"/>
      <c r="E109" s="4"/>
      <c r="F109" s="4"/>
      <c r="G109" s="4"/>
      <c r="H109" s="4"/>
      <c r="I109" s="4"/>
      <c r="J109" s="4"/>
      <c r="K109" s="4"/>
      <c r="L109" s="4"/>
      <c r="M109" s="4"/>
    </row>
    <row r="110" spans="2:13">
      <c r="B110" s="4"/>
      <c r="C110" s="4"/>
      <c r="D110" s="4"/>
      <c r="E110" s="4"/>
      <c r="F110" s="4"/>
      <c r="G110" s="4"/>
      <c r="H110" s="4"/>
      <c r="I110" s="4"/>
      <c r="J110" s="4"/>
      <c r="K110" s="4"/>
      <c r="L110" s="4"/>
      <c r="M110" s="4"/>
    </row>
    <row r="111" spans="2:13">
      <c r="B111" s="4"/>
      <c r="C111" s="4"/>
      <c r="D111" s="4"/>
      <c r="E111" s="4"/>
      <c r="F111" s="4"/>
      <c r="G111" s="4"/>
      <c r="H111" s="4"/>
      <c r="I111" s="4"/>
      <c r="J111" s="4"/>
      <c r="K111" s="4"/>
      <c r="L111" s="4"/>
      <c r="M111" s="4"/>
    </row>
    <row r="112" spans="2:13">
      <c r="B112" s="4"/>
      <c r="C112" s="4"/>
      <c r="D112" s="4"/>
      <c r="E112" s="4"/>
      <c r="F112" s="4"/>
      <c r="G112" s="4"/>
      <c r="H112" s="4"/>
      <c r="I112" s="4"/>
      <c r="J112" s="4"/>
      <c r="K112" s="4"/>
      <c r="L112" s="4"/>
      <c r="M112" s="4"/>
    </row>
    <row r="113" spans="2:13">
      <c r="B113" s="4"/>
      <c r="C113" s="4"/>
      <c r="D113" s="4"/>
      <c r="E113" s="4"/>
      <c r="F113" s="4"/>
      <c r="G113" s="4"/>
      <c r="H113" s="4"/>
      <c r="I113" s="4"/>
      <c r="J113" s="4"/>
      <c r="K113" s="4"/>
      <c r="L113" s="4"/>
      <c r="M113" s="4"/>
    </row>
    <row r="114" spans="2:13">
      <c r="B114" s="4"/>
      <c r="C114" s="4"/>
      <c r="D114" s="4"/>
      <c r="E114" s="4"/>
      <c r="F114" s="4"/>
      <c r="G114" s="4"/>
      <c r="H114" s="4"/>
      <c r="I114" s="4"/>
      <c r="J114" s="4"/>
      <c r="K114" s="4"/>
      <c r="L114" s="4"/>
      <c r="M114" s="4"/>
    </row>
    <row r="115" spans="2:13">
      <c r="B115" s="4"/>
      <c r="C115" s="4"/>
      <c r="D115" s="4"/>
      <c r="E115" s="4"/>
      <c r="F115" s="4"/>
      <c r="G115" s="4"/>
      <c r="H115" s="4"/>
      <c r="I115" s="4"/>
      <c r="J115" s="4"/>
      <c r="K115" s="4"/>
      <c r="L115" s="4"/>
      <c r="M115" s="4"/>
    </row>
    <row r="116" spans="2:13">
      <c r="B116" s="4"/>
      <c r="C116" s="4"/>
      <c r="D116" s="4"/>
      <c r="E116" s="4"/>
      <c r="F116" s="4"/>
      <c r="G116" s="4"/>
      <c r="H116" s="4"/>
      <c r="I116" s="4"/>
      <c r="J116" s="4"/>
      <c r="K116" s="4"/>
      <c r="L116" s="4"/>
      <c r="M116" s="4"/>
    </row>
    <row r="117" spans="2:13">
      <c r="B117" s="4"/>
      <c r="C117" s="4"/>
      <c r="D117" s="4"/>
      <c r="E117" s="4"/>
      <c r="F117" s="4"/>
      <c r="G117" s="4"/>
      <c r="H117" s="4"/>
      <c r="I117" s="4"/>
      <c r="J117" s="4"/>
      <c r="K117" s="4"/>
      <c r="L117" s="4"/>
      <c r="M117" s="4"/>
    </row>
    <row r="118" spans="2:13">
      <c r="B118" s="4"/>
      <c r="C118" s="4"/>
      <c r="D118" s="4"/>
      <c r="E118" s="4"/>
      <c r="F118" s="4"/>
      <c r="G118" s="4"/>
      <c r="H118" s="4"/>
      <c r="I118" s="4"/>
      <c r="J118" s="4"/>
      <c r="K118" s="4"/>
      <c r="L118" s="4"/>
      <c r="M118" s="4"/>
    </row>
    <row r="119" spans="2:13">
      <c r="B119" s="4"/>
      <c r="C119" s="4"/>
      <c r="D119" s="4"/>
      <c r="E119" s="4"/>
      <c r="F119" s="4"/>
      <c r="G119" s="4"/>
      <c r="H119" s="4"/>
      <c r="I119" s="4"/>
      <c r="J119" s="4"/>
      <c r="K119" s="4"/>
      <c r="L119" s="4"/>
      <c r="M119" s="4"/>
    </row>
    <row r="120" spans="2:13">
      <c r="B120" s="4"/>
      <c r="C120" s="4"/>
      <c r="D120" s="4"/>
      <c r="E120" s="4"/>
      <c r="F120" s="4"/>
      <c r="G120" s="4"/>
      <c r="H120" s="4"/>
      <c r="I120" s="4"/>
      <c r="J120" s="4"/>
      <c r="K120" s="4"/>
      <c r="L120" s="4"/>
      <c r="M120" s="4"/>
    </row>
    <row r="121" spans="2:13">
      <c r="B121" s="4"/>
      <c r="C121" s="4"/>
      <c r="D121" s="4"/>
      <c r="E121" s="4"/>
      <c r="F121" s="4"/>
      <c r="G121" s="4"/>
      <c r="H121" s="4"/>
      <c r="I121" s="4"/>
      <c r="J121" s="4"/>
      <c r="K121" s="4"/>
      <c r="L121" s="4"/>
      <c r="M121" s="4"/>
    </row>
    <row r="122" spans="2:13">
      <c r="B122" s="4"/>
      <c r="C122" s="4"/>
      <c r="D122" s="4"/>
      <c r="E122" s="4"/>
      <c r="F122" s="4"/>
      <c r="G122" s="4"/>
      <c r="H122" s="4"/>
      <c r="I122" s="4"/>
      <c r="J122" s="4"/>
      <c r="K122" s="4"/>
      <c r="L122" s="4"/>
      <c r="M122" s="4"/>
    </row>
    <row r="123" spans="2:13">
      <c r="B123" s="4"/>
      <c r="C123" s="4"/>
      <c r="D123" s="4"/>
      <c r="E123" s="4"/>
      <c r="F123" s="4"/>
      <c r="G123" s="4"/>
      <c r="H123" s="4"/>
      <c r="I123" s="4"/>
      <c r="J123" s="4"/>
      <c r="K123" s="4"/>
      <c r="L123" s="4"/>
      <c r="M123" s="4"/>
    </row>
    <row r="124" spans="2:13">
      <c r="B124" s="4"/>
      <c r="C124" s="4"/>
      <c r="D124" s="4"/>
      <c r="E124" s="4"/>
      <c r="F124" s="4"/>
      <c r="G124" s="4"/>
      <c r="H124" s="4"/>
      <c r="I124" s="4"/>
      <c r="J124" s="4"/>
      <c r="K124" s="4"/>
      <c r="L124" s="4"/>
      <c r="M124" s="4"/>
    </row>
    <row r="125" spans="2:13">
      <c r="B125" s="4"/>
      <c r="C125" s="4"/>
      <c r="D125" s="4"/>
      <c r="E125" s="4"/>
      <c r="F125" s="4"/>
      <c r="G125" s="4"/>
      <c r="H125" s="4"/>
      <c r="I125" s="4"/>
      <c r="J125" s="4"/>
      <c r="K125" s="4"/>
      <c r="L125" s="4"/>
      <c r="M125" s="4"/>
    </row>
    <row r="126" spans="2:13">
      <c r="B126" s="4"/>
      <c r="C126" s="4"/>
      <c r="D126" s="4"/>
      <c r="E126" s="4"/>
      <c r="F126" s="4"/>
      <c r="G126" s="4"/>
      <c r="H126" s="4"/>
      <c r="I126" s="4"/>
      <c r="J126" s="4"/>
      <c r="K126" s="4"/>
      <c r="L126" s="4"/>
      <c r="M126" s="4"/>
    </row>
    <row r="127" spans="2:13">
      <c r="B127" s="4"/>
      <c r="C127" s="4"/>
      <c r="D127" s="4"/>
      <c r="E127" s="4"/>
      <c r="F127" s="4"/>
      <c r="G127" s="4"/>
      <c r="H127" s="4"/>
      <c r="I127" s="4"/>
      <c r="J127" s="4"/>
      <c r="K127" s="4"/>
      <c r="L127" s="4"/>
      <c r="M127" s="4"/>
    </row>
    <row r="128" spans="2:13">
      <c r="B128" s="4"/>
      <c r="C128" s="4"/>
      <c r="D128" s="4"/>
      <c r="E128" s="4"/>
      <c r="F128" s="4"/>
      <c r="G128" s="4"/>
      <c r="H128" s="4"/>
      <c r="I128" s="4"/>
      <c r="J128" s="4"/>
      <c r="K128" s="4"/>
      <c r="L128" s="4"/>
      <c r="M128" s="4"/>
    </row>
    <row r="129" spans="2:13">
      <c r="B129" s="4"/>
      <c r="C129" s="4"/>
      <c r="D129" s="4"/>
      <c r="E129" s="4"/>
      <c r="F129" s="4"/>
      <c r="G129" s="4"/>
      <c r="H129" s="4"/>
      <c r="I129" s="4"/>
      <c r="J129" s="4"/>
      <c r="K129" s="4"/>
      <c r="L129" s="4"/>
      <c r="M129" s="4"/>
    </row>
    <row r="130" spans="2:13">
      <c r="B130" s="4"/>
      <c r="C130" s="4"/>
      <c r="D130" s="4"/>
      <c r="E130" s="4"/>
      <c r="F130" s="4"/>
      <c r="G130" s="4"/>
      <c r="H130" s="4"/>
      <c r="I130" s="4"/>
      <c r="J130" s="4"/>
      <c r="K130" s="4"/>
      <c r="L130" s="4"/>
      <c r="M130" s="4"/>
    </row>
    <row r="131" spans="2:13">
      <c r="B131" s="4"/>
      <c r="C131" s="4"/>
      <c r="D131" s="4"/>
      <c r="E131" s="4"/>
      <c r="F131" s="4"/>
      <c r="G131" s="4"/>
      <c r="H131" s="4"/>
      <c r="I131" s="4"/>
      <c r="J131" s="4"/>
      <c r="K131" s="4"/>
      <c r="L131" s="4"/>
      <c r="M131" s="4"/>
    </row>
    <row r="132" spans="2:13">
      <c r="B132" s="4"/>
      <c r="C132" s="4"/>
      <c r="D132" s="4"/>
      <c r="E132" s="4"/>
      <c r="F132" s="4"/>
      <c r="G132" s="4"/>
      <c r="H132" s="4"/>
      <c r="I132" s="4"/>
      <c r="J132" s="4"/>
      <c r="K132" s="4"/>
      <c r="L132" s="4"/>
      <c r="M132" s="4"/>
    </row>
    <row r="133" spans="2:13">
      <c r="B133" s="4"/>
      <c r="C133" s="4"/>
      <c r="D133" s="4"/>
      <c r="E133" s="4"/>
      <c r="F133" s="4"/>
      <c r="G133" s="4"/>
      <c r="H133" s="4"/>
      <c r="I133" s="4"/>
      <c r="J133" s="4"/>
      <c r="K133" s="4"/>
      <c r="L133" s="4"/>
      <c r="M133" s="4"/>
    </row>
    <row r="134" spans="2:13">
      <c r="B134" s="4"/>
      <c r="C134" s="4"/>
      <c r="D134" s="4"/>
      <c r="E134" s="4"/>
      <c r="F134" s="4"/>
      <c r="G134" s="4"/>
      <c r="H134" s="4"/>
      <c r="I134" s="4"/>
      <c r="J134" s="4"/>
      <c r="K134" s="4"/>
      <c r="L134" s="4"/>
      <c r="M134" s="4"/>
    </row>
    <row r="135" spans="2:13">
      <c r="B135" s="4"/>
      <c r="C135" s="4"/>
      <c r="D135" s="4"/>
      <c r="E135" s="4"/>
      <c r="F135" s="4"/>
      <c r="G135" s="4"/>
      <c r="H135" s="4"/>
      <c r="I135" s="4"/>
      <c r="J135" s="4"/>
      <c r="K135" s="4"/>
      <c r="L135" s="4"/>
      <c r="M135" s="4"/>
    </row>
    <row r="136" spans="2:13">
      <c r="B136" s="4"/>
      <c r="C136" s="4"/>
      <c r="D136" s="4"/>
      <c r="E136" s="4"/>
      <c r="F136" s="4"/>
      <c r="G136" s="4"/>
      <c r="H136" s="4"/>
      <c r="I136" s="4"/>
      <c r="J136" s="4"/>
      <c r="K136" s="4"/>
      <c r="L136" s="4"/>
      <c r="M136" s="4"/>
    </row>
    <row r="137" spans="2:13">
      <c r="B137" s="4"/>
      <c r="C137" s="4"/>
      <c r="D137" s="4"/>
      <c r="E137" s="4"/>
      <c r="F137" s="4"/>
      <c r="G137" s="4"/>
      <c r="H137" s="4"/>
      <c r="I137" s="4"/>
      <c r="J137" s="4"/>
      <c r="K137" s="4"/>
      <c r="L137" s="4"/>
      <c r="M137" s="4"/>
    </row>
    <row r="138" spans="2:13">
      <c r="B138" s="4"/>
      <c r="C138" s="4"/>
      <c r="D138" s="4"/>
      <c r="E138" s="4"/>
      <c r="F138" s="4"/>
      <c r="G138" s="4"/>
      <c r="H138" s="4"/>
      <c r="I138" s="4"/>
      <c r="J138" s="4"/>
      <c r="K138" s="4"/>
      <c r="L138" s="4"/>
      <c r="M138" s="4"/>
    </row>
    <row r="139" spans="2:13">
      <c r="B139" s="4"/>
      <c r="C139" s="4"/>
      <c r="D139" s="4"/>
      <c r="E139" s="4"/>
      <c r="F139" s="4"/>
      <c r="G139" s="4"/>
      <c r="H139" s="4"/>
      <c r="I139" s="4"/>
      <c r="J139" s="4"/>
      <c r="K139" s="4"/>
      <c r="L139" s="4"/>
      <c r="M139" s="4"/>
    </row>
    <row r="140" spans="2:13">
      <c r="B140" s="4"/>
      <c r="C140" s="4"/>
      <c r="D140" s="4"/>
      <c r="E140" s="4"/>
      <c r="F140" s="4"/>
      <c r="G140" s="4"/>
      <c r="H140" s="4"/>
      <c r="I140" s="4"/>
      <c r="J140" s="4"/>
      <c r="K140" s="4"/>
      <c r="L140" s="4"/>
      <c r="M140" s="4"/>
    </row>
    <row r="141" spans="2:13">
      <c r="B141" s="4"/>
      <c r="C141" s="4"/>
      <c r="D141" s="4"/>
      <c r="E141" s="4"/>
      <c r="F141" s="4"/>
      <c r="G141" s="4"/>
      <c r="H141" s="4"/>
      <c r="I141" s="4"/>
      <c r="J141" s="4"/>
      <c r="K141" s="4"/>
      <c r="L141" s="4"/>
      <c r="M141" s="4"/>
    </row>
    <row r="142" spans="2:13">
      <c r="B142" s="4"/>
      <c r="C142" s="4"/>
      <c r="D142" s="4"/>
      <c r="E142" s="4"/>
      <c r="F142" s="4"/>
      <c r="G142" s="4"/>
      <c r="H142" s="4"/>
      <c r="I142" s="4"/>
      <c r="J142" s="4"/>
      <c r="K142" s="4"/>
      <c r="L142" s="4"/>
      <c r="M142" s="4"/>
    </row>
    <row r="143" spans="2:13">
      <c r="B143" s="4"/>
      <c r="C143" s="4"/>
      <c r="D143" s="4"/>
      <c r="E143" s="4"/>
      <c r="F143" s="4"/>
      <c r="G143" s="4"/>
      <c r="H143" s="4"/>
      <c r="I143" s="4"/>
      <c r="J143" s="4"/>
      <c r="K143" s="4"/>
      <c r="L143" s="4"/>
      <c r="M143" s="4"/>
    </row>
    <row r="144" spans="2:13">
      <c r="B144" s="4"/>
      <c r="C144" s="4"/>
      <c r="D144" s="4"/>
      <c r="E144" s="4"/>
      <c r="F144" s="4"/>
      <c r="G144" s="4"/>
      <c r="H144" s="4"/>
      <c r="I144" s="4"/>
      <c r="J144" s="4"/>
      <c r="K144" s="4"/>
      <c r="L144" s="4"/>
      <c r="M144" s="4"/>
    </row>
    <row r="145" spans="2:13">
      <c r="B145" s="4"/>
      <c r="C145" s="4"/>
      <c r="D145" s="4"/>
      <c r="E145" s="4"/>
      <c r="F145" s="4"/>
      <c r="G145" s="4"/>
      <c r="H145" s="4"/>
      <c r="I145" s="4"/>
      <c r="J145" s="4"/>
      <c r="K145" s="4"/>
      <c r="L145" s="4"/>
      <c r="M145" s="4"/>
    </row>
    <row r="146" spans="2:13">
      <c r="B146" s="4"/>
      <c r="C146" s="4"/>
      <c r="D146" s="4"/>
      <c r="E146" s="4"/>
      <c r="F146" s="4"/>
      <c r="G146" s="4"/>
      <c r="H146" s="4"/>
      <c r="I146" s="4"/>
      <c r="J146" s="4"/>
      <c r="K146" s="4"/>
      <c r="L146" s="4"/>
      <c r="M146" s="4"/>
    </row>
    <row r="147" spans="2:13">
      <c r="B147" s="4"/>
      <c r="C147" s="4"/>
      <c r="D147" s="4"/>
      <c r="E147" s="4"/>
      <c r="F147" s="4"/>
      <c r="G147" s="4"/>
      <c r="H147" s="4"/>
      <c r="I147" s="4"/>
      <c r="J147" s="4"/>
      <c r="K147" s="4"/>
      <c r="L147" s="4"/>
      <c r="M147" s="4"/>
    </row>
    <row r="148" spans="2:13">
      <c r="B148" s="4"/>
      <c r="C148" s="4"/>
      <c r="D148" s="4"/>
      <c r="E148" s="4"/>
      <c r="F148" s="4"/>
      <c r="G148" s="4"/>
      <c r="H148" s="4"/>
      <c r="I148" s="4"/>
      <c r="J148" s="4"/>
      <c r="K148" s="4"/>
      <c r="L148" s="4"/>
      <c r="M148" s="4"/>
    </row>
    <row r="149" spans="2:13">
      <c r="B149" s="4"/>
      <c r="C149" s="4"/>
      <c r="D149" s="4"/>
      <c r="E149" s="4"/>
      <c r="F149" s="4"/>
      <c r="G149" s="4"/>
      <c r="H149" s="4"/>
      <c r="I149" s="4"/>
      <c r="J149" s="4"/>
      <c r="K149" s="4"/>
      <c r="L149" s="4"/>
      <c r="M149" s="4"/>
    </row>
    <row r="150" spans="2:13">
      <c r="B150" s="4"/>
      <c r="C150" s="4"/>
      <c r="D150" s="4"/>
      <c r="E150" s="4"/>
      <c r="F150" s="4"/>
      <c r="G150" s="4"/>
      <c r="H150" s="4"/>
      <c r="I150" s="4"/>
      <c r="J150" s="4"/>
      <c r="K150" s="4"/>
      <c r="L150" s="4"/>
      <c r="M150" s="4"/>
    </row>
    <row r="151" spans="2:13">
      <c r="B151" s="4"/>
      <c r="C151" s="4"/>
      <c r="D151" s="4"/>
      <c r="E151" s="4"/>
      <c r="F151" s="4"/>
      <c r="G151" s="4"/>
      <c r="H151" s="4"/>
      <c r="I151" s="4"/>
      <c r="J151" s="4"/>
      <c r="K151" s="4"/>
      <c r="L151" s="4"/>
      <c r="M151" s="4"/>
    </row>
    <row r="152" spans="2:13">
      <c r="B152" s="4"/>
      <c r="C152" s="4"/>
      <c r="D152" s="4"/>
      <c r="E152" s="4"/>
      <c r="F152" s="4"/>
      <c r="G152" s="4"/>
      <c r="H152" s="4"/>
      <c r="I152" s="4"/>
      <c r="J152" s="4"/>
      <c r="K152" s="4"/>
      <c r="L152" s="4"/>
      <c r="M152" s="4"/>
    </row>
    <row r="153" spans="2:13">
      <c r="B153" s="4"/>
      <c r="C153" s="4"/>
      <c r="D153" s="4"/>
      <c r="E153" s="4"/>
      <c r="F153" s="4"/>
      <c r="G153" s="4"/>
      <c r="H153" s="4"/>
      <c r="I153" s="4"/>
      <c r="J153" s="4"/>
      <c r="K153" s="4"/>
      <c r="L153" s="4"/>
      <c r="M153" s="4"/>
    </row>
    <row r="154" spans="2:13">
      <c r="B154" s="4"/>
      <c r="C154" s="4"/>
      <c r="D154" s="4"/>
      <c r="E154" s="4"/>
      <c r="F154" s="4"/>
      <c r="G154" s="4"/>
      <c r="H154" s="4"/>
      <c r="I154" s="4"/>
      <c r="J154" s="4"/>
      <c r="K154" s="4"/>
      <c r="L154" s="4"/>
      <c r="M154" s="4"/>
    </row>
    <row r="155" spans="2:13">
      <c r="B155" s="4"/>
      <c r="C155" s="4"/>
      <c r="D155" s="4"/>
      <c r="E155" s="4"/>
      <c r="F155" s="4"/>
      <c r="G155" s="4"/>
      <c r="H155" s="4"/>
      <c r="I155" s="4"/>
      <c r="J155" s="4"/>
      <c r="K155" s="4"/>
      <c r="L155" s="4"/>
      <c r="M155" s="4"/>
    </row>
    <row r="156" spans="2:13">
      <c r="B156" s="4"/>
      <c r="C156" s="4"/>
      <c r="D156" s="4"/>
      <c r="E156" s="4"/>
      <c r="F156" s="4"/>
      <c r="G156" s="4"/>
      <c r="H156" s="4"/>
      <c r="I156" s="4"/>
      <c r="J156" s="4"/>
      <c r="K156" s="4"/>
      <c r="L156" s="4"/>
      <c r="M156" s="4"/>
    </row>
    <row r="157" spans="2:13">
      <c r="B157" s="4"/>
      <c r="C157" s="4"/>
      <c r="D157" s="4"/>
      <c r="E157" s="4"/>
      <c r="F157" s="4"/>
      <c r="G157" s="4"/>
      <c r="H157" s="4"/>
      <c r="I157" s="4"/>
      <c r="J157" s="4"/>
      <c r="K157" s="4"/>
      <c r="L157" s="4"/>
      <c r="M157" s="4"/>
    </row>
    <row r="158" spans="2:13">
      <c r="B158" s="4"/>
      <c r="C158" s="4"/>
      <c r="D158" s="4"/>
      <c r="E158" s="4"/>
      <c r="F158" s="4"/>
      <c r="G158" s="4"/>
      <c r="H158" s="4"/>
      <c r="I158" s="4"/>
      <c r="J158" s="4"/>
      <c r="K158" s="4"/>
      <c r="L158" s="4"/>
      <c r="M158" s="4"/>
    </row>
    <row r="159" spans="2:13">
      <c r="B159" s="4"/>
      <c r="C159" s="4"/>
      <c r="D159" s="4"/>
      <c r="E159" s="4"/>
      <c r="F159" s="4"/>
      <c r="G159" s="4"/>
      <c r="H159" s="4"/>
      <c r="I159" s="4"/>
      <c r="J159" s="4"/>
      <c r="K159" s="4"/>
      <c r="L159" s="4"/>
      <c r="M159" s="4"/>
    </row>
    <row r="160" spans="2:13">
      <c r="B160" s="4"/>
      <c r="C160" s="4"/>
      <c r="D160" s="4"/>
      <c r="E160" s="4"/>
      <c r="F160" s="4"/>
      <c r="G160" s="4"/>
      <c r="H160" s="4"/>
      <c r="I160" s="4"/>
      <c r="J160" s="4"/>
      <c r="K160" s="4"/>
      <c r="L160" s="4"/>
      <c r="M160" s="4"/>
    </row>
    <row r="161" spans="2:13">
      <c r="B161" s="4"/>
      <c r="C161" s="4"/>
      <c r="D161" s="4"/>
      <c r="E161" s="4"/>
      <c r="F161" s="4"/>
      <c r="G161" s="4"/>
      <c r="H161" s="4"/>
      <c r="I161" s="4"/>
      <c r="J161" s="4"/>
      <c r="K161" s="4"/>
      <c r="L161" s="4"/>
      <c r="M161" s="4"/>
    </row>
    <row r="162" spans="2:13">
      <c r="B162" s="4"/>
      <c r="C162" s="4"/>
      <c r="D162" s="4"/>
      <c r="E162" s="4"/>
      <c r="F162" s="4"/>
      <c r="G162" s="4"/>
      <c r="H162" s="4"/>
      <c r="I162" s="4"/>
      <c r="J162" s="4"/>
      <c r="K162" s="4"/>
      <c r="L162" s="4"/>
      <c r="M162" s="4"/>
    </row>
    <row r="163" spans="2:13">
      <c r="B163" s="4"/>
      <c r="C163" s="4"/>
      <c r="D163" s="4"/>
      <c r="E163" s="4"/>
      <c r="F163" s="4"/>
      <c r="G163" s="4"/>
      <c r="H163" s="4"/>
      <c r="I163" s="4"/>
      <c r="J163" s="4"/>
      <c r="K163" s="4"/>
      <c r="L163" s="4"/>
      <c r="M163" s="4"/>
    </row>
    <row r="164" spans="2:13">
      <c r="B164" s="4"/>
      <c r="C164" s="4"/>
      <c r="D164" s="4"/>
      <c r="E164" s="4"/>
      <c r="F164" s="4"/>
      <c r="G164" s="4"/>
      <c r="H164" s="4"/>
      <c r="I164" s="4"/>
      <c r="J164" s="4"/>
      <c r="K164" s="4"/>
      <c r="L164" s="4"/>
      <c r="M164" s="4"/>
    </row>
    <row r="165" spans="2:13">
      <c r="B165" s="4"/>
      <c r="C165" s="4"/>
      <c r="D165" s="4"/>
      <c r="E165" s="4"/>
      <c r="F165" s="4"/>
      <c r="G165" s="4"/>
      <c r="H165" s="4"/>
      <c r="I165" s="4"/>
      <c r="J165" s="4"/>
      <c r="K165" s="4"/>
      <c r="L165" s="4"/>
      <c r="M165" s="4"/>
    </row>
    <row r="166" spans="2:13">
      <c r="B166" s="4"/>
      <c r="C166" s="4"/>
      <c r="D166" s="4"/>
      <c r="E166" s="4"/>
      <c r="F166" s="4"/>
      <c r="G166" s="4"/>
      <c r="H166" s="4"/>
      <c r="I166" s="4"/>
      <c r="J166" s="4"/>
      <c r="K166" s="4"/>
      <c r="L166" s="4"/>
      <c r="M166" s="4"/>
    </row>
    <row r="167" spans="2:13">
      <c r="B167" s="4"/>
      <c r="C167" s="4"/>
      <c r="D167" s="4"/>
      <c r="E167" s="4"/>
      <c r="F167" s="4"/>
      <c r="G167" s="4"/>
      <c r="H167" s="4"/>
      <c r="I167" s="4"/>
      <c r="J167" s="4"/>
      <c r="K167" s="4"/>
      <c r="L167" s="4"/>
      <c r="M167" s="4"/>
    </row>
    <row r="168" spans="2:13">
      <c r="B168" s="4"/>
      <c r="C168" s="4"/>
      <c r="D168" s="4"/>
      <c r="E168" s="4"/>
      <c r="F168" s="4"/>
      <c r="G168" s="4"/>
      <c r="H168" s="4"/>
      <c r="I168" s="4"/>
      <c r="J168" s="4"/>
      <c r="K168" s="4"/>
      <c r="L168" s="4"/>
      <c r="M168" s="4"/>
    </row>
    <row r="169" spans="2:13">
      <c r="B169" s="4"/>
      <c r="C169" s="4"/>
      <c r="D169" s="4"/>
      <c r="E169" s="4"/>
      <c r="F169" s="4"/>
      <c r="G169" s="4"/>
      <c r="H169" s="4"/>
      <c r="I169" s="4"/>
      <c r="J169" s="4"/>
      <c r="K169" s="4"/>
      <c r="L169" s="4"/>
      <c r="M169" s="4"/>
    </row>
    <row r="170" spans="2:13">
      <c r="B170" s="4"/>
      <c r="C170" s="4"/>
      <c r="D170" s="4"/>
      <c r="E170" s="4"/>
      <c r="F170" s="4"/>
      <c r="G170" s="4"/>
      <c r="H170" s="4"/>
      <c r="I170" s="4"/>
      <c r="J170" s="4"/>
      <c r="K170" s="4"/>
      <c r="L170" s="4"/>
      <c r="M170" s="4"/>
    </row>
    <row r="171" spans="2:13">
      <c r="B171" s="4"/>
      <c r="C171" s="4"/>
      <c r="D171" s="4"/>
      <c r="E171" s="4"/>
      <c r="F171" s="4"/>
      <c r="G171" s="4"/>
      <c r="H171" s="4"/>
      <c r="I171" s="4"/>
      <c r="J171" s="4"/>
      <c r="K171" s="4"/>
      <c r="L171" s="4"/>
      <c r="M171" s="4"/>
    </row>
    <row r="172" spans="2:13">
      <c r="B172" s="4"/>
      <c r="C172" s="4"/>
      <c r="D172" s="4"/>
      <c r="E172" s="4"/>
      <c r="F172" s="4"/>
      <c r="G172" s="4"/>
      <c r="H172" s="4"/>
      <c r="I172" s="4"/>
      <c r="J172" s="4"/>
      <c r="K172" s="4"/>
      <c r="L172" s="4"/>
      <c r="M172" s="4"/>
    </row>
    <row r="173" spans="2:13">
      <c r="B173" s="4"/>
      <c r="C173" s="4"/>
      <c r="D173" s="4"/>
      <c r="E173" s="4"/>
      <c r="F173" s="4"/>
      <c r="G173" s="4"/>
      <c r="H173" s="4"/>
      <c r="I173" s="4"/>
      <c r="J173" s="4"/>
      <c r="K173" s="4"/>
      <c r="L173" s="4"/>
      <c r="M173" s="4"/>
    </row>
    <row r="174" spans="2:13">
      <c r="B174" s="4"/>
      <c r="C174" s="4"/>
      <c r="D174" s="4"/>
      <c r="E174" s="4"/>
      <c r="F174" s="4"/>
      <c r="G174" s="4"/>
      <c r="H174" s="4"/>
      <c r="I174" s="4"/>
      <c r="J174" s="4"/>
      <c r="K174" s="4"/>
      <c r="L174" s="4"/>
      <c r="M174" s="4"/>
    </row>
    <row r="175" spans="2:13">
      <c r="B175" s="4"/>
      <c r="C175" s="4"/>
      <c r="D175" s="4"/>
      <c r="E175" s="4"/>
      <c r="F175" s="4"/>
      <c r="G175" s="4"/>
      <c r="H175" s="4"/>
      <c r="I175" s="4"/>
      <c r="J175" s="4"/>
      <c r="K175" s="4"/>
      <c r="L175" s="4"/>
      <c r="M175" s="4"/>
    </row>
    <row r="176" spans="2:13">
      <c r="B176" s="4"/>
      <c r="C176" s="4"/>
      <c r="D176" s="4"/>
      <c r="E176" s="4"/>
      <c r="F176" s="4"/>
      <c r="G176" s="4"/>
      <c r="H176" s="4"/>
      <c r="I176" s="4"/>
      <c r="J176" s="4"/>
      <c r="K176" s="4"/>
      <c r="L176" s="4"/>
      <c r="M176" s="4"/>
    </row>
    <row r="177" spans="2:13">
      <c r="B177" s="4"/>
      <c r="C177" s="4"/>
      <c r="D177" s="4"/>
      <c r="E177" s="4"/>
      <c r="F177" s="4"/>
      <c r="G177" s="4"/>
      <c r="H177" s="4"/>
      <c r="I177" s="4"/>
      <c r="J177" s="4"/>
      <c r="K177" s="4"/>
      <c r="L177" s="4"/>
      <c r="M177" s="4"/>
    </row>
    <row r="178" spans="2:13">
      <c r="B178" s="4"/>
      <c r="C178" s="4"/>
      <c r="D178" s="4"/>
      <c r="E178" s="4"/>
      <c r="F178" s="4"/>
      <c r="G178" s="4"/>
      <c r="H178" s="4"/>
      <c r="I178" s="4"/>
      <c r="J178" s="4"/>
      <c r="K178" s="4"/>
      <c r="L178" s="4"/>
      <c r="M178" s="4"/>
    </row>
    <row r="179" spans="2:13">
      <c r="B179" s="4"/>
      <c r="C179" s="4"/>
      <c r="D179" s="4"/>
      <c r="E179" s="4"/>
      <c r="F179" s="4"/>
      <c r="G179" s="4"/>
      <c r="H179" s="4"/>
      <c r="I179" s="4"/>
      <c r="J179" s="4"/>
      <c r="K179" s="4"/>
      <c r="L179" s="4"/>
      <c r="M179" s="4"/>
    </row>
    <row r="180" spans="2:13">
      <c r="B180" s="4"/>
      <c r="C180" s="4"/>
      <c r="D180" s="4"/>
      <c r="E180" s="4"/>
      <c r="F180" s="4"/>
      <c r="G180" s="4"/>
      <c r="H180" s="4"/>
      <c r="I180" s="4"/>
      <c r="J180" s="4"/>
      <c r="K180" s="4"/>
      <c r="L180" s="4"/>
      <c r="M180" s="4"/>
    </row>
    <row r="181" spans="2:13">
      <c r="B181" s="4"/>
      <c r="C181" s="4"/>
      <c r="D181" s="4"/>
      <c r="E181" s="4"/>
      <c r="F181" s="4"/>
      <c r="G181" s="4"/>
      <c r="H181" s="4"/>
      <c r="I181" s="4"/>
      <c r="J181" s="4"/>
      <c r="K181" s="4"/>
      <c r="L181" s="4"/>
      <c r="M181" s="4"/>
    </row>
    <row r="182" spans="2:13">
      <c r="B182" s="4"/>
      <c r="C182" s="4"/>
      <c r="D182" s="4"/>
      <c r="E182" s="4"/>
      <c r="F182" s="4"/>
      <c r="G182" s="4"/>
      <c r="H182" s="4"/>
      <c r="I182" s="4"/>
      <c r="J182" s="4"/>
      <c r="K182" s="4"/>
      <c r="L182" s="4"/>
      <c r="M182" s="4"/>
    </row>
    <row r="183" spans="2:13">
      <c r="B183" s="4"/>
      <c r="C183" s="4"/>
      <c r="D183" s="4"/>
      <c r="E183" s="4"/>
      <c r="F183" s="4"/>
      <c r="G183" s="4"/>
      <c r="H183" s="4"/>
      <c r="I183" s="4"/>
      <c r="J183" s="4"/>
      <c r="K183" s="4"/>
      <c r="L183" s="4"/>
      <c r="M183" s="4"/>
    </row>
    <row r="184" spans="2:13">
      <c r="B184" s="4"/>
      <c r="C184" s="4"/>
      <c r="D184" s="4"/>
      <c r="E184" s="4"/>
      <c r="F184" s="4"/>
      <c r="G184" s="4"/>
      <c r="H184" s="4"/>
      <c r="I184" s="4"/>
      <c r="J184" s="4"/>
      <c r="K184" s="4"/>
      <c r="L184" s="4"/>
      <c r="M184" s="4"/>
    </row>
    <row r="185" spans="2:13">
      <c r="B185" s="4"/>
      <c r="C185" s="4"/>
      <c r="D185" s="4"/>
      <c r="E185" s="4"/>
      <c r="F185" s="4"/>
      <c r="G185" s="4"/>
      <c r="H185" s="4"/>
      <c r="I185" s="4"/>
      <c r="J185" s="4"/>
      <c r="K185" s="4"/>
      <c r="L185" s="4"/>
      <c r="M185" s="4"/>
    </row>
    <row r="186" spans="2:13">
      <c r="B186" s="4"/>
      <c r="C186" s="4"/>
      <c r="D186" s="4"/>
      <c r="E186" s="4"/>
      <c r="F186" s="4"/>
      <c r="G186" s="4"/>
      <c r="H186" s="4"/>
      <c r="I186" s="4"/>
      <c r="J186" s="4"/>
      <c r="K186" s="4"/>
      <c r="L186" s="4"/>
      <c r="M186" s="4"/>
    </row>
    <row r="187" spans="2:13">
      <c r="B187" s="4"/>
      <c r="C187" s="4"/>
      <c r="D187" s="4"/>
      <c r="E187" s="4"/>
      <c r="F187" s="4"/>
      <c r="G187" s="4"/>
      <c r="H187" s="4"/>
      <c r="I187" s="4"/>
      <c r="J187" s="4"/>
      <c r="K187" s="4"/>
      <c r="L187" s="4"/>
      <c r="M187" s="4"/>
    </row>
    <row r="188" spans="2:13">
      <c r="B188" s="4"/>
      <c r="C188" s="4"/>
      <c r="D188" s="4"/>
      <c r="E188" s="4"/>
      <c r="F188" s="4"/>
      <c r="G188" s="4"/>
      <c r="H188" s="4"/>
      <c r="I188" s="4"/>
      <c r="J188" s="4"/>
      <c r="K188" s="4"/>
      <c r="L188" s="4"/>
      <c r="M188" s="4"/>
    </row>
    <row r="189" spans="2:13">
      <c r="B189" s="4"/>
      <c r="C189" s="4"/>
      <c r="D189" s="4"/>
      <c r="E189" s="4"/>
      <c r="F189" s="4"/>
      <c r="G189" s="4"/>
      <c r="H189" s="4"/>
      <c r="I189" s="4"/>
      <c r="J189" s="4"/>
      <c r="K189" s="4"/>
      <c r="L189" s="4"/>
      <c r="M189" s="4"/>
    </row>
    <row r="190" spans="2:13">
      <c r="B190" s="4"/>
      <c r="C190" s="4"/>
      <c r="D190" s="4"/>
      <c r="E190" s="4"/>
      <c r="F190" s="4"/>
      <c r="G190" s="4"/>
      <c r="H190" s="4"/>
      <c r="I190" s="4"/>
      <c r="J190" s="4"/>
      <c r="K190" s="4"/>
      <c r="L190" s="4"/>
      <c r="M190" s="4"/>
    </row>
    <row r="191" spans="2:13">
      <c r="B191" s="4"/>
      <c r="C191" s="4"/>
      <c r="D191" s="4"/>
      <c r="E191" s="4"/>
      <c r="F191" s="4"/>
      <c r="G191" s="4"/>
      <c r="H191" s="4"/>
      <c r="I191" s="4"/>
      <c r="J191" s="4"/>
      <c r="K191" s="4"/>
      <c r="L191" s="4"/>
      <c r="M191" s="4"/>
    </row>
    <row r="192" spans="2:13">
      <c r="B192" s="4"/>
      <c r="C192" s="4"/>
      <c r="D192" s="4"/>
      <c r="E192" s="4"/>
      <c r="F192" s="4"/>
      <c r="G192" s="4"/>
      <c r="H192" s="4"/>
      <c r="I192" s="4"/>
      <c r="J192" s="4"/>
      <c r="K192" s="4"/>
      <c r="L192" s="4"/>
      <c r="M192" s="4"/>
    </row>
    <row r="193" spans="2:13">
      <c r="B193" s="4"/>
      <c r="C193" s="4"/>
      <c r="D193" s="4"/>
      <c r="E193" s="4"/>
      <c r="F193" s="4"/>
      <c r="G193" s="4"/>
      <c r="H193" s="4"/>
      <c r="I193" s="4"/>
      <c r="J193" s="4"/>
      <c r="K193" s="4"/>
      <c r="L193" s="4"/>
      <c r="M193" s="4"/>
    </row>
  </sheetData>
  <customSheetViews>
    <customSheetView guid="{6B74E52F-9552-408A-8775-25AFF24E6639}" scale="75" showPageBreaks="1" printArea="1" showRuler="0">
      <selection activeCell="A5" sqref="A5"/>
      <rowBreaks count="1" manualBreakCount="1">
        <brk id="41" max="12" man="1"/>
      </rowBreaks>
      <pageMargins left="0.75" right="0.75" top="1" bottom="1" header="0.5" footer="0.5"/>
      <pageSetup scale="78" fitToHeight="2" orientation="landscape" r:id="rId1"/>
      <headerFooter alignWithMargins="0">
        <oddFooter>&amp;L&amp;Z
&amp;F&amp;C&amp;A&amp;R6.&amp;P</oddFooter>
      </headerFooter>
    </customSheetView>
  </customSheetViews>
  <mergeCells count="3">
    <mergeCell ref="A2:M2"/>
    <mergeCell ref="A1:M1"/>
    <mergeCell ref="A3:M3"/>
  </mergeCells>
  <phoneticPr fontId="0" type="noConversion"/>
  <pageMargins left="0.75" right="0.75" top="1" bottom="1" header="0.5" footer="0.5"/>
  <pageSetup scale="78" fitToHeight="2" orientation="landscape" r:id="rId2"/>
  <headerFooter alignWithMargins="0">
    <oddFooter>&amp;L&amp;Z
&amp;F&amp;C&amp;A&amp;R6.&amp;P</oddFooter>
  </headerFooter>
  <rowBreaks count="1" manualBreakCount="1">
    <brk id="42" max="12" man="1"/>
  </rowBreaks>
</worksheet>
</file>

<file path=xl/worksheets/sheet93.xml><?xml version="1.0" encoding="utf-8"?>
<worksheet xmlns="http://schemas.openxmlformats.org/spreadsheetml/2006/main" xmlns:r="http://schemas.openxmlformats.org/officeDocument/2006/relationships">
  <sheetPr codeName="Sheet65">
    <pageSetUpPr fitToPage="1"/>
  </sheetPr>
  <dimension ref="A1:P160"/>
  <sheetViews>
    <sheetView zoomScaleNormal="100" workbookViewId="0">
      <selection sqref="A1:P1"/>
    </sheetView>
  </sheetViews>
  <sheetFormatPr defaultRowHeight="12.75"/>
  <cols>
    <col min="1" max="1" width="40.5703125" bestFit="1" customWidth="1"/>
    <col min="2" max="2" width="17.7109375" customWidth="1"/>
    <col min="3" max="3" width="1.7109375" customWidth="1"/>
    <col min="4" max="4" width="17.7109375" customWidth="1"/>
    <col min="5" max="5" width="1.7109375" customWidth="1"/>
    <col min="6" max="6" width="17.7109375" customWidth="1"/>
    <col min="7" max="7" width="1.7109375" customWidth="1"/>
    <col min="8" max="8" width="17.7109375" customWidth="1"/>
    <col min="9" max="9" width="1.7109375" customWidth="1"/>
    <col min="10" max="10" width="17.7109375" customWidth="1"/>
    <col min="11" max="11" width="1.7109375" customWidth="1"/>
    <col min="12" max="12" width="17.7109375" customWidth="1"/>
    <col min="13" max="13" width="2.140625" customWidth="1"/>
    <col min="14" max="14" width="16.7109375" customWidth="1"/>
    <col min="15" max="15" width="2.28515625" customWidth="1"/>
    <col min="16" max="16" width="23.140625" bestFit="1" customWidth="1"/>
  </cols>
  <sheetData>
    <row r="1" spans="1:16" s="38" customFormat="1" ht="15.75">
      <c r="A1" s="366" t="s">
        <v>134</v>
      </c>
      <c r="B1" s="366"/>
      <c r="C1" s="366"/>
      <c r="D1" s="366"/>
      <c r="E1" s="366"/>
      <c r="F1" s="366"/>
      <c r="G1" s="366"/>
      <c r="H1" s="366"/>
      <c r="I1" s="366"/>
      <c r="J1" s="366"/>
      <c r="K1" s="366"/>
      <c r="L1" s="366"/>
      <c r="M1" s="366"/>
      <c r="N1" s="366"/>
      <c r="O1" s="366"/>
      <c r="P1" s="366"/>
    </row>
    <row r="2" spans="1:16" s="38" customFormat="1" ht="15.75">
      <c r="A2" s="366" t="s">
        <v>1215</v>
      </c>
      <c r="B2" s="366"/>
      <c r="C2" s="366"/>
      <c r="D2" s="366"/>
      <c r="E2" s="366"/>
      <c r="F2" s="366"/>
      <c r="G2" s="366"/>
      <c r="H2" s="366"/>
      <c r="I2" s="366"/>
      <c r="J2" s="366"/>
      <c r="K2" s="366"/>
      <c r="L2" s="366"/>
      <c r="M2" s="366"/>
      <c r="N2" s="366"/>
      <c r="O2" s="366"/>
      <c r="P2" s="366"/>
    </row>
    <row r="3" spans="1:16">
      <c r="A3" s="357" t="str">
        <f>'Summary - Cost - PG 1 (Fin)'!A3:N3</f>
        <v>MARCH 2012</v>
      </c>
      <c r="B3" s="357"/>
      <c r="C3" s="357"/>
      <c r="D3" s="357"/>
      <c r="E3" s="357"/>
      <c r="F3" s="357"/>
      <c r="G3" s="357"/>
      <c r="H3" s="357"/>
      <c r="I3" s="357"/>
      <c r="J3" s="357"/>
      <c r="K3" s="357"/>
      <c r="L3" s="357"/>
      <c r="M3" s="357"/>
      <c r="N3" s="357"/>
      <c r="O3" s="357"/>
      <c r="P3" s="357"/>
    </row>
    <row r="4" spans="1:16">
      <c r="A4" s="30"/>
      <c r="B4" s="30"/>
      <c r="C4" s="30"/>
      <c r="D4" s="30"/>
      <c r="E4" s="30"/>
      <c r="F4" s="30"/>
      <c r="G4" s="30"/>
      <c r="H4" s="30"/>
      <c r="I4" s="30"/>
      <c r="J4" s="30"/>
      <c r="K4" s="30"/>
      <c r="L4" s="30"/>
    </row>
    <row r="6" spans="1:16">
      <c r="B6" s="41" t="s">
        <v>25</v>
      </c>
      <c r="D6" s="45"/>
      <c r="F6" s="45"/>
      <c r="H6" s="41" t="s">
        <v>612</v>
      </c>
      <c r="J6" s="45"/>
      <c r="L6" s="41" t="s">
        <v>26</v>
      </c>
      <c r="P6" s="29" t="s">
        <v>422</v>
      </c>
    </row>
    <row r="7" spans="1:16" s="10" customFormat="1">
      <c r="B7" s="42" t="s">
        <v>27</v>
      </c>
      <c r="C7"/>
      <c r="D7" s="42" t="s">
        <v>107</v>
      </c>
      <c r="E7"/>
      <c r="F7" s="42" t="s">
        <v>108</v>
      </c>
      <c r="G7"/>
      <c r="H7" s="42" t="s">
        <v>613</v>
      </c>
      <c r="I7"/>
      <c r="J7" s="42" t="s">
        <v>109</v>
      </c>
      <c r="K7"/>
      <c r="L7" s="42" t="s">
        <v>27</v>
      </c>
      <c r="N7" s="42" t="s">
        <v>46</v>
      </c>
      <c r="P7" s="42" t="s">
        <v>419</v>
      </c>
    </row>
    <row r="8" spans="1:16" s="10" customFormat="1">
      <c r="A8" s="12" t="s">
        <v>296</v>
      </c>
      <c r="B8" s="54"/>
      <c r="C8"/>
      <c r="D8" s="54"/>
      <c r="E8"/>
      <c r="F8" s="54"/>
      <c r="G8"/>
      <c r="H8" s="54"/>
      <c r="I8"/>
      <c r="J8" s="54"/>
      <c r="K8"/>
      <c r="L8" s="54"/>
    </row>
    <row r="9" spans="1:16" s="10" customFormat="1">
      <c r="A9" s="12" t="s">
        <v>420</v>
      </c>
      <c r="B9"/>
      <c r="C9"/>
      <c r="D9"/>
      <c r="E9"/>
      <c r="F9"/>
      <c r="G9"/>
      <c r="H9"/>
      <c r="I9"/>
      <c r="J9"/>
      <c r="K9"/>
      <c r="L9"/>
    </row>
    <row r="10" spans="1:16" s="10" customFormat="1">
      <c r="A10" s="12" t="s">
        <v>807</v>
      </c>
      <c r="B10"/>
      <c r="C10"/>
      <c r="D10"/>
      <c r="E10"/>
      <c r="F10"/>
      <c r="G10"/>
      <c r="H10"/>
      <c r="I10"/>
      <c r="J10"/>
      <c r="K10"/>
      <c r="L10"/>
    </row>
    <row r="11" spans="1:16">
      <c r="A11" t="s">
        <v>19</v>
      </c>
      <c r="B11" s="45">
        <f>'KY_Cost Plant Acct-Comm-P8(Fin)'!B11</f>
        <v>1685316.06</v>
      </c>
      <c r="C11" s="45"/>
      <c r="D11" s="45">
        <f>'KY_Cost Plant Acct-Comm-P8(Fin)'!D11</f>
        <v>0</v>
      </c>
      <c r="E11" s="45"/>
      <c r="F11" s="45">
        <f>'KY_Cost Plant Acct-Comm-P8(Fin)'!F11</f>
        <v>0</v>
      </c>
      <c r="G11" s="45"/>
      <c r="H11" s="45">
        <f>'KY_Cost Plant Acct-Comm-P8(Fin)'!H11</f>
        <v>0</v>
      </c>
      <c r="I11" s="45"/>
      <c r="J11" s="45">
        <f t="shared" ref="J11:J39" si="0">H11+F11+D11</f>
        <v>0</v>
      </c>
      <c r="K11" s="45"/>
      <c r="L11" s="45">
        <f t="shared" ref="L11:L39" si="1">J11+B11</f>
        <v>1685316.06</v>
      </c>
      <c r="M11" s="4"/>
      <c r="N11" s="89">
        <f>'KY_Res by Plant Acct-P29 (Fin)'!R405</f>
        <v>0</v>
      </c>
      <c r="P11" s="89">
        <f>L11+N11</f>
        <v>1685316.06</v>
      </c>
    </row>
    <row r="12" spans="1:16">
      <c r="A12" t="s">
        <v>20</v>
      </c>
      <c r="B12" s="45">
        <f>'KY_Cost Plant Acct-Comm-P8(Fin)'!B12</f>
        <v>202094.94</v>
      </c>
      <c r="C12" s="45"/>
      <c r="D12" s="45">
        <f>'KY_Cost Plant Acct-Comm-P8(Fin)'!D12</f>
        <v>0</v>
      </c>
      <c r="E12" s="45"/>
      <c r="F12" s="45">
        <f>'KY_Cost Plant Acct-Comm-P8(Fin)'!F12</f>
        <v>0</v>
      </c>
      <c r="G12" s="45"/>
      <c r="H12" s="45">
        <f>'KY_Cost Plant Acct-Comm-P8(Fin)'!H12</f>
        <v>0</v>
      </c>
      <c r="I12" s="45"/>
      <c r="J12" s="45">
        <f t="shared" si="0"/>
        <v>0</v>
      </c>
      <c r="K12" s="45"/>
      <c r="L12" s="45">
        <f t="shared" si="1"/>
        <v>202094.94</v>
      </c>
      <c r="M12" s="4"/>
      <c r="N12" s="89">
        <f>'KY_Res by Plant Acct-P29 (Fin)'!R406</f>
        <v>-136357.19999999998</v>
      </c>
      <c r="P12" s="89">
        <f t="shared" ref="P12:P39" si="2">L12+N12</f>
        <v>65737.74000000002</v>
      </c>
    </row>
    <row r="13" spans="1:16">
      <c r="A13" t="s">
        <v>266</v>
      </c>
      <c r="B13" s="45">
        <f>'KY_Cost Plant Acct-Comm-P8(Fin)'!B13+'KY_Cost Plant Acct-Comm-P8(Fin)'!B48</f>
        <v>61227532.320000008</v>
      </c>
      <c r="C13" s="45"/>
      <c r="D13" s="45">
        <f>'KY_Cost Plant Acct-Comm-P8(Fin)'!D13+'KY_Cost Plant Acct-Comm-P8(Fin)'!D48</f>
        <v>324894.92</v>
      </c>
      <c r="E13" s="45"/>
      <c r="F13" s="45">
        <f>'KY_Cost Plant Acct-Comm-P8(Fin)'!F13</f>
        <v>-119187.25</v>
      </c>
      <c r="G13" s="45"/>
      <c r="H13" s="45">
        <f>'KY_Cost Plant Acct-Comm-P8(Fin)'!H13</f>
        <v>0</v>
      </c>
      <c r="I13" s="45"/>
      <c r="J13" s="45">
        <f t="shared" si="0"/>
        <v>205707.66999999998</v>
      </c>
      <c r="K13" s="45"/>
      <c r="L13" s="45">
        <f t="shared" si="1"/>
        <v>61433239.99000001</v>
      </c>
      <c r="M13" s="4"/>
      <c r="N13" s="89">
        <f>'KY_Res by Plant Acct-P29 (Fin)'!R410+'KY_Res by Plant Acct-P29 (Fin)'!R407+'KY_Res by Plant Acct-P29 (Fin)'!R411+'KY_Res by Plant Acct-P29 (Fin)'!R409+'KY_Res by Plant Acct-P29 (Fin)'!R408</f>
        <v>-19432544.009999998</v>
      </c>
      <c r="P13" s="89">
        <f t="shared" si="2"/>
        <v>42000695.980000012</v>
      </c>
    </row>
    <row r="14" spans="1:16">
      <c r="A14" t="s">
        <v>84</v>
      </c>
      <c r="B14" s="45">
        <f>'KY_Cost Plant Acct-Comm-P8(Fin)'!B14</f>
        <v>412150.57</v>
      </c>
      <c r="C14" s="45"/>
      <c r="D14" s="45">
        <f>'KY_Cost Plant Acct-Comm-P8(Fin)'!D14</f>
        <v>0</v>
      </c>
      <c r="E14" s="45"/>
      <c r="F14" s="45">
        <f>'KY_Cost Plant Acct-Comm-P8(Fin)'!F14</f>
        <v>0</v>
      </c>
      <c r="G14" s="45"/>
      <c r="H14" s="45">
        <f>'KY_Cost Plant Acct-Comm-P8(Fin)'!H14</f>
        <v>0</v>
      </c>
      <c r="I14" s="45"/>
      <c r="J14" s="45">
        <f t="shared" si="0"/>
        <v>0</v>
      </c>
      <c r="K14" s="45"/>
      <c r="L14" s="45">
        <f t="shared" si="1"/>
        <v>412150.57</v>
      </c>
      <c r="M14" s="4"/>
      <c r="N14" s="89">
        <f>'KY_Res by Plant Acct-P29 (Fin)'!R412</f>
        <v>423179.26000000018</v>
      </c>
      <c r="P14" s="89">
        <f t="shared" si="2"/>
        <v>835329.83000000019</v>
      </c>
    </row>
    <row r="15" spans="1:16">
      <c r="A15" t="s">
        <v>85</v>
      </c>
      <c r="B15" s="45">
        <f>'KY_Cost Plant Acct-Comm-P8(Fin)'!B15</f>
        <v>10873331.24</v>
      </c>
      <c r="C15" s="45"/>
      <c r="D15" s="45">
        <f>'KY_Cost Plant Acct-Comm-P8(Fin)'!D15</f>
        <v>0</v>
      </c>
      <c r="E15" s="45"/>
      <c r="F15" s="45">
        <f>'KY_Cost Plant Acct-Comm-P8(Fin)'!F15</f>
        <v>-122833.7</v>
      </c>
      <c r="G15" s="45"/>
      <c r="H15" s="45">
        <f>'KY_Cost Plant Acct-Comm-P8(Fin)'!H15</f>
        <v>0</v>
      </c>
      <c r="I15" s="45"/>
      <c r="J15" s="45">
        <f t="shared" si="0"/>
        <v>-122833.7</v>
      </c>
      <c r="K15" s="45"/>
      <c r="L15" s="45">
        <f t="shared" si="1"/>
        <v>10750497.540000001</v>
      </c>
      <c r="M15" s="4"/>
      <c r="N15" s="89">
        <f>'KY_Res by Plant Acct-P29 (Fin)'!R413</f>
        <v>-7390979.0599999996</v>
      </c>
      <c r="P15" s="89">
        <f t="shared" si="2"/>
        <v>3359518.4800000014</v>
      </c>
    </row>
    <row r="16" spans="1:16">
      <c r="A16" t="s">
        <v>86</v>
      </c>
      <c r="B16" s="45">
        <f>'KY_Cost Plant Acct-Comm-P8(Fin)'!B16</f>
        <v>536692.07999999996</v>
      </c>
      <c r="C16" s="45"/>
      <c r="D16" s="45">
        <f>'KY_Cost Plant Acct-Comm-P8(Fin)'!D16</f>
        <v>0</v>
      </c>
      <c r="E16" s="45"/>
      <c r="F16" s="45">
        <f>'KY_Cost Plant Acct-Comm-P8(Fin)'!F16</f>
        <v>0</v>
      </c>
      <c r="G16" s="45"/>
      <c r="H16" s="45">
        <f>'KY_Cost Plant Acct-Comm-P8(Fin)'!H16</f>
        <v>0</v>
      </c>
      <c r="I16" s="45"/>
      <c r="J16" s="45">
        <f t="shared" si="0"/>
        <v>0</v>
      </c>
      <c r="K16" s="45"/>
      <c r="L16" s="45">
        <f t="shared" si="1"/>
        <v>536692.07999999996</v>
      </c>
      <c r="M16" s="4"/>
      <c r="N16" s="89">
        <f>'KY_Res by Plant Acct-P29 (Fin)'!R414</f>
        <v>-172694.86</v>
      </c>
      <c r="P16" s="89">
        <f t="shared" si="2"/>
        <v>363997.22</v>
      </c>
    </row>
    <row r="17" spans="1:16">
      <c r="A17" t="s">
        <v>87</v>
      </c>
      <c r="B17" s="45">
        <f>'KY_Cost Plant Acct-Comm-P8(Fin)'!B17</f>
        <v>1078816.3</v>
      </c>
      <c r="C17" s="45"/>
      <c r="D17" s="182">
        <f>'KY_Cost Plant Acct-Comm-P8(Fin)'!D17+'KY_Cost Plant Acct-Comm-P8(Fin)'!D49</f>
        <v>0</v>
      </c>
      <c r="E17" s="45"/>
      <c r="F17" s="45">
        <f>'KY_Cost Plant Acct-Comm-P8(Fin)'!F17</f>
        <v>0</v>
      </c>
      <c r="G17" s="45"/>
      <c r="H17" s="45">
        <f>'KY_Cost Plant Acct-Comm-P8(Fin)'!H17</f>
        <v>0</v>
      </c>
      <c r="I17" s="45"/>
      <c r="J17" s="45">
        <f t="shared" si="0"/>
        <v>0</v>
      </c>
      <c r="K17" s="45"/>
      <c r="L17" s="45">
        <f t="shared" si="1"/>
        <v>1078816.3</v>
      </c>
      <c r="M17" s="4"/>
      <c r="N17" s="89">
        <f>'KY_Res by Plant Acct-P29 (Fin)'!R415</f>
        <v>-251795.97</v>
      </c>
      <c r="P17" s="89">
        <f t="shared" si="2"/>
        <v>827020.33000000007</v>
      </c>
    </row>
    <row r="18" spans="1:16">
      <c r="A18" t="s">
        <v>88</v>
      </c>
      <c r="B18" s="45">
        <f>'KY_Cost Plant Acct-Comm-P8(Fin)'!B18+'KY_Cost Plant Acct-Comm-P8(Fin)'!B50</f>
        <v>8532464.3000000007</v>
      </c>
      <c r="C18" s="45"/>
      <c r="D18" s="45">
        <f>'KY_Cost Plant Acct-Comm-P8(Fin)'!D18+'KY_Cost Plant Acct-Comm-P8(Fin)'!D50</f>
        <v>141502.9</v>
      </c>
      <c r="E18" s="45"/>
      <c r="F18" s="45">
        <f>'KY_Cost Plant Acct-Comm-P8(Fin)'!F18</f>
        <v>0</v>
      </c>
      <c r="G18" s="45"/>
      <c r="H18" s="45">
        <f>'KY_Cost Plant Acct-Comm-P8(Fin)'!H18</f>
        <v>0</v>
      </c>
      <c r="I18" s="45"/>
      <c r="J18" s="45">
        <f t="shared" si="0"/>
        <v>141502.9</v>
      </c>
      <c r="K18" s="45"/>
      <c r="L18" s="45">
        <f t="shared" si="1"/>
        <v>8673967.2000000011</v>
      </c>
      <c r="M18" s="4"/>
      <c r="N18" s="89">
        <f>'KY_Res by Plant Acct-P29 (Fin)'!R416</f>
        <v>-2901567.1999999997</v>
      </c>
      <c r="P18" s="89">
        <f t="shared" si="2"/>
        <v>5772400.0000000019</v>
      </c>
    </row>
    <row r="19" spans="1:16">
      <c r="A19" t="s">
        <v>89</v>
      </c>
      <c r="B19" s="45">
        <f>'KY_Cost Plant Acct-Comm-P8(Fin)'!B19+'KY_Cost Plant Acct-Comm-P8(Fin)'!B51</f>
        <v>2086579.53</v>
      </c>
      <c r="C19" s="45"/>
      <c r="D19" s="45">
        <f>'KY_Cost Plant Acct-Comm-P8(Fin)'!D19+'KY_Cost Plant Acct-Comm-P8(Fin)'!D51</f>
        <v>0</v>
      </c>
      <c r="E19" s="45"/>
      <c r="F19" s="45">
        <f>'KY_Cost Plant Acct-Comm-P8(Fin)'!F19</f>
        <v>0</v>
      </c>
      <c r="G19" s="45"/>
      <c r="H19" s="45">
        <f>'KY_Cost Plant Acct-Comm-P8(Fin)'!H19</f>
        <v>0</v>
      </c>
      <c r="I19" s="45"/>
      <c r="J19" s="45">
        <f t="shared" si="0"/>
        <v>0</v>
      </c>
      <c r="K19" s="45"/>
      <c r="L19" s="45">
        <f t="shared" si="1"/>
        <v>2086579.53</v>
      </c>
      <c r="M19" s="4"/>
      <c r="N19" s="89">
        <f>'KY_Res by Plant Acct-P29 (Fin)'!R417</f>
        <v>-840722.2000000003</v>
      </c>
      <c r="P19" s="89">
        <f t="shared" si="2"/>
        <v>1245857.3299999996</v>
      </c>
    </row>
    <row r="20" spans="1:16">
      <c r="A20" t="s">
        <v>90</v>
      </c>
      <c r="B20" s="45">
        <f>'KY_Cost Plant Acct-Comm-P8(Fin)'!B20+'KY_Cost Plant Acct-Comm-P8(Fin)'!B52</f>
        <v>13652102.619999997</v>
      </c>
      <c r="C20" s="45"/>
      <c r="D20" s="45">
        <f>'KY_Cost Plant Acct-Comm-P8(Fin)'!D20+'KY_Cost Plant Acct-Comm-P8(Fin)'!D52</f>
        <v>856015.5</v>
      </c>
      <c r="E20" s="45"/>
      <c r="F20" s="45">
        <f>'KY_Cost Plant Acct-Comm-P8(Fin)'!F20</f>
        <v>0</v>
      </c>
      <c r="G20" s="45"/>
      <c r="H20" s="45">
        <f>'KY_Cost Plant Acct-Comm-P8(Fin)'!H20</f>
        <v>0</v>
      </c>
      <c r="I20" s="45"/>
      <c r="J20" s="45">
        <f t="shared" si="0"/>
        <v>856015.5</v>
      </c>
      <c r="K20" s="45"/>
      <c r="L20" s="45">
        <f t="shared" si="1"/>
        <v>14508118.119999997</v>
      </c>
      <c r="M20" s="4"/>
      <c r="N20" s="89">
        <f>'KY_Res by Plant Acct-P29 (Fin)'!R418</f>
        <v>-12976562.559999999</v>
      </c>
      <c r="P20" s="89">
        <f t="shared" si="2"/>
        <v>1531555.5599999987</v>
      </c>
    </row>
    <row r="21" spans="1:16">
      <c r="A21" t="s">
        <v>91</v>
      </c>
      <c r="B21" s="45">
        <f>'KY_Cost Plant Acct-Comm-P8(Fin)'!B21+'KY_Cost Plant Acct-Comm-P8(Fin)'!B53</f>
        <v>3810320.9299999997</v>
      </c>
      <c r="C21" s="45"/>
      <c r="D21" s="45">
        <f>'KY_Cost Plant Acct-Comm-P8(Fin)'!D21+'KY_Cost Plant Acct-Comm-P8(Fin)'!D53</f>
        <v>248747.5</v>
      </c>
      <c r="E21" s="45"/>
      <c r="F21" s="45">
        <f>'KY_Cost Plant Acct-Comm-P8(Fin)'!F21</f>
        <v>0</v>
      </c>
      <c r="G21" s="45"/>
      <c r="H21" s="45">
        <f>'KY_Cost Plant Acct-Comm-P8(Fin)'!H21</f>
        <v>0</v>
      </c>
      <c r="I21" s="45"/>
      <c r="J21" s="45">
        <f t="shared" si="0"/>
        <v>248747.5</v>
      </c>
      <c r="K21" s="45"/>
      <c r="L21" s="45">
        <f t="shared" si="1"/>
        <v>4059068.4299999997</v>
      </c>
      <c r="M21" s="4"/>
      <c r="N21" s="89">
        <f>'KY_Res by Plant Acct-P29 (Fin)'!R419</f>
        <v>-2435871.5</v>
      </c>
      <c r="P21" s="89">
        <f t="shared" si="2"/>
        <v>1623196.9299999997</v>
      </c>
    </row>
    <row r="22" spans="1:16">
      <c r="A22" s="179" t="s">
        <v>1430</v>
      </c>
      <c r="B22" s="182">
        <f>'KY_Cost Plant Acct-Comm-P8(Fin)'!B22+'KY_Cost Plant Acct-Comm-P8(Fin)'!B54</f>
        <v>77639.12</v>
      </c>
      <c r="C22" s="182"/>
      <c r="D22" s="182">
        <f>'KY_Cost Plant Acct-Comm-P8(Fin)'!D22+'KY_Cost Plant Acct-Comm-P8(Fin)'!D54</f>
        <v>0</v>
      </c>
      <c r="E22" s="182"/>
      <c r="F22" s="182">
        <f>'KY_Cost Plant Acct-Comm-P8(Fin)'!F22</f>
        <v>0</v>
      </c>
      <c r="G22" s="182"/>
      <c r="H22" s="182">
        <f>'KY_Cost Plant Acct-Comm-P8(Fin)'!H22</f>
        <v>0</v>
      </c>
      <c r="I22" s="182"/>
      <c r="J22" s="182">
        <f t="shared" ref="J22" si="3">H22+F22+D22</f>
        <v>0</v>
      </c>
      <c r="K22" s="182"/>
      <c r="L22" s="182">
        <f t="shared" ref="L22" si="4">J22+B22</f>
        <v>77639.12</v>
      </c>
      <c r="M22" s="4"/>
      <c r="N22" s="89">
        <f>'KY_Res by Plant Acct-P29 (Fin)'!R420</f>
        <v>-90426.319999999992</v>
      </c>
      <c r="P22" s="89">
        <f t="shared" ref="P22" si="5">L22+N22</f>
        <v>-12787.199999999997</v>
      </c>
    </row>
    <row r="23" spans="1:16">
      <c r="A23" t="s">
        <v>92</v>
      </c>
      <c r="B23" s="45">
        <f>'KY_Cost Plant Acct-Comm-P8(Fin)'!B23+'KY_Cost Plant Acct-Comm-P8(Fin)'!B54</f>
        <v>2241823.4399999995</v>
      </c>
      <c r="C23" s="45"/>
      <c r="D23" s="45">
        <f>'KY_Cost Plant Acct-Comm-P8(Fin)'!D23+'KY_Cost Plant Acct-Comm-P8(Fin)'!D54</f>
        <v>0</v>
      </c>
      <c r="E23" s="45"/>
      <c r="F23" s="45">
        <f>'KY_Cost Plant Acct-Comm-P8(Fin)'!F23</f>
        <v>0</v>
      </c>
      <c r="G23" s="45"/>
      <c r="H23" s="45">
        <f>'KY_Cost Plant Acct-Comm-P8(Fin)'!H23</f>
        <v>0</v>
      </c>
      <c r="I23" s="45"/>
      <c r="J23" s="45">
        <f t="shared" si="0"/>
        <v>0</v>
      </c>
      <c r="K23" s="45"/>
      <c r="L23" s="45">
        <f t="shared" si="1"/>
        <v>2241823.4399999995</v>
      </c>
      <c r="M23" s="4"/>
      <c r="N23" s="89">
        <f>'KY_Res by Plant Acct-P29 (Fin)'!R421</f>
        <v>-692836.28000000014</v>
      </c>
      <c r="P23" s="89">
        <f t="shared" si="2"/>
        <v>1548987.1599999992</v>
      </c>
    </row>
    <row r="24" spans="1:16">
      <c r="A24" t="s">
        <v>93</v>
      </c>
      <c r="B24" s="45">
        <f>'KY_Cost Plant Acct-Comm-P8(Fin)'!B24</f>
        <v>245096.51</v>
      </c>
      <c r="C24" s="45"/>
      <c r="D24" s="45">
        <f>'KY_Cost Plant Acct-Comm-P8(Fin)'!D24</f>
        <v>0</v>
      </c>
      <c r="E24" s="45"/>
      <c r="F24" s="45">
        <f>'KY_Cost Plant Acct-Comm-P8(Fin)'!F24</f>
        <v>0</v>
      </c>
      <c r="G24" s="45"/>
      <c r="H24" s="45">
        <f>'KY_Cost Plant Acct-Comm-P8(Fin)'!H24</f>
        <v>0</v>
      </c>
      <c r="I24" s="45"/>
      <c r="J24" s="45">
        <f t="shared" si="0"/>
        <v>0</v>
      </c>
      <c r="K24" s="45"/>
      <c r="L24" s="45">
        <f t="shared" si="1"/>
        <v>245096.51</v>
      </c>
      <c r="M24" s="4"/>
      <c r="N24" s="89">
        <f>'KY_Res by Plant Acct-P29 (Fin)'!R422</f>
        <v>-129629.27</v>
      </c>
      <c r="P24" s="89">
        <f t="shared" si="2"/>
        <v>115467.24</v>
      </c>
    </row>
    <row r="25" spans="1:16">
      <c r="A25" t="s">
        <v>94</v>
      </c>
      <c r="B25" s="45">
        <f>'KY_Cost Plant Acct-Comm-P8(Fin)'!B25</f>
        <v>83874.3</v>
      </c>
      <c r="C25" s="45"/>
      <c r="D25" s="45">
        <f>'KY_Cost Plant Acct-Comm-P8(Fin)'!D25+'KY_Cost Plant Acct-Comm-P8(Fin)'!D55</f>
        <v>0</v>
      </c>
      <c r="E25" s="45"/>
      <c r="F25" s="45">
        <f>'KY_Cost Plant Acct-Comm-P8(Fin)'!F25</f>
        <v>0</v>
      </c>
      <c r="G25" s="45"/>
      <c r="H25" s="45">
        <f>'KY_Cost Plant Acct-Comm-P8(Fin)'!H25</f>
        <v>0</v>
      </c>
      <c r="I25" s="45"/>
      <c r="J25" s="45">
        <f t="shared" si="0"/>
        <v>0</v>
      </c>
      <c r="K25" s="45"/>
      <c r="L25" s="45">
        <f t="shared" si="1"/>
        <v>83874.3</v>
      </c>
      <c r="M25" s="4"/>
      <c r="N25" s="89">
        <f>'KY_Res by Plant Acct-P29 (Fin)'!R423</f>
        <v>-29205.81</v>
      </c>
      <c r="P25" s="89">
        <f t="shared" si="2"/>
        <v>54668.490000000005</v>
      </c>
    </row>
    <row r="26" spans="1:16">
      <c r="A26" t="s">
        <v>95</v>
      </c>
      <c r="B26" s="45">
        <f>'KY_Cost Plant Acct-Comm-P8(Fin)'!B26+'KY_Cost Plant Acct-Comm-P8(Fin)'!B56</f>
        <v>1135864.0900000001</v>
      </c>
      <c r="C26" s="45"/>
      <c r="D26" s="45">
        <f>'KY_Cost Plant Acct-Comm-P8(Fin)'!D26+'KY_Cost Plant Acct-Comm-P8(Fin)'!D56</f>
        <v>0</v>
      </c>
      <c r="E26" s="45"/>
      <c r="F26" s="45">
        <f>'KY_Cost Plant Acct-Comm-P8(Fin)'!F26</f>
        <v>0</v>
      </c>
      <c r="G26" s="45"/>
      <c r="H26" s="45">
        <f>'KY_Cost Plant Acct-Comm-P8(Fin)'!H26</f>
        <v>0</v>
      </c>
      <c r="I26" s="45"/>
      <c r="J26" s="45">
        <f t="shared" si="0"/>
        <v>0</v>
      </c>
      <c r="K26" s="45"/>
      <c r="L26" s="45">
        <f t="shared" si="1"/>
        <v>1135864.0900000001</v>
      </c>
      <c r="M26" s="4"/>
      <c r="N26" s="89">
        <f>'KY_Res by Plant Acct-P29 (Fin)'!R424</f>
        <v>-536382.82999999996</v>
      </c>
      <c r="P26" s="89">
        <f t="shared" si="2"/>
        <v>599481.26000000013</v>
      </c>
    </row>
    <row r="27" spans="1:16">
      <c r="A27" t="s">
        <v>96</v>
      </c>
      <c r="B27" s="45">
        <f>'KY_Cost Plant Acct-Comm-P8(Fin)'!B27+'KY_Cost Plant Acct-Comm-P8(Fin)'!B57</f>
        <v>3619509.3200000003</v>
      </c>
      <c r="C27" s="45"/>
      <c r="D27" s="45">
        <f>'KY_Cost Plant Acct-Comm-P8(Fin)'!D27+'KY_Cost Plant Acct-Comm-P8(Fin)'!D57</f>
        <v>0</v>
      </c>
      <c r="E27" s="45"/>
      <c r="F27" s="45">
        <f>'KY_Cost Plant Acct-Comm-P8(Fin)'!F27</f>
        <v>0</v>
      </c>
      <c r="G27" s="45"/>
      <c r="H27" s="45">
        <f>'KY_Cost Plant Acct-Comm-P8(Fin)'!H27</f>
        <v>4609.58</v>
      </c>
      <c r="I27" s="45"/>
      <c r="J27" s="45">
        <f t="shared" si="0"/>
        <v>4609.58</v>
      </c>
      <c r="K27" s="45"/>
      <c r="L27" s="45">
        <f t="shared" si="1"/>
        <v>3624118.9000000004</v>
      </c>
      <c r="M27" s="4"/>
      <c r="N27" s="89">
        <f>'KY_Res by Plant Acct-P29 (Fin)'!R425</f>
        <v>-1155645.9699999997</v>
      </c>
      <c r="P27" s="89">
        <f t="shared" si="2"/>
        <v>2468472.9300000006</v>
      </c>
    </row>
    <row r="28" spans="1:16">
      <c r="A28" t="s">
        <v>97</v>
      </c>
      <c r="B28" s="45">
        <f>'KY_Cost Plant Acct-Comm-P8(Fin)'!B28</f>
        <v>0</v>
      </c>
      <c r="C28" s="45"/>
      <c r="D28" s="45">
        <f>'KY_Cost Plant Acct-Comm-P8(Fin)'!D28</f>
        <v>0</v>
      </c>
      <c r="E28" s="45"/>
      <c r="F28" s="45">
        <f>'KY_Cost Plant Acct-Comm-P8(Fin)'!F28</f>
        <v>0</v>
      </c>
      <c r="G28" s="45"/>
      <c r="H28" s="45">
        <f>'KY_Cost Plant Acct-Comm-P8(Fin)'!H28</f>
        <v>0</v>
      </c>
      <c r="I28" s="45"/>
      <c r="J28" s="45">
        <f t="shared" si="0"/>
        <v>0</v>
      </c>
      <c r="K28" s="45"/>
      <c r="L28" s="45">
        <f t="shared" si="1"/>
        <v>0</v>
      </c>
      <c r="M28" s="4"/>
      <c r="N28" s="89">
        <f>'KY_Res by Plant Acct-P29 (Fin)'!R426</f>
        <v>1.8189894035458565E-12</v>
      </c>
      <c r="P28" s="89">
        <f t="shared" si="2"/>
        <v>1.8189894035458565E-12</v>
      </c>
    </row>
    <row r="29" spans="1:16">
      <c r="A29" t="s">
        <v>98</v>
      </c>
      <c r="B29" s="45">
        <f>'KY_Cost Plant Acct-Comm-P8(Fin)'!B29</f>
        <v>235831.06</v>
      </c>
      <c r="C29" s="45"/>
      <c r="D29" s="45">
        <f>'KY_Cost Plant Acct-Comm-P8(Fin)'!D29</f>
        <v>0</v>
      </c>
      <c r="E29" s="45"/>
      <c r="F29" s="45">
        <f>'KY_Cost Plant Acct-Comm-P8(Fin)'!F29</f>
        <v>0</v>
      </c>
      <c r="G29" s="45"/>
      <c r="H29" s="45">
        <f>'KY_Cost Plant Acct-Comm-P8(Fin)'!H29</f>
        <v>0</v>
      </c>
      <c r="I29" s="45"/>
      <c r="J29" s="45">
        <f t="shared" si="0"/>
        <v>0</v>
      </c>
      <c r="K29" s="45"/>
      <c r="L29" s="45">
        <f t="shared" si="1"/>
        <v>235831.06</v>
      </c>
      <c r="M29" s="4"/>
      <c r="N29" s="89">
        <f>'KY_Res by Plant Acct-P29 (Fin)'!R427</f>
        <v>-208841.63</v>
      </c>
      <c r="P29" s="89">
        <f t="shared" si="2"/>
        <v>26989.429999999993</v>
      </c>
    </row>
    <row r="30" spans="1:16">
      <c r="A30" t="s">
        <v>99</v>
      </c>
      <c r="B30" s="45">
        <f>'KY_Cost Plant Acct-Comm-P8(Fin)'!B30</f>
        <v>14147.08</v>
      </c>
      <c r="C30" s="45"/>
      <c r="D30" s="45">
        <f>'KY_Cost Plant Acct-Comm-P8(Fin)'!D30</f>
        <v>0</v>
      </c>
      <c r="E30" s="45"/>
      <c r="F30" s="45">
        <f>'KY_Cost Plant Acct-Comm-P8(Fin)'!F30</f>
        <v>0</v>
      </c>
      <c r="G30" s="45"/>
      <c r="H30" s="45">
        <f>'KY_Cost Plant Acct-Comm-P8(Fin)'!H30</f>
        <v>0</v>
      </c>
      <c r="I30" s="45"/>
      <c r="J30" s="45">
        <f t="shared" si="0"/>
        <v>0</v>
      </c>
      <c r="K30" s="45"/>
      <c r="L30" s="45">
        <f t="shared" si="1"/>
        <v>14147.08</v>
      </c>
      <c r="M30" s="4"/>
      <c r="N30" s="89">
        <f>'KY_Res by Plant Acct-P29 (Fin)'!R428</f>
        <v>-9428.5700000000015</v>
      </c>
      <c r="P30" s="89">
        <f t="shared" si="2"/>
        <v>4718.5099999999984</v>
      </c>
    </row>
    <row r="31" spans="1:16">
      <c r="A31" t="s">
        <v>4</v>
      </c>
      <c r="B31" s="45">
        <f>'KY_Cost Plant Acct-Comm-P8(Fin)'!B31+'KY_Cost Plant Acct-Comm-P8(Fin)'!B58</f>
        <v>40504739.399999999</v>
      </c>
      <c r="C31" s="45"/>
      <c r="D31" s="45">
        <f>'KY_Cost Plant Acct-Comm-P8(Fin)'!D31+'KY_Cost Plant Acct-Comm-P8(Fin)'!D58</f>
        <v>165871.69</v>
      </c>
      <c r="E31" s="45"/>
      <c r="F31" s="45">
        <f>'KY_Cost Plant Acct-Comm-P8(Fin)'!F31</f>
        <v>-1200.03</v>
      </c>
      <c r="G31" s="45"/>
      <c r="H31" s="45">
        <f>'KY_Cost Plant Acct-Comm-P8(Fin)'!H31</f>
        <v>0</v>
      </c>
      <c r="I31" s="45"/>
      <c r="J31" s="45">
        <f t="shared" si="0"/>
        <v>164671.66</v>
      </c>
      <c r="K31" s="45"/>
      <c r="L31" s="45">
        <f t="shared" si="1"/>
        <v>40669411.059999995</v>
      </c>
      <c r="M31" s="4"/>
      <c r="N31" s="89">
        <f>'KY_Res by Plant Acct-P29 (Fin)'!R429</f>
        <v>-24747027.02</v>
      </c>
      <c r="P31" s="89">
        <f t="shared" si="2"/>
        <v>15922384.039999995</v>
      </c>
    </row>
    <row r="32" spans="1:16">
      <c r="A32" t="s">
        <v>100</v>
      </c>
      <c r="B32" s="45">
        <f>'KY_Cost Plant Acct-Comm-P8(Fin)'!B32+'KY_Cost Plant Acct-Comm-P8(Fin)'!B59</f>
        <v>6479333.1699999999</v>
      </c>
      <c r="C32" s="45"/>
      <c r="D32" s="45">
        <f>'KY_Cost Plant Acct-Comm-P8(Fin)'!D32+'KY_Cost Plant Acct-Comm-P8(Fin)'!D59</f>
        <v>71987.520000000004</v>
      </c>
      <c r="E32" s="45"/>
      <c r="F32" s="45">
        <f>'KY_Cost Plant Acct-Comm-P8(Fin)'!F32</f>
        <v>0</v>
      </c>
      <c r="G32" s="45"/>
      <c r="H32" s="45">
        <f>'KY_Cost Plant Acct-Comm-P8(Fin)'!H32</f>
        <v>0</v>
      </c>
      <c r="I32" s="45"/>
      <c r="J32" s="45">
        <f t="shared" si="0"/>
        <v>71987.520000000004</v>
      </c>
      <c r="K32" s="45"/>
      <c r="L32" s="45">
        <f t="shared" si="1"/>
        <v>6551320.6899999995</v>
      </c>
      <c r="M32" s="4"/>
      <c r="N32" s="89">
        <f>'KY_Res by Plant Acct-P29 (Fin)'!R430</f>
        <v>-5822375.6299999999</v>
      </c>
      <c r="P32" s="89">
        <f t="shared" si="2"/>
        <v>728945.05999999959</v>
      </c>
    </row>
    <row r="33" spans="1:16">
      <c r="A33" t="s">
        <v>101</v>
      </c>
      <c r="B33" s="45">
        <f>'KY_Cost Plant Acct-Comm-P8(Fin)'!B33</f>
        <v>21815.609999999986</v>
      </c>
      <c r="C33" s="45"/>
      <c r="D33" s="45">
        <f>'KY_Cost Plant Acct-Comm-P8(Fin)'!D33+'KY_Cost Plant Acct-Comm-P8(Fin)'!D60</f>
        <v>0</v>
      </c>
      <c r="E33" s="45"/>
      <c r="F33" s="45">
        <f>'KY_Cost Plant Acct-Comm-P8(Fin)'!F33</f>
        <v>0</v>
      </c>
      <c r="G33" s="45"/>
      <c r="H33" s="45">
        <f>'KY_Cost Plant Acct-Comm-P8(Fin)'!H33</f>
        <v>-4609.58</v>
      </c>
      <c r="I33" s="45"/>
      <c r="J33" s="45">
        <f t="shared" si="0"/>
        <v>-4609.58</v>
      </c>
      <c r="K33" s="45"/>
      <c r="L33" s="45">
        <f t="shared" si="1"/>
        <v>17206.029999999984</v>
      </c>
      <c r="M33" s="4"/>
      <c r="N33" s="89">
        <f>'KY_Res by Plant Acct-P29 (Fin)'!R431</f>
        <v>-122328.81999999995</v>
      </c>
      <c r="P33" s="89">
        <f t="shared" si="2"/>
        <v>-105122.78999999996</v>
      </c>
    </row>
    <row r="34" spans="1:16">
      <c r="A34" t="s">
        <v>102</v>
      </c>
      <c r="B34" s="45">
        <f>'KY_Cost Plant Acct-Comm-P8(Fin)'!B34</f>
        <v>101389.77</v>
      </c>
      <c r="C34" s="45"/>
      <c r="D34" s="45">
        <f>'KY_Cost Plant Acct-Comm-P8(Fin)'!D34</f>
        <v>0</v>
      </c>
      <c r="E34" s="45"/>
      <c r="F34" s="45">
        <f>'KY_Cost Plant Acct-Comm-P8(Fin)'!F34</f>
        <v>0</v>
      </c>
      <c r="G34" s="45"/>
      <c r="H34" s="45">
        <f>'KY_Cost Plant Acct-Comm-P8(Fin)'!H34</f>
        <v>0</v>
      </c>
      <c r="I34" s="45"/>
      <c r="J34" s="45">
        <f t="shared" si="0"/>
        <v>0</v>
      </c>
      <c r="K34" s="45"/>
      <c r="L34" s="45">
        <f t="shared" si="1"/>
        <v>101389.77</v>
      </c>
      <c r="M34" s="4"/>
      <c r="N34" s="89">
        <f>'KY_Res by Plant Acct-P29 (Fin)'!R432</f>
        <v>-2918.6899999999973</v>
      </c>
      <c r="P34" s="89">
        <f t="shared" si="2"/>
        <v>98471.08</v>
      </c>
    </row>
    <row r="35" spans="1:16">
      <c r="A35" t="s">
        <v>103</v>
      </c>
      <c r="B35" s="45">
        <f>'KY_Cost Plant Acct-Comm-P8(Fin)'!B35</f>
        <v>83782.289999999994</v>
      </c>
      <c r="C35" s="45"/>
      <c r="D35" s="45">
        <f>'KY_Cost Plant Acct-Comm-P8(Fin)'!D35</f>
        <v>0</v>
      </c>
      <c r="E35" s="45"/>
      <c r="F35" s="45">
        <f>'KY_Cost Plant Acct-Comm-P8(Fin)'!F35</f>
        <v>0</v>
      </c>
      <c r="G35" s="45"/>
      <c r="H35" s="45">
        <f>'KY_Cost Plant Acct-Comm-P8(Fin)'!H35</f>
        <v>0</v>
      </c>
      <c r="I35" s="45"/>
      <c r="J35" s="45">
        <f t="shared" si="0"/>
        <v>0</v>
      </c>
      <c r="K35" s="45"/>
      <c r="L35" s="45">
        <f t="shared" si="1"/>
        <v>83782.289999999994</v>
      </c>
      <c r="M35" s="4"/>
      <c r="N35" s="89">
        <f>'KY_Res by Plant Acct-P29 (Fin)'!R447</f>
        <v>0</v>
      </c>
      <c r="P35" s="89">
        <f t="shared" si="2"/>
        <v>83782.289999999994</v>
      </c>
    </row>
    <row r="36" spans="1:16">
      <c r="A36" t="s">
        <v>267</v>
      </c>
      <c r="B36" s="45">
        <f>'KY_Cost Plant Acct-Comm-P8(Fin)'!B36</f>
        <v>0</v>
      </c>
      <c r="C36" s="45"/>
      <c r="D36" s="45">
        <f>'KY_Cost Plant Acct-Comm-P8(Fin)'!D36</f>
        <v>0</v>
      </c>
      <c r="E36" s="45"/>
      <c r="F36" s="45">
        <f>'KY_Cost Plant Acct-Comm-P8(Fin)'!F36</f>
        <v>0</v>
      </c>
      <c r="G36" s="45"/>
      <c r="H36" s="45">
        <f>'KY_Cost Plant Acct-Comm-P8(Fin)'!H36</f>
        <v>0</v>
      </c>
      <c r="I36" s="45"/>
      <c r="J36" s="45">
        <f t="shared" si="0"/>
        <v>0</v>
      </c>
      <c r="K36" s="45"/>
      <c r="L36" s="45">
        <f t="shared" si="1"/>
        <v>0</v>
      </c>
      <c r="M36" s="4"/>
      <c r="N36" s="89">
        <f>'KY_Res by Plant Acct-P29 (Fin)'!R448</f>
        <v>0</v>
      </c>
      <c r="P36" s="89">
        <f t="shared" si="2"/>
        <v>0</v>
      </c>
    </row>
    <row r="37" spans="1:16">
      <c r="A37" t="s">
        <v>268</v>
      </c>
      <c r="B37" s="45">
        <f>'KY_Cost Plant Acct-Comm-P8(Fin)'!B37+'KY_Cost Plant Acct-Comm-P8(Fin)'!B61</f>
        <v>18699664.039999999</v>
      </c>
      <c r="C37" s="45"/>
      <c r="D37" s="45">
        <f>'KY_Cost Plant Acct-Comm-P8(Fin)'!D37+'KY_Cost Plant Acct-Comm-P8(Fin)'!D61</f>
        <v>4367912.870000001</v>
      </c>
      <c r="E37" s="45"/>
      <c r="F37" s="45">
        <f>'KY_Cost Plant Acct-Comm-P8(Fin)'!F37</f>
        <v>-1193940.58</v>
      </c>
      <c r="G37" s="45"/>
      <c r="H37" s="45">
        <f>'KY_Cost Plant Acct-Comm-P8(Fin)'!H37</f>
        <v>0</v>
      </c>
      <c r="I37" s="45"/>
      <c r="J37" s="45">
        <f t="shared" si="0"/>
        <v>3173972.290000001</v>
      </c>
      <c r="K37" s="45"/>
      <c r="L37" s="45">
        <f t="shared" si="1"/>
        <v>21873636.329999998</v>
      </c>
      <c r="M37" s="4"/>
      <c r="N37" s="89">
        <f>'KY_Res by Plant Acct-P29 (Fin)'!R449</f>
        <v>-8584798.450000003</v>
      </c>
      <c r="P37" s="89">
        <f t="shared" si="2"/>
        <v>13288837.879999995</v>
      </c>
    </row>
    <row r="38" spans="1:16">
      <c r="A38" t="s">
        <v>1023</v>
      </c>
      <c r="B38" s="45">
        <f>'KY_Cost Plant Acct-Comm-P8(Fin)'!B38+'KY_Cost Plant Acct-Comm-P8(Fin)'!B62</f>
        <v>44348600.75999999</v>
      </c>
      <c r="C38" s="45"/>
      <c r="D38" s="45">
        <f>'KY_Cost Plant Acct-Comm-P8(Fin)'!D38+'KY_Cost Plant Acct-Comm-P8(Fin)'!D62</f>
        <v>165079.18</v>
      </c>
      <c r="E38" s="45"/>
      <c r="F38" s="45">
        <f>'KY_Cost Plant Acct-Comm-P8(Fin)'!F38</f>
        <v>0</v>
      </c>
      <c r="G38" s="45"/>
      <c r="H38" s="45">
        <f>'KY_Cost Plant Acct-Comm-P8(Fin)'!H38</f>
        <v>0</v>
      </c>
      <c r="I38" s="45"/>
      <c r="J38" s="45">
        <f t="shared" si="0"/>
        <v>165079.18</v>
      </c>
      <c r="K38" s="45"/>
      <c r="L38" s="45">
        <f t="shared" si="1"/>
        <v>44513679.93999999</v>
      </c>
      <c r="M38" s="4"/>
      <c r="N38" s="89">
        <f>'KY_Res by Plant Acct-P29 (Fin)'!R450</f>
        <v>-12470040.300000001</v>
      </c>
      <c r="P38" s="89">
        <f t="shared" si="2"/>
        <v>32043639.639999989</v>
      </c>
    </row>
    <row r="39" spans="1:16">
      <c r="A39" t="s">
        <v>269</v>
      </c>
      <c r="B39" s="48">
        <f>'KY_Cost Plant Acct-Comm-P8(Fin)'!B39</f>
        <v>0</v>
      </c>
      <c r="C39" s="52"/>
      <c r="D39" s="48">
        <f>'KY_Cost Plant Acct-Comm-P8(Fin)'!D39</f>
        <v>0</v>
      </c>
      <c r="E39" s="52"/>
      <c r="F39" s="48">
        <f>'KY_Cost Plant Acct-Comm-P8(Fin)'!F39</f>
        <v>0</v>
      </c>
      <c r="G39" s="52"/>
      <c r="H39" s="48">
        <f>'KY_Cost Plant Acct-Comm-P8(Fin)'!H39</f>
        <v>0</v>
      </c>
      <c r="I39" s="52"/>
      <c r="J39" s="48">
        <f t="shared" si="0"/>
        <v>0</v>
      </c>
      <c r="K39" s="52"/>
      <c r="L39" s="48">
        <f t="shared" si="1"/>
        <v>0</v>
      </c>
      <c r="M39" s="55"/>
      <c r="N39" s="90">
        <f>'KY_Res by Plant Acct-P29 (Fin)'!R451</f>
        <v>0</v>
      </c>
      <c r="P39" s="90">
        <f t="shared" si="2"/>
        <v>0</v>
      </c>
    </row>
    <row r="40" spans="1:16">
      <c r="B40" s="52">
        <f>SUM(B11:B39)</f>
        <v>221990510.84999999</v>
      </c>
      <c r="C40" s="52"/>
      <c r="D40" s="52">
        <f>SUM(D11:D39)</f>
        <v>6342012.0800000001</v>
      </c>
      <c r="E40" s="52"/>
      <c r="F40" s="52">
        <f>SUM(F11:F39)</f>
        <v>-1437161.56</v>
      </c>
      <c r="G40" s="52"/>
      <c r="H40" s="52">
        <f>SUM(H11:H39)</f>
        <v>0</v>
      </c>
      <c r="I40" s="52"/>
      <c r="J40" s="52">
        <f>SUM(J11:J39)</f>
        <v>4904850.5200000005</v>
      </c>
      <c r="K40" s="52"/>
      <c r="L40" s="52">
        <f>SUM(L11:L39)</f>
        <v>226895361.37</v>
      </c>
      <c r="M40" s="55"/>
      <c r="N40" s="52">
        <f>SUM(N11:N39)</f>
        <v>-100717800.88999999</v>
      </c>
      <c r="P40" s="52">
        <f>SUM(P11:P39)</f>
        <v>126177560.47999997</v>
      </c>
    </row>
    <row r="41" spans="1:16">
      <c r="B41" s="52"/>
      <c r="C41" s="52"/>
      <c r="D41" s="52"/>
      <c r="E41" s="52"/>
      <c r="F41" s="52"/>
      <c r="G41" s="52"/>
      <c r="H41" s="52"/>
      <c r="I41" s="52"/>
      <c r="J41" s="52"/>
      <c r="K41" s="52"/>
      <c r="L41" s="52"/>
      <c r="M41" s="55"/>
    </row>
    <row r="42" spans="1:16">
      <c r="B42" s="52"/>
      <c r="C42" s="52"/>
      <c r="D42" s="52"/>
      <c r="E42" s="52"/>
      <c r="F42" s="52"/>
      <c r="G42" s="52"/>
      <c r="H42" s="52"/>
      <c r="I42" s="52"/>
      <c r="J42" s="52"/>
      <c r="K42" s="52"/>
      <c r="L42" s="52"/>
      <c r="M42" s="55"/>
    </row>
    <row r="43" spans="1:16" ht="13.5" thickBot="1">
      <c r="A43" s="3" t="s">
        <v>685</v>
      </c>
      <c r="B43" s="46">
        <f>B40</f>
        <v>221990510.84999999</v>
      </c>
      <c r="C43" s="55"/>
      <c r="D43" s="46">
        <f>D40</f>
        <v>6342012.0800000001</v>
      </c>
      <c r="E43" s="55"/>
      <c r="F43" s="46">
        <f>F40</f>
        <v>-1437161.56</v>
      </c>
      <c r="G43" s="55"/>
      <c r="H43" s="46">
        <f>H40</f>
        <v>0</v>
      </c>
      <c r="I43" s="55"/>
      <c r="J43" s="46">
        <f>J40</f>
        <v>4904850.5200000005</v>
      </c>
      <c r="K43" s="55"/>
      <c r="L43" s="46">
        <f>L40</f>
        <v>226895361.37</v>
      </c>
      <c r="M43" s="55"/>
      <c r="N43" s="46">
        <f>N40</f>
        <v>-100717800.88999999</v>
      </c>
      <c r="P43" s="46">
        <f>P40</f>
        <v>126177560.47999997</v>
      </c>
    </row>
    <row r="44" spans="1:16" ht="13.5" thickTop="1">
      <c r="B44" s="52"/>
      <c r="C44" s="52"/>
      <c r="D44" s="52"/>
      <c r="E44" s="52"/>
      <c r="F44" s="52"/>
      <c r="G44" s="52"/>
      <c r="H44" s="52"/>
      <c r="I44" s="52"/>
      <c r="J44" s="52"/>
      <c r="K44" s="52"/>
      <c r="L44" s="52"/>
      <c r="M44" s="55"/>
    </row>
    <row r="45" spans="1:16">
      <c r="B45" s="52"/>
      <c r="C45" s="52"/>
      <c r="D45" s="52"/>
      <c r="E45" s="52"/>
      <c r="F45" s="52"/>
      <c r="G45" s="52"/>
      <c r="H45" s="52"/>
      <c r="I45" s="52"/>
      <c r="J45" s="52"/>
      <c r="K45" s="52"/>
      <c r="L45" s="52"/>
      <c r="M45" s="55"/>
    </row>
    <row r="46" spans="1:16">
      <c r="B46" s="45"/>
      <c r="C46" s="45"/>
      <c r="D46" s="45"/>
      <c r="E46" s="45"/>
      <c r="F46" s="45"/>
      <c r="G46" s="45"/>
      <c r="H46" s="45"/>
      <c r="I46" s="45"/>
      <c r="J46" s="45"/>
      <c r="K46" s="45"/>
      <c r="L46" s="45"/>
      <c r="M46" s="4"/>
    </row>
    <row r="47" spans="1:16">
      <c r="B47" s="4"/>
      <c r="C47" s="4"/>
      <c r="D47" s="4"/>
      <c r="E47" s="4"/>
      <c r="F47" s="4"/>
      <c r="G47" s="4"/>
      <c r="H47" s="4"/>
      <c r="I47" s="4"/>
      <c r="J47" s="4"/>
      <c r="K47" s="4"/>
      <c r="L47" s="4"/>
      <c r="M47" s="4"/>
    </row>
    <row r="48" spans="1:16">
      <c r="B48" s="4"/>
      <c r="C48" s="4"/>
      <c r="D48" s="4"/>
      <c r="E48" s="4"/>
      <c r="F48" s="4"/>
      <c r="G48" s="4"/>
      <c r="H48" s="4"/>
      <c r="I48" s="4"/>
      <c r="J48" s="4"/>
      <c r="K48" s="4"/>
      <c r="L48" s="4"/>
      <c r="M48" s="4"/>
    </row>
    <row r="49" spans="2:13">
      <c r="B49" s="4"/>
      <c r="C49" s="4"/>
      <c r="D49" s="4"/>
      <c r="E49" s="4"/>
      <c r="F49" s="4"/>
      <c r="G49" s="4"/>
      <c r="H49" s="4"/>
      <c r="I49" s="4"/>
      <c r="J49" s="4"/>
      <c r="K49" s="4"/>
      <c r="L49" s="4"/>
      <c r="M49" s="4"/>
    </row>
    <row r="50" spans="2:13">
      <c r="B50" s="4"/>
      <c r="C50" s="4"/>
      <c r="D50" s="4"/>
      <c r="E50" s="4"/>
      <c r="F50" s="4"/>
      <c r="G50" s="4"/>
      <c r="H50" s="4"/>
      <c r="I50" s="4"/>
      <c r="J50" s="4"/>
      <c r="K50" s="4"/>
      <c r="L50" s="4"/>
      <c r="M50" s="4"/>
    </row>
    <row r="51" spans="2:13">
      <c r="B51" s="4"/>
      <c r="C51" s="4"/>
      <c r="D51" s="4"/>
      <c r="E51" s="4"/>
      <c r="F51" s="4"/>
      <c r="G51" s="4"/>
      <c r="H51" s="4"/>
      <c r="I51" s="4"/>
      <c r="J51" s="4"/>
      <c r="K51" s="4"/>
      <c r="L51" s="4"/>
      <c r="M51" s="4"/>
    </row>
    <row r="52" spans="2:13">
      <c r="B52" s="4"/>
      <c r="C52" s="4"/>
      <c r="D52" s="4"/>
      <c r="E52" s="4"/>
      <c r="F52" s="4"/>
      <c r="G52" s="4"/>
      <c r="H52" s="4"/>
      <c r="I52" s="4"/>
      <c r="J52" s="4"/>
      <c r="K52" s="4"/>
      <c r="L52" s="4"/>
      <c r="M52" s="4"/>
    </row>
    <row r="53" spans="2:13">
      <c r="B53" s="4"/>
      <c r="C53" s="4"/>
      <c r="D53" s="4"/>
      <c r="E53" s="4"/>
      <c r="F53" s="4"/>
      <c r="G53" s="4"/>
      <c r="H53" s="4"/>
      <c r="I53" s="4"/>
      <c r="J53" s="4"/>
      <c r="K53" s="4"/>
      <c r="L53" s="4"/>
      <c r="M53" s="4"/>
    </row>
    <row r="54" spans="2:13">
      <c r="B54" s="4"/>
      <c r="C54" s="4"/>
      <c r="D54" s="4"/>
      <c r="E54" s="4"/>
      <c r="F54" s="4"/>
      <c r="G54" s="4"/>
      <c r="H54" s="4"/>
      <c r="I54" s="4"/>
      <c r="J54" s="4"/>
      <c r="K54" s="4"/>
      <c r="L54" s="4"/>
      <c r="M54" s="4"/>
    </row>
    <row r="55" spans="2:13">
      <c r="B55" s="4"/>
      <c r="C55" s="4"/>
      <c r="D55" s="4"/>
      <c r="E55" s="4"/>
      <c r="F55" s="4"/>
      <c r="G55" s="4"/>
      <c r="H55" s="4"/>
      <c r="I55" s="4"/>
      <c r="J55" s="4"/>
      <c r="K55" s="4"/>
      <c r="L55" s="4"/>
      <c r="M55" s="4"/>
    </row>
    <row r="56" spans="2:13">
      <c r="B56" s="4"/>
      <c r="C56" s="4"/>
      <c r="D56" s="4"/>
      <c r="E56" s="4"/>
      <c r="F56" s="4"/>
      <c r="G56" s="4"/>
      <c r="H56" s="4"/>
      <c r="I56" s="4"/>
      <c r="J56" s="4"/>
      <c r="K56" s="4"/>
      <c r="L56" s="4"/>
      <c r="M56" s="4"/>
    </row>
    <row r="57" spans="2:13">
      <c r="B57" s="4"/>
      <c r="C57" s="4"/>
      <c r="D57" s="4"/>
      <c r="E57" s="4"/>
      <c r="F57" s="4"/>
      <c r="G57" s="4"/>
      <c r="H57" s="4"/>
      <c r="I57" s="4"/>
      <c r="J57" s="4"/>
      <c r="K57" s="4"/>
      <c r="L57" s="4"/>
      <c r="M57" s="4"/>
    </row>
    <row r="58" spans="2:13">
      <c r="B58" s="4"/>
      <c r="C58" s="4"/>
      <c r="D58" s="4"/>
      <c r="E58" s="4"/>
      <c r="F58" s="4"/>
      <c r="G58" s="4"/>
      <c r="H58" s="4"/>
      <c r="I58" s="4"/>
      <c r="J58" s="4"/>
      <c r="K58" s="4"/>
      <c r="L58" s="4"/>
      <c r="M58" s="4"/>
    </row>
    <row r="59" spans="2:13">
      <c r="B59" s="4"/>
      <c r="C59" s="4"/>
      <c r="D59" s="4"/>
      <c r="E59" s="4"/>
      <c r="F59" s="4"/>
      <c r="G59" s="4"/>
      <c r="H59" s="4"/>
      <c r="I59" s="4"/>
      <c r="J59" s="4"/>
      <c r="K59" s="4"/>
      <c r="L59" s="4"/>
      <c r="M59" s="4"/>
    </row>
    <row r="60" spans="2:13">
      <c r="B60" s="4"/>
      <c r="C60" s="4"/>
      <c r="D60" s="4"/>
      <c r="E60" s="4"/>
      <c r="F60" s="4"/>
      <c r="G60" s="4"/>
      <c r="H60" s="4"/>
      <c r="I60" s="4"/>
      <c r="J60" s="4"/>
      <c r="K60" s="4"/>
      <c r="L60" s="4"/>
      <c r="M60" s="4"/>
    </row>
    <row r="61" spans="2:13">
      <c r="B61" s="4"/>
      <c r="C61" s="4"/>
      <c r="D61" s="4"/>
      <c r="E61" s="4"/>
      <c r="F61" s="4"/>
      <c r="G61" s="4"/>
      <c r="H61" s="4"/>
      <c r="I61" s="4"/>
      <c r="J61" s="4"/>
      <c r="K61" s="4"/>
      <c r="L61" s="4"/>
      <c r="M61" s="4"/>
    </row>
    <row r="62" spans="2:13">
      <c r="B62" s="4"/>
      <c r="C62" s="4"/>
      <c r="D62" s="4"/>
      <c r="E62" s="4"/>
      <c r="F62" s="4"/>
      <c r="G62" s="4"/>
      <c r="H62" s="4"/>
      <c r="I62" s="4"/>
      <c r="J62" s="4"/>
      <c r="K62" s="4"/>
      <c r="L62" s="4"/>
      <c r="M62" s="4"/>
    </row>
    <row r="63" spans="2:13">
      <c r="B63" s="4"/>
      <c r="C63" s="4"/>
      <c r="D63" s="4"/>
      <c r="E63" s="4"/>
      <c r="F63" s="4"/>
      <c r="G63" s="4"/>
      <c r="H63" s="4"/>
      <c r="I63" s="4"/>
      <c r="J63" s="4"/>
      <c r="K63" s="4"/>
      <c r="L63" s="4"/>
      <c r="M63" s="4"/>
    </row>
    <row r="64" spans="2:13">
      <c r="B64" s="4"/>
      <c r="C64" s="4"/>
      <c r="D64" s="4"/>
      <c r="E64" s="4"/>
      <c r="F64" s="4"/>
      <c r="G64" s="4"/>
      <c r="H64" s="4"/>
      <c r="I64" s="4"/>
      <c r="J64" s="4"/>
      <c r="K64" s="4"/>
      <c r="L64" s="4"/>
      <c r="M64" s="4"/>
    </row>
    <row r="65" spans="2:13">
      <c r="B65" s="4"/>
      <c r="C65" s="4"/>
      <c r="D65" s="4"/>
      <c r="E65" s="4"/>
      <c r="F65" s="4"/>
      <c r="G65" s="4"/>
      <c r="H65" s="4"/>
      <c r="I65" s="4"/>
      <c r="J65" s="4"/>
      <c r="K65" s="4"/>
      <c r="L65" s="4"/>
      <c r="M65" s="4"/>
    </row>
    <row r="66" spans="2:13">
      <c r="B66" s="4"/>
      <c r="C66" s="4"/>
      <c r="D66" s="4"/>
      <c r="E66" s="4"/>
      <c r="F66" s="4"/>
      <c r="G66" s="4"/>
      <c r="H66" s="4"/>
      <c r="I66" s="4"/>
      <c r="J66" s="4"/>
      <c r="K66" s="4"/>
      <c r="L66" s="4"/>
      <c r="M66" s="4"/>
    </row>
    <row r="67" spans="2:13">
      <c r="B67" s="4"/>
      <c r="C67" s="4"/>
      <c r="D67" s="4"/>
      <c r="E67" s="4"/>
      <c r="F67" s="4"/>
      <c r="G67" s="4"/>
      <c r="H67" s="4"/>
      <c r="I67" s="4"/>
      <c r="J67" s="4"/>
      <c r="K67" s="4"/>
      <c r="L67" s="4"/>
      <c r="M67" s="4"/>
    </row>
    <row r="68" spans="2:13">
      <c r="B68" s="4"/>
      <c r="C68" s="4"/>
      <c r="D68" s="4"/>
      <c r="E68" s="4"/>
      <c r="F68" s="4"/>
      <c r="G68" s="4"/>
      <c r="H68" s="4"/>
      <c r="I68" s="4"/>
      <c r="J68" s="4"/>
      <c r="K68" s="4"/>
      <c r="L68" s="4"/>
      <c r="M68" s="4"/>
    </row>
    <row r="69" spans="2:13">
      <c r="B69" s="4"/>
      <c r="C69" s="4"/>
      <c r="D69" s="4"/>
      <c r="E69" s="4"/>
      <c r="F69" s="4"/>
      <c r="G69" s="4"/>
      <c r="H69" s="4"/>
      <c r="I69" s="4"/>
      <c r="J69" s="4"/>
      <c r="K69" s="4"/>
      <c r="L69" s="4"/>
      <c r="M69" s="4"/>
    </row>
    <row r="70" spans="2:13">
      <c r="B70" s="4"/>
      <c r="C70" s="4"/>
      <c r="D70" s="4"/>
      <c r="E70" s="4"/>
      <c r="F70" s="4"/>
      <c r="G70" s="4"/>
      <c r="H70" s="4"/>
      <c r="I70" s="4"/>
      <c r="J70" s="4"/>
      <c r="K70" s="4"/>
      <c r="L70" s="4"/>
      <c r="M70" s="4"/>
    </row>
    <row r="71" spans="2:13">
      <c r="B71" s="4"/>
      <c r="C71" s="4"/>
      <c r="D71" s="4"/>
      <c r="E71" s="4"/>
      <c r="F71" s="4"/>
      <c r="G71" s="4"/>
      <c r="H71" s="4"/>
      <c r="I71" s="4"/>
      <c r="J71" s="4"/>
      <c r="K71" s="4"/>
      <c r="L71" s="4"/>
      <c r="M71" s="4"/>
    </row>
    <row r="72" spans="2:13">
      <c r="B72" s="4"/>
      <c r="C72" s="4"/>
      <c r="D72" s="4"/>
      <c r="E72" s="4"/>
      <c r="F72" s="4"/>
      <c r="G72" s="4"/>
      <c r="H72" s="4"/>
      <c r="I72" s="4"/>
      <c r="J72" s="4"/>
      <c r="K72" s="4"/>
      <c r="L72" s="4"/>
      <c r="M72" s="4"/>
    </row>
    <row r="73" spans="2:13">
      <c r="B73" s="4"/>
      <c r="C73" s="4"/>
      <c r="D73" s="4"/>
      <c r="E73" s="4"/>
      <c r="F73" s="4"/>
      <c r="G73" s="4"/>
      <c r="H73" s="4"/>
      <c r="I73" s="4"/>
      <c r="J73" s="4"/>
      <c r="K73" s="4"/>
      <c r="L73" s="4"/>
      <c r="M73" s="4"/>
    </row>
    <row r="74" spans="2:13">
      <c r="B74" s="4"/>
      <c r="C74" s="4"/>
      <c r="D74" s="4"/>
      <c r="E74" s="4"/>
      <c r="F74" s="4"/>
      <c r="G74" s="4"/>
      <c r="H74" s="4"/>
      <c r="I74" s="4"/>
      <c r="J74" s="4"/>
      <c r="K74" s="4"/>
      <c r="L74" s="4"/>
      <c r="M74" s="4"/>
    </row>
    <row r="75" spans="2:13">
      <c r="B75" s="4"/>
      <c r="C75" s="4"/>
      <c r="D75" s="4"/>
      <c r="E75" s="4"/>
      <c r="F75" s="4"/>
      <c r="G75" s="4"/>
      <c r="H75" s="4"/>
      <c r="I75" s="4"/>
      <c r="J75" s="4"/>
      <c r="K75" s="4"/>
      <c r="L75" s="4"/>
      <c r="M75" s="4"/>
    </row>
    <row r="76" spans="2:13">
      <c r="B76" s="4"/>
      <c r="C76" s="4"/>
      <c r="D76" s="4"/>
      <c r="E76" s="4"/>
      <c r="F76" s="4"/>
      <c r="G76" s="4"/>
      <c r="H76" s="4"/>
      <c r="I76" s="4"/>
      <c r="J76" s="4"/>
      <c r="K76" s="4"/>
      <c r="L76" s="4"/>
      <c r="M76" s="4"/>
    </row>
    <row r="77" spans="2:13">
      <c r="B77" s="4"/>
      <c r="C77" s="4"/>
      <c r="D77" s="4"/>
      <c r="E77" s="4"/>
      <c r="F77" s="4"/>
      <c r="G77" s="4"/>
      <c r="H77" s="4"/>
      <c r="I77" s="4"/>
      <c r="J77" s="4"/>
      <c r="K77" s="4"/>
      <c r="L77" s="4"/>
      <c r="M77" s="4"/>
    </row>
    <row r="78" spans="2:13">
      <c r="B78" s="4"/>
      <c r="C78" s="4"/>
      <c r="D78" s="4"/>
      <c r="E78" s="4"/>
      <c r="F78" s="4"/>
      <c r="G78" s="4"/>
      <c r="H78" s="4"/>
      <c r="I78" s="4"/>
      <c r="J78" s="4"/>
      <c r="K78" s="4"/>
      <c r="L78" s="4"/>
      <c r="M78" s="4"/>
    </row>
    <row r="79" spans="2:13">
      <c r="B79" s="4"/>
      <c r="C79" s="4"/>
      <c r="D79" s="4"/>
      <c r="E79" s="4"/>
      <c r="F79" s="4"/>
      <c r="G79" s="4"/>
      <c r="H79" s="4"/>
      <c r="I79" s="4"/>
      <c r="J79" s="4"/>
      <c r="K79" s="4"/>
      <c r="L79" s="4"/>
      <c r="M79" s="4"/>
    </row>
    <row r="80" spans="2:13">
      <c r="B80" s="4"/>
      <c r="C80" s="4"/>
      <c r="D80" s="4"/>
      <c r="E80" s="4"/>
      <c r="F80" s="4"/>
      <c r="G80" s="4"/>
      <c r="H80" s="4"/>
      <c r="I80" s="4"/>
      <c r="J80" s="4"/>
      <c r="K80" s="4"/>
      <c r="L80" s="4"/>
      <c r="M80" s="4"/>
    </row>
    <row r="81" spans="2:13">
      <c r="B81" s="4"/>
      <c r="C81" s="4"/>
      <c r="D81" s="4"/>
      <c r="E81" s="4"/>
      <c r="F81" s="4"/>
      <c r="G81" s="4"/>
      <c r="H81" s="4"/>
      <c r="I81" s="4"/>
      <c r="J81" s="4"/>
      <c r="K81" s="4"/>
      <c r="L81" s="4"/>
      <c r="M81" s="4"/>
    </row>
    <row r="82" spans="2:13">
      <c r="B82" s="4"/>
      <c r="C82" s="4"/>
      <c r="D82" s="4"/>
      <c r="E82" s="4"/>
      <c r="F82" s="4"/>
      <c r="G82" s="4"/>
      <c r="H82" s="4"/>
      <c r="I82" s="4"/>
      <c r="J82" s="4"/>
      <c r="K82" s="4"/>
      <c r="L82" s="4"/>
      <c r="M82" s="4"/>
    </row>
    <row r="83" spans="2:13">
      <c r="B83" s="4"/>
      <c r="C83" s="4"/>
      <c r="D83" s="4"/>
      <c r="E83" s="4"/>
      <c r="F83" s="4"/>
      <c r="G83" s="4"/>
      <c r="H83" s="4"/>
      <c r="I83" s="4"/>
      <c r="J83" s="4"/>
      <c r="K83" s="4"/>
      <c r="L83" s="4"/>
      <c r="M83" s="4"/>
    </row>
    <row r="84" spans="2:13">
      <c r="B84" s="4"/>
      <c r="C84" s="4"/>
      <c r="D84" s="4"/>
      <c r="E84" s="4"/>
      <c r="F84" s="4"/>
      <c r="G84" s="4"/>
      <c r="H84" s="4"/>
      <c r="I84" s="4"/>
      <c r="J84" s="4"/>
      <c r="K84" s="4"/>
      <c r="L84" s="4"/>
      <c r="M84" s="4"/>
    </row>
    <row r="85" spans="2:13">
      <c r="B85" s="4"/>
      <c r="C85" s="4"/>
      <c r="D85" s="4"/>
      <c r="E85" s="4"/>
      <c r="F85" s="4"/>
      <c r="G85" s="4"/>
      <c r="H85" s="4"/>
      <c r="I85" s="4"/>
      <c r="J85" s="4"/>
      <c r="K85" s="4"/>
      <c r="L85" s="4"/>
      <c r="M85" s="4"/>
    </row>
    <row r="86" spans="2:13">
      <c r="B86" s="4"/>
      <c r="C86" s="4"/>
      <c r="D86" s="4"/>
      <c r="E86" s="4"/>
      <c r="F86" s="4"/>
      <c r="G86" s="4"/>
      <c r="H86" s="4"/>
      <c r="I86" s="4"/>
      <c r="J86" s="4"/>
      <c r="K86" s="4"/>
      <c r="L86" s="4"/>
      <c r="M86" s="4"/>
    </row>
    <row r="87" spans="2:13">
      <c r="B87" s="4"/>
      <c r="C87" s="4"/>
      <c r="D87" s="4"/>
      <c r="E87" s="4"/>
      <c r="F87" s="4"/>
      <c r="G87" s="4"/>
      <c r="H87" s="4"/>
      <c r="I87" s="4"/>
      <c r="J87" s="4"/>
      <c r="K87" s="4"/>
      <c r="L87" s="4"/>
      <c r="M87" s="4"/>
    </row>
    <row r="88" spans="2:13">
      <c r="B88" s="4"/>
      <c r="C88" s="4"/>
      <c r="D88" s="4"/>
      <c r="E88" s="4"/>
      <c r="F88" s="4"/>
      <c r="G88" s="4"/>
      <c r="H88" s="4"/>
      <c r="I88" s="4"/>
      <c r="J88" s="4"/>
      <c r="K88" s="4"/>
      <c r="L88" s="4"/>
      <c r="M88" s="4"/>
    </row>
    <row r="89" spans="2:13">
      <c r="B89" s="4"/>
      <c r="C89" s="4"/>
      <c r="D89" s="4"/>
      <c r="E89" s="4"/>
      <c r="F89" s="4"/>
      <c r="G89" s="4"/>
      <c r="H89" s="4"/>
      <c r="I89" s="4"/>
      <c r="J89" s="4"/>
      <c r="K89" s="4"/>
      <c r="L89" s="4"/>
      <c r="M89" s="4"/>
    </row>
    <row r="90" spans="2:13">
      <c r="B90" s="4"/>
      <c r="C90" s="4"/>
      <c r="D90" s="4"/>
      <c r="E90" s="4"/>
      <c r="F90" s="4"/>
      <c r="G90" s="4"/>
      <c r="H90" s="4"/>
      <c r="I90" s="4"/>
      <c r="J90" s="4"/>
      <c r="K90" s="4"/>
      <c r="L90" s="4"/>
      <c r="M90" s="4"/>
    </row>
    <row r="91" spans="2:13">
      <c r="B91" s="4"/>
      <c r="C91" s="4"/>
      <c r="D91" s="4"/>
      <c r="E91" s="4"/>
      <c r="F91" s="4"/>
      <c r="G91" s="4"/>
      <c r="H91" s="4"/>
      <c r="I91" s="4"/>
      <c r="J91" s="4"/>
      <c r="K91" s="4"/>
      <c r="L91" s="4"/>
      <c r="M91" s="4"/>
    </row>
    <row r="92" spans="2:13">
      <c r="B92" s="4"/>
      <c r="C92" s="4"/>
      <c r="D92" s="4"/>
      <c r="E92" s="4"/>
      <c r="F92" s="4"/>
      <c r="G92" s="4"/>
      <c r="H92" s="4"/>
      <c r="I92" s="4"/>
      <c r="J92" s="4"/>
      <c r="K92" s="4"/>
      <c r="L92" s="4"/>
      <c r="M92" s="4"/>
    </row>
    <row r="93" spans="2:13">
      <c r="B93" s="4"/>
      <c r="C93" s="4"/>
      <c r="D93" s="4"/>
      <c r="E93" s="4"/>
      <c r="F93" s="4"/>
      <c r="G93" s="4"/>
      <c r="H93" s="4"/>
      <c r="I93" s="4"/>
      <c r="J93" s="4"/>
      <c r="K93" s="4"/>
      <c r="L93" s="4"/>
      <c r="M93" s="4"/>
    </row>
    <row r="94" spans="2:13">
      <c r="B94" s="4"/>
      <c r="C94" s="4"/>
      <c r="D94" s="4"/>
      <c r="E94" s="4"/>
      <c r="F94" s="4"/>
      <c r="G94" s="4"/>
      <c r="H94" s="4"/>
      <c r="I94" s="4"/>
      <c r="J94" s="4"/>
      <c r="K94" s="4"/>
      <c r="L94" s="4"/>
      <c r="M94" s="4"/>
    </row>
    <row r="95" spans="2:13">
      <c r="B95" s="4"/>
      <c r="C95" s="4"/>
      <c r="D95" s="4"/>
      <c r="E95" s="4"/>
      <c r="F95" s="4"/>
      <c r="G95" s="4"/>
      <c r="H95" s="4"/>
      <c r="I95" s="4"/>
      <c r="J95" s="4"/>
      <c r="K95" s="4"/>
      <c r="L95" s="4"/>
      <c r="M95" s="4"/>
    </row>
    <row r="96" spans="2:13">
      <c r="B96" s="4"/>
      <c r="C96" s="4"/>
      <c r="D96" s="4"/>
      <c r="E96" s="4"/>
      <c r="F96" s="4"/>
      <c r="G96" s="4"/>
      <c r="H96" s="4"/>
      <c r="I96" s="4"/>
      <c r="J96" s="4"/>
      <c r="K96" s="4"/>
      <c r="L96" s="4"/>
      <c r="M96" s="4"/>
    </row>
    <row r="97" spans="2:13">
      <c r="B97" s="4"/>
      <c r="C97" s="4"/>
      <c r="D97" s="4"/>
      <c r="E97" s="4"/>
      <c r="F97" s="4"/>
      <c r="G97" s="4"/>
      <c r="H97" s="4"/>
      <c r="I97" s="4"/>
      <c r="J97" s="4"/>
      <c r="K97" s="4"/>
      <c r="L97" s="4"/>
      <c r="M97" s="4"/>
    </row>
    <row r="98" spans="2:13">
      <c r="B98" s="4"/>
      <c r="C98" s="4"/>
      <c r="D98" s="4"/>
      <c r="E98" s="4"/>
      <c r="F98" s="4"/>
      <c r="G98" s="4"/>
      <c r="H98" s="4"/>
      <c r="I98" s="4"/>
      <c r="J98" s="4"/>
      <c r="K98" s="4"/>
      <c r="L98" s="4"/>
      <c r="M98" s="4"/>
    </row>
    <row r="99" spans="2:13">
      <c r="B99" s="4"/>
      <c r="C99" s="4"/>
      <c r="D99" s="4"/>
      <c r="E99" s="4"/>
      <c r="F99" s="4"/>
      <c r="G99" s="4"/>
      <c r="H99" s="4"/>
      <c r="I99" s="4"/>
      <c r="J99" s="4"/>
      <c r="K99" s="4"/>
      <c r="L99" s="4"/>
      <c r="M99" s="4"/>
    </row>
    <row r="100" spans="2:13">
      <c r="B100" s="4"/>
      <c r="C100" s="4"/>
      <c r="D100" s="4"/>
      <c r="E100" s="4"/>
      <c r="F100" s="4"/>
      <c r="G100" s="4"/>
      <c r="H100" s="4"/>
      <c r="I100" s="4"/>
      <c r="J100" s="4"/>
      <c r="K100" s="4"/>
      <c r="L100" s="4"/>
      <c r="M100" s="4"/>
    </row>
    <row r="101" spans="2:13">
      <c r="B101" s="4"/>
      <c r="C101" s="4"/>
      <c r="D101" s="4"/>
      <c r="E101" s="4"/>
      <c r="F101" s="4"/>
      <c r="G101" s="4"/>
      <c r="H101" s="4"/>
      <c r="I101" s="4"/>
      <c r="J101" s="4"/>
      <c r="K101" s="4"/>
      <c r="L101" s="4"/>
      <c r="M101" s="4"/>
    </row>
    <row r="102" spans="2:13">
      <c r="B102" s="4"/>
      <c r="C102" s="4"/>
      <c r="D102" s="4"/>
      <c r="E102" s="4"/>
      <c r="F102" s="4"/>
      <c r="G102" s="4"/>
      <c r="H102" s="4"/>
      <c r="I102" s="4"/>
      <c r="J102" s="4"/>
      <c r="K102" s="4"/>
      <c r="L102" s="4"/>
      <c r="M102" s="4"/>
    </row>
    <row r="103" spans="2:13">
      <c r="B103" s="4"/>
      <c r="C103" s="4"/>
      <c r="D103" s="4"/>
      <c r="E103" s="4"/>
      <c r="F103" s="4"/>
      <c r="G103" s="4"/>
      <c r="H103" s="4"/>
      <c r="I103" s="4"/>
      <c r="J103" s="4"/>
      <c r="K103" s="4"/>
      <c r="L103" s="4"/>
      <c r="M103" s="4"/>
    </row>
    <row r="104" spans="2:13">
      <c r="B104" s="4"/>
      <c r="C104" s="4"/>
      <c r="D104" s="4"/>
      <c r="E104" s="4"/>
      <c r="F104" s="4"/>
      <c r="G104" s="4"/>
      <c r="H104" s="4"/>
      <c r="I104" s="4"/>
      <c r="J104" s="4"/>
      <c r="K104" s="4"/>
      <c r="L104" s="4"/>
      <c r="M104" s="4"/>
    </row>
    <row r="105" spans="2:13">
      <c r="B105" s="4"/>
      <c r="C105" s="4"/>
      <c r="D105" s="4"/>
      <c r="E105" s="4"/>
      <c r="F105" s="4"/>
      <c r="G105" s="4"/>
      <c r="H105" s="4"/>
      <c r="I105" s="4"/>
      <c r="J105" s="4"/>
      <c r="K105" s="4"/>
      <c r="L105" s="4"/>
      <c r="M105" s="4"/>
    </row>
    <row r="106" spans="2:13">
      <c r="B106" s="4"/>
      <c r="C106" s="4"/>
      <c r="D106" s="4"/>
      <c r="E106" s="4"/>
      <c r="F106" s="4"/>
      <c r="G106" s="4"/>
      <c r="H106" s="4"/>
      <c r="I106" s="4"/>
      <c r="J106" s="4"/>
      <c r="K106" s="4"/>
      <c r="L106" s="4"/>
      <c r="M106" s="4"/>
    </row>
    <row r="107" spans="2:13">
      <c r="B107" s="4"/>
      <c r="C107" s="4"/>
      <c r="D107" s="4"/>
      <c r="E107" s="4"/>
      <c r="F107" s="4"/>
      <c r="G107" s="4"/>
      <c r="H107" s="4"/>
      <c r="I107" s="4"/>
      <c r="J107" s="4"/>
      <c r="K107" s="4"/>
      <c r="L107" s="4"/>
      <c r="M107" s="4"/>
    </row>
    <row r="108" spans="2:13">
      <c r="B108" s="4"/>
      <c r="C108" s="4"/>
      <c r="D108" s="4"/>
      <c r="E108" s="4"/>
      <c r="F108" s="4"/>
      <c r="G108" s="4"/>
      <c r="H108" s="4"/>
      <c r="I108" s="4"/>
      <c r="J108" s="4"/>
      <c r="K108" s="4"/>
      <c r="L108" s="4"/>
      <c r="M108" s="4"/>
    </row>
    <row r="109" spans="2:13">
      <c r="B109" s="4"/>
      <c r="C109" s="4"/>
      <c r="D109" s="4"/>
      <c r="E109" s="4"/>
      <c r="F109" s="4"/>
      <c r="G109" s="4"/>
      <c r="H109" s="4"/>
      <c r="I109" s="4"/>
      <c r="J109" s="4"/>
      <c r="K109" s="4"/>
      <c r="L109" s="4"/>
      <c r="M109" s="4"/>
    </row>
    <row r="110" spans="2:13">
      <c r="B110" s="4"/>
      <c r="C110" s="4"/>
      <c r="D110" s="4"/>
      <c r="E110" s="4"/>
      <c r="F110" s="4"/>
      <c r="G110" s="4"/>
      <c r="H110" s="4"/>
      <c r="I110" s="4"/>
      <c r="J110" s="4"/>
      <c r="K110" s="4"/>
      <c r="L110" s="4"/>
      <c r="M110" s="4"/>
    </row>
    <row r="111" spans="2:13">
      <c r="B111" s="4"/>
      <c r="C111" s="4"/>
      <c r="D111" s="4"/>
      <c r="E111" s="4"/>
      <c r="F111" s="4"/>
      <c r="G111" s="4"/>
      <c r="H111" s="4"/>
      <c r="I111" s="4"/>
      <c r="J111" s="4"/>
      <c r="K111" s="4"/>
      <c r="L111" s="4"/>
      <c r="M111" s="4"/>
    </row>
    <row r="112" spans="2:13">
      <c r="B112" s="4"/>
      <c r="C112" s="4"/>
      <c r="D112" s="4"/>
      <c r="E112" s="4"/>
      <c r="F112" s="4"/>
      <c r="G112" s="4"/>
      <c r="H112" s="4"/>
      <c r="I112" s="4"/>
      <c r="J112" s="4"/>
      <c r="K112" s="4"/>
      <c r="L112" s="4"/>
      <c r="M112" s="4"/>
    </row>
    <row r="113" spans="2:13">
      <c r="B113" s="4"/>
      <c r="C113" s="4"/>
      <c r="D113" s="4"/>
      <c r="E113" s="4"/>
      <c r="F113" s="4"/>
      <c r="G113" s="4"/>
      <c r="H113" s="4"/>
      <c r="I113" s="4"/>
      <c r="J113" s="4"/>
      <c r="K113" s="4"/>
      <c r="L113" s="4"/>
      <c r="M113" s="4"/>
    </row>
    <row r="114" spans="2:13">
      <c r="B114" s="4"/>
      <c r="C114" s="4"/>
      <c r="D114" s="4"/>
      <c r="E114" s="4"/>
      <c r="F114" s="4"/>
      <c r="G114" s="4"/>
      <c r="H114" s="4"/>
      <c r="I114" s="4"/>
      <c r="J114" s="4"/>
      <c r="K114" s="4"/>
      <c r="L114" s="4"/>
      <c r="M114" s="4"/>
    </row>
    <row r="115" spans="2:13">
      <c r="B115" s="4"/>
      <c r="C115" s="4"/>
      <c r="D115" s="4"/>
      <c r="E115" s="4"/>
      <c r="F115" s="4"/>
      <c r="G115" s="4"/>
      <c r="H115" s="4"/>
      <c r="I115" s="4"/>
      <c r="J115" s="4"/>
      <c r="K115" s="4"/>
      <c r="L115" s="4"/>
      <c r="M115" s="4"/>
    </row>
    <row r="116" spans="2:13">
      <c r="B116" s="4"/>
      <c r="C116" s="4"/>
      <c r="D116" s="4"/>
      <c r="E116" s="4"/>
      <c r="F116" s="4"/>
      <c r="G116" s="4"/>
      <c r="H116" s="4"/>
      <c r="I116" s="4"/>
      <c r="J116" s="4"/>
      <c r="K116" s="4"/>
      <c r="L116" s="4"/>
      <c r="M116" s="4"/>
    </row>
    <row r="117" spans="2:13">
      <c r="B117" s="4"/>
      <c r="C117" s="4"/>
      <c r="D117" s="4"/>
      <c r="E117" s="4"/>
      <c r="F117" s="4"/>
      <c r="G117" s="4"/>
      <c r="H117" s="4"/>
      <c r="I117" s="4"/>
      <c r="J117" s="4"/>
      <c r="K117" s="4"/>
      <c r="L117" s="4"/>
      <c r="M117" s="4"/>
    </row>
    <row r="118" spans="2:13">
      <c r="B118" s="4"/>
      <c r="C118" s="4"/>
      <c r="D118" s="4"/>
      <c r="E118" s="4"/>
      <c r="F118" s="4"/>
      <c r="G118" s="4"/>
      <c r="H118" s="4"/>
      <c r="I118" s="4"/>
      <c r="J118" s="4"/>
      <c r="K118" s="4"/>
      <c r="L118" s="4"/>
      <c r="M118" s="4"/>
    </row>
    <row r="119" spans="2:13">
      <c r="B119" s="4"/>
      <c r="C119" s="4"/>
      <c r="D119" s="4"/>
      <c r="E119" s="4"/>
      <c r="F119" s="4"/>
      <c r="G119" s="4"/>
      <c r="H119" s="4"/>
      <c r="I119" s="4"/>
      <c r="J119" s="4"/>
      <c r="K119" s="4"/>
      <c r="L119" s="4"/>
      <c r="M119" s="4"/>
    </row>
    <row r="120" spans="2:13">
      <c r="B120" s="4"/>
      <c r="C120" s="4"/>
      <c r="D120" s="4"/>
      <c r="E120" s="4"/>
      <c r="F120" s="4"/>
      <c r="G120" s="4"/>
      <c r="H120" s="4"/>
      <c r="I120" s="4"/>
      <c r="J120" s="4"/>
      <c r="K120" s="4"/>
      <c r="L120" s="4"/>
      <c r="M120" s="4"/>
    </row>
    <row r="121" spans="2:13">
      <c r="B121" s="4"/>
      <c r="C121" s="4"/>
      <c r="D121" s="4"/>
      <c r="E121" s="4"/>
      <c r="F121" s="4"/>
      <c r="G121" s="4"/>
      <c r="H121" s="4"/>
      <c r="I121" s="4"/>
      <c r="J121" s="4"/>
      <c r="K121" s="4"/>
      <c r="L121" s="4"/>
      <c r="M121" s="4"/>
    </row>
    <row r="122" spans="2:13">
      <c r="B122" s="4"/>
      <c r="C122" s="4"/>
      <c r="D122" s="4"/>
      <c r="E122" s="4"/>
      <c r="F122" s="4"/>
      <c r="G122" s="4"/>
      <c r="H122" s="4"/>
      <c r="I122" s="4"/>
      <c r="J122" s="4"/>
      <c r="K122" s="4"/>
      <c r="L122" s="4"/>
      <c r="M122" s="4"/>
    </row>
    <row r="123" spans="2:13">
      <c r="B123" s="4"/>
      <c r="C123" s="4"/>
      <c r="D123" s="4"/>
      <c r="E123" s="4"/>
      <c r="F123" s="4"/>
      <c r="G123" s="4"/>
      <c r="H123" s="4"/>
      <c r="I123" s="4"/>
      <c r="J123" s="4"/>
      <c r="K123" s="4"/>
      <c r="L123" s="4"/>
      <c r="M123" s="4"/>
    </row>
    <row r="124" spans="2:13">
      <c r="B124" s="4"/>
      <c r="C124" s="4"/>
      <c r="D124" s="4"/>
      <c r="E124" s="4"/>
      <c r="F124" s="4"/>
      <c r="G124" s="4"/>
      <c r="H124" s="4"/>
      <c r="I124" s="4"/>
      <c r="J124" s="4"/>
      <c r="K124" s="4"/>
      <c r="L124" s="4"/>
      <c r="M124" s="4"/>
    </row>
    <row r="125" spans="2:13">
      <c r="B125" s="4"/>
      <c r="C125" s="4"/>
      <c r="D125" s="4"/>
      <c r="E125" s="4"/>
      <c r="F125" s="4"/>
      <c r="G125" s="4"/>
      <c r="H125" s="4"/>
      <c r="I125" s="4"/>
      <c r="J125" s="4"/>
      <c r="K125" s="4"/>
      <c r="L125" s="4"/>
      <c r="M125" s="4"/>
    </row>
    <row r="126" spans="2:13">
      <c r="B126" s="4"/>
      <c r="C126" s="4"/>
      <c r="D126" s="4"/>
      <c r="E126" s="4"/>
      <c r="F126" s="4"/>
      <c r="G126" s="4"/>
      <c r="H126" s="4"/>
      <c r="I126" s="4"/>
      <c r="J126" s="4"/>
      <c r="K126" s="4"/>
      <c r="L126" s="4"/>
      <c r="M126" s="4"/>
    </row>
    <row r="127" spans="2:13">
      <c r="B127" s="4"/>
      <c r="C127" s="4"/>
      <c r="D127" s="4"/>
      <c r="E127" s="4"/>
      <c r="F127" s="4"/>
      <c r="G127" s="4"/>
      <c r="H127" s="4"/>
      <c r="I127" s="4"/>
      <c r="J127" s="4"/>
      <c r="K127" s="4"/>
      <c r="L127" s="4"/>
      <c r="M127" s="4"/>
    </row>
    <row r="128" spans="2:13">
      <c r="B128" s="4"/>
      <c r="C128" s="4"/>
      <c r="D128" s="4"/>
      <c r="E128" s="4"/>
      <c r="F128" s="4"/>
      <c r="G128" s="4"/>
      <c r="H128" s="4"/>
      <c r="I128" s="4"/>
      <c r="J128" s="4"/>
      <c r="K128" s="4"/>
      <c r="L128" s="4"/>
      <c r="M128" s="4"/>
    </row>
    <row r="129" spans="2:13">
      <c r="B129" s="4"/>
      <c r="C129" s="4"/>
      <c r="D129" s="4"/>
      <c r="E129" s="4"/>
      <c r="F129" s="4"/>
      <c r="G129" s="4"/>
      <c r="H129" s="4"/>
      <c r="I129" s="4"/>
      <c r="J129" s="4"/>
      <c r="K129" s="4"/>
      <c r="L129" s="4"/>
      <c r="M129" s="4"/>
    </row>
    <row r="130" spans="2:13">
      <c r="B130" s="4"/>
      <c r="C130" s="4"/>
      <c r="D130" s="4"/>
      <c r="E130" s="4"/>
      <c r="F130" s="4"/>
      <c r="G130" s="4"/>
      <c r="H130" s="4"/>
      <c r="I130" s="4"/>
      <c r="J130" s="4"/>
      <c r="K130" s="4"/>
      <c r="L130" s="4"/>
      <c r="M130" s="4"/>
    </row>
    <row r="131" spans="2:13">
      <c r="B131" s="4"/>
      <c r="C131" s="4"/>
      <c r="D131" s="4"/>
      <c r="E131" s="4"/>
      <c r="F131" s="4"/>
      <c r="G131" s="4"/>
      <c r="H131" s="4"/>
      <c r="I131" s="4"/>
      <c r="J131" s="4"/>
      <c r="K131" s="4"/>
      <c r="L131" s="4"/>
      <c r="M131" s="4"/>
    </row>
    <row r="132" spans="2:13">
      <c r="B132" s="4"/>
      <c r="C132" s="4"/>
      <c r="D132" s="4"/>
      <c r="E132" s="4"/>
      <c r="F132" s="4"/>
      <c r="G132" s="4"/>
      <c r="H132" s="4"/>
      <c r="I132" s="4"/>
      <c r="J132" s="4"/>
      <c r="K132" s="4"/>
      <c r="L132" s="4"/>
      <c r="M132" s="4"/>
    </row>
    <row r="133" spans="2:13">
      <c r="B133" s="4"/>
      <c r="C133" s="4"/>
      <c r="D133" s="4"/>
      <c r="E133" s="4"/>
      <c r="F133" s="4"/>
      <c r="G133" s="4"/>
      <c r="H133" s="4"/>
      <c r="I133" s="4"/>
      <c r="J133" s="4"/>
      <c r="K133" s="4"/>
      <c r="L133" s="4"/>
      <c r="M133" s="4"/>
    </row>
    <row r="134" spans="2:13">
      <c r="B134" s="4"/>
      <c r="C134" s="4"/>
      <c r="D134" s="4"/>
      <c r="E134" s="4"/>
      <c r="F134" s="4"/>
      <c r="G134" s="4"/>
      <c r="H134" s="4"/>
      <c r="I134" s="4"/>
      <c r="J134" s="4"/>
      <c r="K134" s="4"/>
      <c r="L134" s="4"/>
      <c r="M134" s="4"/>
    </row>
    <row r="135" spans="2:13">
      <c r="B135" s="4"/>
      <c r="C135" s="4"/>
      <c r="D135" s="4"/>
      <c r="E135" s="4"/>
      <c r="F135" s="4"/>
      <c r="G135" s="4"/>
      <c r="H135" s="4"/>
      <c r="I135" s="4"/>
      <c r="J135" s="4"/>
      <c r="K135" s="4"/>
      <c r="L135" s="4"/>
      <c r="M135" s="4"/>
    </row>
    <row r="136" spans="2:13">
      <c r="B136" s="4"/>
      <c r="C136" s="4"/>
      <c r="D136" s="4"/>
      <c r="E136" s="4"/>
      <c r="F136" s="4"/>
      <c r="G136" s="4"/>
      <c r="H136" s="4"/>
      <c r="I136" s="4"/>
      <c r="J136" s="4"/>
      <c r="K136" s="4"/>
      <c r="L136" s="4"/>
      <c r="M136" s="4"/>
    </row>
    <row r="137" spans="2:13">
      <c r="B137" s="4"/>
      <c r="C137" s="4"/>
      <c r="D137" s="4"/>
      <c r="E137" s="4"/>
      <c r="F137" s="4"/>
      <c r="G137" s="4"/>
      <c r="H137" s="4"/>
      <c r="I137" s="4"/>
      <c r="J137" s="4"/>
      <c r="K137" s="4"/>
      <c r="L137" s="4"/>
      <c r="M137" s="4"/>
    </row>
    <row r="138" spans="2:13">
      <c r="B138" s="4"/>
      <c r="C138" s="4"/>
      <c r="D138" s="4"/>
      <c r="E138" s="4"/>
      <c r="F138" s="4"/>
      <c r="G138" s="4"/>
      <c r="H138" s="4"/>
      <c r="I138" s="4"/>
      <c r="J138" s="4"/>
      <c r="K138" s="4"/>
      <c r="L138" s="4"/>
      <c r="M138" s="4"/>
    </row>
    <row r="139" spans="2:13">
      <c r="B139" s="4"/>
      <c r="C139" s="4"/>
      <c r="D139" s="4"/>
      <c r="E139" s="4"/>
      <c r="F139" s="4"/>
      <c r="G139" s="4"/>
      <c r="H139" s="4"/>
      <c r="I139" s="4"/>
      <c r="J139" s="4"/>
      <c r="K139" s="4"/>
      <c r="L139" s="4"/>
      <c r="M139" s="4"/>
    </row>
    <row r="140" spans="2:13">
      <c r="B140" s="4"/>
      <c r="C140" s="4"/>
      <c r="D140" s="4"/>
      <c r="E140" s="4"/>
      <c r="F140" s="4"/>
      <c r="G140" s="4"/>
      <c r="H140" s="4"/>
      <c r="I140" s="4"/>
      <c r="J140" s="4"/>
      <c r="K140" s="4"/>
      <c r="L140" s="4"/>
      <c r="M140" s="4"/>
    </row>
    <row r="141" spans="2:13">
      <c r="B141" s="4"/>
      <c r="C141" s="4"/>
      <c r="D141" s="4"/>
      <c r="E141" s="4"/>
      <c r="F141" s="4"/>
      <c r="G141" s="4"/>
      <c r="H141" s="4"/>
      <c r="I141" s="4"/>
      <c r="J141" s="4"/>
      <c r="K141" s="4"/>
      <c r="L141" s="4"/>
      <c r="M141" s="4"/>
    </row>
    <row r="142" spans="2:13">
      <c r="B142" s="4"/>
      <c r="C142" s="4"/>
      <c r="D142" s="4"/>
      <c r="E142" s="4"/>
      <c r="F142" s="4"/>
      <c r="G142" s="4"/>
      <c r="H142" s="4"/>
      <c r="I142" s="4"/>
      <c r="J142" s="4"/>
      <c r="K142" s="4"/>
      <c r="L142" s="4"/>
      <c r="M142" s="4"/>
    </row>
    <row r="143" spans="2:13">
      <c r="B143" s="4"/>
      <c r="C143" s="4"/>
      <c r="D143" s="4"/>
      <c r="E143" s="4"/>
      <c r="F143" s="4"/>
      <c r="G143" s="4"/>
      <c r="H143" s="4"/>
      <c r="I143" s="4"/>
      <c r="J143" s="4"/>
      <c r="K143" s="4"/>
      <c r="L143" s="4"/>
      <c r="M143" s="4"/>
    </row>
    <row r="144" spans="2:13">
      <c r="B144" s="4"/>
      <c r="C144" s="4"/>
      <c r="D144" s="4"/>
      <c r="E144" s="4"/>
      <c r="F144" s="4"/>
      <c r="G144" s="4"/>
      <c r="H144" s="4"/>
      <c r="I144" s="4"/>
      <c r="J144" s="4"/>
      <c r="K144" s="4"/>
      <c r="L144" s="4"/>
      <c r="M144" s="4"/>
    </row>
    <row r="145" spans="2:13">
      <c r="B145" s="4"/>
      <c r="C145" s="4"/>
      <c r="D145" s="4"/>
      <c r="E145" s="4"/>
      <c r="F145" s="4"/>
      <c r="G145" s="4"/>
      <c r="H145" s="4"/>
      <c r="I145" s="4"/>
      <c r="J145" s="4"/>
      <c r="K145" s="4"/>
      <c r="L145" s="4"/>
      <c r="M145" s="4"/>
    </row>
    <row r="146" spans="2:13">
      <c r="B146" s="4"/>
      <c r="C146" s="4"/>
      <c r="D146" s="4"/>
      <c r="E146" s="4"/>
      <c r="F146" s="4"/>
      <c r="G146" s="4"/>
      <c r="H146" s="4"/>
      <c r="I146" s="4"/>
      <c r="J146" s="4"/>
      <c r="K146" s="4"/>
      <c r="L146" s="4"/>
      <c r="M146" s="4"/>
    </row>
    <row r="147" spans="2:13">
      <c r="B147" s="4"/>
      <c r="C147" s="4"/>
      <c r="D147" s="4"/>
      <c r="E147" s="4"/>
      <c r="F147" s="4"/>
      <c r="G147" s="4"/>
      <c r="H147" s="4"/>
      <c r="I147" s="4"/>
      <c r="J147" s="4"/>
      <c r="K147" s="4"/>
      <c r="L147" s="4"/>
      <c r="M147" s="4"/>
    </row>
    <row r="148" spans="2:13">
      <c r="B148" s="4"/>
      <c r="C148" s="4"/>
      <c r="D148" s="4"/>
      <c r="E148" s="4"/>
      <c r="F148" s="4"/>
      <c r="G148" s="4"/>
      <c r="H148" s="4"/>
      <c r="I148" s="4"/>
      <c r="J148" s="4"/>
      <c r="K148" s="4"/>
      <c r="L148" s="4"/>
      <c r="M148" s="4"/>
    </row>
    <row r="149" spans="2:13">
      <c r="B149" s="4"/>
      <c r="C149" s="4"/>
      <c r="D149" s="4"/>
      <c r="E149" s="4"/>
      <c r="F149" s="4"/>
      <c r="G149" s="4"/>
      <c r="H149" s="4"/>
      <c r="I149" s="4"/>
      <c r="J149" s="4"/>
      <c r="K149" s="4"/>
      <c r="L149" s="4"/>
      <c r="M149" s="4"/>
    </row>
    <row r="150" spans="2:13">
      <c r="B150" s="4"/>
      <c r="C150" s="4"/>
      <c r="D150" s="4"/>
      <c r="E150" s="4"/>
      <c r="F150" s="4"/>
      <c r="G150" s="4"/>
      <c r="H150" s="4"/>
      <c r="I150" s="4"/>
      <c r="J150" s="4"/>
      <c r="K150" s="4"/>
      <c r="L150" s="4"/>
      <c r="M150" s="4"/>
    </row>
    <row r="151" spans="2:13">
      <c r="B151" s="4"/>
      <c r="C151" s="4"/>
      <c r="D151" s="4"/>
      <c r="E151" s="4"/>
      <c r="F151" s="4"/>
      <c r="G151" s="4"/>
      <c r="H151" s="4"/>
      <c r="I151" s="4"/>
      <c r="J151" s="4"/>
      <c r="K151" s="4"/>
      <c r="L151" s="4"/>
      <c r="M151" s="4"/>
    </row>
    <row r="152" spans="2:13">
      <c r="B152" s="4"/>
      <c r="C152" s="4"/>
      <c r="D152" s="4"/>
      <c r="E152" s="4"/>
      <c r="F152" s="4"/>
      <c r="G152" s="4"/>
      <c r="H152" s="4"/>
      <c r="I152" s="4"/>
      <c r="J152" s="4"/>
      <c r="K152" s="4"/>
      <c r="L152" s="4"/>
      <c r="M152" s="4"/>
    </row>
    <row r="153" spans="2:13">
      <c r="B153" s="4"/>
      <c r="C153" s="4"/>
      <c r="D153" s="4"/>
      <c r="E153" s="4"/>
      <c r="F153" s="4"/>
      <c r="G153" s="4"/>
      <c r="H153" s="4"/>
      <c r="I153" s="4"/>
      <c r="J153" s="4"/>
      <c r="K153" s="4"/>
      <c r="L153" s="4"/>
      <c r="M153" s="4"/>
    </row>
    <row r="154" spans="2:13">
      <c r="B154" s="4"/>
      <c r="C154" s="4"/>
      <c r="D154" s="4"/>
      <c r="E154" s="4"/>
      <c r="F154" s="4"/>
      <c r="G154" s="4"/>
      <c r="H154" s="4"/>
      <c r="I154" s="4"/>
      <c r="J154" s="4"/>
      <c r="K154" s="4"/>
      <c r="L154" s="4"/>
      <c r="M154" s="4"/>
    </row>
    <row r="155" spans="2:13">
      <c r="B155" s="4"/>
      <c r="C155" s="4"/>
      <c r="D155" s="4"/>
      <c r="E155" s="4"/>
      <c r="F155" s="4"/>
      <c r="G155" s="4"/>
      <c r="H155" s="4"/>
      <c r="I155" s="4"/>
      <c r="J155" s="4"/>
      <c r="K155" s="4"/>
      <c r="L155" s="4"/>
      <c r="M155" s="4"/>
    </row>
    <row r="156" spans="2:13">
      <c r="B156" s="4"/>
      <c r="C156" s="4"/>
      <c r="D156" s="4"/>
      <c r="E156" s="4"/>
      <c r="F156" s="4"/>
      <c r="G156" s="4"/>
      <c r="H156" s="4"/>
      <c r="I156" s="4"/>
      <c r="J156" s="4"/>
      <c r="K156" s="4"/>
      <c r="L156" s="4"/>
      <c r="M156" s="4"/>
    </row>
    <row r="157" spans="2:13">
      <c r="B157" s="4"/>
      <c r="C157" s="4"/>
      <c r="D157" s="4"/>
      <c r="E157" s="4"/>
      <c r="F157" s="4"/>
      <c r="G157" s="4"/>
      <c r="H157" s="4"/>
      <c r="I157" s="4"/>
      <c r="J157" s="4"/>
      <c r="K157" s="4"/>
      <c r="L157" s="4"/>
      <c r="M157" s="4"/>
    </row>
    <row r="158" spans="2:13">
      <c r="B158" s="4"/>
      <c r="C158" s="4"/>
      <c r="D158" s="4"/>
      <c r="E158" s="4"/>
      <c r="F158" s="4"/>
      <c r="G158" s="4"/>
      <c r="H158" s="4"/>
      <c r="I158" s="4"/>
      <c r="J158" s="4"/>
      <c r="K158" s="4"/>
      <c r="L158" s="4"/>
      <c r="M158" s="4"/>
    </row>
    <row r="159" spans="2:13">
      <c r="B159" s="4"/>
      <c r="C159" s="4"/>
      <c r="D159" s="4"/>
      <c r="E159" s="4"/>
      <c r="F159" s="4"/>
      <c r="G159" s="4"/>
      <c r="H159" s="4"/>
      <c r="I159" s="4"/>
      <c r="J159" s="4"/>
      <c r="K159" s="4"/>
      <c r="L159" s="4"/>
      <c r="M159" s="4"/>
    </row>
    <row r="160" spans="2:13">
      <c r="B160" s="4"/>
      <c r="C160" s="4"/>
      <c r="D160" s="4"/>
      <c r="E160" s="4"/>
      <c r="F160" s="4"/>
      <c r="G160" s="4"/>
      <c r="H160" s="4"/>
      <c r="I160" s="4"/>
      <c r="J160" s="4"/>
      <c r="K160" s="4"/>
      <c r="L160" s="4"/>
      <c r="M160" s="4"/>
    </row>
  </sheetData>
  <customSheetViews>
    <customSheetView guid="{6B74E52F-9552-408A-8775-25AFF24E6639}" scale="75" showPageBreaks="1" fitToPage="1" printArea="1" showRuler="0">
      <selection activeCell="A5" sqref="A5"/>
      <rowBreaks count="1" manualBreakCount="1">
        <brk id="43" max="15" man="1"/>
      </rowBreaks>
      <pageMargins left="0.75" right="0.75" top="1" bottom="1" header="0.5" footer="0.5"/>
      <pageSetup scale="61" orientation="landscape" r:id="rId1"/>
      <headerFooter alignWithMargins="0">
        <oddFooter>&amp;L&amp;Z
&amp;F&amp;C&amp;A&amp;R7.&amp;P</oddFooter>
      </headerFooter>
    </customSheetView>
  </customSheetViews>
  <mergeCells count="3">
    <mergeCell ref="A2:P2"/>
    <mergeCell ref="A1:P1"/>
    <mergeCell ref="A3:P3"/>
  </mergeCells>
  <phoneticPr fontId="0" type="noConversion"/>
  <pageMargins left="0.75" right="0.75" top="1" bottom="1" header="0.5" footer="0.5"/>
  <pageSetup scale="61" orientation="landscape" r:id="rId2"/>
  <headerFooter alignWithMargins="0">
    <oddFooter>&amp;L&amp;Z
&amp;F&amp;C&amp;A&amp;R7.&amp;P</oddFooter>
  </headerFooter>
  <rowBreaks count="1" manualBreakCount="1">
    <brk id="44" max="15" man="1"/>
  </rowBreaks>
</worksheet>
</file>

<file path=xl/worksheets/sheet94.xml><?xml version="1.0" encoding="utf-8"?>
<worksheet xmlns="http://schemas.openxmlformats.org/spreadsheetml/2006/main" xmlns:r="http://schemas.openxmlformats.org/officeDocument/2006/relationships">
  <sheetPr codeName="Sheet54" enableFormatConditionsCalculation="0">
    <tabColor indexed="32"/>
  </sheetPr>
  <dimension ref="A1:M187"/>
  <sheetViews>
    <sheetView zoomScaleNormal="100" workbookViewId="0">
      <pane xSplit="1" ySplit="10" topLeftCell="B11" activePane="bottomRight" state="frozen"/>
      <selection pane="topRight" activeCell="B1" sqref="B1"/>
      <selection pane="bottomLeft" activeCell="A11" sqref="A11"/>
      <selection pane="bottomRight" activeCell="B11" sqref="B11"/>
    </sheetView>
  </sheetViews>
  <sheetFormatPr defaultRowHeight="12.75"/>
  <cols>
    <col min="1" max="1" width="40.5703125" bestFit="1" customWidth="1"/>
    <col min="2" max="2" width="17.7109375" customWidth="1"/>
    <col min="3" max="3" width="1.7109375" customWidth="1"/>
    <col min="4" max="4" width="17.7109375" customWidth="1"/>
    <col min="5" max="5" width="1.7109375" customWidth="1"/>
    <col min="6" max="6" width="17.7109375" customWidth="1"/>
    <col min="7" max="7" width="1.7109375" customWidth="1"/>
    <col min="8" max="8" width="17.7109375" customWidth="1"/>
    <col min="9" max="9" width="1.7109375" customWidth="1"/>
    <col min="10" max="10" width="17.7109375" customWidth="1"/>
    <col min="11" max="11" width="1.7109375" customWidth="1"/>
    <col min="12" max="12" width="17.7109375" customWidth="1"/>
    <col min="13" max="13" width="2.140625" customWidth="1"/>
  </cols>
  <sheetData>
    <row r="1" spans="1:13" s="38" customFormat="1" ht="15.75">
      <c r="A1" s="366" t="s">
        <v>134</v>
      </c>
      <c r="B1" s="366"/>
      <c r="C1" s="366"/>
      <c r="D1" s="366"/>
      <c r="E1" s="366"/>
      <c r="F1" s="366"/>
      <c r="G1" s="366"/>
      <c r="H1" s="366"/>
      <c r="I1" s="366"/>
      <c r="J1" s="366"/>
      <c r="K1" s="366"/>
      <c r="L1" s="366"/>
    </row>
    <row r="2" spans="1:13" s="38" customFormat="1" ht="15.75">
      <c r="A2" s="366" t="s">
        <v>1216</v>
      </c>
      <c r="B2" s="366"/>
      <c r="C2" s="366"/>
      <c r="D2" s="366"/>
      <c r="E2" s="366"/>
      <c r="F2" s="366"/>
      <c r="G2" s="366"/>
      <c r="H2" s="366"/>
      <c r="I2" s="366"/>
      <c r="J2" s="366"/>
      <c r="K2" s="366"/>
      <c r="L2" s="366"/>
    </row>
    <row r="3" spans="1:13">
      <c r="A3" s="357" t="str">
        <f>'Summary - Cost - PG 1 (Fin)'!A3:N3</f>
        <v>MARCH 2012</v>
      </c>
      <c r="B3" s="357"/>
      <c r="C3" s="357"/>
      <c r="D3" s="357"/>
      <c r="E3" s="357"/>
      <c r="F3" s="357"/>
      <c r="G3" s="357"/>
      <c r="H3" s="357"/>
      <c r="I3" s="357"/>
      <c r="J3" s="357"/>
      <c r="K3" s="357"/>
      <c r="L3" s="357"/>
    </row>
    <row r="4" spans="1:13">
      <c r="A4" s="30"/>
      <c r="B4" s="30"/>
      <c r="C4" s="30"/>
      <c r="D4" s="30"/>
      <c r="E4" s="30"/>
      <c r="F4" s="30"/>
      <c r="G4" s="30"/>
      <c r="H4" s="30"/>
      <c r="I4" s="30"/>
      <c r="J4" s="30"/>
      <c r="K4" s="30"/>
      <c r="L4" s="30"/>
    </row>
    <row r="6" spans="1:13">
      <c r="B6" s="41" t="s">
        <v>25</v>
      </c>
      <c r="D6" s="33"/>
      <c r="F6" s="33"/>
      <c r="H6" s="41" t="s">
        <v>612</v>
      </c>
      <c r="J6" s="33"/>
      <c r="L6" s="41" t="s">
        <v>26</v>
      </c>
    </row>
    <row r="7" spans="1:13" s="10" customFormat="1">
      <c r="B7" s="42" t="s">
        <v>27</v>
      </c>
      <c r="C7"/>
      <c r="D7" s="42" t="s">
        <v>107</v>
      </c>
      <c r="E7"/>
      <c r="F7" s="42" t="s">
        <v>108</v>
      </c>
      <c r="G7"/>
      <c r="H7" s="42" t="s">
        <v>613</v>
      </c>
      <c r="I7"/>
      <c r="J7" s="42" t="s">
        <v>109</v>
      </c>
      <c r="K7"/>
      <c r="L7" s="42" t="s">
        <v>27</v>
      </c>
    </row>
    <row r="8" spans="1:13" s="10" customFormat="1">
      <c r="B8" s="54"/>
      <c r="C8"/>
      <c r="D8" s="54"/>
      <c r="E8"/>
      <c r="F8" s="54"/>
      <c r="G8"/>
      <c r="H8" s="54"/>
      <c r="I8"/>
      <c r="J8" s="54"/>
      <c r="K8"/>
      <c r="L8" s="54"/>
    </row>
    <row r="9" spans="1:13" s="10" customFormat="1">
      <c r="A9" s="12" t="s">
        <v>572</v>
      </c>
      <c r="B9"/>
      <c r="C9"/>
      <c r="D9"/>
      <c r="E9"/>
      <c r="F9"/>
      <c r="G9"/>
      <c r="H9"/>
      <c r="I9"/>
      <c r="J9"/>
      <c r="K9"/>
      <c r="L9"/>
    </row>
    <row r="10" spans="1:13" s="10" customFormat="1">
      <c r="A10" s="12" t="s">
        <v>807</v>
      </c>
      <c r="B10"/>
      <c r="C10"/>
      <c r="D10"/>
      <c r="E10"/>
      <c r="F10"/>
      <c r="G10"/>
      <c r="H10"/>
      <c r="I10"/>
      <c r="J10"/>
      <c r="K10"/>
      <c r="L10"/>
    </row>
    <row r="11" spans="1:13">
      <c r="A11" t="s">
        <v>19</v>
      </c>
      <c r="B11" s="33">
        <v>1685316.06</v>
      </c>
      <c r="C11" s="33"/>
      <c r="D11" s="33">
        <v>0</v>
      </c>
      <c r="E11" s="33"/>
      <c r="F11" s="300">
        <v>0</v>
      </c>
      <c r="G11" s="33"/>
      <c r="H11" s="300">
        <v>0</v>
      </c>
      <c r="I11" s="33"/>
      <c r="J11" s="33">
        <f>H11+F11+D11</f>
        <v>0</v>
      </c>
      <c r="K11" s="33"/>
      <c r="L11" s="33">
        <f>J11+B11</f>
        <v>1685316.06</v>
      </c>
      <c r="M11" s="1"/>
    </row>
    <row r="12" spans="1:13">
      <c r="A12" t="s">
        <v>20</v>
      </c>
      <c r="B12" s="33">
        <v>202094.94</v>
      </c>
      <c r="C12" s="33"/>
      <c r="D12" s="33">
        <v>0</v>
      </c>
      <c r="E12" s="33"/>
      <c r="F12" s="300">
        <v>0</v>
      </c>
      <c r="G12" s="33"/>
      <c r="H12" s="300">
        <v>0</v>
      </c>
      <c r="I12" s="33"/>
      <c r="J12" s="33">
        <f t="shared" ref="J12:J39" si="0">H12+F12+D12</f>
        <v>0</v>
      </c>
      <c r="K12" s="33"/>
      <c r="L12" s="33">
        <f t="shared" ref="L12:L39" si="1">J12+B12</f>
        <v>202094.94</v>
      </c>
      <c r="M12" s="1"/>
    </row>
    <row r="13" spans="1:13">
      <c r="A13" t="s">
        <v>266</v>
      </c>
      <c r="B13" s="33">
        <v>60747613.750000007</v>
      </c>
      <c r="C13" s="33"/>
      <c r="D13" s="33">
        <f>496204.74+299294.26</f>
        <v>795499</v>
      </c>
      <c r="E13" s="33"/>
      <c r="F13" s="300">
        <v>-119187.25</v>
      </c>
      <c r="G13" s="33"/>
      <c r="H13" s="300">
        <v>0</v>
      </c>
      <c r="I13" s="33"/>
      <c r="J13" s="33">
        <f t="shared" si="0"/>
        <v>676311.75</v>
      </c>
      <c r="K13" s="33"/>
      <c r="L13" s="33">
        <f t="shared" si="1"/>
        <v>61423925.500000007</v>
      </c>
      <c r="M13" s="1"/>
    </row>
    <row r="14" spans="1:13">
      <c r="A14" t="s">
        <v>84</v>
      </c>
      <c r="B14" s="33">
        <v>412150.57</v>
      </c>
      <c r="C14" s="33"/>
      <c r="D14" s="33">
        <v>0</v>
      </c>
      <c r="E14" s="33"/>
      <c r="F14" s="300">
        <v>0</v>
      </c>
      <c r="G14" s="33"/>
      <c r="H14" s="300">
        <v>0</v>
      </c>
      <c r="I14" s="33"/>
      <c r="J14" s="33">
        <f t="shared" si="0"/>
        <v>0</v>
      </c>
      <c r="K14" s="33"/>
      <c r="L14" s="33">
        <f t="shared" si="1"/>
        <v>412150.57</v>
      </c>
      <c r="M14" s="1"/>
    </row>
    <row r="15" spans="1:13">
      <c r="A15" t="s">
        <v>85</v>
      </c>
      <c r="B15" s="33">
        <v>10873331.24</v>
      </c>
      <c r="C15" s="33"/>
      <c r="D15" s="33">
        <v>0</v>
      </c>
      <c r="E15" s="33"/>
      <c r="F15" s="300">
        <v>-122833.7</v>
      </c>
      <c r="G15" s="33"/>
      <c r="H15" s="300">
        <v>0</v>
      </c>
      <c r="I15" s="33"/>
      <c r="J15" s="33">
        <f t="shared" si="0"/>
        <v>-122833.7</v>
      </c>
      <c r="K15" s="33"/>
      <c r="L15" s="33">
        <f t="shared" si="1"/>
        <v>10750497.540000001</v>
      </c>
      <c r="M15" s="1"/>
    </row>
    <row r="16" spans="1:13">
      <c r="A16" t="s">
        <v>86</v>
      </c>
      <c r="B16" s="33">
        <v>536692.07999999996</v>
      </c>
      <c r="C16" s="33"/>
      <c r="D16" s="33">
        <v>0</v>
      </c>
      <c r="E16" s="33"/>
      <c r="F16" s="300">
        <v>0</v>
      </c>
      <c r="G16" s="33"/>
      <c r="H16" s="300">
        <v>0</v>
      </c>
      <c r="I16" s="33"/>
      <c r="J16" s="33">
        <f t="shared" si="0"/>
        <v>0</v>
      </c>
      <c r="K16" s="33"/>
      <c r="L16" s="33">
        <f t="shared" si="1"/>
        <v>536692.07999999996</v>
      </c>
      <c r="M16" s="1"/>
    </row>
    <row r="17" spans="1:13">
      <c r="A17" t="s">
        <v>87</v>
      </c>
      <c r="B17" s="33">
        <v>1078816.3</v>
      </c>
      <c r="C17" s="33"/>
      <c r="D17" s="33">
        <v>0</v>
      </c>
      <c r="E17" s="33"/>
      <c r="F17" s="300">
        <v>0</v>
      </c>
      <c r="G17" s="33"/>
      <c r="H17" s="300">
        <v>0</v>
      </c>
      <c r="I17" s="33"/>
      <c r="J17" s="33">
        <f t="shared" si="0"/>
        <v>0</v>
      </c>
      <c r="K17" s="33"/>
      <c r="L17" s="33">
        <f t="shared" si="1"/>
        <v>1078816.3</v>
      </c>
      <c r="M17" s="1"/>
    </row>
    <row r="18" spans="1:13">
      <c r="A18" t="s">
        <v>88</v>
      </c>
      <c r="B18" s="33">
        <v>8514480.290000001</v>
      </c>
      <c r="C18" s="33"/>
      <c r="D18" s="33">
        <v>129257.69</v>
      </c>
      <c r="E18" s="33"/>
      <c r="F18" s="300">
        <v>0</v>
      </c>
      <c r="G18" s="33"/>
      <c r="H18" s="300">
        <v>0</v>
      </c>
      <c r="I18" s="33"/>
      <c r="J18" s="33">
        <f t="shared" si="0"/>
        <v>129257.69</v>
      </c>
      <c r="K18" s="33"/>
      <c r="L18" s="33">
        <f t="shared" si="1"/>
        <v>8643737.9800000004</v>
      </c>
      <c r="M18" s="1"/>
    </row>
    <row r="19" spans="1:13">
      <c r="A19" t="s">
        <v>89</v>
      </c>
      <c r="B19" s="33">
        <v>2083919.99</v>
      </c>
      <c r="C19" s="33"/>
      <c r="D19" s="168">
        <v>2659.54</v>
      </c>
      <c r="E19" s="33"/>
      <c r="F19" s="168">
        <v>0</v>
      </c>
      <c r="G19" s="33"/>
      <c r="H19" s="168">
        <v>0</v>
      </c>
      <c r="I19" s="33"/>
      <c r="J19" s="33">
        <f t="shared" si="0"/>
        <v>2659.54</v>
      </c>
      <c r="K19" s="33"/>
      <c r="L19" s="33">
        <f t="shared" si="1"/>
        <v>2086579.53</v>
      </c>
      <c r="M19" s="1"/>
    </row>
    <row r="20" spans="1:13">
      <c r="A20" t="s">
        <v>90</v>
      </c>
      <c r="B20" s="33">
        <v>11765538.359999998</v>
      </c>
      <c r="C20" s="33"/>
      <c r="D20" s="33">
        <f>568462.07+1178039.94+301558.23</f>
        <v>2048060.2399999998</v>
      </c>
      <c r="E20" s="33"/>
      <c r="F20" s="300">
        <v>0</v>
      </c>
      <c r="G20" s="33"/>
      <c r="H20" s="300">
        <v>0</v>
      </c>
      <c r="I20" s="33"/>
      <c r="J20" s="33">
        <f t="shared" si="0"/>
        <v>2048060.2399999998</v>
      </c>
      <c r="K20" s="33"/>
      <c r="L20" s="33">
        <f t="shared" si="1"/>
        <v>13813598.599999998</v>
      </c>
      <c r="M20" s="1"/>
    </row>
    <row r="21" spans="1:13">
      <c r="A21" t="s">
        <v>91</v>
      </c>
      <c r="B21" s="33">
        <v>3803547.09</v>
      </c>
      <c r="C21" s="33"/>
      <c r="D21" s="33">
        <v>6773.84</v>
      </c>
      <c r="E21" s="33"/>
      <c r="F21" s="300">
        <v>0</v>
      </c>
      <c r="G21" s="33"/>
      <c r="H21" s="300">
        <v>0</v>
      </c>
      <c r="I21" s="33"/>
      <c r="J21" s="33">
        <f t="shared" si="0"/>
        <v>6773.84</v>
      </c>
      <c r="K21" s="33"/>
      <c r="L21" s="33">
        <f t="shared" si="1"/>
        <v>3810320.9299999997</v>
      </c>
      <c r="M21" s="1"/>
    </row>
    <row r="22" spans="1:13">
      <c r="A22" s="179" t="s">
        <v>1430</v>
      </c>
      <c r="B22" s="300">
        <v>77639.12</v>
      </c>
      <c r="C22" s="300"/>
      <c r="D22" s="300">
        <v>0</v>
      </c>
      <c r="E22" s="300"/>
      <c r="F22" s="300">
        <v>0</v>
      </c>
      <c r="G22" s="300"/>
      <c r="H22" s="300">
        <v>0</v>
      </c>
      <c r="I22" s="300"/>
      <c r="J22" s="300">
        <f t="shared" si="0"/>
        <v>0</v>
      </c>
      <c r="K22" s="300"/>
      <c r="L22" s="300">
        <f t="shared" si="1"/>
        <v>77639.12</v>
      </c>
      <c r="M22" s="1"/>
    </row>
    <row r="23" spans="1:13">
      <c r="A23" t="s">
        <v>92</v>
      </c>
      <c r="B23" s="33">
        <v>2241823.4399999995</v>
      </c>
      <c r="C23" s="33"/>
      <c r="D23" s="180">
        <v>0</v>
      </c>
      <c r="E23" s="33"/>
      <c r="F23" s="180">
        <v>0</v>
      </c>
      <c r="G23" s="33"/>
      <c r="H23" s="180">
        <v>0</v>
      </c>
      <c r="I23" s="33"/>
      <c r="J23" s="33">
        <f t="shared" si="0"/>
        <v>0</v>
      </c>
      <c r="K23" s="33"/>
      <c r="L23" s="33">
        <f t="shared" si="1"/>
        <v>2241823.4399999995</v>
      </c>
      <c r="M23" s="1"/>
    </row>
    <row r="24" spans="1:13">
      <c r="A24" t="s">
        <v>93</v>
      </c>
      <c r="B24" s="33">
        <v>245096.51</v>
      </c>
      <c r="C24" s="33"/>
      <c r="D24" s="33">
        <v>0</v>
      </c>
      <c r="E24" s="33"/>
      <c r="F24" s="300">
        <v>0</v>
      </c>
      <c r="G24" s="33"/>
      <c r="H24" s="300">
        <v>0</v>
      </c>
      <c r="I24" s="33"/>
      <c r="J24" s="33">
        <f t="shared" si="0"/>
        <v>0</v>
      </c>
      <c r="K24" s="33"/>
      <c r="L24" s="33">
        <f t="shared" si="1"/>
        <v>245096.51</v>
      </c>
      <c r="M24" s="1"/>
    </row>
    <row r="25" spans="1:13">
      <c r="A25" t="s">
        <v>94</v>
      </c>
      <c r="B25" s="33">
        <v>83874.3</v>
      </c>
      <c r="C25" s="33"/>
      <c r="D25" s="33">
        <v>0</v>
      </c>
      <c r="E25" s="33"/>
      <c r="F25" s="300">
        <v>0</v>
      </c>
      <c r="G25" s="33"/>
      <c r="H25" s="300">
        <v>0</v>
      </c>
      <c r="I25" s="33"/>
      <c r="J25" s="33">
        <f t="shared" si="0"/>
        <v>0</v>
      </c>
      <c r="K25" s="33"/>
      <c r="L25" s="33">
        <f t="shared" si="1"/>
        <v>83874.3</v>
      </c>
      <c r="M25" s="1"/>
    </row>
    <row r="26" spans="1:13">
      <c r="A26" t="s">
        <v>95</v>
      </c>
      <c r="B26" s="33">
        <v>1105412.4100000001</v>
      </c>
      <c r="C26" s="33"/>
      <c r="D26" s="33">
        <v>30451.68</v>
      </c>
      <c r="E26" s="33"/>
      <c r="F26" s="300">
        <v>0</v>
      </c>
      <c r="G26" s="33"/>
      <c r="H26" s="300">
        <v>0</v>
      </c>
      <c r="I26" s="33"/>
      <c r="J26" s="33">
        <f t="shared" si="0"/>
        <v>30451.68</v>
      </c>
      <c r="K26" s="33"/>
      <c r="L26" s="33">
        <f t="shared" si="1"/>
        <v>1135864.0900000001</v>
      </c>
      <c r="M26" s="1"/>
    </row>
    <row r="27" spans="1:13">
      <c r="A27" t="s">
        <v>96</v>
      </c>
      <c r="B27" s="33">
        <v>3619509.3200000003</v>
      </c>
      <c r="C27" s="33"/>
      <c r="D27" s="33">
        <v>0</v>
      </c>
      <c r="E27" s="33"/>
      <c r="F27" s="300">
        <v>0</v>
      </c>
      <c r="G27" s="33"/>
      <c r="H27" s="300">
        <v>4609.58</v>
      </c>
      <c r="I27" s="33"/>
      <c r="J27" s="33">
        <f t="shared" si="0"/>
        <v>4609.58</v>
      </c>
      <c r="K27" s="33"/>
      <c r="L27" s="33">
        <f t="shared" si="1"/>
        <v>3624118.9000000004</v>
      </c>
      <c r="M27" s="1"/>
    </row>
    <row r="28" spans="1:13">
      <c r="A28" t="s">
        <v>97</v>
      </c>
      <c r="B28" s="33">
        <v>0</v>
      </c>
      <c r="C28" s="33"/>
      <c r="D28" s="33">
        <v>0</v>
      </c>
      <c r="E28" s="33"/>
      <c r="F28" s="300">
        <v>0</v>
      </c>
      <c r="G28" s="33"/>
      <c r="H28" s="300">
        <v>0</v>
      </c>
      <c r="I28" s="33"/>
      <c r="J28" s="33">
        <f t="shared" si="0"/>
        <v>0</v>
      </c>
      <c r="K28" s="33"/>
      <c r="L28" s="33">
        <f t="shared" si="1"/>
        <v>0</v>
      </c>
      <c r="M28" s="1"/>
    </row>
    <row r="29" spans="1:13">
      <c r="A29" t="s">
        <v>98</v>
      </c>
      <c r="B29" s="33">
        <v>235831.06</v>
      </c>
      <c r="C29" s="33"/>
      <c r="D29" s="33">
        <v>0</v>
      </c>
      <c r="E29" s="33"/>
      <c r="F29" s="300">
        <v>0</v>
      </c>
      <c r="G29" s="33"/>
      <c r="H29" s="300">
        <v>0</v>
      </c>
      <c r="I29" s="33"/>
      <c r="J29" s="33">
        <f t="shared" si="0"/>
        <v>0</v>
      </c>
      <c r="K29" s="33"/>
      <c r="L29" s="33">
        <f t="shared" si="1"/>
        <v>235831.06</v>
      </c>
      <c r="M29" s="1"/>
    </row>
    <row r="30" spans="1:13">
      <c r="A30" t="s">
        <v>99</v>
      </c>
      <c r="B30" s="33">
        <v>14147.08</v>
      </c>
      <c r="C30" s="33"/>
      <c r="D30" s="33">
        <v>0</v>
      </c>
      <c r="E30" s="33"/>
      <c r="F30" s="300">
        <v>0</v>
      </c>
      <c r="G30" s="33"/>
      <c r="H30" s="300">
        <v>0</v>
      </c>
      <c r="I30" s="33"/>
      <c r="J30" s="33">
        <f t="shared" si="0"/>
        <v>0</v>
      </c>
      <c r="K30" s="33"/>
      <c r="L30" s="33">
        <f t="shared" si="1"/>
        <v>14147.08</v>
      </c>
      <c r="M30" s="1"/>
    </row>
    <row r="31" spans="1:13">
      <c r="A31" t="s">
        <v>4</v>
      </c>
      <c r="B31" s="33">
        <v>40411019.240000002</v>
      </c>
      <c r="C31" s="33"/>
      <c r="D31" s="33">
        <v>90429.11</v>
      </c>
      <c r="E31" s="33"/>
      <c r="F31" s="300">
        <v>-1200.03</v>
      </c>
      <c r="G31" s="33"/>
      <c r="H31" s="300">
        <v>0</v>
      </c>
      <c r="I31" s="33"/>
      <c r="J31" s="33">
        <f t="shared" si="0"/>
        <v>89229.08</v>
      </c>
      <c r="K31" s="33"/>
      <c r="L31" s="33">
        <f t="shared" si="1"/>
        <v>40500248.32</v>
      </c>
      <c r="M31" s="1"/>
    </row>
    <row r="32" spans="1:13">
      <c r="A32" t="s">
        <v>100</v>
      </c>
      <c r="B32" s="33">
        <v>6422469.2199999997</v>
      </c>
      <c r="C32" s="33"/>
      <c r="D32" s="33">
        <v>56863.95</v>
      </c>
      <c r="E32" s="33"/>
      <c r="F32" s="300">
        <v>0</v>
      </c>
      <c r="G32" s="33"/>
      <c r="H32" s="300">
        <v>0</v>
      </c>
      <c r="I32" s="33"/>
      <c r="J32" s="33">
        <f t="shared" si="0"/>
        <v>56863.95</v>
      </c>
      <c r="K32" s="33"/>
      <c r="L32" s="33">
        <f t="shared" si="1"/>
        <v>6479333.1699999999</v>
      </c>
      <c r="M32" s="1"/>
    </row>
    <row r="33" spans="1:13">
      <c r="A33" t="s">
        <v>101</v>
      </c>
      <c r="B33" s="33">
        <v>21815.609999999986</v>
      </c>
      <c r="C33" s="33"/>
      <c r="D33" s="33">
        <v>0</v>
      </c>
      <c r="E33" s="33"/>
      <c r="F33" s="300">
        <v>0</v>
      </c>
      <c r="G33" s="33"/>
      <c r="H33" s="300">
        <v>-4609.58</v>
      </c>
      <c r="I33" s="33"/>
      <c r="J33" s="33">
        <f t="shared" si="0"/>
        <v>-4609.58</v>
      </c>
      <c r="K33" s="33"/>
      <c r="L33" s="33">
        <f t="shared" si="1"/>
        <v>17206.029999999984</v>
      </c>
      <c r="M33" s="1"/>
    </row>
    <row r="34" spans="1:13">
      <c r="A34" t="s">
        <v>102</v>
      </c>
      <c r="B34" s="33">
        <v>101389.77</v>
      </c>
      <c r="C34" s="33"/>
      <c r="D34" s="33">
        <v>0</v>
      </c>
      <c r="E34" s="33"/>
      <c r="F34" s="300">
        <v>0</v>
      </c>
      <c r="G34" s="33"/>
      <c r="H34" s="300">
        <v>0</v>
      </c>
      <c r="I34" s="33"/>
      <c r="J34" s="33">
        <f t="shared" si="0"/>
        <v>0</v>
      </c>
      <c r="K34" s="33"/>
      <c r="L34" s="33">
        <f t="shared" si="1"/>
        <v>101389.77</v>
      </c>
      <c r="M34" s="1"/>
    </row>
    <row r="35" spans="1:13">
      <c r="A35" t="s">
        <v>103</v>
      </c>
      <c r="B35" s="33">
        <v>83782.289999999994</v>
      </c>
      <c r="C35" s="33"/>
      <c r="D35" s="33">
        <v>0</v>
      </c>
      <c r="E35" s="33"/>
      <c r="F35" s="300">
        <v>0</v>
      </c>
      <c r="G35" s="33"/>
      <c r="H35" s="300">
        <v>0</v>
      </c>
      <c r="I35" s="33"/>
      <c r="J35" s="33">
        <f t="shared" si="0"/>
        <v>0</v>
      </c>
      <c r="K35" s="33"/>
      <c r="L35" s="33">
        <f t="shared" si="1"/>
        <v>83782.289999999994</v>
      </c>
      <c r="M35" s="1"/>
    </row>
    <row r="36" spans="1:13">
      <c r="A36" t="s">
        <v>267</v>
      </c>
      <c r="B36" s="33">
        <v>0</v>
      </c>
      <c r="C36" s="33"/>
      <c r="D36" s="33">
        <v>0</v>
      </c>
      <c r="E36" s="33"/>
      <c r="F36" s="300">
        <v>0</v>
      </c>
      <c r="G36" s="33"/>
      <c r="H36" s="300">
        <v>0</v>
      </c>
      <c r="I36" s="33"/>
      <c r="J36" s="33">
        <f t="shared" si="0"/>
        <v>0</v>
      </c>
      <c r="K36" s="33"/>
      <c r="L36" s="33">
        <f t="shared" si="1"/>
        <v>0</v>
      </c>
      <c r="M36" s="1"/>
    </row>
    <row r="37" spans="1:13">
      <c r="A37" t="s">
        <v>268</v>
      </c>
      <c r="B37" s="33">
        <v>16750029.280000001</v>
      </c>
      <c r="C37" s="33"/>
      <c r="D37" s="33">
        <f>216668.23+184209.12+65430.63</f>
        <v>466307.98</v>
      </c>
      <c r="E37" s="33"/>
      <c r="F37" s="300">
        <v>-1193940.58</v>
      </c>
      <c r="G37" s="33"/>
      <c r="H37" s="300">
        <v>0</v>
      </c>
      <c r="I37" s="33"/>
      <c r="J37" s="33">
        <f t="shared" si="0"/>
        <v>-727632.60000000009</v>
      </c>
      <c r="K37" s="33"/>
      <c r="L37" s="33">
        <f t="shared" si="1"/>
        <v>16022396.680000002</v>
      </c>
      <c r="M37" s="1"/>
    </row>
    <row r="38" spans="1:13">
      <c r="A38" t="s">
        <v>1023</v>
      </c>
      <c r="B38" s="33">
        <v>44057351.25999999</v>
      </c>
      <c r="C38" s="33"/>
      <c r="D38" s="33">
        <v>0</v>
      </c>
      <c r="E38" s="33"/>
      <c r="F38" s="300">
        <v>0</v>
      </c>
      <c r="G38" s="33"/>
      <c r="H38" s="300">
        <v>0</v>
      </c>
      <c r="I38" s="33"/>
      <c r="J38" s="33">
        <f t="shared" si="0"/>
        <v>0</v>
      </c>
      <c r="K38" s="33"/>
      <c r="L38" s="33">
        <f t="shared" si="1"/>
        <v>44057351.25999999</v>
      </c>
      <c r="M38" s="1"/>
    </row>
    <row r="39" spans="1:13">
      <c r="A39" t="s">
        <v>269</v>
      </c>
      <c r="B39" s="35">
        <v>0</v>
      </c>
      <c r="C39" s="37"/>
      <c r="D39" s="35">
        <v>0</v>
      </c>
      <c r="E39" s="37"/>
      <c r="F39" s="35">
        <v>0</v>
      </c>
      <c r="G39" s="37"/>
      <c r="H39" s="35">
        <v>0</v>
      </c>
      <c r="I39" s="37"/>
      <c r="J39" s="35">
        <f t="shared" si="0"/>
        <v>0</v>
      </c>
      <c r="K39" s="37"/>
      <c r="L39" s="35">
        <f t="shared" si="1"/>
        <v>0</v>
      </c>
      <c r="M39" s="6"/>
    </row>
    <row r="40" spans="1:13">
      <c r="B40" s="37">
        <f>SUM(B11:B39)</f>
        <v>217174690.58000001</v>
      </c>
      <c r="C40" s="37"/>
      <c r="D40" s="37">
        <f>SUM(D11:D39)</f>
        <v>3626303.03</v>
      </c>
      <c r="E40" s="37"/>
      <c r="F40" s="37">
        <f>SUM(F11:F39)</f>
        <v>-1437161.56</v>
      </c>
      <c r="G40" s="37"/>
      <c r="H40" s="37">
        <f>SUM(H11:H39)</f>
        <v>0</v>
      </c>
      <c r="I40" s="37"/>
      <c r="J40" s="37">
        <f>SUM(J11:J39)</f>
        <v>2189141.4699999997</v>
      </c>
      <c r="K40" s="37"/>
      <c r="L40" s="37">
        <f>SUM(L11:L39)</f>
        <v>219363832.05000001</v>
      </c>
      <c r="M40" s="6"/>
    </row>
    <row r="41" spans="1:13">
      <c r="B41" s="37"/>
      <c r="C41" s="37"/>
      <c r="D41" s="37"/>
      <c r="E41" s="37"/>
      <c r="F41" s="37"/>
      <c r="G41" s="37"/>
      <c r="H41" s="37"/>
      <c r="I41" s="37"/>
      <c r="J41" s="37"/>
      <c r="K41" s="37"/>
      <c r="L41" s="37"/>
      <c r="M41" s="6"/>
    </row>
    <row r="42" spans="1:13">
      <c r="B42" s="37"/>
      <c r="C42" s="37"/>
      <c r="D42" s="37"/>
      <c r="E42" s="37"/>
      <c r="F42" s="37"/>
      <c r="G42" s="37"/>
      <c r="H42" s="37"/>
      <c r="I42" s="37"/>
      <c r="J42" s="37"/>
      <c r="K42" s="37"/>
      <c r="L42" s="37"/>
      <c r="M42" s="6"/>
    </row>
    <row r="43" spans="1:13">
      <c r="A43" s="3" t="s">
        <v>601</v>
      </c>
      <c r="B43" s="34">
        <f>B40</f>
        <v>217174690.58000001</v>
      </c>
      <c r="C43" s="6"/>
      <c r="D43" s="34">
        <f>D40</f>
        <v>3626303.03</v>
      </c>
      <c r="E43" s="6"/>
      <c r="F43" s="34">
        <f>F40</f>
        <v>-1437161.56</v>
      </c>
      <c r="G43" s="6"/>
      <c r="H43" s="34">
        <f>H40</f>
        <v>0</v>
      </c>
      <c r="I43" s="6"/>
      <c r="J43" s="34">
        <f>J40</f>
        <v>2189141.4699999997</v>
      </c>
      <c r="K43" s="6"/>
      <c r="L43" s="34">
        <f>L40</f>
        <v>219363832.05000001</v>
      </c>
      <c r="M43" s="6"/>
    </row>
    <row r="44" spans="1:13">
      <c r="B44" s="37"/>
      <c r="C44" s="37"/>
      <c r="D44" s="37"/>
      <c r="E44" s="37"/>
      <c r="F44" s="37"/>
      <c r="G44" s="37"/>
      <c r="H44" s="37"/>
      <c r="I44" s="37"/>
      <c r="J44" s="37"/>
      <c r="K44" s="37"/>
      <c r="L44" s="37"/>
      <c r="M44" s="6"/>
    </row>
    <row r="45" spans="1:13">
      <c r="B45" s="37"/>
      <c r="C45" s="37"/>
      <c r="D45" s="37"/>
      <c r="E45" s="37"/>
      <c r="F45" s="37"/>
      <c r="G45" s="37"/>
      <c r="H45" s="37"/>
      <c r="I45" s="37"/>
      <c r="J45" s="37"/>
      <c r="K45" s="37"/>
      <c r="L45" s="37"/>
      <c r="M45" s="6"/>
    </row>
    <row r="46" spans="1:13">
      <c r="A46" s="3" t="s">
        <v>573</v>
      </c>
      <c r="B46" s="37"/>
      <c r="C46" s="37"/>
      <c r="D46" s="37"/>
      <c r="E46" s="37"/>
      <c r="F46" s="37"/>
      <c r="G46" s="37"/>
      <c r="H46" s="37"/>
      <c r="I46" s="37"/>
      <c r="J46" s="37"/>
      <c r="K46" s="37"/>
      <c r="L46" s="37"/>
      <c r="M46" s="6"/>
    </row>
    <row r="47" spans="1:13">
      <c r="A47" s="3" t="s">
        <v>807</v>
      </c>
      <c r="B47" s="37"/>
      <c r="C47" s="37"/>
      <c r="D47" s="37"/>
      <c r="E47" s="37"/>
      <c r="F47" s="37"/>
      <c r="G47" s="37"/>
      <c r="H47" s="37"/>
      <c r="I47" s="37"/>
      <c r="J47" s="37"/>
      <c r="K47" s="37"/>
      <c r="L47" s="37"/>
      <c r="M47" s="6"/>
    </row>
    <row r="48" spans="1:13">
      <c r="A48" t="s">
        <v>266</v>
      </c>
      <c r="B48" s="37">
        <v>479918.56999999995</v>
      </c>
      <c r="C48" s="37"/>
      <c r="D48" s="37">
        <f>2039.03+1430.96-474074.07</f>
        <v>-470604.08</v>
      </c>
      <c r="E48" s="37"/>
      <c r="F48" s="37">
        <v>0</v>
      </c>
      <c r="G48" s="37"/>
      <c r="H48" s="37">
        <v>0</v>
      </c>
      <c r="I48" s="37"/>
      <c r="J48" s="37">
        <f t="shared" ref="J48:J62" si="2">H48+F48+D48</f>
        <v>-470604.08</v>
      </c>
      <c r="K48" s="37"/>
      <c r="L48" s="37">
        <f t="shared" ref="L48:L62" si="3">J48+B48</f>
        <v>9314.4899999999325</v>
      </c>
      <c r="M48" s="6"/>
    </row>
    <row r="49" spans="1:13">
      <c r="A49" t="s">
        <v>87</v>
      </c>
      <c r="B49" s="37">
        <v>0</v>
      </c>
      <c r="C49" s="37"/>
      <c r="D49" s="37">
        <v>0</v>
      </c>
      <c r="E49" s="37"/>
      <c r="F49" s="37">
        <v>0</v>
      </c>
      <c r="G49" s="37"/>
      <c r="H49" s="37">
        <v>0</v>
      </c>
      <c r="I49" s="37"/>
      <c r="J49" s="37">
        <f t="shared" si="2"/>
        <v>0</v>
      </c>
      <c r="K49" s="37"/>
      <c r="L49" s="37">
        <f t="shared" si="3"/>
        <v>0</v>
      </c>
      <c r="M49" s="6"/>
    </row>
    <row r="50" spans="1:13">
      <c r="A50" t="s">
        <v>88</v>
      </c>
      <c r="B50" s="37">
        <v>17984.009999999998</v>
      </c>
      <c r="C50" s="37"/>
      <c r="D50" s="37">
        <f>46.35+161.73+12037.13</f>
        <v>12245.21</v>
      </c>
      <c r="E50" s="37"/>
      <c r="F50" s="37">
        <v>0</v>
      </c>
      <c r="G50" s="37"/>
      <c r="H50" s="37">
        <v>0</v>
      </c>
      <c r="I50" s="37"/>
      <c r="J50" s="37">
        <f t="shared" si="2"/>
        <v>12245.21</v>
      </c>
      <c r="K50" s="37"/>
      <c r="L50" s="37">
        <f t="shared" si="3"/>
        <v>30229.219999999998</v>
      </c>
      <c r="M50" s="6"/>
    </row>
    <row r="51" spans="1:13">
      <c r="A51" t="s">
        <v>89</v>
      </c>
      <c r="B51" s="37">
        <v>2659.54</v>
      </c>
      <c r="C51" s="37"/>
      <c r="D51" s="37">
        <v>-2659.54</v>
      </c>
      <c r="E51" s="37"/>
      <c r="F51" s="37">
        <v>0</v>
      </c>
      <c r="G51" s="37"/>
      <c r="H51" s="37">
        <v>0</v>
      </c>
      <c r="I51" s="37"/>
      <c r="J51" s="37">
        <f t="shared" si="2"/>
        <v>-2659.54</v>
      </c>
      <c r="K51" s="37"/>
      <c r="L51" s="37">
        <f t="shared" si="3"/>
        <v>0</v>
      </c>
      <c r="M51" s="6"/>
    </row>
    <row r="52" spans="1:13">
      <c r="A52" t="s">
        <v>90</v>
      </c>
      <c r="B52" s="37">
        <v>1886564.2599999998</v>
      </c>
      <c r="C52" s="37"/>
      <c r="D52" s="37">
        <f>-362610.36-871579.73+42145.35</f>
        <v>-1192044.7399999998</v>
      </c>
      <c r="E52" s="37"/>
      <c r="F52" s="37">
        <v>0</v>
      </c>
      <c r="G52" s="37"/>
      <c r="H52" s="37">
        <v>0</v>
      </c>
      <c r="I52" s="37"/>
      <c r="J52" s="37">
        <f t="shared" si="2"/>
        <v>-1192044.7399999998</v>
      </c>
      <c r="K52" s="37"/>
      <c r="L52" s="37">
        <f t="shared" si="3"/>
        <v>694519.52</v>
      </c>
      <c r="M52" s="6"/>
    </row>
    <row r="53" spans="1:13">
      <c r="A53" t="s">
        <v>91</v>
      </c>
      <c r="B53" s="37">
        <v>6773.84</v>
      </c>
      <c r="C53" s="37"/>
      <c r="D53" s="37">
        <f>-6773.84+248747.5</f>
        <v>241973.66</v>
      </c>
      <c r="E53" s="37"/>
      <c r="F53" s="37">
        <v>0</v>
      </c>
      <c r="G53" s="37"/>
      <c r="H53" s="37">
        <v>0</v>
      </c>
      <c r="I53" s="37"/>
      <c r="J53" s="37">
        <f t="shared" si="2"/>
        <v>241973.66</v>
      </c>
      <c r="K53" s="37"/>
      <c r="L53" s="37">
        <f t="shared" si="3"/>
        <v>248747.5</v>
      </c>
      <c r="M53" s="6"/>
    </row>
    <row r="54" spans="1:13">
      <c r="A54" t="s">
        <v>92</v>
      </c>
      <c r="B54" s="37">
        <v>0</v>
      </c>
      <c r="C54" s="37"/>
      <c r="D54" s="37">
        <v>0</v>
      </c>
      <c r="E54" s="37"/>
      <c r="F54" s="37">
        <v>0</v>
      </c>
      <c r="G54" s="37"/>
      <c r="H54" s="37">
        <v>0</v>
      </c>
      <c r="I54" s="37"/>
      <c r="J54" s="37">
        <f t="shared" si="2"/>
        <v>0</v>
      </c>
      <c r="K54" s="37"/>
      <c r="L54" s="37">
        <f t="shared" si="3"/>
        <v>0</v>
      </c>
      <c r="M54" s="6"/>
    </row>
    <row r="55" spans="1:13">
      <c r="A55" t="s">
        <v>94</v>
      </c>
      <c r="B55" s="37">
        <v>0</v>
      </c>
      <c r="C55" s="37"/>
      <c r="D55" s="37">
        <v>0</v>
      </c>
      <c r="E55" s="37"/>
      <c r="F55" s="37">
        <v>0</v>
      </c>
      <c r="G55" s="37"/>
      <c r="H55" s="37">
        <v>0</v>
      </c>
      <c r="I55" s="37"/>
      <c r="J55" s="37">
        <f t="shared" si="2"/>
        <v>0</v>
      </c>
      <c r="K55" s="37"/>
      <c r="L55" s="37">
        <f t="shared" si="3"/>
        <v>0</v>
      </c>
      <c r="M55" s="6"/>
    </row>
    <row r="56" spans="1:13">
      <c r="A56" t="s">
        <v>95</v>
      </c>
      <c r="B56" s="37">
        <v>30451.68</v>
      </c>
      <c r="C56" s="37"/>
      <c r="D56" s="37">
        <v>-30451.68</v>
      </c>
      <c r="E56" s="37"/>
      <c r="F56" s="37">
        <v>0</v>
      </c>
      <c r="G56" s="37"/>
      <c r="H56" s="37">
        <v>0</v>
      </c>
      <c r="I56" s="37"/>
      <c r="J56" s="37">
        <f t="shared" si="2"/>
        <v>-30451.68</v>
      </c>
      <c r="K56" s="37"/>
      <c r="L56" s="37">
        <f t="shared" si="3"/>
        <v>0</v>
      </c>
      <c r="M56" s="6"/>
    </row>
    <row r="57" spans="1:13">
      <c r="A57" t="s">
        <v>96</v>
      </c>
      <c r="B57" s="37">
        <v>0</v>
      </c>
      <c r="C57" s="37"/>
      <c r="D57" s="37">
        <f>54193.73-54193.73+19739.69-19739.69</f>
        <v>0</v>
      </c>
      <c r="E57" s="37"/>
      <c r="F57" s="37">
        <f>54193.73-54193.73+19739.69-19739.69</f>
        <v>0</v>
      </c>
      <c r="G57" s="37"/>
      <c r="H57" s="37">
        <f>54193.73-54193.73+19739.69-19739.69</f>
        <v>0</v>
      </c>
      <c r="I57" s="37"/>
      <c r="J57" s="37">
        <f t="shared" si="2"/>
        <v>0</v>
      </c>
      <c r="K57" s="37"/>
      <c r="L57" s="37">
        <f t="shared" si="3"/>
        <v>0</v>
      </c>
      <c r="M57" s="6"/>
    </row>
    <row r="58" spans="1:13">
      <c r="A58" t="s">
        <v>4</v>
      </c>
      <c r="B58" s="37">
        <v>93720.159999999858</v>
      </c>
      <c r="C58" s="37"/>
      <c r="D58" s="37">
        <f>-87489.12+257894.72-94963.02</f>
        <v>75442.58</v>
      </c>
      <c r="E58" s="37"/>
      <c r="F58" s="37">
        <v>0</v>
      </c>
      <c r="G58" s="37"/>
      <c r="H58" s="37">
        <v>0</v>
      </c>
      <c r="I58" s="37"/>
      <c r="J58" s="37">
        <f t="shared" si="2"/>
        <v>75442.58</v>
      </c>
      <c r="K58" s="37"/>
      <c r="L58" s="37">
        <f t="shared" si="3"/>
        <v>169162.73999999987</v>
      </c>
      <c r="M58" s="6"/>
    </row>
    <row r="59" spans="1:13">
      <c r="A59" t="s">
        <v>100</v>
      </c>
      <c r="B59" s="37">
        <v>56863.95</v>
      </c>
      <c r="C59" s="37"/>
      <c r="D59" s="37">
        <f>-56863.95+71987.52</f>
        <v>15123.570000000007</v>
      </c>
      <c r="E59" s="37"/>
      <c r="F59" s="37">
        <v>0</v>
      </c>
      <c r="G59" s="37"/>
      <c r="H59" s="37">
        <v>0</v>
      </c>
      <c r="I59" s="37"/>
      <c r="J59" s="37">
        <f t="shared" si="2"/>
        <v>15123.570000000007</v>
      </c>
      <c r="K59" s="37"/>
      <c r="L59" s="37">
        <f t="shared" si="3"/>
        <v>71987.520000000004</v>
      </c>
      <c r="M59" s="6"/>
    </row>
    <row r="60" spans="1:13">
      <c r="A60" t="s">
        <v>498</v>
      </c>
      <c r="B60" s="37">
        <v>0</v>
      </c>
      <c r="C60" s="37"/>
      <c r="D60" s="37">
        <v>0</v>
      </c>
      <c r="E60" s="37"/>
      <c r="F60" s="37">
        <v>0</v>
      </c>
      <c r="G60" s="37"/>
      <c r="H60" s="37">
        <v>0</v>
      </c>
      <c r="I60" s="37"/>
      <c r="J60" s="37">
        <f>H60+F60+D60</f>
        <v>0</v>
      </c>
      <c r="K60" s="37"/>
      <c r="L60" s="37">
        <f>J60+B60</f>
        <v>0</v>
      </c>
      <c r="M60" s="6"/>
    </row>
    <row r="61" spans="1:13">
      <c r="A61" t="s">
        <v>268</v>
      </c>
      <c r="B61" s="37">
        <v>1949634.7599999965</v>
      </c>
      <c r="C61" s="37"/>
      <c r="D61" s="37">
        <f>2762054.08+295797.53+843753.28</f>
        <v>3901604.8900000006</v>
      </c>
      <c r="E61" s="37"/>
      <c r="F61" s="37">
        <v>0</v>
      </c>
      <c r="G61" s="37"/>
      <c r="H61" s="37">
        <v>0</v>
      </c>
      <c r="I61" s="37"/>
      <c r="J61" s="37">
        <f t="shared" ref="J61" si="4">H61+F61+D61</f>
        <v>3901604.8900000006</v>
      </c>
      <c r="K61" s="37"/>
      <c r="L61" s="37">
        <f t="shared" ref="L61" si="5">J61+B61</f>
        <v>5851239.6499999966</v>
      </c>
      <c r="M61" s="6"/>
    </row>
    <row r="62" spans="1:13">
      <c r="A62" t="s">
        <v>1023</v>
      </c>
      <c r="B62" s="35">
        <v>291249.49999999988</v>
      </c>
      <c r="C62" s="37"/>
      <c r="D62" s="35">
        <f>-57082.39+222161.57</f>
        <v>165079.18</v>
      </c>
      <c r="E62" s="37"/>
      <c r="F62" s="35">
        <v>0</v>
      </c>
      <c r="G62" s="37"/>
      <c r="H62" s="35">
        <v>0</v>
      </c>
      <c r="I62" s="37"/>
      <c r="J62" s="35">
        <f t="shared" si="2"/>
        <v>165079.18</v>
      </c>
      <c r="K62" s="37"/>
      <c r="L62" s="35">
        <f t="shared" si="3"/>
        <v>456328.67999999988</v>
      </c>
      <c r="M62" s="6"/>
    </row>
    <row r="63" spans="1:13">
      <c r="B63" s="37">
        <f>SUM(B48:B62)</f>
        <v>4815820.2699999958</v>
      </c>
      <c r="C63" s="37"/>
      <c r="D63" s="37">
        <f>SUM(D48:D62)</f>
        <v>2715709.0500000012</v>
      </c>
      <c r="E63" s="37"/>
      <c r="F63" s="37">
        <f>SUM(F48:F62)</f>
        <v>0</v>
      </c>
      <c r="G63" s="37"/>
      <c r="H63" s="37">
        <f>SUM(H48:H62)</f>
        <v>0</v>
      </c>
      <c r="I63" s="37"/>
      <c r="J63" s="37">
        <f>SUM(J48:J62)</f>
        <v>2715709.0500000012</v>
      </c>
      <c r="K63" s="37"/>
      <c r="L63" s="37">
        <f>SUM(L48:L62)</f>
        <v>7531529.3199999966</v>
      </c>
      <c r="M63" s="6"/>
    </row>
    <row r="64" spans="1:13">
      <c r="B64" s="37"/>
      <c r="C64" s="37"/>
      <c r="D64" s="37"/>
      <c r="E64" s="37"/>
      <c r="F64" s="37"/>
      <c r="G64" s="37"/>
      <c r="H64" s="37"/>
      <c r="I64" s="37"/>
      <c r="J64" s="37"/>
      <c r="K64" s="37"/>
      <c r="L64" s="37"/>
      <c r="M64" s="6"/>
    </row>
    <row r="65" spans="1:13">
      <c r="B65" s="37"/>
      <c r="C65" s="37"/>
      <c r="D65" s="37"/>
      <c r="E65" s="37"/>
      <c r="F65" s="37"/>
      <c r="G65" s="37"/>
      <c r="H65" s="37"/>
      <c r="I65" s="37"/>
      <c r="J65" s="37"/>
      <c r="K65" s="37"/>
      <c r="L65" s="37"/>
      <c r="M65" s="6"/>
    </row>
    <row r="66" spans="1:13">
      <c r="A66" s="3" t="s">
        <v>602</v>
      </c>
      <c r="B66" s="34">
        <f>B63</f>
        <v>4815820.2699999958</v>
      </c>
      <c r="C66" s="6"/>
      <c r="D66" s="34">
        <f>D63</f>
        <v>2715709.0500000012</v>
      </c>
      <c r="E66" s="6"/>
      <c r="F66" s="34">
        <f>F63</f>
        <v>0</v>
      </c>
      <c r="G66" s="6"/>
      <c r="H66" s="34">
        <f>H63</f>
        <v>0</v>
      </c>
      <c r="I66" s="6"/>
      <c r="J66" s="34">
        <f>J63</f>
        <v>2715709.0500000012</v>
      </c>
      <c r="K66" s="6"/>
      <c r="L66" s="34">
        <f>L63</f>
        <v>7531529.3199999966</v>
      </c>
      <c r="M66" s="6"/>
    </row>
    <row r="67" spans="1:13">
      <c r="B67" s="37"/>
      <c r="C67" s="37"/>
      <c r="D67" s="37"/>
      <c r="E67" s="37"/>
      <c r="F67" s="37"/>
      <c r="G67" s="37"/>
      <c r="H67" s="37"/>
      <c r="I67" s="37"/>
      <c r="J67" s="37"/>
      <c r="K67" s="37"/>
      <c r="L67" s="37"/>
      <c r="M67" s="6"/>
    </row>
    <row r="68" spans="1:13">
      <c r="B68" s="33"/>
      <c r="C68" s="33"/>
      <c r="D68" s="33"/>
      <c r="E68" s="33"/>
      <c r="F68" s="33"/>
      <c r="G68" s="33"/>
      <c r="H68" s="33"/>
      <c r="I68" s="33"/>
      <c r="J68" s="33"/>
      <c r="K68" s="33"/>
      <c r="L68" s="33"/>
      <c r="M68" s="1"/>
    </row>
    <row r="69" spans="1:13" ht="13.5" thickBot="1">
      <c r="A69" s="3" t="s">
        <v>685</v>
      </c>
      <c r="B69" s="44">
        <f>B43+B66</f>
        <v>221990510.85000002</v>
      </c>
      <c r="C69" s="33"/>
      <c r="D69" s="44">
        <f>D43+D66</f>
        <v>6342012.080000001</v>
      </c>
      <c r="E69" s="33"/>
      <c r="F69" s="44">
        <f>F43+F66</f>
        <v>-1437161.56</v>
      </c>
      <c r="G69" s="33"/>
      <c r="H69" s="44">
        <f>H43+H66</f>
        <v>0</v>
      </c>
      <c r="I69" s="33"/>
      <c r="J69" s="44">
        <f>J43+J66</f>
        <v>4904850.5200000014</v>
      </c>
      <c r="K69" s="33"/>
      <c r="L69" s="44">
        <f>L43+L66</f>
        <v>226895361.37</v>
      </c>
      <c r="M69" s="1"/>
    </row>
    <row r="70" spans="1:13" ht="13.5" thickTop="1">
      <c r="B70" s="33"/>
      <c r="C70" s="33"/>
      <c r="D70" s="33"/>
      <c r="E70" s="33"/>
      <c r="F70" s="33"/>
      <c r="G70" s="33"/>
      <c r="H70" s="33"/>
      <c r="I70" s="33"/>
      <c r="J70" s="33"/>
      <c r="K70" s="33"/>
      <c r="L70" s="33"/>
      <c r="M70" s="1"/>
    </row>
    <row r="71" spans="1:13">
      <c r="B71" s="1"/>
      <c r="C71" s="1"/>
      <c r="D71" s="1"/>
      <c r="E71" s="1"/>
      <c r="F71" s="1"/>
      <c r="G71" s="1"/>
      <c r="H71" s="1"/>
      <c r="I71" s="1"/>
      <c r="J71" s="1"/>
      <c r="K71" s="1"/>
      <c r="L71" s="1"/>
      <c r="M71" s="1"/>
    </row>
    <row r="72" spans="1:13">
      <c r="B72" s="1"/>
      <c r="C72" s="1"/>
      <c r="D72" s="1"/>
      <c r="E72" s="1"/>
      <c r="F72" s="1"/>
      <c r="G72" s="1"/>
      <c r="H72" s="1"/>
      <c r="I72" s="1"/>
      <c r="J72" s="1"/>
      <c r="K72" s="1"/>
      <c r="L72" s="1"/>
      <c r="M72" s="1"/>
    </row>
    <row r="73" spans="1:13">
      <c r="B73" s="1"/>
      <c r="C73" s="1"/>
      <c r="D73" s="1"/>
      <c r="E73" s="1"/>
      <c r="F73" s="1"/>
      <c r="G73" s="1"/>
      <c r="H73" s="1"/>
      <c r="I73" s="1"/>
      <c r="J73" s="1"/>
      <c r="K73" s="1"/>
      <c r="L73" s="1"/>
      <c r="M73" s="1"/>
    </row>
    <row r="74" spans="1:13">
      <c r="B74" s="1"/>
      <c r="C74" s="1"/>
      <c r="D74" s="1"/>
      <c r="E74" s="1"/>
      <c r="F74" s="1"/>
      <c r="G74" s="1"/>
      <c r="H74" s="1"/>
      <c r="I74" s="1"/>
      <c r="J74" s="1"/>
      <c r="K74" s="1"/>
      <c r="L74" s="1"/>
      <c r="M74" s="1"/>
    </row>
    <row r="75" spans="1:13">
      <c r="B75" s="1"/>
      <c r="C75" s="1"/>
      <c r="D75" s="1"/>
      <c r="E75" s="1"/>
      <c r="F75" s="1"/>
      <c r="G75" s="1"/>
      <c r="H75" s="1"/>
      <c r="I75" s="1"/>
      <c r="J75" s="1"/>
      <c r="K75" s="1"/>
      <c r="L75" s="1"/>
      <c r="M75" s="1"/>
    </row>
    <row r="76" spans="1:13">
      <c r="B76" s="1"/>
      <c r="C76" s="1"/>
      <c r="D76" s="1"/>
      <c r="E76" s="1"/>
      <c r="F76" s="1"/>
      <c r="G76" s="1"/>
      <c r="H76" s="1"/>
      <c r="I76" s="1"/>
      <c r="J76" s="1"/>
      <c r="K76" s="1"/>
      <c r="L76" s="1"/>
      <c r="M76" s="1"/>
    </row>
    <row r="77" spans="1:13">
      <c r="B77" s="1"/>
      <c r="C77" s="1"/>
      <c r="D77" s="1"/>
      <c r="E77" s="1"/>
      <c r="F77" s="1"/>
      <c r="G77" s="1"/>
      <c r="H77" s="1"/>
      <c r="I77" s="1"/>
      <c r="J77" s="1"/>
      <c r="K77" s="1"/>
      <c r="L77" s="1"/>
      <c r="M77" s="1"/>
    </row>
    <row r="78" spans="1:13">
      <c r="B78" s="1"/>
      <c r="C78" s="1"/>
      <c r="D78" s="1"/>
      <c r="E78" s="1"/>
      <c r="F78" s="1"/>
      <c r="G78" s="1"/>
      <c r="H78" s="1"/>
      <c r="I78" s="1"/>
      <c r="J78" s="1"/>
      <c r="K78" s="1"/>
      <c r="L78" s="1"/>
      <c r="M78" s="1"/>
    </row>
    <row r="79" spans="1:13">
      <c r="B79" s="1"/>
      <c r="C79" s="1"/>
      <c r="D79" s="1"/>
      <c r="E79" s="1"/>
      <c r="F79" s="1"/>
      <c r="G79" s="1"/>
      <c r="H79" s="1"/>
      <c r="I79" s="1"/>
      <c r="J79" s="1"/>
      <c r="K79" s="1"/>
      <c r="L79" s="1"/>
      <c r="M79" s="1"/>
    </row>
    <row r="80" spans="1:13">
      <c r="B80" s="1"/>
      <c r="C80" s="1"/>
      <c r="D80" s="1"/>
      <c r="E80" s="1"/>
      <c r="F80" s="1"/>
      <c r="G80" s="1"/>
      <c r="H80" s="1"/>
      <c r="I80" s="1"/>
      <c r="J80" s="1"/>
      <c r="K80" s="1"/>
      <c r="L80" s="1"/>
      <c r="M80" s="1"/>
    </row>
    <row r="81" spans="2:13">
      <c r="B81" s="1"/>
      <c r="C81" s="1"/>
      <c r="D81" s="1"/>
      <c r="E81" s="1"/>
      <c r="F81" s="1"/>
      <c r="G81" s="1"/>
      <c r="H81" s="1"/>
      <c r="I81" s="1"/>
      <c r="J81" s="1"/>
      <c r="K81" s="1"/>
      <c r="L81" s="1"/>
      <c r="M81" s="1"/>
    </row>
    <row r="82" spans="2:13">
      <c r="B82" s="1"/>
      <c r="C82" s="1"/>
      <c r="D82" s="1"/>
      <c r="E82" s="1"/>
      <c r="F82" s="1"/>
      <c r="G82" s="1"/>
      <c r="H82" s="1"/>
      <c r="I82" s="1"/>
      <c r="J82" s="1"/>
      <c r="K82" s="1"/>
      <c r="L82" s="1"/>
      <c r="M82" s="1"/>
    </row>
    <row r="83" spans="2:13">
      <c r="B83" s="1"/>
      <c r="C83" s="1"/>
      <c r="D83" s="1"/>
      <c r="E83" s="1"/>
      <c r="F83" s="1"/>
      <c r="G83" s="1"/>
      <c r="H83" s="1"/>
      <c r="I83" s="1"/>
      <c r="J83" s="1"/>
      <c r="K83" s="1"/>
      <c r="L83" s="1"/>
      <c r="M83" s="1"/>
    </row>
    <row r="84" spans="2:13">
      <c r="B84" s="1"/>
      <c r="C84" s="1"/>
      <c r="D84" s="1"/>
      <c r="E84" s="1"/>
      <c r="F84" s="1"/>
      <c r="G84" s="1"/>
      <c r="H84" s="1"/>
      <c r="I84" s="1"/>
      <c r="J84" s="1"/>
      <c r="K84" s="1"/>
      <c r="L84" s="1"/>
      <c r="M84" s="1"/>
    </row>
    <row r="85" spans="2:13">
      <c r="B85" s="1"/>
      <c r="C85" s="1"/>
      <c r="D85" s="1"/>
      <c r="E85" s="1"/>
      <c r="F85" s="1"/>
      <c r="G85" s="1"/>
      <c r="H85" s="1"/>
      <c r="I85" s="1"/>
      <c r="J85" s="1"/>
      <c r="K85" s="1"/>
      <c r="L85" s="1"/>
      <c r="M85" s="1"/>
    </row>
    <row r="86" spans="2:13">
      <c r="B86" s="1"/>
      <c r="C86" s="1"/>
      <c r="D86" s="1"/>
      <c r="E86" s="1"/>
      <c r="F86" s="1"/>
      <c r="G86" s="1"/>
      <c r="H86" s="1"/>
      <c r="I86" s="1"/>
      <c r="J86" s="1"/>
      <c r="K86" s="1"/>
      <c r="L86" s="1"/>
      <c r="M86" s="1"/>
    </row>
    <row r="87" spans="2:13">
      <c r="B87" s="1"/>
      <c r="C87" s="1"/>
      <c r="D87" s="1"/>
      <c r="E87" s="1"/>
      <c r="F87" s="1"/>
      <c r="G87" s="1"/>
      <c r="H87" s="1"/>
      <c r="I87" s="1"/>
      <c r="J87" s="1"/>
      <c r="K87" s="1"/>
      <c r="L87" s="1"/>
      <c r="M87" s="1"/>
    </row>
    <row r="88" spans="2:13">
      <c r="B88" s="1"/>
      <c r="C88" s="1"/>
      <c r="D88" s="1"/>
      <c r="E88" s="1"/>
      <c r="F88" s="1"/>
      <c r="G88" s="1"/>
      <c r="H88" s="1"/>
      <c r="I88" s="1"/>
      <c r="J88" s="1"/>
      <c r="K88" s="1"/>
      <c r="L88" s="1"/>
      <c r="M88" s="1"/>
    </row>
    <row r="89" spans="2:13">
      <c r="B89" s="1"/>
      <c r="C89" s="1"/>
      <c r="D89" s="1"/>
      <c r="E89" s="1"/>
      <c r="F89" s="1"/>
      <c r="G89" s="1"/>
      <c r="H89" s="1"/>
      <c r="I89" s="1"/>
      <c r="J89" s="1"/>
      <c r="K89" s="1"/>
      <c r="L89" s="1"/>
      <c r="M89" s="1"/>
    </row>
    <row r="90" spans="2:13">
      <c r="B90" s="1"/>
      <c r="C90" s="1"/>
      <c r="D90" s="1"/>
      <c r="E90" s="1"/>
      <c r="F90" s="1"/>
      <c r="G90" s="1"/>
      <c r="H90" s="1"/>
      <c r="I90" s="1"/>
      <c r="J90" s="1"/>
      <c r="K90" s="1"/>
      <c r="L90" s="1"/>
      <c r="M90" s="1"/>
    </row>
    <row r="91" spans="2:13">
      <c r="B91" s="1"/>
      <c r="C91" s="1"/>
      <c r="D91" s="1"/>
      <c r="E91" s="1"/>
      <c r="F91" s="1"/>
      <c r="G91" s="1"/>
      <c r="H91" s="1"/>
      <c r="I91" s="1"/>
      <c r="J91" s="1"/>
      <c r="K91" s="1"/>
      <c r="L91" s="1"/>
      <c r="M91" s="1"/>
    </row>
    <row r="92" spans="2:13">
      <c r="B92" s="1"/>
      <c r="C92" s="1"/>
      <c r="D92" s="1"/>
      <c r="E92" s="1"/>
      <c r="F92" s="1"/>
      <c r="G92" s="1"/>
      <c r="H92" s="1"/>
      <c r="I92" s="1"/>
      <c r="J92" s="1"/>
      <c r="K92" s="1"/>
      <c r="L92" s="1"/>
      <c r="M92" s="1"/>
    </row>
    <row r="93" spans="2:13">
      <c r="B93" s="1"/>
      <c r="C93" s="1"/>
      <c r="D93" s="1"/>
      <c r="E93" s="1"/>
      <c r="F93" s="1"/>
      <c r="G93" s="1"/>
      <c r="H93" s="1"/>
      <c r="I93" s="1"/>
      <c r="J93" s="1"/>
      <c r="K93" s="1"/>
      <c r="L93" s="1"/>
      <c r="M93" s="1"/>
    </row>
    <row r="94" spans="2:13">
      <c r="B94" s="1"/>
      <c r="C94" s="1"/>
      <c r="D94" s="1"/>
      <c r="E94" s="1"/>
      <c r="F94" s="1"/>
      <c r="G94" s="1"/>
      <c r="H94" s="1"/>
      <c r="I94" s="1"/>
      <c r="J94" s="1"/>
      <c r="K94" s="1"/>
      <c r="L94" s="1"/>
      <c r="M94" s="1"/>
    </row>
    <row r="95" spans="2:13">
      <c r="B95" s="1"/>
      <c r="C95" s="1"/>
      <c r="D95" s="1"/>
      <c r="E95" s="1"/>
      <c r="F95" s="1"/>
      <c r="G95" s="1"/>
      <c r="H95" s="1"/>
      <c r="I95" s="1"/>
      <c r="J95" s="1"/>
      <c r="K95" s="1"/>
      <c r="L95" s="1"/>
      <c r="M95" s="1"/>
    </row>
    <row r="96" spans="2:13">
      <c r="B96" s="1"/>
      <c r="C96" s="1"/>
      <c r="D96" s="1"/>
      <c r="E96" s="1"/>
      <c r="F96" s="1"/>
      <c r="G96" s="1"/>
      <c r="H96" s="1"/>
      <c r="I96" s="1"/>
      <c r="J96" s="1"/>
      <c r="K96" s="1"/>
      <c r="L96" s="1"/>
      <c r="M96" s="1"/>
    </row>
    <row r="97" spans="2:13">
      <c r="B97" s="1"/>
      <c r="C97" s="1"/>
      <c r="D97" s="1"/>
      <c r="E97" s="1"/>
      <c r="F97" s="1"/>
      <c r="G97" s="1"/>
      <c r="H97" s="1"/>
      <c r="I97" s="1"/>
      <c r="J97" s="1"/>
      <c r="K97" s="1"/>
      <c r="L97" s="1"/>
      <c r="M97" s="1"/>
    </row>
    <row r="98" spans="2:13">
      <c r="B98" s="1"/>
      <c r="C98" s="1"/>
      <c r="D98" s="1"/>
      <c r="E98" s="1"/>
      <c r="F98" s="1"/>
      <c r="G98" s="1"/>
      <c r="H98" s="1"/>
      <c r="I98" s="1"/>
      <c r="J98" s="1"/>
      <c r="K98" s="1"/>
      <c r="L98" s="1"/>
      <c r="M98" s="1"/>
    </row>
    <row r="99" spans="2:13">
      <c r="B99" s="1"/>
      <c r="C99" s="1"/>
      <c r="D99" s="1"/>
      <c r="E99" s="1"/>
      <c r="F99" s="1"/>
      <c r="G99" s="1"/>
      <c r="H99" s="1"/>
      <c r="I99" s="1"/>
      <c r="J99" s="1"/>
      <c r="K99" s="1"/>
      <c r="L99" s="1"/>
      <c r="M99" s="1"/>
    </row>
    <row r="100" spans="2:13">
      <c r="B100" s="1"/>
      <c r="C100" s="1"/>
      <c r="D100" s="1"/>
      <c r="E100" s="1"/>
      <c r="F100" s="1"/>
      <c r="G100" s="1"/>
      <c r="H100" s="1"/>
      <c r="I100" s="1"/>
      <c r="J100" s="1"/>
      <c r="K100" s="1"/>
      <c r="L100" s="1"/>
      <c r="M100" s="1"/>
    </row>
    <row r="101" spans="2:13">
      <c r="B101" s="1"/>
      <c r="C101" s="1"/>
      <c r="D101" s="1"/>
      <c r="E101" s="1"/>
      <c r="F101" s="1"/>
      <c r="G101" s="1"/>
      <c r="H101" s="1"/>
      <c r="I101" s="1"/>
      <c r="J101" s="1"/>
      <c r="K101" s="1"/>
      <c r="L101" s="1"/>
      <c r="M101" s="1"/>
    </row>
    <row r="102" spans="2:13">
      <c r="B102" s="1"/>
      <c r="C102" s="1"/>
      <c r="D102" s="1"/>
      <c r="E102" s="1"/>
      <c r="F102" s="1"/>
      <c r="G102" s="1"/>
      <c r="H102" s="1"/>
      <c r="I102" s="1"/>
      <c r="J102" s="1"/>
      <c r="K102" s="1"/>
      <c r="L102" s="1"/>
      <c r="M102" s="1"/>
    </row>
    <row r="103" spans="2:13">
      <c r="B103" s="1"/>
      <c r="C103" s="1"/>
      <c r="D103" s="1"/>
      <c r="E103" s="1"/>
      <c r="F103" s="1"/>
      <c r="G103" s="1"/>
      <c r="H103" s="1"/>
      <c r="I103" s="1"/>
      <c r="J103" s="1"/>
      <c r="K103" s="1"/>
      <c r="L103" s="1"/>
      <c r="M103" s="1"/>
    </row>
    <row r="104" spans="2:13">
      <c r="B104" s="1"/>
      <c r="C104" s="1"/>
      <c r="D104" s="1"/>
      <c r="E104" s="1"/>
      <c r="F104" s="1"/>
      <c r="G104" s="1"/>
      <c r="H104" s="1"/>
      <c r="I104" s="1"/>
      <c r="J104" s="1"/>
      <c r="K104" s="1"/>
      <c r="L104" s="1"/>
      <c r="M104" s="1"/>
    </row>
    <row r="105" spans="2:13">
      <c r="B105" s="1"/>
      <c r="C105" s="1"/>
      <c r="D105" s="1"/>
      <c r="E105" s="1"/>
      <c r="F105" s="1"/>
      <c r="G105" s="1"/>
      <c r="H105" s="1"/>
      <c r="I105" s="1"/>
      <c r="J105" s="1"/>
      <c r="K105" s="1"/>
      <c r="L105" s="1"/>
      <c r="M105" s="1"/>
    </row>
    <row r="106" spans="2:13">
      <c r="B106" s="1"/>
      <c r="C106" s="1"/>
      <c r="D106" s="1"/>
      <c r="E106" s="1"/>
      <c r="F106" s="1"/>
      <c r="G106" s="1"/>
      <c r="H106" s="1"/>
      <c r="I106" s="1"/>
      <c r="J106" s="1"/>
      <c r="K106" s="1"/>
      <c r="L106" s="1"/>
      <c r="M106" s="1"/>
    </row>
    <row r="107" spans="2:13">
      <c r="B107" s="1"/>
      <c r="C107" s="1"/>
      <c r="D107" s="1"/>
      <c r="E107" s="1"/>
      <c r="F107" s="1"/>
      <c r="G107" s="1"/>
      <c r="H107" s="1"/>
      <c r="I107" s="1"/>
      <c r="J107" s="1"/>
      <c r="K107" s="1"/>
      <c r="L107" s="1"/>
      <c r="M107" s="1"/>
    </row>
    <row r="108" spans="2:13">
      <c r="B108" s="1"/>
      <c r="C108" s="1"/>
      <c r="D108" s="1"/>
      <c r="E108" s="1"/>
      <c r="F108" s="1"/>
      <c r="G108" s="1"/>
      <c r="H108" s="1"/>
      <c r="I108" s="1"/>
      <c r="J108" s="1"/>
      <c r="K108" s="1"/>
      <c r="L108" s="1"/>
      <c r="M108" s="1"/>
    </row>
    <row r="109" spans="2:13">
      <c r="B109" s="1"/>
      <c r="C109" s="1"/>
      <c r="D109" s="1"/>
      <c r="E109" s="1"/>
      <c r="F109" s="1"/>
      <c r="G109" s="1"/>
      <c r="H109" s="1"/>
      <c r="I109" s="1"/>
      <c r="J109" s="1"/>
      <c r="K109" s="1"/>
      <c r="L109" s="1"/>
      <c r="M109" s="1"/>
    </row>
    <row r="110" spans="2:13">
      <c r="B110" s="1"/>
      <c r="C110" s="1"/>
      <c r="D110" s="1"/>
      <c r="E110" s="1"/>
      <c r="F110" s="1"/>
      <c r="G110" s="1"/>
      <c r="H110" s="1"/>
      <c r="I110" s="1"/>
      <c r="J110" s="1"/>
      <c r="K110" s="1"/>
      <c r="L110" s="1"/>
      <c r="M110" s="1"/>
    </row>
    <row r="111" spans="2:13">
      <c r="B111" s="1"/>
      <c r="C111" s="1"/>
      <c r="D111" s="1"/>
      <c r="E111" s="1"/>
      <c r="F111" s="1"/>
      <c r="G111" s="1"/>
      <c r="H111" s="1"/>
      <c r="I111" s="1"/>
      <c r="J111" s="1"/>
      <c r="K111" s="1"/>
      <c r="L111" s="1"/>
      <c r="M111" s="1"/>
    </row>
    <row r="112" spans="2:13">
      <c r="B112" s="1"/>
      <c r="C112" s="1"/>
      <c r="D112" s="1"/>
      <c r="E112" s="1"/>
      <c r="F112" s="1"/>
      <c r="G112" s="1"/>
      <c r="H112" s="1"/>
      <c r="I112" s="1"/>
      <c r="J112" s="1"/>
      <c r="K112" s="1"/>
      <c r="L112" s="1"/>
      <c r="M112" s="1"/>
    </row>
    <row r="113" spans="2:13">
      <c r="B113" s="1"/>
      <c r="C113" s="1"/>
      <c r="D113" s="1"/>
      <c r="E113" s="1"/>
      <c r="F113" s="1"/>
      <c r="G113" s="1"/>
      <c r="H113" s="1"/>
      <c r="I113" s="1"/>
      <c r="J113" s="1"/>
      <c r="K113" s="1"/>
      <c r="L113" s="1"/>
      <c r="M113" s="1"/>
    </row>
    <row r="114" spans="2:13">
      <c r="B114" s="1"/>
      <c r="C114" s="1"/>
      <c r="D114" s="1"/>
      <c r="E114" s="1"/>
      <c r="F114" s="1"/>
      <c r="G114" s="1"/>
      <c r="H114" s="1"/>
      <c r="I114" s="1"/>
      <c r="J114" s="1"/>
      <c r="K114" s="1"/>
      <c r="L114" s="1"/>
      <c r="M114" s="1"/>
    </row>
    <row r="115" spans="2:13">
      <c r="B115" s="1"/>
      <c r="C115" s="1"/>
      <c r="D115" s="1"/>
      <c r="E115" s="1"/>
      <c r="F115" s="1"/>
      <c r="G115" s="1"/>
      <c r="H115" s="1"/>
      <c r="I115" s="1"/>
      <c r="J115" s="1"/>
      <c r="K115" s="1"/>
      <c r="L115" s="1"/>
      <c r="M115" s="1"/>
    </row>
    <row r="116" spans="2:13">
      <c r="B116" s="1"/>
      <c r="C116" s="1"/>
      <c r="D116" s="1"/>
      <c r="E116" s="1"/>
      <c r="F116" s="1"/>
      <c r="G116" s="1"/>
      <c r="H116" s="1"/>
      <c r="I116" s="1"/>
      <c r="J116" s="1"/>
      <c r="K116" s="1"/>
      <c r="L116" s="1"/>
      <c r="M116" s="1"/>
    </row>
    <row r="117" spans="2:13">
      <c r="B117" s="1"/>
      <c r="C117" s="1"/>
      <c r="D117" s="1"/>
      <c r="E117" s="1"/>
      <c r="F117" s="1"/>
      <c r="G117" s="1"/>
      <c r="H117" s="1"/>
      <c r="I117" s="1"/>
      <c r="J117" s="1"/>
      <c r="K117" s="1"/>
      <c r="L117" s="1"/>
      <c r="M117" s="1"/>
    </row>
    <row r="118" spans="2:13">
      <c r="B118" s="1"/>
      <c r="C118" s="1"/>
      <c r="D118" s="1"/>
      <c r="E118" s="1"/>
      <c r="F118" s="1"/>
      <c r="G118" s="1"/>
      <c r="H118" s="1"/>
      <c r="I118" s="1"/>
      <c r="J118" s="1"/>
      <c r="K118" s="1"/>
      <c r="L118" s="1"/>
      <c r="M118" s="1"/>
    </row>
    <row r="119" spans="2:13">
      <c r="B119" s="1"/>
      <c r="C119" s="1"/>
      <c r="D119" s="1"/>
      <c r="E119" s="1"/>
      <c r="F119" s="1"/>
      <c r="G119" s="1"/>
      <c r="H119" s="1"/>
      <c r="I119" s="1"/>
      <c r="J119" s="1"/>
      <c r="K119" s="1"/>
      <c r="L119" s="1"/>
      <c r="M119" s="1"/>
    </row>
    <row r="120" spans="2:13">
      <c r="B120" s="1"/>
      <c r="C120" s="1"/>
      <c r="D120" s="1"/>
      <c r="E120" s="1"/>
      <c r="F120" s="1"/>
      <c r="G120" s="1"/>
      <c r="H120" s="1"/>
      <c r="I120" s="1"/>
      <c r="J120" s="1"/>
      <c r="K120" s="1"/>
      <c r="L120" s="1"/>
      <c r="M120" s="1"/>
    </row>
    <row r="121" spans="2:13">
      <c r="B121" s="1"/>
      <c r="C121" s="1"/>
      <c r="D121" s="1"/>
      <c r="E121" s="1"/>
      <c r="F121" s="1"/>
      <c r="G121" s="1"/>
      <c r="H121" s="1"/>
      <c r="I121" s="1"/>
      <c r="J121" s="1"/>
      <c r="K121" s="1"/>
      <c r="L121" s="1"/>
      <c r="M121" s="1"/>
    </row>
    <row r="122" spans="2:13">
      <c r="B122" s="1"/>
      <c r="C122" s="1"/>
      <c r="D122" s="1"/>
      <c r="E122" s="1"/>
      <c r="F122" s="1"/>
      <c r="G122" s="1"/>
      <c r="H122" s="1"/>
      <c r="I122" s="1"/>
      <c r="J122" s="1"/>
      <c r="K122" s="1"/>
      <c r="L122" s="1"/>
      <c r="M122" s="1"/>
    </row>
    <row r="123" spans="2:13">
      <c r="B123" s="1"/>
      <c r="C123" s="1"/>
      <c r="D123" s="1"/>
      <c r="E123" s="1"/>
      <c r="F123" s="1"/>
      <c r="G123" s="1"/>
      <c r="H123" s="1"/>
      <c r="I123" s="1"/>
      <c r="J123" s="1"/>
      <c r="K123" s="1"/>
      <c r="L123" s="1"/>
      <c r="M123" s="1"/>
    </row>
    <row r="124" spans="2:13">
      <c r="B124" s="1"/>
      <c r="C124" s="1"/>
      <c r="D124" s="1"/>
      <c r="E124" s="1"/>
      <c r="F124" s="1"/>
      <c r="G124" s="1"/>
      <c r="H124" s="1"/>
      <c r="I124" s="1"/>
      <c r="J124" s="1"/>
      <c r="K124" s="1"/>
      <c r="L124" s="1"/>
      <c r="M124" s="1"/>
    </row>
    <row r="125" spans="2:13">
      <c r="B125" s="1"/>
      <c r="C125" s="1"/>
      <c r="D125" s="1"/>
      <c r="E125" s="1"/>
      <c r="F125" s="1"/>
      <c r="G125" s="1"/>
      <c r="H125" s="1"/>
      <c r="I125" s="1"/>
      <c r="J125" s="1"/>
      <c r="K125" s="1"/>
      <c r="L125" s="1"/>
      <c r="M125" s="1"/>
    </row>
    <row r="126" spans="2:13">
      <c r="B126" s="1"/>
      <c r="C126" s="1"/>
      <c r="D126" s="1"/>
      <c r="E126" s="1"/>
      <c r="F126" s="1"/>
      <c r="G126" s="1"/>
      <c r="H126" s="1"/>
      <c r="I126" s="1"/>
      <c r="J126" s="1"/>
      <c r="K126" s="1"/>
      <c r="L126" s="1"/>
      <c r="M126" s="1"/>
    </row>
    <row r="127" spans="2:13">
      <c r="B127" s="1"/>
      <c r="C127" s="1"/>
      <c r="D127" s="1"/>
      <c r="E127" s="1"/>
      <c r="F127" s="1"/>
      <c r="G127" s="1"/>
      <c r="H127" s="1"/>
      <c r="I127" s="1"/>
      <c r="J127" s="1"/>
      <c r="K127" s="1"/>
      <c r="L127" s="1"/>
      <c r="M127" s="1"/>
    </row>
    <row r="128" spans="2:13">
      <c r="B128" s="1"/>
      <c r="C128" s="1"/>
      <c r="D128" s="1"/>
      <c r="E128" s="1"/>
      <c r="F128" s="1"/>
      <c r="G128" s="1"/>
      <c r="H128" s="1"/>
      <c r="I128" s="1"/>
      <c r="J128" s="1"/>
      <c r="K128" s="1"/>
      <c r="L128" s="1"/>
      <c r="M128" s="1"/>
    </row>
    <row r="129" spans="2:13">
      <c r="B129" s="1"/>
      <c r="C129" s="1"/>
      <c r="D129" s="1"/>
      <c r="E129" s="1"/>
      <c r="F129" s="1"/>
      <c r="G129" s="1"/>
      <c r="H129" s="1"/>
      <c r="I129" s="1"/>
      <c r="J129" s="1"/>
      <c r="K129" s="1"/>
      <c r="L129" s="1"/>
      <c r="M129" s="1"/>
    </row>
    <row r="130" spans="2:13">
      <c r="B130" s="1"/>
      <c r="C130" s="1"/>
      <c r="D130" s="1"/>
      <c r="E130" s="1"/>
      <c r="F130" s="1"/>
      <c r="G130" s="1"/>
      <c r="H130" s="1"/>
      <c r="I130" s="1"/>
      <c r="J130" s="1"/>
      <c r="K130" s="1"/>
      <c r="L130" s="1"/>
      <c r="M130" s="1"/>
    </row>
    <row r="131" spans="2:13">
      <c r="B131" s="1"/>
      <c r="C131" s="1"/>
      <c r="D131" s="1"/>
      <c r="E131" s="1"/>
      <c r="F131" s="1"/>
      <c r="G131" s="1"/>
      <c r="H131" s="1"/>
      <c r="I131" s="1"/>
      <c r="J131" s="1"/>
      <c r="K131" s="1"/>
      <c r="L131" s="1"/>
      <c r="M131" s="1"/>
    </row>
    <row r="132" spans="2:13">
      <c r="B132" s="1"/>
      <c r="C132" s="1"/>
      <c r="D132" s="1"/>
      <c r="E132" s="1"/>
      <c r="F132" s="1"/>
      <c r="G132" s="1"/>
      <c r="H132" s="1"/>
      <c r="I132" s="1"/>
      <c r="J132" s="1"/>
      <c r="K132" s="1"/>
      <c r="L132" s="1"/>
      <c r="M132" s="1"/>
    </row>
    <row r="133" spans="2:13">
      <c r="B133" s="1"/>
      <c r="C133" s="1"/>
      <c r="D133" s="1"/>
      <c r="E133" s="1"/>
      <c r="F133" s="1"/>
      <c r="G133" s="1"/>
      <c r="H133" s="1"/>
      <c r="I133" s="1"/>
      <c r="J133" s="1"/>
      <c r="K133" s="1"/>
      <c r="L133" s="1"/>
      <c r="M133" s="1"/>
    </row>
    <row r="134" spans="2:13">
      <c r="B134" s="1"/>
      <c r="C134" s="1"/>
      <c r="D134" s="1"/>
      <c r="E134" s="1"/>
      <c r="F134" s="1"/>
      <c r="G134" s="1"/>
      <c r="H134" s="1"/>
      <c r="I134" s="1"/>
      <c r="J134" s="1"/>
      <c r="K134" s="1"/>
      <c r="L134" s="1"/>
      <c r="M134" s="1"/>
    </row>
    <row r="135" spans="2:13">
      <c r="B135" s="1"/>
      <c r="C135" s="1"/>
      <c r="D135" s="1"/>
      <c r="E135" s="1"/>
      <c r="F135" s="1"/>
      <c r="G135" s="1"/>
      <c r="H135" s="1"/>
      <c r="I135" s="1"/>
      <c r="J135" s="1"/>
      <c r="K135" s="1"/>
      <c r="L135" s="1"/>
      <c r="M135" s="1"/>
    </row>
    <row r="136" spans="2:13">
      <c r="B136" s="1"/>
      <c r="C136" s="1"/>
      <c r="D136" s="1"/>
      <c r="E136" s="1"/>
      <c r="F136" s="1"/>
      <c r="G136" s="1"/>
      <c r="H136" s="1"/>
      <c r="I136" s="1"/>
      <c r="J136" s="1"/>
      <c r="K136" s="1"/>
      <c r="L136" s="1"/>
      <c r="M136" s="1"/>
    </row>
    <row r="137" spans="2:13">
      <c r="B137" s="1"/>
      <c r="C137" s="1"/>
      <c r="D137" s="1"/>
      <c r="E137" s="1"/>
      <c r="F137" s="1"/>
      <c r="G137" s="1"/>
      <c r="H137" s="1"/>
      <c r="I137" s="1"/>
      <c r="J137" s="1"/>
      <c r="K137" s="1"/>
      <c r="L137" s="1"/>
      <c r="M137" s="1"/>
    </row>
    <row r="138" spans="2:13">
      <c r="B138" s="1"/>
      <c r="C138" s="1"/>
      <c r="D138" s="1"/>
      <c r="E138" s="1"/>
      <c r="F138" s="1"/>
      <c r="G138" s="1"/>
      <c r="H138" s="1"/>
      <c r="I138" s="1"/>
      <c r="J138" s="1"/>
      <c r="K138" s="1"/>
      <c r="L138" s="1"/>
      <c r="M138" s="1"/>
    </row>
    <row r="139" spans="2:13">
      <c r="B139" s="1"/>
      <c r="C139" s="1"/>
      <c r="D139" s="1"/>
      <c r="E139" s="1"/>
      <c r="F139" s="1"/>
      <c r="G139" s="1"/>
      <c r="H139" s="1"/>
      <c r="I139" s="1"/>
      <c r="J139" s="1"/>
      <c r="K139" s="1"/>
      <c r="L139" s="1"/>
      <c r="M139" s="1"/>
    </row>
    <row r="140" spans="2:13">
      <c r="B140" s="1"/>
      <c r="C140" s="1"/>
      <c r="D140" s="1"/>
      <c r="E140" s="1"/>
      <c r="F140" s="1"/>
      <c r="G140" s="1"/>
      <c r="H140" s="1"/>
      <c r="I140" s="1"/>
      <c r="J140" s="1"/>
      <c r="K140" s="1"/>
      <c r="L140" s="1"/>
      <c r="M140" s="1"/>
    </row>
    <row r="141" spans="2:13">
      <c r="B141" s="1"/>
      <c r="C141" s="1"/>
      <c r="D141" s="1"/>
      <c r="E141" s="1"/>
      <c r="F141" s="1"/>
      <c r="G141" s="1"/>
      <c r="H141" s="1"/>
      <c r="I141" s="1"/>
      <c r="J141" s="1"/>
      <c r="K141" s="1"/>
      <c r="L141" s="1"/>
      <c r="M141" s="1"/>
    </row>
    <row r="142" spans="2:13">
      <c r="B142" s="1"/>
      <c r="C142" s="1"/>
      <c r="D142" s="1"/>
      <c r="E142" s="1"/>
      <c r="F142" s="1"/>
      <c r="G142" s="1"/>
      <c r="H142" s="1"/>
      <c r="I142" s="1"/>
      <c r="J142" s="1"/>
      <c r="K142" s="1"/>
      <c r="L142" s="1"/>
      <c r="M142" s="1"/>
    </row>
    <row r="143" spans="2:13">
      <c r="B143" s="1"/>
      <c r="C143" s="1"/>
      <c r="D143" s="1"/>
      <c r="E143" s="1"/>
      <c r="F143" s="1"/>
      <c r="G143" s="1"/>
      <c r="H143" s="1"/>
      <c r="I143" s="1"/>
      <c r="J143" s="1"/>
      <c r="K143" s="1"/>
      <c r="L143" s="1"/>
      <c r="M143" s="1"/>
    </row>
    <row r="144" spans="2:13">
      <c r="B144" s="1"/>
      <c r="C144" s="1"/>
      <c r="D144" s="1"/>
      <c r="E144" s="1"/>
      <c r="F144" s="1"/>
      <c r="G144" s="1"/>
      <c r="H144" s="1"/>
      <c r="I144" s="1"/>
      <c r="J144" s="1"/>
      <c r="K144" s="1"/>
      <c r="L144" s="1"/>
      <c r="M144" s="1"/>
    </row>
    <row r="145" spans="2:13">
      <c r="B145" s="1"/>
      <c r="C145" s="1"/>
      <c r="D145" s="1"/>
      <c r="E145" s="1"/>
      <c r="F145" s="1"/>
      <c r="G145" s="1"/>
      <c r="H145" s="1"/>
      <c r="I145" s="1"/>
      <c r="J145" s="1"/>
      <c r="K145" s="1"/>
      <c r="L145" s="1"/>
      <c r="M145" s="1"/>
    </row>
    <row r="146" spans="2:13">
      <c r="B146" s="1"/>
      <c r="C146" s="1"/>
      <c r="D146" s="1"/>
      <c r="E146" s="1"/>
      <c r="F146" s="1"/>
      <c r="G146" s="1"/>
      <c r="H146" s="1"/>
      <c r="I146" s="1"/>
      <c r="J146" s="1"/>
      <c r="K146" s="1"/>
      <c r="L146" s="1"/>
      <c r="M146" s="1"/>
    </row>
    <row r="147" spans="2:13">
      <c r="B147" s="1"/>
      <c r="C147" s="1"/>
      <c r="D147" s="1"/>
      <c r="E147" s="1"/>
      <c r="F147" s="1"/>
      <c r="G147" s="1"/>
      <c r="H147" s="1"/>
      <c r="I147" s="1"/>
      <c r="J147" s="1"/>
      <c r="K147" s="1"/>
      <c r="L147" s="1"/>
      <c r="M147" s="1"/>
    </row>
    <row r="148" spans="2:13">
      <c r="B148" s="1"/>
      <c r="C148" s="1"/>
      <c r="D148" s="1"/>
      <c r="E148" s="1"/>
      <c r="F148" s="1"/>
      <c r="G148" s="1"/>
      <c r="H148" s="1"/>
      <c r="I148" s="1"/>
      <c r="J148" s="1"/>
      <c r="K148" s="1"/>
      <c r="L148" s="1"/>
      <c r="M148" s="1"/>
    </row>
    <row r="149" spans="2:13">
      <c r="B149" s="1"/>
      <c r="C149" s="1"/>
      <c r="D149" s="1"/>
      <c r="E149" s="1"/>
      <c r="F149" s="1"/>
      <c r="G149" s="1"/>
      <c r="H149" s="1"/>
      <c r="I149" s="1"/>
      <c r="J149" s="1"/>
      <c r="K149" s="1"/>
      <c r="L149" s="1"/>
      <c r="M149" s="1"/>
    </row>
    <row r="150" spans="2:13">
      <c r="B150" s="1"/>
      <c r="C150" s="1"/>
      <c r="D150" s="1"/>
      <c r="E150" s="1"/>
      <c r="F150" s="1"/>
      <c r="G150" s="1"/>
      <c r="H150" s="1"/>
      <c r="I150" s="1"/>
      <c r="J150" s="1"/>
      <c r="K150" s="1"/>
      <c r="L150" s="1"/>
      <c r="M150" s="1"/>
    </row>
    <row r="151" spans="2:13">
      <c r="B151" s="1"/>
      <c r="C151" s="1"/>
      <c r="D151" s="1"/>
      <c r="E151" s="1"/>
      <c r="F151" s="1"/>
      <c r="G151" s="1"/>
      <c r="H151" s="1"/>
      <c r="I151" s="1"/>
      <c r="J151" s="1"/>
      <c r="K151" s="1"/>
      <c r="L151" s="1"/>
      <c r="M151" s="1"/>
    </row>
    <row r="152" spans="2:13">
      <c r="B152" s="1"/>
      <c r="C152" s="1"/>
      <c r="D152" s="1"/>
      <c r="E152" s="1"/>
      <c r="F152" s="1"/>
      <c r="G152" s="1"/>
      <c r="H152" s="1"/>
      <c r="I152" s="1"/>
      <c r="J152" s="1"/>
      <c r="K152" s="1"/>
      <c r="L152" s="1"/>
      <c r="M152" s="1"/>
    </row>
    <row r="153" spans="2:13">
      <c r="B153" s="1"/>
      <c r="C153" s="1"/>
      <c r="D153" s="1"/>
      <c r="E153" s="1"/>
      <c r="F153" s="1"/>
      <c r="G153" s="1"/>
      <c r="H153" s="1"/>
      <c r="I153" s="1"/>
      <c r="J153" s="1"/>
      <c r="K153" s="1"/>
      <c r="L153" s="1"/>
      <c r="M153" s="1"/>
    </row>
    <row r="154" spans="2:13">
      <c r="B154" s="1"/>
      <c r="C154" s="1"/>
      <c r="D154" s="1"/>
      <c r="E154" s="1"/>
      <c r="F154" s="1"/>
      <c r="G154" s="1"/>
      <c r="H154" s="1"/>
      <c r="I154" s="1"/>
      <c r="J154" s="1"/>
      <c r="K154" s="1"/>
      <c r="L154" s="1"/>
      <c r="M154" s="1"/>
    </row>
    <row r="155" spans="2:13">
      <c r="B155" s="1"/>
      <c r="C155" s="1"/>
      <c r="D155" s="1"/>
      <c r="E155" s="1"/>
      <c r="F155" s="1"/>
      <c r="G155" s="1"/>
      <c r="H155" s="1"/>
      <c r="I155" s="1"/>
      <c r="J155" s="1"/>
      <c r="K155" s="1"/>
      <c r="L155" s="1"/>
      <c r="M155" s="1"/>
    </row>
    <row r="156" spans="2:13">
      <c r="B156" s="1"/>
      <c r="C156" s="1"/>
      <c r="D156" s="1"/>
      <c r="E156" s="1"/>
      <c r="F156" s="1"/>
      <c r="G156" s="1"/>
      <c r="H156" s="1"/>
      <c r="I156" s="1"/>
      <c r="J156" s="1"/>
      <c r="K156" s="1"/>
      <c r="L156" s="1"/>
      <c r="M156" s="1"/>
    </row>
    <row r="157" spans="2:13">
      <c r="B157" s="1"/>
      <c r="C157" s="1"/>
      <c r="D157" s="1"/>
      <c r="E157" s="1"/>
      <c r="F157" s="1"/>
      <c r="G157" s="1"/>
      <c r="H157" s="1"/>
      <c r="I157" s="1"/>
      <c r="J157" s="1"/>
      <c r="K157" s="1"/>
      <c r="L157" s="1"/>
      <c r="M157" s="1"/>
    </row>
    <row r="158" spans="2:13">
      <c r="B158" s="1"/>
      <c r="C158" s="1"/>
      <c r="D158" s="1"/>
      <c r="E158" s="1"/>
      <c r="F158" s="1"/>
      <c r="G158" s="1"/>
      <c r="H158" s="1"/>
      <c r="I158" s="1"/>
      <c r="J158" s="1"/>
      <c r="K158" s="1"/>
      <c r="L158" s="1"/>
      <c r="M158" s="1"/>
    </row>
    <row r="159" spans="2:13">
      <c r="B159" s="1"/>
      <c r="C159" s="1"/>
      <c r="D159" s="1"/>
      <c r="E159" s="1"/>
      <c r="F159" s="1"/>
      <c r="G159" s="1"/>
      <c r="H159" s="1"/>
      <c r="I159" s="1"/>
      <c r="J159" s="1"/>
      <c r="K159" s="1"/>
      <c r="L159" s="1"/>
      <c r="M159" s="1"/>
    </row>
    <row r="160" spans="2:13">
      <c r="B160" s="1"/>
      <c r="C160" s="1"/>
      <c r="D160" s="1"/>
      <c r="E160" s="1"/>
      <c r="F160" s="1"/>
      <c r="G160" s="1"/>
      <c r="H160" s="1"/>
      <c r="I160" s="1"/>
      <c r="J160" s="1"/>
      <c r="K160" s="1"/>
      <c r="L160" s="1"/>
      <c r="M160" s="1"/>
    </row>
    <row r="161" spans="2:13">
      <c r="B161" s="1"/>
      <c r="C161" s="1"/>
      <c r="D161" s="1"/>
      <c r="E161" s="1"/>
      <c r="F161" s="1"/>
      <c r="G161" s="1"/>
      <c r="H161" s="1"/>
      <c r="I161" s="1"/>
      <c r="J161" s="1"/>
      <c r="K161" s="1"/>
      <c r="L161" s="1"/>
      <c r="M161" s="1"/>
    </row>
    <row r="162" spans="2:13">
      <c r="B162" s="1"/>
      <c r="C162" s="1"/>
      <c r="D162" s="1"/>
      <c r="E162" s="1"/>
      <c r="F162" s="1"/>
      <c r="G162" s="1"/>
      <c r="H162" s="1"/>
      <c r="I162" s="1"/>
      <c r="J162" s="1"/>
      <c r="K162" s="1"/>
      <c r="L162" s="1"/>
      <c r="M162" s="1"/>
    </row>
    <row r="163" spans="2:13">
      <c r="B163" s="1"/>
      <c r="C163" s="1"/>
      <c r="D163" s="1"/>
      <c r="E163" s="1"/>
      <c r="F163" s="1"/>
      <c r="G163" s="1"/>
      <c r="H163" s="1"/>
      <c r="I163" s="1"/>
      <c r="J163" s="1"/>
      <c r="K163" s="1"/>
      <c r="L163" s="1"/>
      <c r="M163" s="1"/>
    </row>
    <row r="164" spans="2:13">
      <c r="B164" s="1"/>
      <c r="C164" s="1"/>
      <c r="D164" s="1"/>
      <c r="E164" s="1"/>
      <c r="F164" s="1"/>
      <c r="G164" s="1"/>
      <c r="H164" s="1"/>
      <c r="I164" s="1"/>
      <c r="J164" s="1"/>
      <c r="K164" s="1"/>
      <c r="L164" s="1"/>
      <c r="M164" s="1"/>
    </row>
    <row r="165" spans="2:13">
      <c r="B165" s="1"/>
      <c r="C165" s="1"/>
      <c r="D165" s="1"/>
      <c r="E165" s="1"/>
      <c r="F165" s="1"/>
      <c r="G165" s="1"/>
      <c r="H165" s="1"/>
      <c r="I165" s="1"/>
      <c r="J165" s="1"/>
      <c r="K165" s="1"/>
      <c r="L165" s="1"/>
      <c r="M165" s="1"/>
    </row>
    <row r="166" spans="2:13">
      <c r="B166" s="1"/>
      <c r="C166" s="1"/>
      <c r="D166" s="1"/>
      <c r="E166" s="1"/>
      <c r="F166" s="1"/>
      <c r="G166" s="1"/>
      <c r="H166" s="1"/>
      <c r="I166" s="1"/>
      <c r="J166" s="1"/>
      <c r="K166" s="1"/>
      <c r="L166" s="1"/>
      <c r="M166" s="1"/>
    </row>
    <row r="167" spans="2:13">
      <c r="B167" s="1"/>
      <c r="C167" s="1"/>
      <c r="D167" s="1"/>
      <c r="E167" s="1"/>
      <c r="F167" s="1"/>
      <c r="G167" s="1"/>
      <c r="H167" s="1"/>
      <c r="I167" s="1"/>
      <c r="J167" s="1"/>
      <c r="K167" s="1"/>
      <c r="L167" s="1"/>
      <c r="M167" s="1"/>
    </row>
    <row r="168" spans="2:13">
      <c r="B168" s="1"/>
      <c r="C168" s="1"/>
      <c r="D168" s="1"/>
      <c r="E168" s="1"/>
      <c r="F168" s="1"/>
      <c r="G168" s="1"/>
      <c r="H168" s="1"/>
      <c r="I168" s="1"/>
      <c r="J168" s="1"/>
      <c r="K168" s="1"/>
      <c r="L168" s="1"/>
      <c r="M168" s="1"/>
    </row>
    <row r="169" spans="2:13">
      <c r="B169" s="1"/>
      <c r="C169" s="1"/>
      <c r="D169" s="1"/>
      <c r="E169" s="1"/>
      <c r="F169" s="1"/>
      <c r="G169" s="1"/>
      <c r="H169" s="1"/>
      <c r="I169" s="1"/>
      <c r="J169" s="1"/>
      <c r="K169" s="1"/>
      <c r="L169" s="1"/>
      <c r="M169" s="1"/>
    </row>
    <row r="170" spans="2:13">
      <c r="B170" s="1"/>
      <c r="C170" s="1"/>
      <c r="D170" s="1"/>
      <c r="E170" s="1"/>
      <c r="F170" s="1"/>
      <c r="G170" s="1"/>
      <c r="H170" s="1"/>
      <c r="I170" s="1"/>
      <c r="J170" s="1"/>
      <c r="K170" s="1"/>
      <c r="L170" s="1"/>
      <c r="M170" s="1"/>
    </row>
    <row r="171" spans="2:13">
      <c r="B171" s="1"/>
      <c r="C171" s="1"/>
      <c r="D171" s="1"/>
      <c r="E171" s="1"/>
      <c r="F171" s="1"/>
      <c r="G171" s="1"/>
      <c r="H171" s="1"/>
      <c r="I171" s="1"/>
      <c r="J171" s="1"/>
      <c r="K171" s="1"/>
      <c r="L171" s="1"/>
      <c r="M171" s="1"/>
    </row>
    <row r="172" spans="2:13">
      <c r="B172" s="1"/>
      <c r="C172" s="1"/>
      <c r="D172" s="1"/>
      <c r="E172" s="1"/>
      <c r="F172" s="1"/>
      <c r="G172" s="1"/>
      <c r="H172" s="1"/>
      <c r="I172" s="1"/>
      <c r="J172" s="1"/>
      <c r="K172" s="1"/>
      <c r="L172" s="1"/>
      <c r="M172" s="1"/>
    </row>
    <row r="173" spans="2:13">
      <c r="B173" s="1"/>
      <c r="C173" s="1"/>
      <c r="D173" s="1"/>
      <c r="E173" s="1"/>
      <c r="F173" s="1"/>
      <c r="G173" s="1"/>
      <c r="H173" s="1"/>
      <c r="I173" s="1"/>
      <c r="J173" s="1"/>
      <c r="K173" s="1"/>
      <c r="L173" s="1"/>
      <c r="M173" s="1"/>
    </row>
    <row r="174" spans="2:13">
      <c r="B174" s="1"/>
      <c r="C174" s="1"/>
      <c r="D174" s="1"/>
      <c r="E174" s="1"/>
      <c r="F174" s="1"/>
      <c r="G174" s="1"/>
      <c r="H174" s="1"/>
      <c r="I174" s="1"/>
      <c r="J174" s="1"/>
      <c r="K174" s="1"/>
      <c r="L174" s="1"/>
      <c r="M174" s="1"/>
    </row>
    <row r="175" spans="2:13">
      <c r="B175" s="1"/>
      <c r="C175" s="1"/>
      <c r="D175" s="1"/>
      <c r="E175" s="1"/>
      <c r="F175" s="1"/>
      <c r="G175" s="1"/>
      <c r="H175" s="1"/>
      <c r="I175" s="1"/>
      <c r="J175" s="1"/>
      <c r="K175" s="1"/>
      <c r="L175" s="1"/>
      <c r="M175" s="1"/>
    </row>
    <row r="176" spans="2:13">
      <c r="B176" s="1"/>
      <c r="C176" s="1"/>
      <c r="D176" s="1"/>
      <c r="E176" s="1"/>
      <c r="F176" s="1"/>
      <c r="G176" s="1"/>
      <c r="H176" s="1"/>
      <c r="I176" s="1"/>
      <c r="J176" s="1"/>
      <c r="K176" s="1"/>
      <c r="L176" s="1"/>
      <c r="M176" s="1"/>
    </row>
    <row r="177" spans="2:13">
      <c r="B177" s="1"/>
      <c r="C177" s="1"/>
      <c r="D177" s="1"/>
      <c r="E177" s="1"/>
      <c r="F177" s="1"/>
      <c r="G177" s="1"/>
      <c r="H177" s="1"/>
      <c r="I177" s="1"/>
      <c r="J177" s="1"/>
      <c r="K177" s="1"/>
      <c r="L177" s="1"/>
      <c r="M177" s="1"/>
    </row>
    <row r="178" spans="2:13">
      <c r="B178" s="1"/>
      <c r="C178" s="1"/>
      <c r="D178" s="1"/>
      <c r="E178" s="1"/>
      <c r="F178" s="1"/>
      <c r="G178" s="1"/>
      <c r="H178" s="1"/>
      <c r="I178" s="1"/>
      <c r="J178" s="1"/>
      <c r="K178" s="1"/>
      <c r="L178" s="1"/>
      <c r="M178" s="1"/>
    </row>
    <row r="179" spans="2:13">
      <c r="B179" s="1"/>
      <c r="C179" s="1"/>
      <c r="D179" s="1"/>
      <c r="E179" s="1"/>
      <c r="F179" s="1"/>
      <c r="G179" s="1"/>
      <c r="H179" s="1"/>
      <c r="I179" s="1"/>
      <c r="J179" s="1"/>
      <c r="K179" s="1"/>
      <c r="L179" s="1"/>
      <c r="M179" s="1"/>
    </row>
    <row r="180" spans="2:13">
      <c r="B180" s="1"/>
      <c r="C180" s="1"/>
      <c r="D180" s="1"/>
      <c r="E180" s="1"/>
      <c r="F180" s="1"/>
      <c r="G180" s="1"/>
      <c r="H180" s="1"/>
      <c r="I180" s="1"/>
      <c r="J180" s="1"/>
      <c r="K180" s="1"/>
      <c r="L180" s="1"/>
      <c r="M180" s="1"/>
    </row>
    <row r="181" spans="2:13">
      <c r="B181" s="1"/>
      <c r="C181" s="1"/>
      <c r="D181" s="1"/>
      <c r="E181" s="1"/>
      <c r="F181" s="1"/>
      <c r="G181" s="1"/>
      <c r="H181" s="1"/>
      <c r="I181" s="1"/>
      <c r="J181" s="1"/>
      <c r="K181" s="1"/>
      <c r="L181" s="1"/>
      <c r="M181" s="1"/>
    </row>
    <row r="182" spans="2:13">
      <c r="B182" s="1"/>
      <c r="C182" s="1"/>
      <c r="D182" s="1"/>
      <c r="E182" s="1"/>
      <c r="F182" s="1"/>
      <c r="G182" s="1"/>
      <c r="H182" s="1"/>
      <c r="I182" s="1"/>
      <c r="J182" s="1"/>
      <c r="K182" s="1"/>
      <c r="L182" s="1"/>
      <c r="M182" s="1"/>
    </row>
    <row r="183" spans="2:13">
      <c r="B183" s="1"/>
      <c r="C183" s="1"/>
      <c r="D183" s="1"/>
      <c r="E183" s="1"/>
      <c r="F183" s="1"/>
      <c r="G183" s="1"/>
      <c r="H183" s="1"/>
      <c r="I183" s="1"/>
      <c r="J183" s="1"/>
      <c r="K183" s="1"/>
      <c r="L183" s="1"/>
      <c r="M183" s="1"/>
    </row>
    <row r="184" spans="2:13">
      <c r="B184" s="1"/>
      <c r="C184" s="1"/>
      <c r="D184" s="1"/>
      <c r="E184" s="1"/>
      <c r="F184" s="1"/>
      <c r="G184" s="1"/>
      <c r="H184" s="1"/>
      <c r="I184" s="1"/>
      <c r="J184" s="1"/>
      <c r="K184" s="1"/>
      <c r="L184" s="1"/>
      <c r="M184" s="1"/>
    </row>
    <row r="185" spans="2:13">
      <c r="B185" s="1"/>
      <c r="C185" s="1"/>
      <c r="D185" s="1"/>
      <c r="E185" s="1"/>
      <c r="F185" s="1"/>
      <c r="G185" s="1"/>
      <c r="H185" s="1"/>
      <c r="I185" s="1"/>
      <c r="J185" s="1"/>
      <c r="K185" s="1"/>
      <c r="L185" s="1"/>
      <c r="M185" s="1"/>
    </row>
    <row r="186" spans="2:13">
      <c r="B186" s="1"/>
      <c r="C186" s="1"/>
      <c r="D186" s="1"/>
      <c r="E186" s="1"/>
      <c r="F186" s="1"/>
      <c r="G186" s="1"/>
      <c r="H186" s="1"/>
      <c r="I186" s="1"/>
      <c r="J186" s="1"/>
      <c r="K186" s="1"/>
      <c r="L186" s="1"/>
      <c r="M186" s="1"/>
    </row>
    <row r="187" spans="2:13">
      <c r="B187" s="1"/>
      <c r="C187" s="1"/>
      <c r="D187" s="1"/>
      <c r="E187" s="1"/>
      <c r="F187" s="1"/>
      <c r="G187" s="1"/>
      <c r="H187" s="1"/>
      <c r="I187" s="1"/>
      <c r="J187" s="1"/>
      <c r="K187" s="1"/>
      <c r="L187" s="1"/>
      <c r="M187" s="1"/>
    </row>
  </sheetData>
  <customSheetViews>
    <customSheetView guid="{6B74E52F-9552-408A-8775-25AFF24E6639}" scale="75" showPageBreaks="1" printArea="1" showRuler="0">
      <selection activeCell="A6" sqref="A6"/>
      <rowBreaks count="1" manualBreakCount="1">
        <brk id="43" max="11" man="1"/>
      </rowBreaks>
      <pageMargins left="0.75" right="0.75" top="1" bottom="1" header="0.5" footer="0.5"/>
      <pageSetup scale="79" fitToHeight="2" orientation="landscape" r:id="rId1"/>
      <headerFooter alignWithMargins="0">
        <oddFooter>&amp;L&amp;Z
&amp;F&amp;C&amp;A&amp;R8.&amp;P</oddFooter>
      </headerFooter>
    </customSheetView>
  </customSheetViews>
  <mergeCells count="3">
    <mergeCell ref="A1:L1"/>
    <mergeCell ref="A2:L2"/>
    <mergeCell ref="A3:L3"/>
  </mergeCells>
  <phoneticPr fontId="0" type="noConversion"/>
  <pageMargins left="0.75" right="0.75" top="1" bottom="1" header="0.5" footer="0.5"/>
  <pageSetup scale="79" fitToHeight="2" orientation="landscape" r:id="rId2"/>
  <headerFooter alignWithMargins="0">
    <oddFooter>&amp;L&amp;Z
&amp;F&amp;C&amp;A&amp;R8.&amp;P</oddFooter>
  </headerFooter>
  <rowBreaks count="1" manualBreakCount="1">
    <brk id="44" max="11" man="1"/>
  </rowBreaks>
</worksheet>
</file>

<file path=xl/worksheets/sheet95.xml><?xml version="1.0" encoding="utf-8"?>
<worksheet xmlns="http://schemas.openxmlformats.org/spreadsheetml/2006/main" xmlns:r="http://schemas.openxmlformats.org/officeDocument/2006/relationships">
  <sheetPr codeName="Sheet69">
    <pageSetUpPr fitToPage="1"/>
  </sheetPr>
  <dimension ref="A1:P15"/>
  <sheetViews>
    <sheetView zoomScaleNormal="100" workbookViewId="0">
      <selection sqref="A1:P1"/>
    </sheetView>
  </sheetViews>
  <sheetFormatPr defaultRowHeight="12.75"/>
  <cols>
    <col min="1" max="1" width="40.5703125" bestFit="1" customWidth="1"/>
    <col min="2" max="2" width="17.7109375" customWidth="1"/>
    <col min="3" max="3" width="1.7109375" customWidth="1"/>
    <col min="4" max="4" width="17.7109375" customWidth="1"/>
    <col min="5" max="5" width="1.7109375" customWidth="1"/>
    <col min="6" max="6" width="17.7109375" customWidth="1"/>
    <col min="7" max="7" width="1.7109375" customWidth="1"/>
    <col min="8" max="8" width="17.7109375" customWidth="1"/>
    <col min="9" max="9" width="1.7109375" customWidth="1"/>
    <col min="10" max="10" width="17.7109375" customWidth="1"/>
    <col min="11" max="11" width="1.7109375" customWidth="1"/>
    <col min="12" max="12" width="17.7109375" customWidth="1"/>
    <col min="13" max="13" width="2.140625" customWidth="1"/>
    <col min="14" max="14" width="11.85546875" bestFit="1" customWidth="1"/>
    <col min="15" max="15" width="1.85546875" customWidth="1"/>
    <col min="16" max="16" width="23.140625" bestFit="1" customWidth="1"/>
  </cols>
  <sheetData>
    <row r="1" spans="1:16" s="38" customFormat="1" ht="15.75">
      <c r="A1" s="366" t="s">
        <v>134</v>
      </c>
      <c r="B1" s="366"/>
      <c r="C1" s="366"/>
      <c r="D1" s="366"/>
      <c r="E1" s="366"/>
      <c r="F1" s="366"/>
      <c r="G1" s="366"/>
      <c r="H1" s="366"/>
      <c r="I1" s="366"/>
      <c r="J1" s="366"/>
      <c r="K1" s="366"/>
      <c r="L1" s="366"/>
      <c r="M1" s="366"/>
      <c r="N1" s="366"/>
      <c r="O1" s="366"/>
      <c r="P1" s="366"/>
    </row>
    <row r="2" spans="1:16" s="38" customFormat="1" ht="15.75">
      <c r="A2" s="366" t="s">
        <v>1217</v>
      </c>
      <c r="B2" s="366"/>
      <c r="C2" s="366"/>
      <c r="D2" s="366"/>
      <c r="E2" s="366"/>
      <c r="F2" s="366"/>
      <c r="G2" s="366"/>
      <c r="H2" s="366"/>
      <c r="I2" s="366"/>
      <c r="J2" s="366"/>
      <c r="K2" s="366"/>
      <c r="L2" s="366"/>
      <c r="M2" s="366"/>
      <c r="N2" s="366"/>
      <c r="O2" s="366"/>
      <c r="P2" s="366"/>
    </row>
    <row r="3" spans="1:16">
      <c r="A3" s="357" t="str">
        <f>'Summary - Cost - PG 1 (Fin)'!A3:N3</f>
        <v>MARCH 2012</v>
      </c>
      <c r="B3" s="357"/>
      <c r="C3" s="357"/>
      <c r="D3" s="357"/>
      <c r="E3" s="357"/>
      <c r="F3" s="357"/>
      <c r="G3" s="357"/>
      <c r="H3" s="357"/>
      <c r="I3" s="357"/>
      <c r="J3" s="357"/>
      <c r="K3" s="357"/>
      <c r="L3" s="357"/>
      <c r="M3" s="357"/>
      <c r="N3" s="357"/>
      <c r="O3" s="357"/>
      <c r="P3" s="357"/>
    </row>
    <row r="4" spans="1:16">
      <c r="A4" s="30"/>
      <c r="B4" s="30"/>
      <c r="C4" s="30"/>
      <c r="D4" s="30"/>
      <c r="E4" s="30"/>
      <c r="F4" s="30"/>
      <c r="G4" s="30"/>
      <c r="H4" s="30"/>
      <c r="I4" s="30"/>
      <c r="J4" s="30"/>
      <c r="K4" s="30"/>
      <c r="L4" s="30"/>
      <c r="M4" s="40"/>
    </row>
    <row r="6" spans="1:16">
      <c r="B6" s="41" t="s">
        <v>25</v>
      </c>
      <c r="D6" s="45"/>
      <c r="F6" s="45"/>
      <c r="H6" s="41" t="s">
        <v>612</v>
      </c>
      <c r="J6" s="45"/>
      <c r="L6" s="41" t="s">
        <v>26</v>
      </c>
      <c r="P6" s="3" t="s">
        <v>422</v>
      </c>
    </row>
    <row r="7" spans="1:16" s="10" customFormat="1">
      <c r="B7" s="42" t="s">
        <v>27</v>
      </c>
      <c r="C7"/>
      <c r="D7" s="42" t="s">
        <v>107</v>
      </c>
      <c r="E7"/>
      <c r="F7" s="42" t="s">
        <v>108</v>
      </c>
      <c r="G7"/>
      <c r="H7" s="42" t="s">
        <v>613</v>
      </c>
      <c r="I7"/>
      <c r="J7" s="42" t="s">
        <v>109</v>
      </c>
      <c r="K7"/>
      <c r="L7" s="42" t="s">
        <v>27</v>
      </c>
      <c r="N7" s="42" t="s">
        <v>46</v>
      </c>
      <c r="P7" s="42" t="s">
        <v>419</v>
      </c>
    </row>
    <row r="8" spans="1:16" s="10" customFormat="1">
      <c r="A8" s="12" t="s">
        <v>296</v>
      </c>
      <c r="B8" s="54"/>
      <c r="C8"/>
      <c r="D8" s="54"/>
      <c r="E8"/>
      <c r="F8" s="54"/>
      <c r="G8"/>
      <c r="H8" s="54"/>
      <c r="I8"/>
      <c r="J8" s="54"/>
      <c r="K8"/>
      <c r="L8" s="54"/>
    </row>
    <row r="9" spans="1:16" s="10" customFormat="1">
      <c r="A9" s="12" t="s">
        <v>420</v>
      </c>
      <c r="B9" s="45"/>
      <c r="C9" s="45"/>
      <c r="D9" s="45"/>
      <c r="E9" s="45"/>
      <c r="F9" s="45"/>
      <c r="G9" s="45"/>
      <c r="H9" s="45"/>
      <c r="I9" s="45"/>
      <c r="J9" s="45"/>
      <c r="K9" s="45"/>
      <c r="L9" s="45"/>
    </row>
    <row r="10" spans="1:16">
      <c r="A10" t="s">
        <v>4</v>
      </c>
      <c r="B10" s="48">
        <f>'IN_Cost Plant Acct-Com-P10(Fin)'!B11+'IN_Cost Plant Acct-Com-P10(Fin)'!B20</f>
        <v>773554.64</v>
      </c>
      <c r="C10" s="45"/>
      <c r="D10" s="48">
        <f>'IN_Cost Plant Acct-Com-P10(Fin)'!D11+'IN_Cost Plant Acct-Com-P10(Fin)'!D20</f>
        <v>0</v>
      </c>
      <c r="E10" s="45"/>
      <c r="F10" s="48">
        <f>'IN_Cost Plant Acct-Com-P10(Fin)'!F11+'IN_Cost Plant Acct-Com-P10(Fin)'!F20</f>
        <v>0</v>
      </c>
      <c r="G10" s="45"/>
      <c r="H10" s="48">
        <f>'IN_Cost Plant Acct-Com-P10(Fin)'!H11+'IN_Cost Plant Acct-Com-P10(Fin)'!H20</f>
        <v>0</v>
      </c>
      <c r="I10" s="45"/>
      <c r="J10" s="48">
        <f>+D10+F10+H10</f>
        <v>0</v>
      </c>
      <c r="K10" s="45"/>
      <c r="L10" s="48">
        <f>J10+B10</f>
        <v>773554.64</v>
      </c>
      <c r="N10" s="90">
        <f>'IN_Res by Plant Acct-P30 (Fin)'!R43</f>
        <v>-633492.45000000007</v>
      </c>
      <c r="P10" s="90">
        <f>L10+N10</f>
        <v>140062.18999999994</v>
      </c>
    </row>
    <row r="11" spans="1:16">
      <c r="B11" s="52">
        <f>SUM(B10)</f>
        <v>773554.64</v>
      </c>
      <c r="C11" s="52"/>
      <c r="D11" s="52">
        <f>SUM(D10)</f>
        <v>0</v>
      </c>
      <c r="E11" s="52"/>
      <c r="F11" s="52">
        <f>SUM(F10)</f>
        <v>0</v>
      </c>
      <c r="G11" s="52"/>
      <c r="H11" s="52">
        <f>SUM(H10)</f>
        <v>0</v>
      </c>
      <c r="I11" s="52"/>
      <c r="J11" s="52">
        <f>SUM(J10)</f>
        <v>0</v>
      </c>
      <c r="K11" s="52"/>
      <c r="L11" s="52">
        <f>SUM(L10)</f>
        <v>773554.64</v>
      </c>
      <c r="M11" s="7"/>
      <c r="N11" s="52">
        <f>SUM(N10)</f>
        <v>-633492.45000000007</v>
      </c>
      <c r="P11" s="52">
        <f>SUM(P10)</f>
        <v>140062.18999999994</v>
      </c>
    </row>
    <row r="12" spans="1:16">
      <c r="B12" s="52"/>
      <c r="C12" s="52"/>
      <c r="D12" s="52"/>
      <c r="E12" s="52"/>
      <c r="F12" s="52"/>
      <c r="G12" s="52"/>
      <c r="H12" s="52"/>
      <c r="I12" s="52"/>
      <c r="J12" s="52"/>
      <c r="K12" s="52"/>
      <c r="L12" s="52"/>
      <c r="M12" s="7"/>
    </row>
    <row r="13" spans="1:16">
      <c r="B13" s="45"/>
      <c r="C13" s="45"/>
      <c r="D13" s="45"/>
      <c r="E13" s="45"/>
      <c r="F13" s="45"/>
      <c r="G13" s="45"/>
      <c r="H13" s="45"/>
      <c r="I13" s="45"/>
      <c r="J13" s="45"/>
      <c r="K13" s="45"/>
      <c r="L13" s="45"/>
    </row>
    <row r="14" spans="1:16" ht="13.5" thickBot="1">
      <c r="A14" s="3" t="s">
        <v>683</v>
      </c>
      <c r="B14" s="46">
        <f>B11</f>
        <v>773554.64</v>
      </c>
      <c r="C14" s="45"/>
      <c r="D14" s="46">
        <f>D11</f>
        <v>0</v>
      </c>
      <c r="E14" s="45"/>
      <c r="F14" s="46">
        <f>F11</f>
        <v>0</v>
      </c>
      <c r="G14" s="45"/>
      <c r="H14" s="46">
        <f>H11</f>
        <v>0</v>
      </c>
      <c r="I14" s="45"/>
      <c r="J14" s="46">
        <f>J11</f>
        <v>0</v>
      </c>
      <c r="K14" s="45"/>
      <c r="L14" s="46">
        <f>L11</f>
        <v>773554.64</v>
      </c>
      <c r="N14" s="46">
        <f>N11</f>
        <v>-633492.45000000007</v>
      </c>
      <c r="P14" s="46">
        <f>P11</f>
        <v>140062.18999999994</v>
      </c>
    </row>
    <row r="15" spans="1:16" ht="13.5" thickTop="1">
      <c r="B15" s="45"/>
      <c r="C15" s="45"/>
      <c r="D15" s="45"/>
      <c r="E15" s="45"/>
      <c r="F15" s="45"/>
      <c r="G15" s="45"/>
      <c r="H15" s="45"/>
      <c r="I15" s="45"/>
      <c r="J15" s="45"/>
      <c r="K15" s="45"/>
      <c r="L15" s="45"/>
    </row>
  </sheetData>
  <customSheetViews>
    <customSheetView guid="{6B74E52F-9552-408A-8775-25AFF24E6639}" scale="75" fitToPage="1" showRuler="0">
      <selection activeCell="A5" sqref="A5"/>
      <pageMargins left="0.75" right="0.75" top="1" bottom="1" header="0.5" footer="0.5"/>
      <pageSetup scale="63" orientation="landscape" r:id="rId1"/>
      <headerFooter alignWithMargins="0">
        <oddFooter>&amp;L&amp;Z
&amp;F&amp;C&amp;A&amp;R9.&amp;P</oddFooter>
      </headerFooter>
    </customSheetView>
  </customSheetViews>
  <mergeCells count="3">
    <mergeCell ref="A2:P2"/>
    <mergeCell ref="A3:P3"/>
    <mergeCell ref="A1:P1"/>
  </mergeCells>
  <phoneticPr fontId="4" type="noConversion"/>
  <pageMargins left="0.75" right="0.75" top="1" bottom="1" header="0.5" footer="0.5"/>
  <pageSetup scale="63" orientation="landscape" r:id="rId2"/>
  <headerFooter alignWithMargins="0">
    <oddFooter>&amp;L&amp;Z
&amp;F&amp;C&amp;A&amp;R9.&amp;P</oddFooter>
  </headerFooter>
</worksheet>
</file>

<file path=xl/worksheets/sheet96.xml><?xml version="1.0" encoding="utf-8"?>
<worksheet xmlns="http://schemas.openxmlformats.org/spreadsheetml/2006/main" xmlns:r="http://schemas.openxmlformats.org/officeDocument/2006/relationships">
  <sheetPr codeName="Sheet57" enableFormatConditionsCalculation="0">
    <tabColor indexed="33"/>
    <pageSetUpPr fitToPage="1"/>
  </sheetPr>
  <dimension ref="A1:N27"/>
  <sheetViews>
    <sheetView zoomScaleNormal="100" workbookViewId="0">
      <selection sqref="A1:L1"/>
    </sheetView>
  </sheetViews>
  <sheetFormatPr defaultRowHeight="12.75"/>
  <cols>
    <col min="1" max="1" width="40.5703125" bestFit="1" customWidth="1"/>
    <col min="2" max="2" width="17.7109375" customWidth="1"/>
    <col min="3" max="3" width="1.7109375" customWidth="1"/>
    <col min="4" max="4" width="17.7109375" customWidth="1"/>
    <col min="5" max="5" width="1.7109375" customWidth="1"/>
    <col min="6" max="6" width="17.7109375" customWidth="1"/>
    <col min="7" max="7" width="1.7109375" customWidth="1"/>
    <col min="8" max="8" width="17.7109375" customWidth="1"/>
    <col min="9" max="9" width="1.7109375" customWidth="1"/>
    <col min="10" max="10" width="17.7109375" customWidth="1"/>
    <col min="11" max="11" width="1.7109375" customWidth="1"/>
    <col min="12" max="12" width="17.7109375" customWidth="1"/>
  </cols>
  <sheetData>
    <row r="1" spans="1:14" s="38" customFormat="1" ht="15.75">
      <c r="A1" s="366" t="s">
        <v>134</v>
      </c>
      <c r="B1" s="366"/>
      <c r="C1" s="366"/>
      <c r="D1" s="366"/>
      <c r="E1" s="366"/>
      <c r="F1" s="366"/>
      <c r="G1" s="366"/>
      <c r="H1" s="366"/>
      <c r="I1" s="366"/>
      <c r="J1" s="366"/>
      <c r="K1" s="366"/>
      <c r="L1" s="366"/>
    </row>
    <row r="2" spans="1:14" s="38" customFormat="1" ht="15.75">
      <c r="A2" s="366" t="s">
        <v>1218</v>
      </c>
      <c r="B2" s="366"/>
      <c r="C2" s="366"/>
      <c r="D2" s="366"/>
      <c r="E2" s="366"/>
      <c r="F2" s="366"/>
      <c r="G2" s="366"/>
      <c r="H2" s="366"/>
      <c r="I2" s="366"/>
      <c r="J2" s="366"/>
      <c r="K2" s="366"/>
      <c r="L2" s="366"/>
    </row>
    <row r="3" spans="1:14">
      <c r="A3" s="357" t="str">
        <f>'Summary - Cost - PG 1 (Fin)'!A3:N3</f>
        <v>MARCH 2012</v>
      </c>
      <c r="B3" s="357"/>
      <c r="C3" s="357"/>
      <c r="D3" s="357"/>
      <c r="E3" s="357"/>
      <c r="F3" s="357"/>
      <c r="G3" s="357"/>
      <c r="H3" s="357"/>
      <c r="I3" s="357"/>
      <c r="J3" s="357"/>
      <c r="K3" s="357"/>
      <c r="L3" s="357"/>
      <c r="M3" s="40"/>
      <c r="N3" s="40"/>
    </row>
    <row r="4" spans="1:14">
      <c r="A4" s="30"/>
      <c r="B4" s="30"/>
      <c r="C4" s="30"/>
      <c r="D4" s="30"/>
      <c r="E4" s="30"/>
      <c r="F4" s="30"/>
      <c r="G4" s="30"/>
      <c r="H4" s="30"/>
      <c r="I4" s="30"/>
      <c r="J4" s="30"/>
      <c r="K4" s="30"/>
      <c r="L4" s="30"/>
      <c r="M4" s="40"/>
      <c r="N4" s="40"/>
    </row>
    <row r="6" spans="1:14">
      <c r="B6" s="41" t="s">
        <v>25</v>
      </c>
      <c r="D6" s="33"/>
      <c r="F6" s="33"/>
      <c r="H6" s="41" t="s">
        <v>612</v>
      </c>
      <c r="J6" s="33"/>
      <c r="L6" s="41" t="s">
        <v>26</v>
      </c>
    </row>
    <row r="7" spans="1:14" s="10" customFormat="1">
      <c r="B7" s="42" t="s">
        <v>27</v>
      </c>
      <c r="C7"/>
      <c r="D7" s="42" t="s">
        <v>107</v>
      </c>
      <c r="E7"/>
      <c r="F7" s="42" t="s">
        <v>108</v>
      </c>
      <c r="G7"/>
      <c r="H7" s="42" t="s">
        <v>613</v>
      </c>
      <c r="I7"/>
      <c r="J7" s="42" t="s">
        <v>109</v>
      </c>
      <c r="K7"/>
      <c r="L7" s="42" t="s">
        <v>27</v>
      </c>
    </row>
    <row r="8" spans="1:14" s="10" customFormat="1">
      <c r="B8" s="54"/>
      <c r="C8"/>
      <c r="D8" s="54"/>
      <c r="E8"/>
      <c r="F8" s="54"/>
      <c r="G8"/>
      <c r="H8" s="54"/>
      <c r="I8"/>
      <c r="J8" s="54"/>
      <c r="K8"/>
      <c r="L8" s="54"/>
    </row>
    <row r="9" spans="1:14" s="10" customFormat="1">
      <c r="A9" s="12" t="s">
        <v>806</v>
      </c>
      <c r="B9" s="33"/>
      <c r="C9" s="33"/>
      <c r="D9" s="33"/>
      <c r="E9" s="33"/>
      <c r="F9" s="33"/>
      <c r="G9" s="33"/>
      <c r="H9" s="33"/>
      <c r="I9" s="33"/>
      <c r="J9" s="33"/>
      <c r="K9" s="33"/>
      <c r="L9" s="33"/>
    </row>
    <row r="10" spans="1:14" s="10" customFormat="1">
      <c r="A10" s="12" t="s">
        <v>807</v>
      </c>
      <c r="B10" s="33"/>
      <c r="C10" s="33"/>
      <c r="D10" s="33"/>
      <c r="E10" s="33"/>
      <c r="F10" s="33"/>
      <c r="G10" s="33"/>
      <c r="H10" s="33"/>
      <c r="I10" s="33"/>
      <c r="J10" s="33"/>
      <c r="K10" s="33"/>
      <c r="L10" s="33"/>
    </row>
    <row r="11" spans="1:14">
      <c r="A11" t="s">
        <v>4</v>
      </c>
      <c r="B11" s="35">
        <v>773554.64</v>
      </c>
      <c r="C11" s="33"/>
      <c r="D11" s="35">
        <v>0</v>
      </c>
      <c r="E11" s="33"/>
      <c r="F11" s="35">
        <v>0</v>
      </c>
      <c r="G11" s="33"/>
      <c r="H11" s="35">
        <v>0</v>
      </c>
      <c r="I11" s="33"/>
      <c r="J11" s="35">
        <f>D11+F11+H11</f>
        <v>0</v>
      </c>
      <c r="K11" s="33"/>
      <c r="L11" s="35">
        <f>J11+B11</f>
        <v>773554.64</v>
      </c>
    </row>
    <row r="12" spans="1:14">
      <c r="B12" s="37">
        <f>SUM(B11)</f>
        <v>773554.64</v>
      </c>
      <c r="C12" s="37"/>
      <c r="D12" s="37">
        <f>SUM(D11)</f>
        <v>0</v>
      </c>
      <c r="E12" s="37"/>
      <c r="F12" s="37">
        <f>SUM(F11)</f>
        <v>0</v>
      </c>
      <c r="G12" s="37"/>
      <c r="H12" s="37">
        <f>SUM(H11)</f>
        <v>0</v>
      </c>
      <c r="I12" s="37"/>
      <c r="J12" s="37">
        <f>SUM(J11)</f>
        <v>0</v>
      </c>
      <c r="K12" s="37"/>
      <c r="L12" s="37">
        <f>SUM(L11)</f>
        <v>773554.64</v>
      </c>
      <c r="M12" s="7"/>
    </row>
    <row r="13" spans="1:14">
      <c r="B13" s="37"/>
      <c r="C13" s="37"/>
      <c r="D13" s="37"/>
      <c r="E13" s="37"/>
      <c r="F13" s="37"/>
      <c r="G13" s="37"/>
      <c r="H13" s="37"/>
      <c r="I13" s="37"/>
      <c r="J13" s="37"/>
      <c r="K13" s="37"/>
      <c r="L13" s="37"/>
      <c r="M13" s="7"/>
    </row>
    <row r="14" spans="1:14">
      <c r="B14" s="33"/>
      <c r="C14" s="33"/>
      <c r="D14" s="33"/>
      <c r="E14" s="33"/>
      <c r="F14" s="33"/>
      <c r="G14" s="33"/>
      <c r="H14" s="33"/>
      <c r="I14" s="33"/>
      <c r="J14" s="33"/>
      <c r="K14" s="33"/>
      <c r="L14" s="33"/>
    </row>
    <row r="15" spans="1:14" ht="13.5" thickBot="1">
      <c r="A15" s="3" t="s">
        <v>1262</v>
      </c>
      <c r="B15" s="44">
        <f>B12</f>
        <v>773554.64</v>
      </c>
      <c r="C15" s="33"/>
      <c r="D15" s="44">
        <f>D12</f>
        <v>0</v>
      </c>
      <c r="E15" s="33"/>
      <c r="F15" s="44">
        <f>F12</f>
        <v>0</v>
      </c>
      <c r="G15" s="33"/>
      <c r="H15" s="44">
        <f>H12</f>
        <v>0</v>
      </c>
      <c r="I15" s="33"/>
      <c r="J15" s="44">
        <f>J12</f>
        <v>0</v>
      </c>
      <c r="K15" s="33"/>
      <c r="L15" s="44">
        <f>L12</f>
        <v>773554.64</v>
      </c>
    </row>
    <row r="16" spans="1:14" ht="13.5" thickTop="1">
      <c r="B16" s="33"/>
      <c r="C16" s="33"/>
      <c r="D16" s="33"/>
      <c r="E16" s="33"/>
      <c r="F16" s="33"/>
      <c r="G16" s="33"/>
      <c r="H16" s="33"/>
      <c r="I16" s="33"/>
      <c r="J16" s="33"/>
      <c r="K16" s="33"/>
      <c r="L16" s="33"/>
    </row>
    <row r="18" spans="1:13">
      <c r="A18" s="3" t="s">
        <v>573</v>
      </c>
    </row>
    <row r="19" spans="1:13">
      <c r="A19" s="3" t="s">
        <v>807</v>
      </c>
    </row>
    <row r="20" spans="1:13">
      <c r="A20" t="s">
        <v>4</v>
      </c>
      <c r="B20" s="35">
        <v>0</v>
      </c>
      <c r="C20" s="33"/>
      <c r="D20" s="35">
        <f>308494.44-308494.44</f>
        <v>0</v>
      </c>
      <c r="E20" s="33"/>
      <c r="F20" s="35">
        <v>0</v>
      </c>
      <c r="G20" s="33"/>
      <c r="H20" s="35">
        <v>0</v>
      </c>
      <c r="I20" s="33"/>
      <c r="J20" s="35">
        <f>D20+F20+H20</f>
        <v>0</v>
      </c>
      <c r="K20" s="33"/>
      <c r="L20" s="35">
        <f>J20+B20</f>
        <v>0</v>
      </c>
    </row>
    <row r="21" spans="1:13">
      <c r="B21" s="37">
        <f>SUM(B20)</f>
        <v>0</v>
      </c>
      <c r="C21" s="37"/>
      <c r="D21" s="37">
        <f>SUM(D20)</f>
        <v>0</v>
      </c>
      <c r="E21" s="37"/>
      <c r="F21" s="37">
        <f>SUM(F20)</f>
        <v>0</v>
      </c>
      <c r="G21" s="37"/>
      <c r="H21" s="37">
        <f>SUM(H20)</f>
        <v>0</v>
      </c>
      <c r="I21" s="37"/>
      <c r="J21" s="37">
        <f>SUM(J20)</f>
        <v>0</v>
      </c>
      <c r="K21" s="37"/>
      <c r="L21" s="37">
        <f>SUM(L20)</f>
        <v>0</v>
      </c>
    </row>
    <row r="23" spans="1:13">
      <c r="A23" s="3" t="s">
        <v>1263</v>
      </c>
      <c r="B23" s="34">
        <f>+B21</f>
        <v>0</v>
      </c>
      <c r="C23" s="6"/>
      <c r="D23" s="34">
        <f>+D21</f>
        <v>0</v>
      </c>
      <c r="E23" s="6"/>
      <c r="F23" s="34">
        <f>+F21</f>
        <v>0</v>
      </c>
      <c r="G23" s="6"/>
      <c r="H23" s="34">
        <f>+H21</f>
        <v>0</v>
      </c>
      <c r="I23" s="6"/>
      <c r="J23" s="34">
        <f>+J21</f>
        <v>0</v>
      </c>
      <c r="K23" s="6"/>
      <c r="L23" s="34">
        <f>+L21</f>
        <v>0</v>
      </c>
      <c r="M23" s="6"/>
    </row>
    <row r="24" spans="1:13">
      <c r="B24" s="37"/>
      <c r="C24" s="37"/>
      <c r="D24" s="37"/>
      <c r="E24" s="37"/>
      <c r="F24" s="37"/>
      <c r="G24" s="37"/>
      <c r="H24" s="37"/>
      <c r="I24" s="37"/>
      <c r="J24" s="37"/>
      <c r="K24" s="37"/>
      <c r="L24" s="37"/>
      <c r="M24" s="6"/>
    </row>
    <row r="25" spans="1:13">
      <c r="B25" s="33"/>
      <c r="C25" s="33"/>
      <c r="D25" s="33"/>
      <c r="E25" s="33"/>
      <c r="F25" s="33"/>
      <c r="G25" s="33"/>
      <c r="H25" s="33"/>
      <c r="I25" s="33"/>
      <c r="J25" s="33"/>
      <c r="K25" s="33"/>
      <c r="L25" s="33"/>
      <c r="M25" s="1"/>
    </row>
    <row r="26" spans="1:13" ht="13.5" thickBot="1">
      <c r="A26" s="3" t="s">
        <v>1264</v>
      </c>
      <c r="B26" s="44">
        <f>+B15+B23</f>
        <v>773554.64</v>
      </c>
      <c r="C26" s="33"/>
      <c r="D26" s="44">
        <f>+D15+D23</f>
        <v>0</v>
      </c>
      <c r="E26" s="33"/>
      <c r="F26" s="44">
        <f>+F15+F23</f>
        <v>0</v>
      </c>
      <c r="G26" s="33"/>
      <c r="H26" s="44">
        <f>+H15+H23</f>
        <v>0</v>
      </c>
      <c r="I26" s="33"/>
      <c r="J26" s="44">
        <f>+J15+J23</f>
        <v>0</v>
      </c>
      <c r="K26" s="33"/>
      <c r="L26" s="44">
        <f>+L15+L23</f>
        <v>773554.64</v>
      </c>
      <c r="M26" s="1"/>
    </row>
    <row r="27" spans="1:13" ht="13.5" thickTop="1"/>
  </sheetData>
  <customSheetViews>
    <customSheetView guid="{6B74E52F-9552-408A-8775-25AFF24E6639}" scale="75" fitToPage="1" showRuler="0">
      <selection activeCell="A6" sqref="A6"/>
      <pageMargins left="0.75" right="0.75" top="1" bottom="1" header="0.5" footer="0.5"/>
      <pageSetup scale="79" orientation="landscape" r:id="rId1"/>
      <headerFooter alignWithMargins="0">
        <oddFooter>&amp;L&amp;Z
&amp;F&amp;C&amp;A&amp;R10.&amp;P</oddFooter>
      </headerFooter>
    </customSheetView>
  </customSheetViews>
  <mergeCells count="3">
    <mergeCell ref="A1:L1"/>
    <mergeCell ref="A2:L2"/>
    <mergeCell ref="A3:L3"/>
  </mergeCells>
  <phoneticPr fontId="4" type="noConversion"/>
  <pageMargins left="0.75" right="0.75" top="1" bottom="1" header="0.5" footer="0.5"/>
  <pageSetup scale="79" orientation="landscape" r:id="rId2"/>
  <headerFooter alignWithMargins="0">
    <oddFooter>&amp;L&amp;Z
&amp;F&amp;C&amp;A&amp;R10.&amp;P</oddFooter>
  </headerFooter>
</worksheet>
</file>

<file path=xl/worksheets/sheet97.xml><?xml version="1.0" encoding="utf-8"?>
<worksheet xmlns="http://schemas.openxmlformats.org/spreadsheetml/2006/main" xmlns:r="http://schemas.openxmlformats.org/officeDocument/2006/relationships">
  <sheetPr codeName="Sheet74"/>
  <dimension ref="A1:P130"/>
  <sheetViews>
    <sheetView topLeftCell="A16" zoomScaleNormal="100" workbookViewId="0">
      <selection sqref="A1:P1"/>
    </sheetView>
  </sheetViews>
  <sheetFormatPr defaultRowHeight="12.75"/>
  <cols>
    <col min="1" max="1" width="50.85546875" bestFit="1" customWidth="1"/>
    <col min="2" max="2" width="17.7109375" customWidth="1"/>
    <col min="3" max="3" width="1.7109375" customWidth="1"/>
    <col min="4" max="4" width="17.7109375" customWidth="1"/>
    <col min="5" max="5" width="1.7109375" customWidth="1"/>
    <col min="6" max="6" width="17.7109375" customWidth="1"/>
    <col min="7" max="7" width="1.7109375" customWidth="1"/>
    <col min="8" max="8" width="17.7109375" customWidth="1"/>
    <col min="9" max="9" width="1.7109375" customWidth="1"/>
    <col min="10" max="10" width="17.7109375" customWidth="1"/>
    <col min="11" max="11" width="1.5703125" customWidth="1"/>
    <col min="12" max="12" width="17.7109375" customWidth="1"/>
    <col min="13" max="13" width="1.7109375" customWidth="1"/>
    <col min="14" max="14" width="21.85546875" customWidth="1"/>
    <col min="15" max="15" width="2.7109375" customWidth="1"/>
    <col min="16" max="16" width="23.140625" bestFit="1" customWidth="1"/>
  </cols>
  <sheetData>
    <row r="1" spans="1:16" s="38" customFormat="1" ht="15.75">
      <c r="A1" s="366" t="s">
        <v>134</v>
      </c>
      <c r="B1" s="366"/>
      <c r="C1" s="366"/>
      <c r="D1" s="366"/>
      <c r="E1" s="366"/>
      <c r="F1" s="366"/>
      <c r="G1" s="366"/>
      <c r="H1" s="366"/>
      <c r="I1" s="366"/>
      <c r="J1" s="366"/>
      <c r="K1" s="366"/>
      <c r="L1" s="366"/>
      <c r="M1" s="366"/>
      <c r="N1" s="366"/>
      <c r="O1" s="366"/>
      <c r="P1" s="366"/>
    </row>
    <row r="2" spans="1:16" s="38" customFormat="1" ht="15.75">
      <c r="A2" s="367" t="s">
        <v>1219</v>
      </c>
      <c r="B2" s="366"/>
      <c r="C2" s="366"/>
      <c r="D2" s="366"/>
      <c r="E2" s="366"/>
      <c r="F2" s="366"/>
      <c r="G2" s="366"/>
      <c r="H2" s="366"/>
      <c r="I2" s="366"/>
      <c r="J2" s="366"/>
      <c r="K2" s="366"/>
      <c r="L2" s="366"/>
      <c r="M2" s="366"/>
      <c r="N2" s="366"/>
      <c r="O2" s="366"/>
      <c r="P2" s="366"/>
    </row>
    <row r="3" spans="1:16">
      <c r="A3" s="357" t="str">
        <f>'Summary - Cost - PG 1 (Fin)'!A3:N3</f>
        <v>MARCH 2012</v>
      </c>
      <c r="B3" s="357"/>
      <c r="C3" s="357"/>
      <c r="D3" s="357"/>
      <c r="E3" s="357"/>
      <c r="F3" s="357"/>
      <c r="G3" s="357"/>
      <c r="H3" s="357"/>
      <c r="I3" s="357"/>
      <c r="J3" s="357"/>
      <c r="K3" s="357"/>
      <c r="L3" s="357"/>
      <c r="M3" s="357"/>
      <c r="N3" s="357"/>
      <c r="O3" s="357"/>
      <c r="P3" s="357"/>
    </row>
    <row r="4" spans="1:16">
      <c r="A4" s="30"/>
      <c r="B4" s="30"/>
      <c r="C4" s="30"/>
      <c r="D4" s="30"/>
      <c r="E4" s="30"/>
      <c r="F4" s="30"/>
      <c r="G4" s="30"/>
      <c r="H4" s="30"/>
      <c r="I4" s="30"/>
      <c r="J4" s="30"/>
      <c r="K4" s="30"/>
      <c r="L4" s="30"/>
    </row>
    <row r="6" spans="1:16">
      <c r="B6" s="41" t="s">
        <v>25</v>
      </c>
      <c r="D6" s="45"/>
      <c r="F6" s="45"/>
      <c r="H6" s="41" t="s">
        <v>612</v>
      </c>
      <c r="J6" s="41" t="s">
        <v>147</v>
      </c>
      <c r="K6" s="45"/>
      <c r="L6" s="41" t="s">
        <v>26</v>
      </c>
      <c r="P6" s="29" t="s">
        <v>422</v>
      </c>
    </row>
    <row r="7" spans="1:16" s="10" customFormat="1">
      <c r="A7" s="12" t="s">
        <v>371</v>
      </c>
      <c r="B7" s="42" t="s">
        <v>27</v>
      </c>
      <c r="C7"/>
      <c r="D7" s="42" t="s">
        <v>107</v>
      </c>
      <c r="E7"/>
      <c r="F7" s="42" t="s">
        <v>108</v>
      </c>
      <c r="G7"/>
      <c r="H7" s="42" t="s">
        <v>613</v>
      </c>
      <c r="I7"/>
      <c r="J7" s="42" t="s">
        <v>109</v>
      </c>
      <c r="K7" s="54"/>
      <c r="L7" s="42" t="s">
        <v>27</v>
      </c>
      <c r="N7" s="42" t="s">
        <v>46</v>
      </c>
      <c r="P7" s="42" t="s">
        <v>419</v>
      </c>
    </row>
    <row r="8" spans="1:16" s="10" customFormat="1">
      <c r="A8" s="12" t="s">
        <v>296</v>
      </c>
      <c r="B8" s="54"/>
      <c r="C8"/>
      <c r="D8" s="54"/>
      <c r="E8"/>
      <c r="F8" s="54"/>
      <c r="G8"/>
      <c r="H8" s="54"/>
      <c r="I8"/>
      <c r="J8" s="54"/>
      <c r="K8" s="54"/>
      <c r="L8" s="54"/>
    </row>
    <row r="9" spans="1:16" s="10" customFormat="1">
      <c r="A9" s="12" t="s">
        <v>420</v>
      </c>
      <c r="B9"/>
      <c r="C9"/>
      <c r="D9"/>
      <c r="E9"/>
      <c r="F9"/>
      <c r="G9"/>
      <c r="H9"/>
      <c r="I9"/>
      <c r="J9"/>
      <c r="K9"/>
      <c r="L9"/>
    </row>
    <row r="10" spans="1:16" s="10" customFormat="1">
      <c r="A10" s="12" t="s">
        <v>691</v>
      </c>
      <c r="B10"/>
      <c r="C10"/>
      <c r="D10"/>
      <c r="E10"/>
      <c r="F10"/>
      <c r="G10"/>
      <c r="H10"/>
      <c r="I10"/>
      <c r="J10"/>
      <c r="K10"/>
      <c r="L10"/>
    </row>
    <row r="11" spans="1:16">
      <c r="A11" t="s">
        <v>274</v>
      </c>
      <c r="B11" s="45">
        <f>'KY_Cost Plant Acct-Elec-P14(Fin'!B11</f>
        <v>4110848.6500000004</v>
      </c>
      <c r="C11" s="45"/>
      <c r="D11" s="45">
        <f>'KY_Cost Plant Acct-Elec-P14(Fin'!D11</f>
        <v>1215889.1399999999</v>
      </c>
      <c r="E11" s="45"/>
      <c r="F11" s="45">
        <f>'KY_Cost Plant Acct-Elec-P14(Fin'!F11</f>
        <v>0</v>
      </c>
      <c r="G11" s="45"/>
      <c r="H11" s="45">
        <f>'KY_Cost Plant Acct-Elec-P14(Fin'!H11</f>
        <v>21926.880000000001</v>
      </c>
      <c r="I11" s="45"/>
      <c r="J11" s="45">
        <f t="shared" ref="J11:J23" si="0">H11+F11+D11</f>
        <v>1237816.0199999998</v>
      </c>
      <c r="K11" s="45"/>
      <c r="L11" s="45">
        <f t="shared" ref="L11:L23" si="1">B11+J11</f>
        <v>5348664.67</v>
      </c>
      <c r="N11" s="89">
        <v>0</v>
      </c>
      <c r="P11" s="89">
        <f t="shared" ref="P11:P23" si="2">L11+N11</f>
        <v>5348664.67</v>
      </c>
    </row>
    <row r="12" spans="1:16">
      <c r="A12" t="s">
        <v>275</v>
      </c>
      <c r="B12" s="45">
        <f>'KY_Cost Plant Acct-Elec-P14(Fin'!B12+'KY_Cost Plant Acct-Elec-P14(Fin'!B100</f>
        <v>4257660.38</v>
      </c>
      <c r="C12" s="45"/>
      <c r="D12" s="45">
        <f>'KY_Cost Plant Acct-Elec-P14(Fin'!D12+'KY_Cost Plant Acct-Elec-P14(Fin'!D100</f>
        <v>630992.79</v>
      </c>
      <c r="E12" s="45"/>
      <c r="F12" s="45">
        <f>'KY_Cost Plant Acct-Elec-P14(Fin'!F12</f>
        <v>-398.73</v>
      </c>
      <c r="G12" s="45"/>
      <c r="H12" s="45">
        <f>'KY_Cost Plant Acct-Elec-P14(Fin'!H12</f>
        <v>0</v>
      </c>
      <c r="I12" s="45"/>
      <c r="J12" s="45">
        <f t="shared" si="0"/>
        <v>630594.06000000006</v>
      </c>
      <c r="K12" s="45"/>
      <c r="L12" s="45">
        <f t="shared" si="1"/>
        <v>4888254.4399999995</v>
      </c>
      <c r="N12" s="89">
        <f>'KY_Res by Plant Acct-P29 (Fin)'!R12</f>
        <v>-1942935.9400000004</v>
      </c>
      <c r="P12" s="89">
        <f t="shared" si="2"/>
        <v>2945318.4999999991</v>
      </c>
    </row>
    <row r="13" spans="1:16">
      <c r="A13" t="s">
        <v>12</v>
      </c>
      <c r="B13" s="45">
        <f>'KY_Cost Plant Acct-Elec-P14(Fin'!B13+'KY_Cost Plant Acct-Elec-P14(Fin'!B101+'IN_Total PIS_Elec_NBV-P15 (Fin)'!B11</f>
        <v>106268031.20999999</v>
      </c>
      <c r="C13" s="45"/>
      <c r="D13" s="45">
        <f>'KY_Cost Plant Acct-Elec-P14(Fin'!D13+'KY_Cost Plant Acct-Elec-P14(Fin'!D101+'IN_Total PIS_Elec_NBV-P15 (Fin)'!D11</f>
        <v>8577547.4700000007</v>
      </c>
      <c r="E13" s="45"/>
      <c r="F13" s="45">
        <f>'KY_Cost Plant Acct-Elec-P14(Fin'!F13+'IN_Total PIS_Elec_NBV-P15 (Fin)'!F11</f>
        <v>-81652.69</v>
      </c>
      <c r="G13" s="45"/>
      <c r="H13" s="45">
        <f>'KY_Cost Plant Acct-Elec-P14(Fin'!H13+'IN_Total PIS_Elec_NBV-P15 (Fin)'!H11+'KY_Cost Plant Acct-Elec-P14(Fin'!H101</f>
        <v>0</v>
      </c>
      <c r="I13" s="45"/>
      <c r="J13" s="45">
        <f t="shared" si="0"/>
        <v>8495894.7800000012</v>
      </c>
      <c r="K13" s="45"/>
      <c r="L13" s="45">
        <f t="shared" si="1"/>
        <v>114763925.98999999</v>
      </c>
      <c r="N13" s="89">
        <f>'KY_Res by Plant Acct-P29 (Fin)'!R13+'IN_Total PIS_Elec_NBV-P15 (Fin)'!N11</f>
        <v>-37681795.190000005</v>
      </c>
      <c r="P13" s="89">
        <f t="shared" si="2"/>
        <v>77082130.799999982</v>
      </c>
    </row>
    <row r="14" spans="1:16">
      <c r="A14" t="s">
        <v>276</v>
      </c>
      <c r="B14" s="45">
        <f>'KY_Cost Plant Acct-Elec-P14(Fin'!B14+'KY_Cost Plant Acct-Elec-P14(Fin'!B102</f>
        <v>135482459.5</v>
      </c>
      <c r="C14" s="45"/>
      <c r="D14" s="45">
        <f>'KY_Cost Plant Acct-Elec-P14(Fin'!D14+'KY_Cost Plant Acct-Elec-P14(Fin'!D102</f>
        <v>5215663.3899999997</v>
      </c>
      <c r="E14" s="45"/>
      <c r="F14" s="45">
        <f>'KY_Cost Plant Acct-Elec-P14(Fin'!F14</f>
        <v>-326986.91000000003</v>
      </c>
      <c r="G14" s="45"/>
      <c r="H14" s="45">
        <f>'KY_Cost Plant Acct-Elec-P14(Fin'!H14</f>
        <v>0</v>
      </c>
      <c r="I14" s="45"/>
      <c r="J14" s="45">
        <f t="shared" si="0"/>
        <v>4888676.4799999995</v>
      </c>
      <c r="K14" s="45"/>
      <c r="L14" s="45">
        <f t="shared" si="1"/>
        <v>140371135.97999999</v>
      </c>
      <c r="N14" s="89">
        <f>'KY_Res by Plant Acct-P29 (Fin)'!R15</f>
        <v>-68496632.25</v>
      </c>
      <c r="P14" s="89">
        <f t="shared" si="2"/>
        <v>71874503.729999989</v>
      </c>
    </row>
    <row r="15" spans="1:16">
      <c r="A15" t="s">
        <v>277</v>
      </c>
      <c r="B15" s="45">
        <f>'KY_Cost Plant Acct-Elec-P14(Fin'!B15+'KY_Cost Plant Acct-Elec-P14(Fin'!B103</f>
        <v>234012661.33999997</v>
      </c>
      <c r="C15" s="45"/>
      <c r="D15" s="45">
        <f>'KY_Cost Plant Acct-Elec-P14(Fin'!D15+'KY_Cost Plant Acct-Elec-P14(Fin'!D103</f>
        <v>8164745.4199999999</v>
      </c>
      <c r="E15" s="45"/>
      <c r="F15" s="45">
        <f>'KY_Cost Plant Acct-Elec-P14(Fin'!F15</f>
        <v>-626450.74</v>
      </c>
      <c r="G15" s="45"/>
      <c r="H15" s="45">
        <f>'KY_Cost Plant Acct-Elec-P14(Fin'!H15</f>
        <v>0</v>
      </c>
      <c r="I15" s="45"/>
      <c r="J15" s="45">
        <f t="shared" si="0"/>
        <v>7538294.6799999997</v>
      </c>
      <c r="K15" s="45"/>
      <c r="L15" s="45">
        <f t="shared" si="1"/>
        <v>241550956.01999998</v>
      </c>
      <c r="N15" s="89">
        <f>'KY_Res by Plant Acct-P29 (Fin)'!R16</f>
        <v>-97196894.709999993</v>
      </c>
      <c r="P15" s="89">
        <f t="shared" si="2"/>
        <v>144354061.31</v>
      </c>
    </row>
    <row r="16" spans="1:16">
      <c r="A16" t="s">
        <v>278</v>
      </c>
      <c r="B16" s="45">
        <f>'KY_Cost Plant Acct-Elec-P14(Fin'!B16+'KY_Cost Plant Acct-Elec-P14(Fin'!B104</f>
        <v>69528364.13000001</v>
      </c>
      <c r="C16" s="45"/>
      <c r="D16" s="45">
        <f>'KY_Cost Plant Acct-Elec-P14(Fin'!D16+'KY_Cost Plant Acct-Elec-P14(Fin'!D104</f>
        <v>-481806.15000000014</v>
      </c>
      <c r="E16" s="45"/>
      <c r="F16" s="45">
        <f>'KY_Cost Plant Acct-Elec-P14(Fin'!F16</f>
        <v>-12786.59</v>
      </c>
      <c r="G16" s="45"/>
      <c r="H16" s="45">
        <f>'KY_Cost Plant Acct-Elec-P14(Fin'!H16</f>
        <v>0</v>
      </c>
      <c r="I16" s="45"/>
      <c r="J16" s="45">
        <f t="shared" si="0"/>
        <v>-494592.74000000017</v>
      </c>
      <c r="K16" s="45"/>
      <c r="L16" s="45">
        <f t="shared" si="1"/>
        <v>69033771.390000015</v>
      </c>
      <c r="N16" s="89">
        <f>'KY_Res by Plant Acct-P29 (Fin)'!R17</f>
        <v>-26506072.880000003</v>
      </c>
      <c r="P16" s="89">
        <f t="shared" si="2"/>
        <v>42527698.510000013</v>
      </c>
    </row>
    <row r="17" spans="1:16">
      <c r="A17" t="s">
        <v>279</v>
      </c>
      <c r="B17" s="45">
        <f>'KY_Cost Plant Acct-Elec-P14(Fin'!B17+'KY_Cost Plant Acct-Elec-P14(Fin'!B105</f>
        <v>145471542.41</v>
      </c>
      <c r="C17" s="45"/>
      <c r="D17" s="45">
        <f>'KY_Cost Plant Acct-Elec-P14(Fin'!D17+'KY_Cost Plant Acct-Elec-P14(Fin'!D105</f>
        <v>4232644.41</v>
      </c>
      <c r="E17" s="45"/>
      <c r="F17" s="45">
        <f>'KY_Cost Plant Acct-Elec-P14(Fin'!F17</f>
        <v>-339046.76</v>
      </c>
      <c r="G17" s="45"/>
      <c r="H17" s="45">
        <f>'KY_Cost Plant Acct-Elec-P14(Fin'!H17</f>
        <v>0</v>
      </c>
      <c r="I17" s="45"/>
      <c r="J17" s="45">
        <f t="shared" si="0"/>
        <v>3893597.6500000004</v>
      </c>
      <c r="K17" s="45"/>
      <c r="L17" s="45">
        <f t="shared" si="1"/>
        <v>149365140.06</v>
      </c>
      <c r="N17" s="89">
        <f>'KY_Res by Plant Acct-P29 (Fin)'!R18</f>
        <v>-48417201.909999996</v>
      </c>
      <c r="P17" s="89">
        <f t="shared" si="2"/>
        <v>100947938.15000001</v>
      </c>
    </row>
    <row r="18" spans="1:16">
      <c r="A18" t="s">
        <v>280</v>
      </c>
      <c r="B18" s="45">
        <f>'KY_Cost Plant Acct-Elec-P14(Fin'!B18+'KY_Cost Plant Acct-Elec-P14(Fin'!B106</f>
        <v>140346229.93000001</v>
      </c>
      <c r="C18" s="45"/>
      <c r="D18" s="45">
        <f>'KY_Cost Plant Acct-Elec-P14(Fin'!D18+'KY_Cost Plant Acct-Elec-P14(Fin'!D106</f>
        <v>715224.80999999994</v>
      </c>
      <c r="E18" s="45"/>
      <c r="F18" s="45">
        <f>'KY_Cost Plant Acct-Elec-P14(Fin'!F18</f>
        <v>-74820.88</v>
      </c>
      <c r="G18" s="45"/>
      <c r="H18" s="45">
        <f>'KY_Cost Plant Acct-Elec-P14(Fin'!H18</f>
        <v>0</v>
      </c>
      <c r="I18" s="45"/>
      <c r="J18" s="45">
        <f t="shared" si="0"/>
        <v>640403.92999999993</v>
      </c>
      <c r="K18" s="45"/>
      <c r="L18" s="45">
        <f t="shared" si="1"/>
        <v>140986633.86000001</v>
      </c>
      <c r="N18" s="89">
        <f>'KY_Res by Plant Acct-P29 (Fin)'!R19</f>
        <v>-63826235.82</v>
      </c>
      <c r="P18" s="89">
        <f t="shared" si="2"/>
        <v>77160398.040000021</v>
      </c>
    </row>
    <row r="19" spans="1:16">
      <c r="A19" t="s">
        <v>308</v>
      </c>
      <c r="B19" s="45">
        <f>'KY_Cost Plant Acct-Elec-P14(Fin'!B19+'KY_Cost Plant Acct-Elec-P14(Fin'!B107</f>
        <v>6152801.5</v>
      </c>
      <c r="C19" s="45"/>
      <c r="D19" s="45">
        <f>'KY_Cost Plant Acct-Elec-P14(Fin'!D19+'KY_Cost Plant Acct-Elec-P14(Fin'!D107</f>
        <v>-64915.280000000006</v>
      </c>
      <c r="E19" s="45"/>
      <c r="F19" s="45">
        <f>'KY_Cost Plant Acct-Elec-P14(Fin'!F19</f>
        <v>-22925.47</v>
      </c>
      <c r="G19" s="45"/>
      <c r="H19" s="45">
        <f>'KY_Cost Plant Acct-Elec-P14(Fin'!H19</f>
        <v>0</v>
      </c>
      <c r="I19" s="45"/>
      <c r="J19" s="45">
        <f t="shared" si="0"/>
        <v>-87840.75</v>
      </c>
      <c r="K19" s="45"/>
      <c r="L19" s="45">
        <f t="shared" si="1"/>
        <v>6064960.75</v>
      </c>
      <c r="N19" s="89">
        <f>'KY_Res by Plant Acct-P29 (Fin)'!R20</f>
        <v>-1211657.2499999995</v>
      </c>
      <c r="P19" s="89">
        <f t="shared" si="2"/>
        <v>4853303.5</v>
      </c>
    </row>
    <row r="20" spans="1:16">
      <c r="A20" t="s">
        <v>309</v>
      </c>
      <c r="B20" s="45">
        <f>'KY_Cost Plant Acct-Elec-P14(Fin'!B20</f>
        <v>21115396.680000003</v>
      </c>
      <c r="C20" s="45"/>
      <c r="D20" s="45">
        <f>'KY_Cost Plant Acct-Elec-P14(Fin'!D20</f>
        <v>1247192.02</v>
      </c>
      <c r="E20" s="45"/>
      <c r="F20" s="45">
        <f>'KY_Cost Plant Acct-Elec-P14(Fin'!F20</f>
        <v>-20900.97</v>
      </c>
      <c r="G20" s="45"/>
      <c r="H20" s="45">
        <f>'KY_Cost Plant Acct-Elec-P14(Fin'!H20</f>
        <v>0</v>
      </c>
      <c r="I20" s="45"/>
      <c r="J20" s="45">
        <f t="shared" si="0"/>
        <v>1226291.05</v>
      </c>
      <c r="K20" s="45"/>
      <c r="L20" s="45">
        <f t="shared" si="1"/>
        <v>22341687.730000004</v>
      </c>
      <c r="N20" s="89">
        <f>'KY_Res by Plant Acct-P29 (Fin)'!R21</f>
        <v>-19661578.930000007</v>
      </c>
      <c r="P20" s="89">
        <f t="shared" si="2"/>
        <v>2680108.799999997</v>
      </c>
    </row>
    <row r="21" spans="1:16">
      <c r="A21" t="s">
        <v>310</v>
      </c>
      <c r="B21" s="45">
        <f>'KY_Cost Plant Acct-Elec-P14(Fin'!B21</f>
        <v>37655788.090000004</v>
      </c>
      <c r="C21" s="45"/>
      <c r="D21" s="45">
        <f>'KY_Cost Plant Acct-Elec-P14(Fin'!D21+'KY_Cost Plant Acct-Elec-P14(Fin'!D108</f>
        <v>469473.26</v>
      </c>
      <c r="E21" s="45"/>
      <c r="F21" s="45">
        <f>'KY_Cost Plant Acct-Elec-P14(Fin'!F21</f>
        <v>0</v>
      </c>
      <c r="G21" s="45"/>
      <c r="H21" s="45">
        <f>'KY_Cost Plant Acct-Elec-P14(Fin'!H21</f>
        <v>0</v>
      </c>
      <c r="I21" s="45"/>
      <c r="J21" s="45">
        <f t="shared" si="0"/>
        <v>469473.26</v>
      </c>
      <c r="K21" s="45"/>
      <c r="L21" s="45">
        <f t="shared" si="1"/>
        <v>38125261.350000001</v>
      </c>
      <c r="N21" s="89">
        <f>'KY_Res by Plant Acct-P29 (Fin)'!R22</f>
        <v>-20266671.299999997</v>
      </c>
      <c r="P21" s="89">
        <f t="shared" si="2"/>
        <v>17858590.050000004</v>
      </c>
    </row>
    <row r="22" spans="1:16">
      <c r="A22" t="s">
        <v>311</v>
      </c>
      <c r="B22" s="45">
        <f>'KY_Cost Plant Acct-Elec-P14(Fin'!B22+'KY_Cost Plant Acct-Elec-P14(Fin'!B109</f>
        <v>34508233.239999995</v>
      </c>
      <c r="C22" s="45"/>
      <c r="D22" s="45">
        <f>'KY_Cost Plant Acct-Elec-P14(Fin'!D109+'KY_Cost Plant Acct-Elec-P14(Fin'!D22</f>
        <v>1347188.3599999999</v>
      </c>
      <c r="E22" s="45"/>
      <c r="F22" s="45">
        <f>'KY_Cost Plant Acct-Elec-P14(Fin'!F22</f>
        <v>-225781.58</v>
      </c>
      <c r="G22" s="45"/>
      <c r="H22" s="45">
        <f>'KY_Cost Plant Acct-Elec-P14(Fin'!H22</f>
        <v>0</v>
      </c>
      <c r="I22" s="45"/>
      <c r="J22" s="45">
        <f t="shared" si="0"/>
        <v>1121406.7799999998</v>
      </c>
      <c r="K22" s="45"/>
      <c r="L22" s="45">
        <f t="shared" si="1"/>
        <v>35629640.019999996</v>
      </c>
      <c r="N22" s="89">
        <f>'KY_Res by Plant Acct-P29 (Fin)'!R23</f>
        <v>-12785140.440000005</v>
      </c>
      <c r="P22" s="89">
        <f t="shared" si="2"/>
        <v>22844499.579999991</v>
      </c>
    </row>
    <row r="23" spans="1:16">
      <c r="A23" t="s">
        <v>312</v>
      </c>
      <c r="B23" s="45">
        <f>'KY_Cost Plant Acct-Elec-P14(Fin'!B23+'KY_Cost Plant Acct-Elec-P14(Fin'!B110</f>
        <v>48188855.110000007</v>
      </c>
      <c r="C23" s="45"/>
      <c r="D23" s="45">
        <f>'KY_Cost Plant Acct-Elec-P14(Fin'!D23+'KY_Cost Plant Acct-Elec-P14(Fin'!D110</f>
        <v>793714.54999999993</v>
      </c>
      <c r="E23" s="45"/>
      <c r="F23" s="45">
        <f>'KY_Cost Plant Acct-Elec-P14(Fin'!F23</f>
        <v>-66541.540000000008</v>
      </c>
      <c r="G23" s="45"/>
      <c r="H23" s="45">
        <f>'KY_Cost Plant Acct-Elec-P14(Fin'!H23</f>
        <v>0</v>
      </c>
      <c r="I23" s="45"/>
      <c r="J23" s="45">
        <f t="shared" si="0"/>
        <v>727173.00999999989</v>
      </c>
      <c r="K23" s="45"/>
      <c r="L23" s="45">
        <f t="shared" si="1"/>
        <v>48916028.120000005</v>
      </c>
      <c r="N23" s="89">
        <f>'KY_Res by Plant Acct-P29 (Fin)'!R24</f>
        <v>-21621678.009999998</v>
      </c>
      <c r="P23" s="89">
        <f t="shared" si="2"/>
        <v>27294350.110000007</v>
      </c>
    </row>
    <row r="24" spans="1:16">
      <c r="A24" t="s">
        <v>313</v>
      </c>
      <c r="B24" s="45">
        <f>'KY_Cost Plant Acct-Elec-P14(Fin'!B24</f>
        <v>0</v>
      </c>
      <c r="C24" s="45"/>
      <c r="D24" s="45">
        <f>'KY_Cost Plant Acct-Elec-P14(Fin'!D24</f>
        <v>0</v>
      </c>
      <c r="E24" s="45"/>
      <c r="F24" s="45">
        <f>'KY_Cost Plant Acct-Elec-P14(Fin'!F24</f>
        <v>0</v>
      </c>
      <c r="G24" s="45"/>
      <c r="H24" s="45">
        <f>'KY_Cost Plant Acct-Elec-P14(Fin'!H24</f>
        <v>0</v>
      </c>
      <c r="I24" s="45"/>
      <c r="J24" s="45">
        <f>H24+F24+D24</f>
        <v>0</v>
      </c>
      <c r="K24" s="45"/>
      <c r="L24" s="45">
        <f>B24+J24</f>
        <v>0</v>
      </c>
      <c r="N24" s="89">
        <f>'KY_Res by Plant Acct-P29 (Fin)'!R25</f>
        <v>-96556.53</v>
      </c>
      <c r="P24" s="89">
        <f>L24+N24</f>
        <v>-96556.53</v>
      </c>
    </row>
    <row r="25" spans="1:16">
      <c r="A25" t="s">
        <v>314</v>
      </c>
      <c r="B25" s="325">
        <f>'KY_Cost Plant Acct-Elec-P14(Fin'!B25</f>
        <v>481206.24000000005</v>
      </c>
      <c r="C25" s="325"/>
      <c r="D25" s="325">
        <f>'KY_Cost Plant Acct-Elec-P14(Fin'!D25</f>
        <v>0</v>
      </c>
      <c r="E25" s="325"/>
      <c r="F25" s="325">
        <f>'KY_Cost Plant Acct-Elec-P14(Fin'!F25</f>
        <v>0</v>
      </c>
      <c r="G25" s="325"/>
      <c r="H25" s="325">
        <f>'KY_Cost Plant Acct-Elec-P14(Fin'!H25</f>
        <v>0</v>
      </c>
      <c r="I25" s="325"/>
      <c r="J25" s="325">
        <f>H25+F25+D25</f>
        <v>0</v>
      </c>
      <c r="K25" s="326"/>
      <c r="L25" s="325">
        <f>B25+J25</f>
        <v>481206.24000000005</v>
      </c>
      <c r="N25" s="89">
        <f>'KY_Res by Plant Acct-P29 (Fin)'!R26</f>
        <v>-8798.8600000000679</v>
      </c>
      <c r="P25" s="89">
        <f>L25+N25</f>
        <v>472407.38</v>
      </c>
    </row>
    <row r="26" spans="1:16">
      <c r="A26" s="179" t="s">
        <v>1447</v>
      </c>
      <c r="B26" s="327">
        <f>'KY_Cost Plant Acct-Elec-P14(Fin'!B26</f>
        <v>145332.98000000001</v>
      </c>
      <c r="C26" s="325"/>
      <c r="D26" s="327">
        <f>'KY_Cost Plant Acct-Elec-P14(Fin'!D26</f>
        <v>0</v>
      </c>
      <c r="E26" s="325"/>
      <c r="F26" s="327">
        <f>'KY_Cost Plant Acct-Elec-P14(Fin'!F26</f>
        <v>0</v>
      </c>
      <c r="G26" s="45"/>
      <c r="H26" s="327">
        <f>'KY_Cost Plant Acct-Elec-P14(Fin'!H26</f>
        <v>-23.740000000019791</v>
      </c>
      <c r="I26" s="45"/>
      <c r="J26" s="327">
        <f>H26+F26+D26</f>
        <v>-23.740000000019791</v>
      </c>
      <c r="K26" s="325"/>
      <c r="L26" s="327">
        <f>B26+J26</f>
        <v>145309.24</v>
      </c>
      <c r="N26" s="90">
        <f>'KY_Res by Plant Acct-P29 (Fin)'!R27</f>
        <v>-1564.88</v>
      </c>
      <c r="P26" s="90">
        <f>L26+N26</f>
        <v>143744.35999999999</v>
      </c>
    </row>
    <row r="27" spans="1:16">
      <c r="B27" s="52">
        <f>SUM(B11:B26)</f>
        <v>987725411.38999999</v>
      </c>
      <c r="C27" s="52"/>
      <c r="D27" s="52">
        <f>SUM(D11:D26)</f>
        <v>32063554.190000001</v>
      </c>
      <c r="E27" s="52"/>
      <c r="F27" s="52">
        <f>SUM(F11:F26)</f>
        <v>-1798292.8599999999</v>
      </c>
      <c r="G27" s="52"/>
      <c r="H27" s="52">
        <f>SUM(H11:H26)</f>
        <v>21903.139999999981</v>
      </c>
      <c r="I27" s="52"/>
      <c r="J27" s="52">
        <f>SUM(J11:J26)</f>
        <v>30287164.470000006</v>
      </c>
      <c r="K27" s="52"/>
      <c r="L27" s="52">
        <f>SUM(L11:L26)</f>
        <v>1018012575.86</v>
      </c>
      <c r="N27" s="52">
        <f>SUM(N11:N26)</f>
        <v>-419721414.89999998</v>
      </c>
      <c r="P27" s="52">
        <f>SUM(P11:P26)</f>
        <v>598291160.96000004</v>
      </c>
    </row>
    <row r="28" spans="1:16">
      <c r="B28" s="52"/>
      <c r="C28" s="52"/>
      <c r="D28" s="52"/>
      <c r="E28" s="52"/>
      <c r="F28" s="52"/>
      <c r="G28" s="52"/>
      <c r="H28" s="52"/>
      <c r="I28" s="52"/>
      <c r="J28" s="52"/>
      <c r="K28" s="52"/>
      <c r="L28" s="52"/>
    </row>
    <row r="29" spans="1:16">
      <c r="A29" s="12" t="s">
        <v>808</v>
      </c>
      <c r="B29" s="52"/>
      <c r="C29" s="52"/>
      <c r="D29" s="52"/>
      <c r="E29" s="52"/>
      <c r="F29" s="52"/>
      <c r="G29" s="52"/>
      <c r="H29" s="52"/>
      <c r="I29" s="52"/>
      <c r="J29" s="52"/>
      <c r="K29" s="52"/>
      <c r="L29" s="52"/>
    </row>
    <row r="30" spans="1:16">
      <c r="A30" t="s">
        <v>315</v>
      </c>
      <c r="B30" s="52">
        <f>'KY_Cost Plant Acct-Elec-P14(Fin'!B30</f>
        <v>8184185.2400000002</v>
      </c>
      <c r="C30" s="52"/>
      <c r="D30" s="52">
        <f>'KY_Cost Plant Acct-Elec-P14(Fin'!D30</f>
        <v>118725.14</v>
      </c>
      <c r="E30" s="52"/>
      <c r="F30" s="52">
        <f>'KY_Cost Plant Acct-Elec-P14(Fin'!F30</f>
        <v>-39209.64</v>
      </c>
      <c r="G30" s="52"/>
      <c r="H30" s="52">
        <f>'KY_Cost Plant Acct-Elec-P14(Fin'!H30</f>
        <v>0</v>
      </c>
      <c r="I30" s="52"/>
      <c r="J30" s="52">
        <f t="shared" ref="J30:J35" si="3">H30+F30+D30</f>
        <v>79515.5</v>
      </c>
      <c r="K30" s="52"/>
      <c r="L30" s="45">
        <f t="shared" ref="L30:L35" si="4">B30+J30</f>
        <v>8263700.7400000002</v>
      </c>
      <c r="N30" s="89">
        <f>'KY_Res by Plant Acct-P29 (Fin)'!R31</f>
        <v>-7176648.3900000025</v>
      </c>
      <c r="P30" s="89">
        <f t="shared" ref="P30:P35" si="5">L30+N30</f>
        <v>1087052.3499999978</v>
      </c>
    </row>
    <row r="31" spans="1:16">
      <c r="A31" t="s">
        <v>316</v>
      </c>
      <c r="B31" s="52">
        <f>'KY_Cost Plant Acct-Elec-P14(Fin'!B31+'KY_Cost Plant Acct-Elec-P14(Fin'!B114</f>
        <v>607413.67000000004</v>
      </c>
      <c r="C31" s="52"/>
      <c r="D31" s="52">
        <f>'KY_Cost Plant Acct-Elec-P14(Fin'!D31+'KY_Cost Plant Acct-Elec-P14(Fin'!D114</f>
        <v>75520.66</v>
      </c>
      <c r="E31" s="52"/>
      <c r="F31" s="52">
        <f>'KY_Cost Plant Acct-Elec-P14(Fin'!F31</f>
        <v>0</v>
      </c>
      <c r="G31" s="52"/>
      <c r="H31" s="52">
        <f>'KY_Cost Plant Acct-Elec-P14(Fin'!H31</f>
        <v>0</v>
      </c>
      <c r="I31" s="52"/>
      <c r="J31" s="52">
        <f t="shared" si="3"/>
        <v>75520.66</v>
      </c>
      <c r="K31" s="52"/>
      <c r="L31" s="45">
        <f t="shared" si="4"/>
        <v>682934.33000000007</v>
      </c>
      <c r="N31" s="89">
        <f>'KY_Res by Plant Acct-P29 (Fin)'!R32</f>
        <v>-263326.81</v>
      </c>
      <c r="P31" s="89">
        <f t="shared" si="5"/>
        <v>419607.52000000008</v>
      </c>
    </row>
    <row r="32" spans="1:16">
      <c r="A32" t="s">
        <v>317</v>
      </c>
      <c r="B32" s="52">
        <f>'KY_Cost Plant Acct-Elec-P14(Fin'!B32+'KY_Cost Plant Acct-Elec-P14(Fin'!B115</f>
        <v>4603923.59</v>
      </c>
      <c r="C32" s="52"/>
      <c r="D32" s="52">
        <f>'KY_Cost Plant Acct-Elec-P14(Fin'!D32+'KY_Cost Plant Acct-Elec-P14(Fin'!D115</f>
        <v>48831.4</v>
      </c>
      <c r="E32" s="52"/>
      <c r="F32" s="52">
        <f>'KY_Cost Plant Acct-Elec-P14(Fin'!F32</f>
        <v>0</v>
      </c>
      <c r="G32" s="52"/>
      <c r="H32" s="52">
        <f>'KY_Cost Plant Acct-Elec-P14(Fin'!H32</f>
        <v>0</v>
      </c>
      <c r="I32" s="52"/>
      <c r="J32" s="52">
        <f t="shared" si="3"/>
        <v>48831.4</v>
      </c>
      <c r="K32" s="52"/>
      <c r="L32" s="45">
        <f t="shared" si="4"/>
        <v>4652754.99</v>
      </c>
      <c r="N32" s="89">
        <f>'KY_Res by Plant Acct-P29 (Fin)'!R33</f>
        <v>-1558872.49</v>
      </c>
      <c r="P32" s="89">
        <f t="shared" si="5"/>
        <v>3093882.5</v>
      </c>
    </row>
    <row r="33" spans="1:16">
      <c r="A33" t="s">
        <v>318</v>
      </c>
      <c r="B33" s="52">
        <f>'KY_Cost Plant Acct-Elec-P14(Fin'!B33</f>
        <v>0</v>
      </c>
      <c r="C33" s="52"/>
      <c r="D33" s="52">
        <f>'KY_Cost Plant Acct-Elec-P14(Fin'!D33</f>
        <v>0</v>
      </c>
      <c r="E33" s="52"/>
      <c r="F33" s="52">
        <f>'KY_Cost Plant Acct-Elec-P14(Fin'!F33</f>
        <v>0</v>
      </c>
      <c r="G33" s="52"/>
      <c r="H33" s="52">
        <f>'KY_Cost Plant Acct-Elec-P14(Fin'!H33</f>
        <v>0</v>
      </c>
      <c r="I33" s="52"/>
      <c r="J33" s="52">
        <f t="shared" si="3"/>
        <v>0</v>
      </c>
      <c r="K33" s="52"/>
      <c r="L33" s="45">
        <f t="shared" si="4"/>
        <v>0</v>
      </c>
      <c r="N33" s="89">
        <f>'KY_Res by Plant Acct-P29 (Fin)'!R34</f>
        <v>1.3096723705530167E-10</v>
      </c>
      <c r="P33" s="89">
        <f t="shared" si="5"/>
        <v>1.3096723705530167E-10</v>
      </c>
    </row>
    <row r="34" spans="1:16">
      <c r="A34" t="s">
        <v>319</v>
      </c>
      <c r="B34" s="52">
        <f>'KY_Cost Plant Acct-Elec-P14(Fin'!B34</f>
        <v>2403265.2799999998</v>
      </c>
      <c r="C34" s="52"/>
      <c r="D34" s="52">
        <f>'KY_Cost Plant Acct-Elec-P14(Fin'!D34</f>
        <v>0</v>
      </c>
      <c r="E34" s="52"/>
      <c r="F34" s="52">
        <f>'KY_Cost Plant Acct-Elec-P14(Fin'!F34</f>
        <v>0</v>
      </c>
      <c r="G34" s="52"/>
      <c r="H34" s="52">
        <f>'KY_Cost Plant Acct-Elec-P14(Fin'!H34</f>
        <v>0</v>
      </c>
      <c r="I34" s="52"/>
      <c r="J34" s="52">
        <f t="shared" si="3"/>
        <v>0</v>
      </c>
      <c r="K34" s="52"/>
      <c r="L34" s="45">
        <f t="shared" si="4"/>
        <v>2403265.2799999998</v>
      </c>
      <c r="N34" s="89">
        <f>'KY_Res by Plant Acct-P29 (Fin)'!R35</f>
        <v>-2232421.2500000005</v>
      </c>
      <c r="P34" s="89">
        <f t="shared" si="5"/>
        <v>170844.02999999933</v>
      </c>
    </row>
    <row r="35" spans="1:16">
      <c r="A35" t="s">
        <v>320</v>
      </c>
      <c r="B35" s="48">
        <f>'KY_Cost Plant Acct-Elec-P14(Fin'!B35+'KY_Cost Plant Acct-Elec-P14(Fin'!B116</f>
        <v>151086.93</v>
      </c>
      <c r="C35" s="52"/>
      <c r="D35" s="48">
        <f>'KY_Cost Plant Acct-Elec-P14(Fin'!D35+'KY_Cost Plant Acct-Elec-P14(Fin'!D116</f>
        <v>0</v>
      </c>
      <c r="E35" s="52"/>
      <c r="F35" s="48">
        <f>'KY_Cost Plant Acct-Elec-P14(Fin'!F35+'KY_Cost Plant Acct-Elec-P14(Fin'!F116</f>
        <v>0</v>
      </c>
      <c r="G35" s="52"/>
      <c r="H35" s="48">
        <f>'KY_Cost Plant Acct-Elec-P14(Fin'!H35+'KY_Cost Plant Acct-Elec-P14(Fin'!H116</f>
        <v>0</v>
      </c>
      <c r="I35" s="52"/>
      <c r="J35" s="48">
        <f t="shared" si="3"/>
        <v>0</v>
      </c>
      <c r="K35" s="52"/>
      <c r="L35" s="48">
        <f t="shared" si="4"/>
        <v>151086.93</v>
      </c>
      <c r="N35" s="90">
        <f>'KY_Res by Plant Acct-P29 (Fin)'!R36</f>
        <v>-28145.659999999996</v>
      </c>
      <c r="P35" s="90">
        <f t="shared" si="5"/>
        <v>122941.26999999999</v>
      </c>
    </row>
    <row r="36" spans="1:16">
      <c r="B36" s="52">
        <f>SUM(B30:B35)</f>
        <v>15949874.709999999</v>
      </c>
      <c r="C36" s="52"/>
      <c r="D36" s="52">
        <f>SUM(D30:D35)</f>
        <v>243077.19999999998</v>
      </c>
      <c r="E36" s="52"/>
      <c r="F36" s="52">
        <f>SUM(F30:F35)</f>
        <v>-39209.64</v>
      </c>
      <c r="G36" s="52"/>
      <c r="H36" s="52">
        <f>SUM(H30:H35)</f>
        <v>0</v>
      </c>
      <c r="I36" s="52"/>
      <c r="J36" s="52">
        <f>SUM(J30:J35)</f>
        <v>203867.56</v>
      </c>
      <c r="K36" s="52"/>
      <c r="L36" s="52">
        <f>SUM(L30:L35)</f>
        <v>16153742.27</v>
      </c>
      <c r="N36" s="52">
        <f>SUM(N30:N35)</f>
        <v>-11259414.600000001</v>
      </c>
      <c r="P36" s="52">
        <f>SUM(P30:P35)</f>
        <v>4894327.6699999962</v>
      </c>
    </row>
    <row r="37" spans="1:16">
      <c r="B37" s="52"/>
      <c r="C37" s="52"/>
      <c r="D37" s="52"/>
      <c r="E37" s="52"/>
      <c r="F37" s="52"/>
      <c r="G37" s="52"/>
      <c r="H37" s="52"/>
      <c r="I37" s="52"/>
      <c r="J37" s="52"/>
      <c r="K37" s="52"/>
      <c r="L37" s="52"/>
    </row>
    <row r="38" spans="1:16">
      <c r="A38" s="12" t="s">
        <v>809</v>
      </c>
      <c r="B38" s="52"/>
      <c r="C38" s="52"/>
      <c r="D38" s="52"/>
      <c r="E38" s="52"/>
      <c r="F38" s="52"/>
      <c r="G38" s="52"/>
      <c r="H38" s="52"/>
      <c r="I38" s="52"/>
      <c r="J38" s="52"/>
      <c r="K38" s="52"/>
      <c r="L38" s="52"/>
    </row>
    <row r="39" spans="1:16">
      <c r="A39" t="s">
        <v>321</v>
      </c>
      <c r="B39" s="52">
        <f>'KY_Cost Plant Acct-Elec-P14(Fin'!B39</f>
        <v>6.5</v>
      </c>
      <c r="C39" s="52"/>
      <c r="D39" s="52">
        <f>'KY_Cost Plant Acct-Elec-P14(Fin'!D39</f>
        <v>0</v>
      </c>
      <c r="E39" s="52"/>
      <c r="F39" s="52">
        <f>'KY_Cost Plant Acct-Elec-P14(Fin'!F39</f>
        <v>0</v>
      </c>
      <c r="G39" s="52"/>
      <c r="H39" s="52">
        <f>'KY_Cost Plant Acct-Elec-P14(Fin'!H39</f>
        <v>0</v>
      </c>
      <c r="I39" s="52"/>
      <c r="J39" s="52">
        <f t="shared" ref="J39:J46" si="6">H39+F39+D39</f>
        <v>0</v>
      </c>
      <c r="K39" s="52"/>
      <c r="L39" s="45">
        <f t="shared" ref="L39:L46" si="7">B39+J39</f>
        <v>6.5</v>
      </c>
      <c r="N39" s="89">
        <v>0</v>
      </c>
      <c r="P39" s="89">
        <f t="shared" ref="P39:P46" si="8">L39+N39</f>
        <v>6.5</v>
      </c>
    </row>
    <row r="40" spans="1:16">
      <c r="A40" t="s">
        <v>574</v>
      </c>
      <c r="B40" s="52">
        <f>'KY_Cost Plant Acct-Elec-P14(Fin'!B40+'KY_Cost Plant Acct-Elec-P14(Fin'!B120</f>
        <v>4963375.83</v>
      </c>
      <c r="C40" s="52"/>
      <c r="D40" s="52">
        <f>'KY_Cost Plant Acct-Elec-P14(Fin'!D40+'KY_Cost Plant Acct-Elec-P14(Fin'!D120</f>
        <v>0</v>
      </c>
      <c r="E40" s="52"/>
      <c r="F40" s="52">
        <f>'KY_Cost Plant Acct-Elec-P14(Fin'!F40</f>
        <v>-507.91</v>
      </c>
      <c r="G40" s="52"/>
      <c r="H40" s="52">
        <f>'KY_Cost Plant Acct-Elec-P14(Fin'!H40</f>
        <v>0</v>
      </c>
      <c r="I40" s="52"/>
      <c r="J40" s="52">
        <f t="shared" si="6"/>
        <v>-507.91</v>
      </c>
      <c r="K40" s="52"/>
      <c r="L40" s="45">
        <f t="shared" si="7"/>
        <v>4962867.92</v>
      </c>
      <c r="N40" s="89">
        <f>'KY_Res by Plant Acct-P29 (Fin)'!R42+'KY_Res by Plant Acct-P29 (Fin)'!R43</f>
        <v>-4306275.3</v>
      </c>
      <c r="P40" s="89">
        <f t="shared" si="8"/>
        <v>656592.62000000011</v>
      </c>
    </row>
    <row r="41" spans="1:16">
      <c r="A41" t="s">
        <v>575</v>
      </c>
      <c r="B41" s="65">
        <f>'KY_Cost Plant Acct-Elec-P14(Fin'!B41+'KY_Cost Plant Acct-Elec-P14(Fin'!B121</f>
        <v>11690251.610000001</v>
      </c>
      <c r="C41" s="52"/>
      <c r="D41" s="52">
        <f>'KY_Cost Plant Acct-Elec-P14(Fin'!D41+'KY_Cost Plant Acct-Elec-P14(Fin'!D121</f>
        <v>0</v>
      </c>
      <c r="E41" s="52"/>
      <c r="F41" s="52">
        <f>'KY_Cost Plant Acct-Elec-P14(Fin'!F41</f>
        <v>0</v>
      </c>
      <c r="G41" s="52"/>
      <c r="H41" s="52">
        <f>'KY_Cost Plant Acct-Elec-P14(Fin'!H41</f>
        <v>0</v>
      </c>
      <c r="I41" s="52"/>
      <c r="J41" s="52">
        <f t="shared" si="6"/>
        <v>0</v>
      </c>
      <c r="K41" s="52"/>
      <c r="L41" s="45">
        <f t="shared" si="7"/>
        <v>11690251.610000001</v>
      </c>
      <c r="N41" s="89">
        <f>'KY_Res by Plant Acct-P29 (Fin)'!R44</f>
        <v>-1801526.1900000002</v>
      </c>
      <c r="P41" s="89">
        <f t="shared" si="8"/>
        <v>9888725.4200000018</v>
      </c>
    </row>
    <row r="42" spans="1:16">
      <c r="A42" t="s">
        <v>576</v>
      </c>
      <c r="B42" s="65">
        <f>'KY_Cost Plant Acct-Elec-P14(Fin'!B42+'KY_Cost Plant Acct-Elec-P14(Fin'!B122</f>
        <v>19945213.619999997</v>
      </c>
      <c r="C42" s="52"/>
      <c r="D42" s="52">
        <f>'KY_Cost Plant Acct-Elec-P14(Fin'!D42+'KY_Cost Plant Acct-Elec-P14(Fin'!D122</f>
        <v>0</v>
      </c>
      <c r="E42" s="52"/>
      <c r="F42" s="52">
        <f>'KY_Cost Plant Acct-Elec-P14(Fin'!F42</f>
        <v>0</v>
      </c>
      <c r="G42" s="52"/>
      <c r="H42" s="52">
        <f>'KY_Cost Plant Acct-Elec-P14(Fin'!H42</f>
        <v>0</v>
      </c>
      <c r="I42" s="52"/>
      <c r="J42" s="52">
        <f t="shared" si="6"/>
        <v>0</v>
      </c>
      <c r="K42" s="52"/>
      <c r="L42" s="45">
        <f t="shared" si="7"/>
        <v>19945213.619999997</v>
      </c>
      <c r="N42" s="89">
        <f>'KY_Res by Plant Acct-P29 (Fin)'!R45</f>
        <v>-928196.78999999992</v>
      </c>
      <c r="P42" s="89">
        <f t="shared" si="8"/>
        <v>19017016.829999998</v>
      </c>
    </row>
    <row r="43" spans="1:16">
      <c r="A43" t="s">
        <v>577</v>
      </c>
      <c r="B43" s="65">
        <f>'KY_Cost Plant Acct-Elec-P14(Fin'!B43+'KY_Cost Plant Acct-Elec-P14(Fin'!B123</f>
        <v>5509836.2199999997</v>
      </c>
      <c r="C43" s="52"/>
      <c r="D43" s="52">
        <f>'KY_Cost Plant Acct-Elec-P14(Fin'!D43+'KY_Cost Plant Acct-Elec-P14(Fin'!D123</f>
        <v>0</v>
      </c>
      <c r="E43" s="52"/>
      <c r="F43" s="52">
        <f>'KY_Cost Plant Acct-Elec-P14(Fin'!F43</f>
        <v>0</v>
      </c>
      <c r="G43" s="52"/>
      <c r="H43" s="52">
        <f>'KY_Cost Plant Acct-Elec-P14(Fin'!H43</f>
        <v>0</v>
      </c>
      <c r="I43" s="52"/>
      <c r="J43" s="52">
        <f t="shared" si="6"/>
        <v>0</v>
      </c>
      <c r="K43" s="52"/>
      <c r="L43" s="45">
        <f t="shared" si="7"/>
        <v>5509836.2199999997</v>
      </c>
      <c r="N43" s="89">
        <f>'KY_Res by Plant Acct-P29 (Fin)'!R46</f>
        <v>-1982408.44</v>
      </c>
      <c r="P43" s="89">
        <f t="shared" si="8"/>
        <v>3527427.78</v>
      </c>
    </row>
    <row r="44" spans="1:16">
      <c r="A44" t="s">
        <v>281</v>
      </c>
      <c r="B44" s="52">
        <f>'KY_Cost Plant Acct-Elec-P14(Fin'!B44</f>
        <v>310247.09000000003</v>
      </c>
      <c r="C44" s="52"/>
      <c r="D44" s="52">
        <f>'KY_Cost Plant Acct-Elec-P14(Fin'!D44+'KY_Cost Plant Acct-Elec-P14(Fin'!D124</f>
        <v>0</v>
      </c>
      <c r="E44" s="52"/>
      <c r="F44" s="52">
        <f>'KY_Cost Plant Acct-Elec-P14(Fin'!F44</f>
        <v>0</v>
      </c>
      <c r="G44" s="52"/>
      <c r="H44" s="52">
        <f>'KY_Cost Plant Acct-Elec-P14(Fin'!H44</f>
        <v>0</v>
      </c>
      <c r="I44" s="52"/>
      <c r="J44" s="52">
        <f t="shared" si="6"/>
        <v>0</v>
      </c>
      <c r="K44" s="52"/>
      <c r="L44" s="45">
        <f t="shared" si="7"/>
        <v>310247.09000000003</v>
      </c>
      <c r="N44" s="89">
        <f>'KY_Res by Plant Acct-P29 (Fin)'!R48+'KY_Res by Plant Acct-P29 (Fin)'!R47</f>
        <v>-57372.849999999991</v>
      </c>
      <c r="P44" s="89">
        <f t="shared" si="8"/>
        <v>252874.24000000005</v>
      </c>
    </row>
    <row r="45" spans="1:16">
      <c r="A45" t="s">
        <v>282</v>
      </c>
      <c r="B45" s="52">
        <f>'KY_Cost Plant Acct-Elec-P14(Fin'!B45</f>
        <v>29930.61</v>
      </c>
      <c r="C45" s="52"/>
      <c r="D45" s="52">
        <f>'KY_Cost Plant Acct-Elec-P14(Fin'!D45</f>
        <v>0</v>
      </c>
      <c r="E45" s="52"/>
      <c r="F45" s="52">
        <f>'KY_Cost Plant Acct-Elec-P14(Fin'!F45</f>
        <v>0</v>
      </c>
      <c r="G45" s="52"/>
      <c r="H45" s="52">
        <f>'KY_Cost Plant Acct-Elec-P14(Fin'!H45</f>
        <v>0</v>
      </c>
      <c r="I45" s="52"/>
      <c r="J45" s="52">
        <f t="shared" si="6"/>
        <v>0</v>
      </c>
      <c r="K45" s="52"/>
      <c r="L45" s="45">
        <f t="shared" si="7"/>
        <v>29930.61</v>
      </c>
      <c r="N45" s="89">
        <f>'KY_Res by Plant Acct-P29 (Fin)'!R49+'KY_Res by Plant Acct-P29 (Fin)'!R50</f>
        <v>-17806.210000000003</v>
      </c>
      <c r="P45" s="89">
        <f t="shared" si="8"/>
        <v>12124.399999999998</v>
      </c>
    </row>
    <row r="46" spans="1:16">
      <c r="A46" t="s">
        <v>283</v>
      </c>
      <c r="B46" s="48">
        <f>'KY_Cost Plant Acct-Elec-P14(Fin'!B46</f>
        <v>103528.98</v>
      </c>
      <c r="C46" s="52"/>
      <c r="D46" s="48">
        <f>'KY_Cost Plant Acct-Elec-P14(Fin'!D46</f>
        <v>0</v>
      </c>
      <c r="E46" s="52"/>
      <c r="F46" s="48">
        <f>'KY_Cost Plant Acct-Elec-P14(Fin'!F46</f>
        <v>0</v>
      </c>
      <c r="G46" s="52"/>
      <c r="H46" s="48">
        <f>'KY_Cost Plant Acct-Elec-P14(Fin'!H46</f>
        <v>0</v>
      </c>
      <c r="I46" s="52"/>
      <c r="J46" s="48">
        <f t="shared" si="6"/>
        <v>0</v>
      </c>
      <c r="K46" s="52"/>
      <c r="L46" s="48">
        <f t="shared" si="7"/>
        <v>103528.98</v>
      </c>
      <c r="N46" s="90">
        <f>'KY_Res by Plant Acct-P29 (Fin)'!R51</f>
        <v>-2549.75000000001</v>
      </c>
      <c r="P46" s="90">
        <f t="shared" si="8"/>
        <v>100979.22999999998</v>
      </c>
    </row>
    <row r="47" spans="1:16">
      <c r="B47" s="52">
        <f>SUM(B39:B46)</f>
        <v>42552390.460000001</v>
      </c>
      <c r="C47" s="52"/>
      <c r="D47" s="52">
        <f>SUM(D39:D46)</f>
        <v>0</v>
      </c>
      <c r="E47" s="52"/>
      <c r="F47" s="52">
        <f>SUM(F39:F46)</f>
        <v>-507.91</v>
      </c>
      <c r="G47" s="52"/>
      <c r="H47" s="52">
        <f>SUM(H39:H46)</f>
        <v>0</v>
      </c>
      <c r="I47" s="52"/>
      <c r="J47" s="52">
        <f>SUM(J39:J46)</f>
        <v>-507.91</v>
      </c>
      <c r="K47" s="52"/>
      <c r="L47" s="52">
        <f>SUM(L39:L46)</f>
        <v>42551882.549999997</v>
      </c>
      <c r="N47" s="89">
        <f>SUM(N39:N46)</f>
        <v>-9096135.5300000012</v>
      </c>
      <c r="P47" s="89">
        <f>SUM(P39:P46)</f>
        <v>33455747.02</v>
      </c>
    </row>
    <row r="48" spans="1:16">
      <c r="B48" s="52"/>
      <c r="C48" s="52"/>
      <c r="D48" s="52"/>
      <c r="E48" s="52"/>
      <c r="F48" s="52"/>
      <c r="G48" s="52"/>
      <c r="H48" s="52"/>
      <c r="I48" s="52"/>
      <c r="J48" s="52"/>
      <c r="K48" s="52"/>
      <c r="L48" s="52"/>
    </row>
    <row r="49" spans="1:16">
      <c r="A49" s="3" t="s">
        <v>810</v>
      </c>
      <c r="B49" s="52"/>
      <c r="C49" s="52"/>
      <c r="D49" s="52"/>
      <c r="E49" s="52"/>
      <c r="F49" s="52"/>
      <c r="G49" s="52"/>
      <c r="H49" s="52"/>
      <c r="I49" s="52"/>
      <c r="J49" s="52"/>
      <c r="K49" s="52"/>
      <c r="L49" s="52"/>
    </row>
    <row r="50" spans="1:16">
      <c r="A50" t="s">
        <v>284</v>
      </c>
      <c r="B50" s="326">
        <f>'KY_Cost Plant Acct-Elec-P14(Fin'!B50</f>
        <v>2240.29</v>
      </c>
      <c r="C50" s="52"/>
      <c r="D50" s="326">
        <f>'KY_Cost Plant Acct-Elec-P14(Fin'!D50</f>
        <v>0</v>
      </c>
      <c r="E50" s="52"/>
      <c r="F50" s="326">
        <f>'KY_Cost Plant Acct-Elec-P14(Fin'!F50</f>
        <v>0</v>
      </c>
      <c r="G50" s="52"/>
      <c r="H50" s="326">
        <f>'KY_Cost Plant Acct-Elec-P14(Fin'!H50</f>
        <v>0</v>
      </c>
      <c r="I50" s="52"/>
      <c r="J50" s="52">
        <f>H50+F50+D50</f>
        <v>0</v>
      </c>
      <c r="K50" s="52"/>
      <c r="L50" s="45">
        <f>B50+J50</f>
        <v>2240.29</v>
      </c>
      <c r="N50" s="89">
        <f>'KY_Res by Plant Acct-P29 (Fin)'!R329</f>
        <v>0</v>
      </c>
      <c r="P50" s="89">
        <f>L50+N50</f>
        <v>2240.29</v>
      </c>
    </row>
    <row r="51" spans="1:16">
      <c r="A51" t="s">
        <v>285</v>
      </c>
      <c r="B51" s="327">
        <f>'KY_Cost Plant Acct-Elec-P14(Fin'!B51</f>
        <v>0</v>
      </c>
      <c r="C51" s="52"/>
      <c r="D51" s="327">
        <f>'KY_Cost Plant Acct-Elec-P14(Fin'!D51</f>
        <v>0</v>
      </c>
      <c r="E51" s="52"/>
      <c r="F51" s="327">
        <f>'KY_Cost Plant Acct-Elec-P14(Fin'!F51</f>
        <v>0</v>
      </c>
      <c r="G51" s="52"/>
      <c r="H51" s="327">
        <f>'KY_Cost Plant Acct-Elec-P14(Fin'!H51</f>
        <v>0</v>
      </c>
      <c r="I51" s="52"/>
      <c r="J51" s="48">
        <f>H51+F51+D51</f>
        <v>0</v>
      </c>
      <c r="K51" s="52"/>
      <c r="L51" s="48">
        <f>B51+J51</f>
        <v>0</v>
      </c>
      <c r="N51" s="90">
        <f>'KY_Res by Plant Acct-P29 (Fin)'!R330</f>
        <v>0</v>
      </c>
      <c r="P51" s="90">
        <f>L51+N51</f>
        <v>0</v>
      </c>
    </row>
    <row r="52" spans="1:16">
      <c r="B52" s="52">
        <f>SUM(B50:B51)</f>
        <v>2240.29</v>
      </c>
      <c r="C52" s="52"/>
      <c r="D52" s="52">
        <f>SUM(D50:D51)</f>
        <v>0</v>
      </c>
      <c r="E52" s="52"/>
      <c r="F52" s="52">
        <f>SUM(F50:F51)</f>
        <v>0</v>
      </c>
      <c r="G52" s="52"/>
      <c r="H52" s="52">
        <f>SUM(H50:H51)</f>
        <v>0</v>
      </c>
      <c r="I52" s="52"/>
      <c r="J52" s="52">
        <f>SUM(J50:J51)</f>
        <v>0</v>
      </c>
      <c r="K52" s="52"/>
      <c r="L52" s="52">
        <f>SUM(L50:L51)</f>
        <v>2240.29</v>
      </c>
      <c r="N52" s="89">
        <f>SUM(N50:N51)</f>
        <v>0</v>
      </c>
      <c r="P52" s="89">
        <f>SUM(P50:P51)</f>
        <v>2240.29</v>
      </c>
    </row>
    <row r="53" spans="1:16">
      <c r="B53" s="52"/>
      <c r="C53" s="52"/>
      <c r="D53" s="52"/>
      <c r="E53" s="52"/>
      <c r="F53" s="52"/>
      <c r="G53" s="52"/>
      <c r="H53" s="52"/>
      <c r="I53" s="52"/>
      <c r="J53" s="52"/>
      <c r="K53" s="52"/>
      <c r="L53" s="52"/>
    </row>
    <row r="54" spans="1:16">
      <c r="A54" s="3" t="s">
        <v>811</v>
      </c>
      <c r="B54" s="45"/>
      <c r="C54" s="45"/>
      <c r="D54" s="45"/>
      <c r="E54" s="45"/>
      <c r="F54" s="45"/>
      <c r="G54" s="45"/>
      <c r="H54" s="45"/>
      <c r="I54" s="45"/>
      <c r="J54" s="45"/>
      <c r="K54" s="45"/>
      <c r="L54" s="45"/>
    </row>
    <row r="55" spans="1:16">
      <c r="A55" t="s">
        <v>286</v>
      </c>
      <c r="B55" s="45">
        <f>'KY_Cost Plant Acct-Elec-P14(Fin'!B55</f>
        <v>8132.93</v>
      </c>
      <c r="C55" s="45"/>
      <c r="D55" s="45">
        <f>'KY_Cost Plant Acct-Elec-P14(Fin'!D55</f>
        <v>0</v>
      </c>
      <c r="E55" s="45"/>
      <c r="F55" s="45">
        <f>'KY_Cost Plant Acct-Elec-P14(Fin'!F55</f>
        <v>0</v>
      </c>
      <c r="G55" s="45"/>
      <c r="H55" s="45">
        <f>'KY_Cost Plant Acct-Elec-P14(Fin'!H55</f>
        <v>0</v>
      </c>
      <c r="I55" s="45"/>
      <c r="J55" s="45">
        <f t="shared" ref="J55:J63" si="9">H55+F55+D55</f>
        <v>0</v>
      </c>
      <c r="K55" s="45"/>
      <c r="L55" s="45">
        <f t="shared" ref="L55:L63" si="10">B55+J55</f>
        <v>8132.93</v>
      </c>
      <c r="N55" s="89">
        <f>'KY_Res by Plant Acct-P29 (Fin)'!R55+'KY_Res by Plant Acct-P29 (Fin)'!R56</f>
        <v>0</v>
      </c>
      <c r="P55" s="89">
        <f t="shared" ref="P55:P63" si="11">L55+N55</f>
        <v>8132.93</v>
      </c>
    </row>
    <row r="56" spans="1:16">
      <c r="A56" t="s">
        <v>287</v>
      </c>
      <c r="B56" s="45">
        <f>'KY_Cost Plant Acct-Elec-P14(Fin'!B56</f>
        <v>15004439.449999999</v>
      </c>
      <c r="C56" s="45"/>
      <c r="D56" s="45">
        <f>'KY_Cost Plant Acct-Elec-P14(Fin'!D56</f>
        <v>0</v>
      </c>
      <c r="E56" s="45"/>
      <c r="F56" s="45">
        <f>'KY_Cost Plant Acct-Elec-P14(Fin'!F56</f>
        <v>0</v>
      </c>
      <c r="G56" s="45"/>
      <c r="H56" s="45">
        <f>'KY_Cost Plant Acct-Elec-P14(Fin'!H56</f>
        <v>0</v>
      </c>
      <c r="I56" s="45"/>
      <c r="J56" s="45">
        <f t="shared" si="9"/>
        <v>0</v>
      </c>
      <c r="K56" s="45"/>
      <c r="L56" s="45">
        <f t="shared" si="10"/>
        <v>15004439.449999999</v>
      </c>
      <c r="N56" s="89">
        <f>'KY_Res by Plant Acct-P29 (Fin)'!R71</f>
        <v>-4440137.08</v>
      </c>
      <c r="P56" s="89">
        <f t="shared" si="11"/>
        <v>10564302.369999999</v>
      </c>
    </row>
    <row r="57" spans="1:16">
      <c r="A57" t="s">
        <v>288</v>
      </c>
      <c r="B57" s="45">
        <f>'KY_Cost Plant Acct-Elec-P14(Fin'!B57</f>
        <v>7598823.620000001</v>
      </c>
      <c r="C57" s="45"/>
      <c r="D57" s="45">
        <f>'KY_Cost Plant Acct-Elec-P14(Fin'!D57+'KY_Cost Plant Acct-Elec-P14(Fin'!D128</f>
        <v>0</v>
      </c>
      <c r="E57" s="45"/>
      <c r="F57" s="45">
        <f>'KY_Cost Plant Acct-Elec-P14(Fin'!F57</f>
        <v>0</v>
      </c>
      <c r="G57" s="45"/>
      <c r="H57" s="45">
        <f>'KY_Cost Plant Acct-Elec-P14(Fin'!H57</f>
        <v>0</v>
      </c>
      <c r="I57" s="45"/>
      <c r="J57" s="45">
        <f t="shared" si="9"/>
        <v>0</v>
      </c>
      <c r="K57" s="45"/>
      <c r="L57" s="45">
        <f t="shared" si="10"/>
        <v>7598823.620000001</v>
      </c>
      <c r="N57" s="89">
        <f>'KY_Res by Plant Acct-P29 (Fin)'!R88</f>
        <v>-2198478.46</v>
      </c>
      <c r="P57" s="89">
        <f t="shared" si="11"/>
        <v>5400345.1600000011</v>
      </c>
    </row>
    <row r="58" spans="1:16">
      <c r="A58" t="s">
        <v>289</v>
      </c>
      <c r="B58" s="45">
        <f>'KY_Cost Plant Acct-Elec-P14(Fin'!B58+'KY_Cost Plant Acct-Elec-P14(Fin'!B129</f>
        <v>157472340.11999997</v>
      </c>
      <c r="C58" s="45"/>
      <c r="D58" s="45">
        <f>'KY_Cost Plant Acct-Elec-P14(Fin'!D58+'KY_Cost Plant Acct-Elec-P14(Fin'!D129</f>
        <v>429269.99000000022</v>
      </c>
      <c r="E58" s="45"/>
      <c r="F58" s="45">
        <f>'KY_Cost Plant Acct-Elec-P14(Fin'!F58</f>
        <v>-676874.51</v>
      </c>
      <c r="G58" s="45"/>
      <c r="H58" s="45">
        <f>'KY_Cost Plant Acct-Elec-P14(Fin'!H58</f>
        <v>0</v>
      </c>
      <c r="I58" s="45"/>
      <c r="J58" s="45">
        <f t="shared" si="9"/>
        <v>-247604.51999999979</v>
      </c>
      <c r="K58" s="45"/>
      <c r="L58" s="45">
        <f t="shared" si="10"/>
        <v>157224735.59999996</v>
      </c>
      <c r="N58" s="89">
        <f>'KY_Res by Plant Acct-P29 (Fin)'!R100</f>
        <v>-40298530.43</v>
      </c>
      <c r="P58" s="89">
        <f t="shared" si="11"/>
        <v>116926205.16999996</v>
      </c>
    </row>
    <row r="59" spans="1:16">
      <c r="A59" t="s">
        <v>290</v>
      </c>
      <c r="B59" s="45">
        <f>'KY_Cost Plant Acct-Elec-P14(Fin'!B59+'KY_Cost Plant Acct-Elec-P14(Fin'!B130</f>
        <v>33171947.16</v>
      </c>
      <c r="C59" s="45"/>
      <c r="D59" s="45">
        <f>'KY_Cost Plant Acct-Elec-P14(Fin'!D59+'KY_Cost Plant Acct-Elec-P14(Fin'!D130</f>
        <v>0</v>
      </c>
      <c r="E59" s="45"/>
      <c r="F59" s="45">
        <f>'KY_Cost Plant Acct-Elec-P14(Fin'!F59</f>
        <v>0</v>
      </c>
      <c r="G59" s="45"/>
      <c r="H59" s="45">
        <f>'KY_Cost Plant Acct-Elec-P14(Fin'!H59</f>
        <v>0</v>
      </c>
      <c r="I59" s="45"/>
      <c r="J59" s="45">
        <f t="shared" si="9"/>
        <v>0</v>
      </c>
      <c r="K59" s="45"/>
      <c r="L59" s="45">
        <f t="shared" si="10"/>
        <v>33171947.16</v>
      </c>
      <c r="N59" s="89">
        <f>'KY_Res by Plant Acct-P29 (Fin)'!R116</f>
        <v>-16876246.890000001</v>
      </c>
      <c r="P59" s="89">
        <f t="shared" si="11"/>
        <v>16295700.27</v>
      </c>
    </row>
    <row r="60" spans="1:16">
      <c r="A60" t="s">
        <v>291</v>
      </c>
      <c r="B60" s="45">
        <f>'KY_Cost Plant Acct-Elec-P14(Fin'!B60+'KY_Cost Plant Acct-Elec-P14(Fin'!B131</f>
        <v>20692503.309999999</v>
      </c>
      <c r="C60" s="45"/>
      <c r="D60" s="45">
        <f>'KY_Cost Plant Acct-Elec-P14(Fin'!D60+'KY_Cost Plant Acct-Elec-P14(Fin'!D131</f>
        <v>154140.03</v>
      </c>
      <c r="E60" s="45"/>
      <c r="F60" s="45">
        <f>'KY_Cost Plant Acct-Elec-P14(Fin'!F60</f>
        <v>0</v>
      </c>
      <c r="G60" s="45"/>
      <c r="H60" s="45">
        <f>'KY_Cost Plant Acct-Elec-P14(Fin'!H60</f>
        <v>0</v>
      </c>
      <c r="I60" s="45"/>
      <c r="J60" s="45">
        <f t="shared" si="9"/>
        <v>154140.03</v>
      </c>
      <c r="K60" s="45"/>
      <c r="L60" s="45">
        <f t="shared" si="10"/>
        <v>20846643.34</v>
      </c>
      <c r="N60" s="89">
        <f>'KY_Res by Plant Acct-P29 (Fin)'!R132</f>
        <v>-6241479.0600000005</v>
      </c>
      <c r="P60" s="89">
        <f t="shared" si="11"/>
        <v>14605164.279999999</v>
      </c>
    </row>
    <row r="61" spans="1:16">
      <c r="A61" t="s">
        <v>292</v>
      </c>
      <c r="B61" s="45">
        <f>'KY_Cost Plant Acct-Elec-P14(Fin'!B61</f>
        <v>3796323</v>
      </c>
      <c r="C61" s="45"/>
      <c r="D61" s="45">
        <f>'KY_Cost Plant Acct-Elec-P14(Fin'!D61+'KY_Cost Plant Acct-Elec-P14(Fin'!D132</f>
        <v>0</v>
      </c>
      <c r="E61" s="45"/>
      <c r="F61" s="45">
        <f>'KY_Cost Plant Acct-Elec-P14(Fin'!F61</f>
        <v>0</v>
      </c>
      <c r="G61" s="45"/>
      <c r="H61" s="45">
        <f>'KY_Cost Plant Acct-Elec-P14(Fin'!H61</f>
        <v>0</v>
      </c>
      <c r="I61" s="45"/>
      <c r="J61" s="45">
        <f t="shared" si="9"/>
        <v>0</v>
      </c>
      <c r="K61" s="45"/>
      <c r="L61" s="45">
        <f t="shared" si="10"/>
        <v>3796323</v>
      </c>
      <c r="N61" s="89">
        <f>'KY_Res by Plant Acct-P29 (Fin)'!R146</f>
        <v>-1304136.6200000001</v>
      </c>
      <c r="P61" s="89">
        <f t="shared" si="11"/>
        <v>2492186.38</v>
      </c>
    </row>
    <row r="62" spans="1:16">
      <c r="A62" t="s">
        <v>293</v>
      </c>
      <c r="B62" s="45">
        <f>'KY_Cost Plant Acct-Elec-P14(Fin'!B62</f>
        <v>38429.14</v>
      </c>
      <c r="C62" s="45"/>
      <c r="D62" s="45">
        <f>'KY_Cost Plant Acct-Elec-P14(Fin'!D62</f>
        <v>0</v>
      </c>
      <c r="E62" s="45"/>
      <c r="F62" s="45">
        <f>'KY_Cost Plant Acct-Elec-P14(Fin'!F62</f>
        <v>0</v>
      </c>
      <c r="G62" s="45"/>
      <c r="H62" s="45">
        <f>'KY_Cost Plant Acct-Elec-P14(Fin'!H62</f>
        <v>0</v>
      </c>
      <c r="I62" s="45"/>
      <c r="J62" s="45">
        <f t="shared" si="9"/>
        <v>0</v>
      </c>
      <c r="K62" s="45"/>
      <c r="L62" s="45">
        <f t="shared" si="10"/>
        <v>38429.14</v>
      </c>
      <c r="N62" s="89">
        <f>'KY_Res by Plant Acct-P29 (Fin)'!R147</f>
        <v>-1592.4999999999975</v>
      </c>
      <c r="P62" s="89">
        <f t="shared" si="11"/>
        <v>36836.639999999999</v>
      </c>
    </row>
    <row r="63" spans="1:16">
      <c r="A63" t="s">
        <v>294</v>
      </c>
      <c r="B63" s="48">
        <f>'KY_Cost Plant Acct-Elec-P14(Fin'!B63</f>
        <v>0</v>
      </c>
      <c r="C63" s="45"/>
      <c r="D63" s="48">
        <f>'KY_Cost Plant Acct-Elec-P14(Fin'!D63</f>
        <v>0</v>
      </c>
      <c r="E63" s="45"/>
      <c r="F63" s="48">
        <f>'KY_Cost Plant Acct-Elec-P14(Fin'!F63</f>
        <v>0</v>
      </c>
      <c r="G63" s="45"/>
      <c r="H63" s="48">
        <f>'KY_Cost Plant Acct-Elec-P14(Fin'!H63</f>
        <v>0</v>
      </c>
      <c r="I63" s="45"/>
      <c r="J63" s="48">
        <f t="shared" si="9"/>
        <v>0</v>
      </c>
      <c r="K63" s="52"/>
      <c r="L63" s="48">
        <f t="shared" si="10"/>
        <v>0</v>
      </c>
      <c r="N63" s="90">
        <f>'KY_Res by Plant Acct-P29 (Fin)'!R148</f>
        <v>-2.3283064365386963E-10</v>
      </c>
      <c r="P63" s="90">
        <f t="shared" si="11"/>
        <v>-2.3283064365386963E-10</v>
      </c>
    </row>
    <row r="64" spans="1:16">
      <c r="B64" s="52">
        <f>SUM(B55:B63)</f>
        <v>237782938.72999996</v>
      </c>
      <c r="C64" s="52"/>
      <c r="D64" s="52">
        <f>SUM(D55:D63)</f>
        <v>583410.02000000025</v>
      </c>
      <c r="E64" s="52"/>
      <c r="F64" s="52">
        <f>SUM(F55:F63)</f>
        <v>-676874.51</v>
      </c>
      <c r="G64" s="52"/>
      <c r="H64" s="52">
        <f>SUM(H55:H63)</f>
        <v>0</v>
      </c>
      <c r="I64" s="52"/>
      <c r="J64" s="52">
        <f>SUM(J55:J63)</f>
        <v>-93464.489999999787</v>
      </c>
      <c r="K64" s="52"/>
      <c r="L64" s="52">
        <f>SUM(L55:L63)</f>
        <v>237689474.23999995</v>
      </c>
      <c r="N64" s="89">
        <f>SUM(N55:N63)</f>
        <v>-71360601.040000007</v>
      </c>
      <c r="P64" s="89">
        <f>SUM(P55:P63)</f>
        <v>166328873.19999996</v>
      </c>
    </row>
    <row r="65" spans="1:16">
      <c r="B65" s="52"/>
      <c r="C65" s="52"/>
      <c r="D65" s="52"/>
      <c r="E65" s="52"/>
      <c r="F65" s="52"/>
      <c r="G65" s="52"/>
      <c r="H65" s="52"/>
      <c r="I65" s="52"/>
      <c r="J65" s="52"/>
      <c r="K65" s="52"/>
      <c r="L65" s="52"/>
    </row>
    <row r="66" spans="1:16">
      <c r="A66" s="3" t="s">
        <v>812</v>
      </c>
      <c r="B66" s="65"/>
      <c r="C66" s="52"/>
      <c r="D66" s="52"/>
      <c r="E66" s="52"/>
      <c r="F66" s="52"/>
      <c r="G66" s="52"/>
      <c r="H66" s="52"/>
      <c r="I66" s="52"/>
      <c r="J66" s="52"/>
      <c r="K66" s="52"/>
      <c r="L66" s="52"/>
    </row>
    <row r="67" spans="1:16">
      <c r="A67" t="s">
        <v>295</v>
      </c>
      <c r="B67" s="65">
        <f>'KY_Cost Plant Acct-Elec-P14(Fin'!B67</f>
        <v>6193327.3699999992</v>
      </c>
      <c r="C67" s="52"/>
      <c r="D67" s="52">
        <f>'KY_Cost Plant Acct-Elec-P14(Fin'!D67</f>
        <v>0</v>
      </c>
      <c r="E67" s="52"/>
      <c r="F67" s="52">
        <f>'KY_Cost Plant Acct-Elec-P14(Fin'!F67</f>
        <v>0</v>
      </c>
      <c r="G67" s="52"/>
      <c r="H67" s="52">
        <f>'KY_Cost Plant Acct-Elec-P14(Fin'!H67</f>
        <v>0</v>
      </c>
      <c r="I67" s="52"/>
      <c r="J67" s="52">
        <f t="shared" ref="J67:J77" si="12">H67+F67+D67</f>
        <v>0</v>
      </c>
      <c r="K67" s="52"/>
      <c r="L67" s="45">
        <f t="shared" ref="L67:L77" si="13">B67+J67</f>
        <v>6193327.3699999992</v>
      </c>
      <c r="N67" s="89">
        <f>'KY_Res by Plant Acct-P29 (Fin)'!R152</f>
        <v>0</v>
      </c>
      <c r="P67" s="89">
        <f t="shared" ref="P67:P77" si="14">L67+N67</f>
        <v>6193327.3699999992</v>
      </c>
    </row>
    <row r="68" spans="1:16">
      <c r="A68" t="s">
        <v>1431</v>
      </c>
      <c r="B68" s="65">
        <f>'KY_Cost Plant Acct-Elec-P14(Fin'!B68</f>
        <v>100000</v>
      </c>
      <c r="C68" s="52"/>
      <c r="D68" s="52">
        <f>'KY_Cost Plant Acct-Elec-P14(Fin'!D68</f>
        <v>0</v>
      </c>
      <c r="E68" s="52"/>
      <c r="F68" s="52">
        <f>'KY_Cost Plant Acct-Elec-P14(Fin'!F68</f>
        <v>0</v>
      </c>
      <c r="G68" s="52"/>
      <c r="H68" s="52">
        <f>'KY_Cost Plant Acct-Elec-P14(Fin'!H68</f>
        <v>0</v>
      </c>
      <c r="I68" s="52"/>
      <c r="J68" s="52">
        <f t="shared" ref="J68" si="15">H68+F68+D68</f>
        <v>0</v>
      </c>
      <c r="K68" s="52"/>
      <c r="L68" s="182">
        <f t="shared" ref="L68" si="16">B68+J68</f>
        <v>100000</v>
      </c>
      <c r="N68" s="89">
        <f>'KY_Res by Plant Acct-P29 (Fin)'!R153</f>
        <v>0</v>
      </c>
      <c r="P68" s="89">
        <f t="shared" ref="P68" si="17">L68+N68</f>
        <v>100000</v>
      </c>
    </row>
    <row r="69" spans="1:16">
      <c r="A69" t="s">
        <v>832</v>
      </c>
      <c r="B69" s="65">
        <f>'KY_Cost Plant Acct-Elec-P14(Fin'!B69+'KY_Cost Plant Acct-Elec-P14(Fin'!B135+'Capital Leased Prop P25 (Fin)'!B10</f>
        <v>295711442.85000002</v>
      </c>
      <c r="C69" s="52"/>
      <c r="D69" s="52">
        <f>'KY_Cost Plant Acct-Elec-P14(Fin'!D69+'KY_Cost Plant Acct-Elec-P14(Fin'!D135</f>
        <v>994590.93</v>
      </c>
      <c r="E69" s="52"/>
      <c r="F69" s="52">
        <f>'KY_Cost Plant Acct-Elec-P14(Fin'!F69</f>
        <v>-54477.86</v>
      </c>
      <c r="G69" s="52"/>
      <c r="H69" s="52">
        <f>'KY_Cost Plant Acct-Elec-P14(Fin'!H69+'Capital Leased Prop P25 (Fin)'!H10</f>
        <v>0</v>
      </c>
      <c r="I69" s="52"/>
      <c r="J69" s="52">
        <f t="shared" si="12"/>
        <v>940113.07000000007</v>
      </c>
      <c r="K69" s="52"/>
      <c r="L69" s="45">
        <f t="shared" si="13"/>
        <v>296651555.92000002</v>
      </c>
      <c r="N69" s="89">
        <f>'KY_Res by Plant Acct-P29 (Fin)'!R181+'KY_Res by Plant Acct-P29 (Fin)'!R192</f>
        <v>-197153022.45000002</v>
      </c>
      <c r="P69" s="89">
        <f t="shared" si="14"/>
        <v>99498533.469999999</v>
      </c>
    </row>
    <row r="70" spans="1:16">
      <c r="A70" t="s">
        <v>833</v>
      </c>
      <c r="B70" s="324">
        <f>'KY_Cost Plant Acct-Elec-P14(Fin'!B70+'KY_Cost Plant Acct-Elec-P14(Fin'!B136</f>
        <v>27025345.990000002</v>
      </c>
      <c r="C70" s="52"/>
      <c r="D70" s="324">
        <f>'KY_Cost Plant Acct-Elec-P14(Fin'!D70+'KY_Cost Plant Acct-Elec-P14(Fin'!D136</f>
        <v>0</v>
      </c>
      <c r="E70" s="52"/>
      <c r="F70" s="324">
        <f>'KY_Cost Plant Acct-Elec-P14(Fin'!F70+'KY_Cost Plant Acct-Elec-P14(Fin'!F136</f>
        <v>0</v>
      </c>
      <c r="G70" s="52"/>
      <c r="H70" s="324">
        <f>'KY_Cost Plant Acct-Elec-P14(Fin'!H70+'KY_Cost Plant Acct-Elec-P14(Fin'!H136</f>
        <v>0</v>
      </c>
      <c r="I70" s="52"/>
      <c r="J70" s="52">
        <f t="shared" si="12"/>
        <v>0</v>
      </c>
      <c r="K70" s="52"/>
      <c r="L70" s="45">
        <f t="shared" si="13"/>
        <v>27025345.990000002</v>
      </c>
      <c r="N70" s="89">
        <f>'KY_Res by Plant Acct-P29 (Fin)'!R189</f>
        <v>-8815842.7200000007</v>
      </c>
      <c r="P70" s="89">
        <f t="shared" si="14"/>
        <v>18209503.270000003</v>
      </c>
    </row>
    <row r="71" spans="1:16">
      <c r="A71" t="s">
        <v>834</v>
      </c>
      <c r="B71" s="65">
        <f>'KY_Cost Plant Acct-Elec-P14(Fin'!B71+'KY_Cost Plant Acct-Elec-P14(Fin'!B137</f>
        <v>1385701250.3</v>
      </c>
      <c r="C71" s="52"/>
      <c r="D71" s="52">
        <f>'KY_Cost Plant Acct-Elec-P14(Fin'!D71+'KY_Cost Plant Acct-Elec-P14(Fin'!D137</f>
        <v>4033598.9699999997</v>
      </c>
      <c r="E71" s="52"/>
      <c r="F71" s="52">
        <f>'KY_Cost Plant Acct-Elec-P14(Fin'!F71</f>
        <v>-828348.46</v>
      </c>
      <c r="G71" s="52"/>
      <c r="H71" s="52">
        <f>'KY_Cost Plant Acct-Elec-P14(Fin'!H71</f>
        <v>0</v>
      </c>
      <c r="I71" s="52"/>
      <c r="J71" s="52">
        <f t="shared" si="12"/>
        <v>3205250.51</v>
      </c>
      <c r="K71" s="52"/>
      <c r="L71" s="45">
        <f t="shared" si="13"/>
        <v>1388906500.8099999</v>
      </c>
      <c r="N71" s="89">
        <f>'KY_Res by Plant Acct-P29 (Fin)'!R235</f>
        <v>-696077076.55999994</v>
      </c>
      <c r="P71" s="89">
        <f t="shared" si="14"/>
        <v>692829424.25</v>
      </c>
    </row>
    <row r="72" spans="1:16">
      <c r="A72" t="s">
        <v>835</v>
      </c>
      <c r="B72" s="65">
        <f>'KY_Cost Plant Acct-Elec-P14(Fin'!B72</f>
        <v>638933.72</v>
      </c>
      <c r="C72" s="52"/>
      <c r="D72" s="52">
        <f>'KY_Cost Plant Acct-Elec-P14(Fin'!D72</f>
        <v>0</v>
      </c>
      <c r="E72" s="52"/>
      <c r="F72" s="52">
        <f>'KY_Cost Plant Acct-Elec-P14(Fin'!F72</f>
        <v>0</v>
      </c>
      <c r="G72" s="52"/>
      <c r="H72" s="52">
        <f>'KY_Cost Plant Acct-Elec-P14(Fin'!H72</f>
        <v>0</v>
      </c>
      <c r="I72" s="52"/>
      <c r="J72" s="52">
        <f t="shared" si="12"/>
        <v>0</v>
      </c>
      <c r="K72" s="52"/>
      <c r="L72" s="45">
        <f t="shared" si="13"/>
        <v>638933.72</v>
      </c>
      <c r="N72" s="89">
        <f>'KY_Res by Plant Acct-P29 (Fin)'!R238</f>
        <v>-595003.98</v>
      </c>
      <c r="P72" s="89">
        <f t="shared" si="14"/>
        <v>43929.739999999991</v>
      </c>
    </row>
    <row r="73" spans="1:16">
      <c r="A73" t="s">
        <v>836</v>
      </c>
      <c r="B73" s="52">
        <f>'KY_Cost Plant Acct-Elec-P14(Fin'!B73+'KY_Cost Plant Acct-Elec-P14(Fin'!B138</f>
        <v>218159941.18000001</v>
      </c>
      <c r="C73" s="52"/>
      <c r="D73" s="52">
        <f>'KY_Cost Plant Acct-Elec-P14(Fin'!D73+'KY_Cost Plant Acct-Elec-P14(Fin'!D138</f>
        <v>247350.45000000019</v>
      </c>
      <c r="E73" s="52"/>
      <c r="F73" s="52">
        <f>'KY_Cost Plant Acct-Elec-P14(Fin'!F73</f>
        <v>-189608.18</v>
      </c>
      <c r="G73" s="52"/>
      <c r="H73" s="52">
        <f>'KY_Cost Plant Acct-Elec-P14(Fin'!H73</f>
        <v>0</v>
      </c>
      <c r="I73" s="52"/>
      <c r="J73" s="52">
        <f t="shared" si="12"/>
        <v>57742.270000000193</v>
      </c>
      <c r="K73" s="52"/>
      <c r="L73" s="45">
        <f t="shared" si="13"/>
        <v>218217683.45000002</v>
      </c>
      <c r="N73" s="89">
        <f>'KY_Res by Plant Acct-P29 (Fin)'!R252</f>
        <v>-129348867.78000002</v>
      </c>
      <c r="P73" s="89">
        <f t="shared" si="14"/>
        <v>88868815.670000002</v>
      </c>
    </row>
    <row r="74" spans="1:16">
      <c r="A74" t="s">
        <v>837</v>
      </c>
      <c r="B74" s="52">
        <f>'KY_Cost Plant Acct-Elec-P14(Fin'!B74+'KY_Cost Plant Acct-Elec-P14(Fin'!B139</f>
        <v>178078846.36999997</v>
      </c>
      <c r="C74" s="52"/>
      <c r="D74" s="52">
        <f>'KY_Cost Plant Acct-Elec-P14(Fin'!D74+'KY_Cost Plant Acct-Elec-P14(Fin'!D139</f>
        <v>203183.5700000003</v>
      </c>
      <c r="E74" s="52"/>
      <c r="F74" s="52">
        <f>'KY_Cost Plant Acct-Elec-P14(Fin'!F74</f>
        <v>-14264.89</v>
      </c>
      <c r="G74" s="52"/>
      <c r="H74" s="52">
        <f>'KY_Cost Plant Acct-Elec-P14(Fin'!H74</f>
        <v>0</v>
      </c>
      <c r="I74" s="52"/>
      <c r="J74" s="52">
        <f t="shared" si="12"/>
        <v>188918.68000000028</v>
      </c>
      <c r="K74" s="52"/>
      <c r="L74" s="45">
        <f t="shared" si="13"/>
        <v>178267765.04999998</v>
      </c>
      <c r="N74" s="89">
        <f>'KY_Res by Plant Acct-P29 (Fin)'!R275</f>
        <v>-122137880.53000002</v>
      </c>
      <c r="P74" s="89">
        <f t="shared" si="14"/>
        <v>56129884.519999966</v>
      </c>
    </row>
    <row r="75" spans="1:16">
      <c r="A75" t="s">
        <v>1024</v>
      </c>
      <c r="B75" s="52">
        <f>'KY_Cost Plant Acct-Elec-P14(Fin'!B75</f>
        <v>0</v>
      </c>
      <c r="C75" s="52"/>
      <c r="D75" s="52">
        <f>'KY_Cost Plant Acct-Elec-P14(Fin'!D75</f>
        <v>0</v>
      </c>
      <c r="E75" s="52"/>
      <c r="F75" s="52">
        <f>'KY_Cost Plant Acct-Elec-P14(Fin'!F75</f>
        <v>0</v>
      </c>
      <c r="G75" s="52"/>
      <c r="H75" s="52">
        <f>'KY_Cost Plant Acct-Elec-P14(Fin'!H75</f>
        <v>0</v>
      </c>
      <c r="I75" s="52"/>
      <c r="J75" s="52">
        <f t="shared" si="12"/>
        <v>0</v>
      </c>
      <c r="K75" s="52"/>
      <c r="L75" s="45">
        <f t="shared" si="13"/>
        <v>0</v>
      </c>
      <c r="N75" s="89">
        <f>'KY_Res by Plant Acct-P29 (Fin)'!R284</f>
        <v>2.2351741811588166E-10</v>
      </c>
      <c r="P75" s="89">
        <f t="shared" si="14"/>
        <v>2.2351741811588166E-10</v>
      </c>
    </row>
    <row r="76" spans="1:16">
      <c r="A76" t="s">
        <v>838</v>
      </c>
      <c r="B76" s="52">
        <f>'KY_Cost Plant Acct-Elec-P14(Fin'!B76+'KY_Cost Plant Acct-Elec-P14(Fin'!B140</f>
        <v>16345184.200000001</v>
      </c>
      <c r="C76" s="52"/>
      <c r="D76" s="52">
        <f>'KY_Cost Plant Acct-Elec-P14(Fin'!D76+'KY_Cost Plant Acct-Elec-P14(Fin'!D140</f>
        <v>107115.07999999999</v>
      </c>
      <c r="E76" s="52"/>
      <c r="F76" s="52">
        <f>'KY_Cost Plant Acct-Elec-P14(Fin'!F76</f>
        <v>0</v>
      </c>
      <c r="G76" s="52"/>
      <c r="H76" s="52">
        <f>'KY_Cost Plant Acct-Elec-P14(Fin'!H76</f>
        <v>0</v>
      </c>
      <c r="I76" s="52"/>
      <c r="J76" s="52">
        <f t="shared" si="12"/>
        <v>107115.07999999999</v>
      </c>
      <c r="K76" s="52"/>
      <c r="L76" s="45">
        <f t="shared" si="13"/>
        <v>16452299.280000001</v>
      </c>
      <c r="N76" s="89">
        <f>'KY_Res by Plant Acct-P29 (Fin)'!R300</f>
        <v>-6560586.7100000009</v>
      </c>
      <c r="P76" s="89">
        <f t="shared" si="14"/>
        <v>9891712.5700000003</v>
      </c>
    </row>
    <row r="77" spans="1:16">
      <c r="A77" t="s">
        <v>839</v>
      </c>
      <c r="B77" s="48">
        <f>'KY_Cost Plant Acct-Elec-P14(Fin'!B77</f>
        <v>27798267.339999996</v>
      </c>
      <c r="C77" s="52"/>
      <c r="D77" s="48">
        <f>'KY_Cost Plant Acct-Elec-P14(Fin'!D77</f>
        <v>0</v>
      </c>
      <c r="E77" s="52"/>
      <c r="F77" s="48">
        <f>'KY_Cost Plant Acct-Elec-P14(Fin'!F77</f>
        <v>0</v>
      </c>
      <c r="G77" s="52"/>
      <c r="H77" s="48">
        <f>'KY_Cost Plant Acct-Elec-P14(Fin'!H77</f>
        <v>0</v>
      </c>
      <c r="I77" s="52"/>
      <c r="J77" s="48">
        <f t="shared" si="12"/>
        <v>0</v>
      </c>
      <c r="K77" s="52"/>
      <c r="L77" s="48">
        <f t="shared" si="13"/>
        <v>27798267.339999996</v>
      </c>
      <c r="N77" s="90">
        <f>'KY_Res by Plant Acct-P29 (Fin)'!R301</f>
        <v>-1850283.9699999997</v>
      </c>
      <c r="P77" s="90">
        <f t="shared" si="14"/>
        <v>25947983.369999997</v>
      </c>
    </row>
    <row r="78" spans="1:16">
      <c r="B78" s="52">
        <f>SUM(B67:B77)</f>
        <v>2155752539.3200002</v>
      </c>
      <c r="C78" s="52"/>
      <c r="D78" s="52">
        <f>SUM(D67:D77)</f>
        <v>5585839</v>
      </c>
      <c r="E78" s="52"/>
      <c r="F78" s="52">
        <f>SUM(F67:F77)</f>
        <v>-1086699.3899999999</v>
      </c>
      <c r="G78" s="52"/>
      <c r="H78" s="52">
        <f>SUM(H67:H77)</f>
        <v>0</v>
      </c>
      <c r="I78" s="52"/>
      <c r="J78" s="52">
        <f>SUM(J67:J77)</f>
        <v>4499139.6100000013</v>
      </c>
      <c r="K78" s="52"/>
      <c r="L78" s="52">
        <f>SUM(L67:L77)</f>
        <v>2160251678.9299998</v>
      </c>
      <c r="N78" s="89">
        <f>SUM(N67:N77)</f>
        <v>-1162538564.7</v>
      </c>
      <c r="P78" s="89">
        <f>SUM(P67:P77)</f>
        <v>997713114.23000002</v>
      </c>
    </row>
    <row r="79" spans="1:16">
      <c r="B79" s="52"/>
      <c r="C79" s="52"/>
      <c r="D79" s="52"/>
      <c r="E79" s="52"/>
      <c r="F79" s="52"/>
      <c r="G79" s="52"/>
      <c r="H79" s="52"/>
      <c r="I79" s="52"/>
      <c r="J79" s="52"/>
      <c r="K79" s="52"/>
      <c r="L79" s="52"/>
    </row>
    <row r="80" spans="1:16">
      <c r="A80" s="3" t="s">
        <v>119</v>
      </c>
      <c r="B80" s="52"/>
      <c r="C80" s="52"/>
      <c r="D80" s="52"/>
      <c r="E80" s="52"/>
      <c r="F80" s="52"/>
      <c r="G80" s="52"/>
      <c r="H80" s="52"/>
      <c r="I80" s="52"/>
      <c r="J80" s="52"/>
      <c r="K80" s="52"/>
      <c r="L80" s="52"/>
    </row>
    <row r="81" spans="1:16">
      <c r="A81" t="s">
        <v>5</v>
      </c>
      <c r="B81" s="52">
        <f>'KY_Cost Plant Acct-Elec-P14(Fin'!B81+'IN_Total PIS_Elec_NBV-P15 (Fin)'!B15</f>
        <v>7781410.5899999999</v>
      </c>
      <c r="C81" s="52"/>
      <c r="D81" s="52">
        <f>'KY_Cost Plant Acct-Elec-P14(Fin'!D81+'IN_Total PIS_Elec_NBV-P15 (Fin)'!D15</f>
        <v>10100</v>
      </c>
      <c r="E81" s="52"/>
      <c r="F81" s="52">
        <f>'KY_Cost Plant Acct-Elec-P14(Fin'!F81+'IN_Total PIS_Elec_NBV-P15 (Fin)'!F15</f>
        <v>0</v>
      </c>
      <c r="G81" s="52"/>
      <c r="H81" s="52">
        <f>'KY_Cost Plant Acct-Elec-P14(Fin'!H81+'IN_Total PIS_Elec_NBV-P15 (Fin)'!H15</f>
        <v>0</v>
      </c>
      <c r="I81" s="52"/>
      <c r="J81" s="52">
        <f t="shared" ref="J81:J92" si="18">H81+F81+D81</f>
        <v>10100</v>
      </c>
      <c r="K81" s="52"/>
      <c r="L81" s="45">
        <f t="shared" ref="L81:L92" si="19">B81+J81</f>
        <v>7791510.5899999999</v>
      </c>
      <c r="N81" s="89">
        <f>'KY_Res by Plant Acct-P29 (Fin)'!R305+'IN_Total PIS_Elec_NBV-P15 (Fin)'!N15</f>
        <v>-2348190.2900000005</v>
      </c>
      <c r="P81" s="89">
        <f t="shared" ref="P81:P92" si="20">L81+N81</f>
        <v>5443320.2999999989</v>
      </c>
    </row>
    <row r="82" spans="1:16">
      <c r="A82" t="s">
        <v>6</v>
      </c>
      <c r="B82" s="52">
        <f>'KY_Cost Plant Acct-Elec-P14(Fin'!B82+'IN_Total PIS_Elec_NBV-P15 (Fin)'!B16</f>
        <v>1573048.99</v>
      </c>
      <c r="C82" s="52"/>
      <c r="D82" s="52">
        <f>'KY_Cost Plant Acct-Elec-P14(Fin'!D82+'IN_Cost Plant Acct-Elec-P16(Fin'!D12</f>
        <v>0</v>
      </c>
      <c r="E82" s="52"/>
      <c r="F82" s="52">
        <f>'KY_Cost Plant Acct-Elec-P14(Fin'!F82+'IN_Cost Plant Acct-Elec-P16(Fin'!F12</f>
        <v>0</v>
      </c>
      <c r="G82" s="52"/>
      <c r="H82" s="52">
        <f>'KY_Cost Plant Acct-Elec-P14(Fin'!H82+'IN_Cost Plant Acct-Elec-P16(Fin'!H12</f>
        <v>0</v>
      </c>
      <c r="I82" s="52"/>
      <c r="J82" s="52">
        <f t="shared" si="18"/>
        <v>0</v>
      </c>
      <c r="K82" s="52"/>
      <c r="L82" s="45">
        <f t="shared" si="19"/>
        <v>1573048.99</v>
      </c>
      <c r="N82" s="89">
        <f>'IN_Total PIS_Elec_NBV-P15 (Fin)'!N16+'KY_Res by Plant Acct-P29 (Fin)'!R306</f>
        <v>0</v>
      </c>
      <c r="P82" s="89">
        <f t="shared" si="20"/>
        <v>1573048.99</v>
      </c>
    </row>
    <row r="83" spans="1:16">
      <c r="A83" t="s">
        <v>7</v>
      </c>
      <c r="B83" s="52">
        <f>'KY_Cost Plant Acct-Elec-P14(Fin'!B83+'KY_Cost Plant Acct-Elec-P14(Fin'!B145+'IN_Total PIS_Elec_NBV-P15 (Fin)'!B17</f>
        <v>6456555.1300000008</v>
      </c>
      <c r="C83" s="52"/>
      <c r="D83" s="52">
        <f>'KY_Cost Plant Acct-Elec-P14(Fin'!D83+'KY_Cost Plant Acct-Elec-P14(Fin'!D145+'IN_Total PIS_Elec_NBV-P15 (Fin)'!D17</f>
        <v>14845.07</v>
      </c>
      <c r="E83" s="52"/>
      <c r="F83" s="52">
        <f>'KY_Cost Plant Acct-Elec-P14(Fin'!F83+'IN_Total PIS_Elec_NBV-P15 (Fin)'!F17</f>
        <v>0</v>
      </c>
      <c r="G83" s="52"/>
      <c r="H83" s="52">
        <f>'KY_Cost Plant Acct-Elec-P14(Fin'!H83+'IN_Total PIS_Elec_NBV-P15 (Fin)'!H17</f>
        <v>0</v>
      </c>
      <c r="I83" s="52"/>
      <c r="J83" s="52">
        <f t="shared" si="18"/>
        <v>14845.07</v>
      </c>
      <c r="K83" s="52"/>
      <c r="L83" s="45">
        <f t="shared" si="19"/>
        <v>6471400.2000000011</v>
      </c>
      <c r="N83" s="89">
        <f>'KY_Res by Plant Acct-P29 (Fin)'!R307+'KY_Res by Plant Acct-P29 (Fin)'!R308+'IN_Total PIS_Elec_NBV-P15 (Fin)'!N17+'KY_Res by Plant Acct-P29 (Fin)'!R309</f>
        <v>-1519764.3399999999</v>
      </c>
      <c r="P83" s="89">
        <f t="shared" si="20"/>
        <v>4951635.8600000013</v>
      </c>
    </row>
    <row r="84" spans="1:16">
      <c r="A84" t="s">
        <v>8</v>
      </c>
      <c r="B84" s="52">
        <f>+'KY_Cost Plant Acct-Elec-P14(Fin'!B84+'KY_Cost Plant Acct-Elec-P14(Fin'!B146+'IN_Cost Plant Acct-Elec-P16(Fin'!B14+'IN_Cost Plant Acct-Elec-P16(Fin'!B30</f>
        <v>127564599.07999998</v>
      </c>
      <c r="C84" s="52"/>
      <c r="D84" s="52">
        <f>+'KY_Cost Plant Acct-Elec-P14(Fin'!D84+'KY_Cost Plant Acct-Elec-P14(Fin'!D146+'IN_Cost Plant Acct-Elec-P16(Fin'!D14+'IN_Cost Plant Acct-Elec-P16(Fin'!D30</f>
        <v>1126696.22</v>
      </c>
      <c r="E84" s="52"/>
      <c r="F84" s="52">
        <f>+'KY_Cost Plant Acct-Elec-P14(Fin'!F84+'KY_Cost Plant Acct-Elec-P14(Fin'!F146+'IN_Cost Plant Acct-Elec-P16(Fin'!F14+'IN_Cost Plant Acct-Elec-P16(Fin'!F30</f>
        <v>-998709.96</v>
      </c>
      <c r="G84" s="52"/>
      <c r="H84" s="52">
        <f>+'KY_Cost Plant Acct-Elec-P14(Fin'!H84+'KY_Cost Plant Acct-Elec-P14(Fin'!H146+'IN_Cost Plant Acct-Elec-P16(Fin'!H14+'IN_Cost Plant Acct-Elec-P16(Fin'!H30</f>
        <v>0</v>
      </c>
      <c r="I84" s="52"/>
      <c r="J84" s="52">
        <f t="shared" si="18"/>
        <v>127986.26000000001</v>
      </c>
      <c r="K84" s="52"/>
      <c r="L84" s="45">
        <f t="shared" si="19"/>
        <v>127692585.33999999</v>
      </c>
      <c r="N84" s="89">
        <f>'KY_Res by Plant Acct-P29 (Fin)'!R310+'KY_Res by Plant Acct-P29 (Fin)'!R311+'KY_Res by Plant Acct-P29 (Fin)'!R312+'IN_Total PIS_Elec_NBV-P15 (Fin)'!N18</f>
        <v>-68821230.139999986</v>
      </c>
      <c r="P84" s="89">
        <f t="shared" si="20"/>
        <v>58871355.200000003</v>
      </c>
    </row>
    <row r="85" spans="1:16">
      <c r="A85" t="s">
        <v>840</v>
      </c>
      <c r="B85" s="52">
        <f>'KY_Cost Plant Acct-Elec-P14(Fin'!B85</f>
        <v>0</v>
      </c>
      <c r="C85" s="52"/>
      <c r="D85" s="52">
        <f>'KY_Cost Plant Acct-Elec-P14(Fin'!D85</f>
        <v>0</v>
      </c>
      <c r="E85" s="52"/>
      <c r="F85" s="52">
        <f>'KY_Cost Plant Acct-Elec-P14(Fin'!F85</f>
        <v>0</v>
      </c>
      <c r="G85" s="52"/>
      <c r="H85" s="52">
        <f>'KY_Cost Plant Acct-Elec-P14(Fin'!H85</f>
        <v>0</v>
      </c>
      <c r="I85" s="52"/>
      <c r="J85" s="52">
        <f t="shared" si="18"/>
        <v>0</v>
      </c>
      <c r="K85" s="52"/>
      <c r="L85" s="45">
        <f t="shared" si="19"/>
        <v>0</v>
      </c>
      <c r="N85" s="89">
        <f>'KY_Res by Plant Acct-P29 (Fin)'!R313+'KY_Res by Plant Acct-P29 (Fin)'!R314</f>
        <v>-12515.870000000359</v>
      </c>
      <c r="P85" s="89">
        <f t="shared" si="20"/>
        <v>-12515.870000000359</v>
      </c>
    </row>
    <row r="86" spans="1:16">
      <c r="A86" t="s">
        <v>9</v>
      </c>
      <c r="B86" s="52">
        <f>'KY_Cost Plant Acct-Elec-P14(Fin'!B86+'IN_Total PIS_Elec_NBV-P15 (Fin)'!B19+'KY_Cost Plant Acct-Elec-P14(Fin'!B147</f>
        <v>40070495.049999997</v>
      </c>
      <c r="C86" s="52"/>
      <c r="D86" s="52">
        <f>'KY_Cost Plant Acct-Elec-P14(Fin'!D86+'IN_Total PIS_Elec_NBV-P15 (Fin)'!D19+'KY_Cost Plant Acct-Elec-P14(Fin'!D147</f>
        <v>3194592.1100000003</v>
      </c>
      <c r="E86" s="52"/>
      <c r="F86" s="52">
        <f>'KY_Cost Plant Acct-Elec-P14(Fin'!F86+'IN_Total PIS_Elec_NBV-P15 (Fin)'!F19</f>
        <v>-138836.94</v>
      </c>
      <c r="G86" s="52"/>
      <c r="H86" s="52">
        <f>'KY_Cost Plant Acct-Elec-P14(Fin'!H86+'IN_Total PIS_Elec_NBV-P15 (Fin)'!H19</f>
        <v>0</v>
      </c>
      <c r="I86" s="52"/>
      <c r="J86" s="52">
        <f t="shared" si="18"/>
        <v>3055755.1700000004</v>
      </c>
      <c r="K86" s="52"/>
      <c r="L86" s="45">
        <f t="shared" si="19"/>
        <v>43126250.219999999</v>
      </c>
      <c r="N86" s="89">
        <f>'KY_Res by Plant Acct-P29 (Fin)'!R315+'IN_Total PIS_Elec_NBV-P15 (Fin)'!N19</f>
        <v>-22634668.920000006</v>
      </c>
      <c r="P86" s="89">
        <f t="shared" si="20"/>
        <v>20491581.299999993</v>
      </c>
    </row>
    <row r="87" spans="1:16">
      <c r="A87" t="s">
        <v>10</v>
      </c>
      <c r="B87" s="52">
        <f>'KY_Cost Plant Acct-Elec-P14(Fin'!B87+'KY_Cost Plant Acct-Elec-P14(Fin'!B148+'IN_Total PIS_Elec_NBV-P15 (Fin)'!B20</f>
        <v>53282211.939999998</v>
      </c>
      <c r="C87" s="52"/>
      <c r="D87" s="52">
        <f>'KY_Cost Plant Acct-Elec-P14(Fin'!D87+'KY_Cost Plant Acct-Elec-P14(Fin'!D148+'IN_Total PIS_Elec_NBV-P15 (Fin)'!D20</f>
        <v>522541.03</v>
      </c>
      <c r="E87" s="52"/>
      <c r="F87" s="52">
        <f>'KY_Cost Plant Acct-Elec-P14(Fin'!F87+'IN_Total PIS_Elec_NBV-P15 (Fin)'!F20</f>
        <v>-44477.919999999998</v>
      </c>
      <c r="G87" s="52"/>
      <c r="H87" s="52">
        <f>'KY_Cost Plant Acct-Elec-P14(Fin'!H87+'IN_Total PIS_Elec_NBV-P15 (Fin)'!H20</f>
        <v>0</v>
      </c>
      <c r="I87" s="52"/>
      <c r="J87" s="52">
        <f t="shared" si="18"/>
        <v>478063.11000000004</v>
      </c>
      <c r="K87" s="52"/>
      <c r="L87" s="45">
        <f t="shared" si="19"/>
        <v>53760275.049999997</v>
      </c>
      <c r="N87" s="89">
        <f>'KY_Res by Plant Acct-P29 (Fin)'!R316+'IN_Total PIS_Elec_NBV-P15 (Fin)'!N20</f>
        <v>-18346970.73</v>
      </c>
      <c r="P87" s="89">
        <f t="shared" si="20"/>
        <v>35413304.319999993</v>
      </c>
    </row>
    <row r="88" spans="1:16">
      <c r="A88" t="s">
        <v>11</v>
      </c>
      <c r="B88" s="52">
        <f>'KY_Cost Plant Acct-Elec-P14(Fin'!B88+'KY_Cost Plant Acct-Elec-P14(Fin'!B149+'IN_Total PIS_Elec_NBV-P15 (Fin)'!B21</f>
        <v>47242306.840000004</v>
      </c>
      <c r="C88" s="52"/>
      <c r="D88" s="52">
        <f>'KY_Cost Plant Acct-Elec-P14(Fin'!D88+'KY_Cost Plant Acct-Elec-P14(Fin'!D149+'IN_Total PIS_Elec_NBV-P15 (Fin)'!D21</f>
        <v>337460.24</v>
      </c>
      <c r="E88" s="52"/>
      <c r="F88" s="52">
        <f>'KY_Cost Plant Acct-Elec-P14(Fin'!F88+'IN_Total PIS_Elec_NBV-P15 (Fin)'!F21</f>
        <v>-35696.800000000003</v>
      </c>
      <c r="G88" s="52"/>
      <c r="H88" s="52">
        <f>'KY_Cost Plant Acct-Elec-P14(Fin'!H88+'IN_Total PIS_Elec_NBV-P15 (Fin)'!H21</f>
        <v>0</v>
      </c>
      <c r="I88" s="52"/>
      <c r="J88" s="52">
        <f t="shared" si="18"/>
        <v>301763.44</v>
      </c>
      <c r="K88" s="52"/>
      <c r="L88" s="45">
        <f t="shared" si="19"/>
        <v>47544070.280000001</v>
      </c>
      <c r="N88" s="89">
        <f>'KY_Res by Plant Acct-P29 (Fin)'!R317+'IN_Total PIS_Elec_NBV-P15 (Fin)'!N21</f>
        <v>-24759622.539999995</v>
      </c>
      <c r="P88" s="89">
        <f t="shared" si="20"/>
        <v>22784447.740000006</v>
      </c>
    </row>
    <row r="89" spans="1:16">
      <c r="A89" t="s">
        <v>841</v>
      </c>
      <c r="B89" s="52">
        <f>'KY_Cost Plant Acct-Elec-P14(Fin'!B89</f>
        <v>2437093.5699999998</v>
      </c>
      <c r="C89" s="52"/>
      <c r="D89" s="52">
        <f>'KY_Cost Plant Acct-Elec-P14(Fin'!D89</f>
        <v>8406.41</v>
      </c>
      <c r="E89" s="52"/>
      <c r="F89" s="52">
        <f>'KY_Cost Plant Acct-Elec-P14(Fin'!F89</f>
        <v>-166872.46</v>
      </c>
      <c r="G89" s="52"/>
      <c r="H89" s="52">
        <f>'KY_Cost Plant Acct-Elec-P14(Fin'!H89</f>
        <v>0</v>
      </c>
      <c r="I89" s="52"/>
      <c r="J89" s="52">
        <f t="shared" si="18"/>
        <v>-158466.04999999999</v>
      </c>
      <c r="K89" s="52"/>
      <c r="L89" s="45">
        <f t="shared" si="19"/>
        <v>2278627.52</v>
      </c>
      <c r="N89" s="89">
        <f>'KY_Res by Plant Acct-P29 (Fin)'!R318</f>
        <v>-501855.38000000006</v>
      </c>
      <c r="P89" s="89">
        <f t="shared" si="20"/>
        <v>1776772.14</v>
      </c>
    </row>
    <row r="90" spans="1:16">
      <c r="A90" t="s">
        <v>842</v>
      </c>
      <c r="B90" s="52">
        <f>'KY_Cost Plant Acct-Elec-P14(Fin'!B90</f>
        <v>5659798.3799999999</v>
      </c>
      <c r="C90" s="52"/>
      <c r="D90" s="52">
        <f>'KY_Cost Plant Acct-Elec-P14(Fin'!D90</f>
        <v>2004868.88</v>
      </c>
      <c r="E90" s="52"/>
      <c r="F90" s="52">
        <f>'KY_Cost Plant Acct-Elec-P14(Fin'!F90</f>
        <v>-239383.69</v>
      </c>
      <c r="G90" s="52"/>
      <c r="H90" s="52">
        <f>'KY_Cost Plant Acct-Elec-P14(Fin'!H90</f>
        <v>0</v>
      </c>
      <c r="I90" s="52"/>
      <c r="J90" s="52">
        <f t="shared" si="18"/>
        <v>1765485.19</v>
      </c>
      <c r="K90" s="52"/>
      <c r="L90" s="45">
        <f t="shared" si="19"/>
        <v>7425283.5700000003</v>
      </c>
      <c r="N90" s="89">
        <f>'KY_Res by Plant Acct-P29 (Fin)'!R319</f>
        <v>-2049960.9</v>
      </c>
      <c r="P90" s="89">
        <f t="shared" si="20"/>
        <v>5375322.6699999999</v>
      </c>
    </row>
    <row r="91" spans="1:16">
      <c r="A91" t="s">
        <v>843</v>
      </c>
      <c r="B91" s="52">
        <f>'KY_Cost Plant Acct-Elec-P14(Fin'!B91</f>
        <v>13760.73</v>
      </c>
      <c r="C91" s="52"/>
      <c r="D91" s="52">
        <f>'KY_Cost Plant Acct-Elec-P14(Fin'!D91</f>
        <v>0</v>
      </c>
      <c r="E91" s="52"/>
      <c r="F91" s="52">
        <f>'KY_Cost Plant Acct-Elec-P14(Fin'!F91</f>
        <v>0</v>
      </c>
      <c r="G91" s="52"/>
      <c r="H91" s="52">
        <f>'KY_Cost Plant Acct-Elec-P14(Fin'!H91</f>
        <v>0</v>
      </c>
      <c r="I91" s="52"/>
      <c r="J91" s="52">
        <f t="shared" si="18"/>
        <v>0</v>
      </c>
      <c r="K91" s="52"/>
      <c r="L91" s="45">
        <f t="shared" si="19"/>
        <v>13760.73</v>
      </c>
      <c r="N91" s="89">
        <f>'KY_Res by Plant Acct-P29 (Fin)'!R320</f>
        <v>-289.9499999999997</v>
      </c>
      <c r="P91" s="89">
        <f t="shared" si="20"/>
        <v>13470.78</v>
      </c>
    </row>
    <row r="92" spans="1:16">
      <c r="A92" t="s">
        <v>844</v>
      </c>
      <c r="B92" s="48">
        <f>'KY_Cost Plant Acct-Elec-P14(Fin'!B92</f>
        <v>238693.59</v>
      </c>
      <c r="C92" s="52"/>
      <c r="D92" s="48">
        <f>'KY_Cost Plant Acct-Elec-P14(Fin'!D92</f>
        <v>0</v>
      </c>
      <c r="E92" s="52"/>
      <c r="F92" s="48">
        <f>'KY_Cost Plant Acct-Elec-P14(Fin'!F92</f>
        <v>0</v>
      </c>
      <c r="G92" s="52"/>
      <c r="H92" s="48">
        <f>'KY_Cost Plant Acct-Elec-P14(Fin'!H92</f>
        <v>0</v>
      </c>
      <c r="I92" s="52"/>
      <c r="J92" s="48">
        <f t="shared" si="18"/>
        <v>0</v>
      </c>
      <c r="K92" s="52"/>
      <c r="L92" s="48">
        <f t="shared" si="19"/>
        <v>238693.59</v>
      </c>
      <c r="N92" s="90">
        <f>'KY_Res by Plant Acct-P29 (Fin)'!R321</f>
        <v>-2652.16</v>
      </c>
      <c r="P92" s="90">
        <f t="shared" si="20"/>
        <v>236041.43</v>
      </c>
    </row>
    <row r="93" spans="1:16">
      <c r="B93" s="52">
        <f>SUM(B81:B92)</f>
        <v>292319973.88999999</v>
      </c>
      <c r="C93" s="52"/>
      <c r="D93" s="52">
        <f>SUM(D81:D92)</f>
        <v>7219509.9600000009</v>
      </c>
      <c r="E93" s="52"/>
      <c r="F93" s="52">
        <f>SUM(F81:F92)</f>
        <v>-1623977.7699999998</v>
      </c>
      <c r="G93" s="52"/>
      <c r="H93" s="52">
        <f>SUM(H81:H92)</f>
        <v>0</v>
      </c>
      <c r="I93" s="52"/>
      <c r="J93" s="52">
        <f>SUM(J81:J92)</f>
        <v>5595532.1900000004</v>
      </c>
      <c r="K93" s="52"/>
      <c r="L93" s="52">
        <f>SUM(L81:L92)</f>
        <v>297915506.07999992</v>
      </c>
      <c r="N93" s="52">
        <f>SUM(N81:N92)</f>
        <v>-140997721.21999997</v>
      </c>
      <c r="P93" s="89">
        <f>SUM(P81:P92)</f>
        <v>156917784.85999998</v>
      </c>
    </row>
    <row r="94" spans="1:16">
      <c r="B94" s="52"/>
      <c r="C94" s="52"/>
      <c r="D94" s="52"/>
      <c r="E94" s="52"/>
      <c r="F94" s="52"/>
      <c r="G94" s="52"/>
      <c r="H94" s="52"/>
      <c r="I94" s="52"/>
      <c r="J94" s="52"/>
      <c r="K94" s="52"/>
      <c r="L94" s="52"/>
    </row>
    <row r="95" spans="1:16">
      <c r="B95" s="45"/>
      <c r="C95" s="45"/>
      <c r="D95" s="45"/>
      <c r="E95" s="45"/>
      <c r="F95" s="45"/>
      <c r="G95" s="45"/>
      <c r="H95" s="45"/>
      <c r="I95" s="45"/>
      <c r="J95" s="45"/>
      <c r="K95" s="45"/>
      <c r="L95" s="45"/>
    </row>
    <row r="96" spans="1:16">
      <c r="A96" s="3" t="s">
        <v>202</v>
      </c>
      <c r="B96" s="88">
        <f>B93+B78+B64+B52+B47+B36+B27</f>
        <v>3732085368.79</v>
      </c>
      <c r="C96" s="52"/>
      <c r="D96" s="88">
        <f>D93+D78+D64+D52+D47+D36+D27</f>
        <v>45695390.370000005</v>
      </c>
      <c r="E96" s="52"/>
      <c r="F96" s="88">
        <f>F93+F78+F64+F52+F47+F36+F27</f>
        <v>-5225562.08</v>
      </c>
      <c r="G96" s="52"/>
      <c r="H96" s="88">
        <f>H93+H78+H64+H52+H47+H36+H27</f>
        <v>21903.139999999981</v>
      </c>
      <c r="I96" s="52"/>
      <c r="J96" s="88">
        <f>J93+J78+J64+J52+J47+J36+J27</f>
        <v>40491731.430000007</v>
      </c>
      <c r="K96" s="52"/>
      <c r="L96" s="88">
        <f>L93+L78+L64+L52+L47+L36+L27</f>
        <v>3772577100.2199998</v>
      </c>
      <c r="N96" s="88">
        <f>N93+N78+N64+N52+N47+N36+N27</f>
        <v>-1814973851.9899998</v>
      </c>
      <c r="P96" s="88">
        <f>P93+P78+P64+P52+P47+P36+P27</f>
        <v>1957603248.23</v>
      </c>
    </row>
    <row r="97" spans="2:12">
      <c r="B97" s="45"/>
      <c r="C97" s="45"/>
      <c r="D97" s="45"/>
      <c r="E97" s="45"/>
      <c r="F97" s="45"/>
      <c r="G97" s="45"/>
      <c r="H97" s="45"/>
      <c r="I97" s="45"/>
      <c r="J97" s="45"/>
      <c r="K97" s="45"/>
      <c r="L97" s="45"/>
    </row>
    <row r="98" spans="2:12">
      <c r="B98" s="52"/>
      <c r="C98" s="45"/>
      <c r="D98" s="52"/>
      <c r="E98" s="45"/>
      <c r="F98" s="52"/>
      <c r="G98" s="45"/>
      <c r="H98" s="52"/>
      <c r="I98" s="45"/>
      <c r="J98" s="52"/>
      <c r="K98" s="52"/>
      <c r="L98" s="52"/>
    </row>
    <row r="99" spans="2:12">
      <c r="B99" s="45"/>
      <c r="C99" s="45"/>
      <c r="D99" s="45"/>
      <c r="E99" s="45"/>
      <c r="F99" s="45"/>
      <c r="G99" s="45"/>
      <c r="H99" s="45"/>
      <c r="I99" s="45"/>
      <c r="J99" s="45"/>
      <c r="K99" s="45"/>
      <c r="L99" s="45"/>
    </row>
    <row r="100" spans="2:12">
      <c r="B100" s="45"/>
      <c r="C100" s="45"/>
      <c r="D100" s="45"/>
      <c r="E100" s="45"/>
      <c r="F100" s="45"/>
      <c r="G100" s="45"/>
      <c r="H100" s="45"/>
      <c r="I100" s="45"/>
      <c r="J100" s="45"/>
      <c r="K100" s="45"/>
      <c r="L100" s="45"/>
    </row>
    <row r="101" spans="2:12">
      <c r="B101" s="45"/>
      <c r="C101" s="45"/>
      <c r="D101" s="45"/>
      <c r="E101" s="45"/>
      <c r="F101" s="45"/>
      <c r="G101" s="45"/>
      <c r="H101" s="45"/>
      <c r="I101" s="45"/>
      <c r="J101" s="45"/>
      <c r="K101" s="45"/>
      <c r="L101" s="45"/>
    </row>
    <row r="102" spans="2:12">
      <c r="B102" s="4"/>
      <c r="C102" s="4"/>
      <c r="D102" s="4"/>
      <c r="E102" s="4"/>
      <c r="F102" s="4"/>
      <c r="G102" s="4"/>
      <c r="H102" s="4"/>
      <c r="I102" s="4"/>
      <c r="J102" s="4"/>
      <c r="K102" s="4"/>
      <c r="L102" s="4"/>
    </row>
    <row r="103" spans="2:12">
      <c r="B103" s="4"/>
      <c r="C103" s="4"/>
      <c r="D103" s="4"/>
      <c r="E103" s="4"/>
      <c r="F103" s="4"/>
      <c r="G103" s="4"/>
      <c r="H103" s="4"/>
      <c r="I103" s="4"/>
      <c r="J103" s="4"/>
      <c r="K103" s="4"/>
      <c r="L103" s="4"/>
    </row>
    <row r="104" spans="2:12">
      <c r="B104" s="4"/>
      <c r="C104" s="4"/>
      <c r="D104" s="4"/>
      <c r="E104" s="4"/>
      <c r="F104" s="4"/>
      <c r="G104" s="4"/>
      <c r="H104" s="4"/>
      <c r="I104" s="4"/>
      <c r="J104" s="4"/>
      <c r="K104" s="4"/>
      <c r="L104" s="4"/>
    </row>
    <row r="105" spans="2:12">
      <c r="B105" s="4"/>
      <c r="C105" s="4"/>
      <c r="D105" s="4"/>
      <c r="E105" s="4"/>
      <c r="F105" s="4"/>
      <c r="G105" s="4"/>
      <c r="H105" s="4"/>
      <c r="I105" s="4"/>
      <c r="J105" s="4"/>
      <c r="K105" s="4"/>
      <c r="L105" s="4"/>
    </row>
    <row r="106" spans="2:12">
      <c r="B106" s="4"/>
      <c r="C106" s="4"/>
      <c r="D106" s="4"/>
      <c r="E106" s="4"/>
      <c r="F106" s="4"/>
      <c r="G106" s="4"/>
      <c r="H106" s="4"/>
      <c r="I106" s="4"/>
      <c r="J106" s="4"/>
      <c r="K106" s="4"/>
      <c r="L106" s="4"/>
    </row>
    <row r="107" spans="2:12">
      <c r="B107" s="4"/>
      <c r="C107" s="4"/>
      <c r="D107" s="4"/>
      <c r="E107" s="4"/>
      <c r="F107" s="4"/>
      <c r="G107" s="4"/>
      <c r="H107" s="4"/>
      <c r="I107" s="4"/>
      <c r="J107" s="4"/>
      <c r="K107" s="4"/>
      <c r="L107" s="4"/>
    </row>
    <row r="108" spans="2:12">
      <c r="B108" s="4"/>
      <c r="C108" s="4"/>
      <c r="D108" s="4"/>
      <c r="E108" s="4"/>
      <c r="F108" s="4"/>
      <c r="G108" s="4"/>
      <c r="H108" s="4"/>
      <c r="I108" s="4"/>
      <c r="J108" s="4"/>
      <c r="K108" s="4"/>
      <c r="L108" s="4"/>
    </row>
    <row r="109" spans="2:12">
      <c r="B109" s="4"/>
      <c r="C109" s="4"/>
      <c r="D109" s="4"/>
      <c r="E109" s="4"/>
      <c r="F109" s="4"/>
      <c r="G109" s="4"/>
      <c r="H109" s="4"/>
      <c r="I109" s="4"/>
      <c r="J109" s="4"/>
      <c r="K109" s="4"/>
      <c r="L109" s="4"/>
    </row>
    <row r="110" spans="2:12">
      <c r="B110" s="4"/>
      <c r="C110" s="4"/>
      <c r="D110" s="4"/>
      <c r="E110" s="4"/>
      <c r="F110" s="4"/>
      <c r="G110" s="4"/>
      <c r="H110" s="4"/>
      <c r="I110" s="4"/>
      <c r="J110" s="4"/>
      <c r="K110" s="4"/>
      <c r="L110" s="4"/>
    </row>
    <row r="111" spans="2:12">
      <c r="B111" s="4"/>
      <c r="C111" s="4"/>
      <c r="D111" s="4"/>
      <c r="E111" s="4"/>
      <c r="F111" s="4"/>
      <c r="G111" s="4"/>
      <c r="H111" s="4"/>
      <c r="I111" s="4"/>
      <c r="J111" s="4"/>
      <c r="K111" s="4"/>
      <c r="L111" s="4"/>
    </row>
    <row r="112" spans="2:12">
      <c r="B112" s="4"/>
      <c r="C112" s="4"/>
      <c r="D112" s="4"/>
      <c r="E112" s="4"/>
      <c r="F112" s="4"/>
      <c r="G112" s="4"/>
      <c r="H112" s="4"/>
      <c r="I112" s="4"/>
      <c r="J112" s="4"/>
      <c r="K112" s="4"/>
      <c r="L112" s="4"/>
    </row>
    <row r="113" spans="2:12">
      <c r="B113" s="4"/>
      <c r="C113" s="4"/>
      <c r="D113" s="4"/>
      <c r="E113" s="4"/>
      <c r="F113" s="4"/>
      <c r="G113" s="4"/>
      <c r="H113" s="4"/>
      <c r="I113" s="4"/>
      <c r="J113" s="4"/>
      <c r="K113" s="4"/>
      <c r="L113" s="4"/>
    </row>
    <row r="114" spans="2:12">
      <c r="B114" s="4"/>
      <c r="C114" s="4"/>
      <c r="D114" s="4"/>
      <c r="E114" s="4"/>
      <c r="F114" s="4"/>
      <c r="G114" s="4"/>
      <c r="H114" s="4"/>
      <c r="I114" s="4"/>
      <c r="J114" s="4"/>
      <c r="K114" s="4"/>
      <c r="L114" s="4"/>
    </row>
    <row r="115" spans="2:12">
      <c r="B115" s="4"/>
      <c r="C115" s="4"/>
      <c r="D115" s="4"/>
      <c r="E115" s="4"/>
      <c r="F115" s="4"/>
      <c r="G115" s="4"/>
      <c r="H115" s="4"/>
      <c r="I115" s="4"/>
      <c r="J115" s="4"/>
      <c r="K115" s="4"/>
      <c r="L115" s="4"/>
    </row>
    <row r="116" spans="2:12">
      <c r="B116" s="4"/>
      <c r="C116" s="4"/>
      <c r="D116" s="4"/>
      <c r="E116" s="4"/>
      <c r="F116" s="4"/>
      <c r="G116" s="4"/>
      <c r="H116" s="4"/>
      <c r="I116" s="4"/>
      <c r="J116" s="4"/>
      <c r="K116" s="4"/>
      <c r="L116" s="4"/>
    </row>
    <row r="117" spans="2:12">
      <c r="B117" s="4"/>
      <c r="C117" s="4"/>
      <c r="D117" s="4"/>
      <c r="E117" s="4"/>
      <c r="F117" s="4"/>
      <c r="G117" s="4"/>
      <c r="H117" s="4"/>
      <c r="I117" s="4"/>
      <c r="J117" s="4"/>
      <c r="K117" s="4"/>
      <c r="L117" s="4"/>
    </row>
    <row r="118" spans="2:12">
      <c r="B118" s="4"/>
      <c r="C118" s="4"/>
      <c r="D118" s="4"/>
      <c r="E118" s="4"/>
      <c r="F118" s="4"/>
      <c r="G118" s="4"/>
      <c r="H118" s="4"/>
      <c r="I118" s="4"/>
      <c r="J118" s="4"/>
      <c r="K118" s="4"/>
      <c r="L118" s="4"/>
    </row>
    <row r="119" spans="2:12">
      <c r="B119" s="4"/>
      <c r="C119" s="4"/>
      <c r="D119" s="4"/>
      <c r="E119" s="4"/>
      <c r="F119" s="4"/>
      <c r="G119" s="4"/>
      <c r="H119" s="4"/>
      <c r="I119" s="4"/>
      <c r="J119" s="4"/>
      <c r="K119" s="4"/>
      <c r="L119" s="4"/>
    </row>
    <row r="120" spans="2:12">
      <c r="B120" s="4"/>
      <c r="C120" s="4"/>
      <c r="D120" s="4"/>
      <c r="E120" s="4"/>
      <c r="F120" s="4"/>
      <c r="G120" s="4"/>
      <c r="H120" s="4"/>
      <c r="I120" s="4"/>
      <c r="J120" s="4"/>
      <c r="K120" s="4"/>
      <c r="L120" s="4"/>
    </row>
    <row r="121" spans="2:12">
      <c r="B121" s="4"/>
      <c r="C121" s="4"/>
      <c r="D121" s="4"/>
      <c r="E121" s="4"/>
      <c r="F121" s="4"/>
      <c r="G121" s="4"/>
      <c r="H121" s="4"/>
      <c r="I121" s="4"/>
      <c r="J121" s="4"/>
      <c r="K121" s="4"/>
      <c r="L121" s="4"/>
    </row>
    <row r="122" spans="2:12">
      <c r="B122" s="4"/>
      <c r="C122" s="4"/>
      <c r="D122" s="4"/>
      <c r="E122" s="4"/>
      <c r="F122" s="4"/>
      <c r="G122" s="4"/>
      <c r="H122" s="4"/>
      <c r="I122" s="4"/>
      <c r="J122" s="4"/>
      <c r="K122" s="4"/>
      <c r="L122" s="4"/>
    </row>
    <row r="123" spans="2:12">
      <c r="B123" s="4"/>
      <c r="C123" s="4"/>
      <c r="D123" s="4"/>
      <c r="E123" s="4"/>
      <c r="F123" s="4"/>
      <c r="G123" s="4"/>
      <c r="H123" s="4"/>
      <c r="I123" s="4"/>
      <c r="J123" s="4"/>
      <c r="K123" s="4"/>
      <c r="L123" s="4"/>
    </row>
    <row r="124" spans="2:12">
      <c r="B124" s="4"/>
      <c r="C124" s="4"/>
      <c r="D124" s="4"/>
      <c r="E124" s="4"/>
      <c r="F124" s="4"/>
      <c r="G124" s="4"/>
      <c r="H124" s="4"/>
      <c r="I124" s="4"/>
      <c r="J124" s="4"/>
      <c r="K124" s="4"/>
      <c r="L124" s="4"/>
    </row>
    <row r="125" spans="2:12">
      <c r="B125" s="4"/>
      <c r="C125" s="4"/>
      <c r="D125" s="4"/>
      <c r="E125" s="4"/>
      <c r="F125" s="4"/>
      <c r="G125" s="4"/>
      <c r="H125" s="4"/>
      <c r="I125" s="4"/>
      <c r="J125" s="4"/>
      <c r="K125" s="4"/>
      <c r="L125" s="4"/>
    </row>
    <row r="126" spans="2:12">
      <c r="B126" s="4"/>
      <c r="C126" s="4"/>
      <c r="D126" s="4"/>
      <c r="E126" s="4"/>
      <c r="F126" s="4"/>
      <c r="G126" s="4"/>
      <c r="H126" s="4"/>
      <c r="I126" s="4"/>
      <c r="J126" s="4"/>
      <c r="K126" s="4"/>
      <c r="L126" s="4"/>
    </row>
    <row r="127" spans="2:12">
      <c r="B127" s="4"/>
      <c r="C127" s="4"/>
      <c r="D127" s="4"/>
      <c r="E127" s="4"/>
      <c r="F127" s="4"/>
      <c r="G127" s="4"/>
      <c r="H127" s="4"/>
      <c r="I127" s="4"/>
      <c r="J127" s="4"/>
      <c r="K127" s="4"/>
      <c r="L127" s="4"/>
    </row>
    <row r="128" spans="2:12">
      <c r="B128" s="4"/>
      <c r="C128" s="4"/>
      <c r="D128" s="4"/>
      <c r="E128" s="4"/>
      <c r="F128" s="4"/>
      <c r="G128" s="4"/>
      <c r="H128" s="4"/>
      <c r="I128" s="4"/>
      <c r="J128" s="4"/>
      <c r="K128" s="4"/>
      <c r="L128" s="4"/>
    </row>
    <row r="129" spans="2:12">
      <c r="B129" s="4"/>
      <c r="C129" s="4"/>
      <c r="D129" s="4"/>
      <c r="E129" s="4"/>
      <c r="F129" s="4"/>
      <c r="G129" s="4"/>
      <c r="H129" s="4"/>
      <c r="I129" s="4"/>
      <c r="J129" s="4"/>
      <c r="K129" s="4"/>
      <c r="L129" s="4"/>
    </row>
    <row r="130" spans="2:12">
      <c r="B130" s="4"/>
      <c r="C130" s="4"/>
      <c r="D130" s="4"/>
      <c r="E130" s="4"/>
      <c r="F130" s="4"/>
      <c r="G130" s="4"/>
      <c r="H130" s="4"/>
      <c r="I130" s="4"/>
      <c r="J130" s="4"/>
      <c r="K130" s="4"/>
      <c r="L130" s="4"/>
    </row>
  </sheetData>
  <sortState ref="A24:P26">
    <sortCondition ref="A24"/>
  </sortState>
  <customSheetViews>
    <customSheetView guid="{6B74E52F-9552-408A-8775-25AFF24E6639}" scale="75" showPageBreaks="1" showRuler="0">
      <selection activeCell="H91" sqref="H91"/>
      <rowBreaks count="1" manualBreakCount="1">
        <brk id="64" max="16383" man="1"/>
      </rowBreaks>
      <pageMargins left="0.75" right="0.75" top="1" bottom="1" header="0.5" footer="0.5"/>
      <pageSetup scale="57" fitToHeight="2" orientation="landscape" r:id="rId1"/>
      <headerFooter alignWithMargins="0">
        <oddFooter>&amp;L&amp;Z
&amp;F&amp;C&amp;A&amp;R11.&amp;P</oddFooter>
      </headerFooter>
    </customSheetView>
  </customSheetViews>
  <mergeCells count="3">
    <mergeCell ref="A1:P1"/>
    <mergeCell ref="A2:P2"/>
    <mergeCell ref="A3:P3"/>
  </mergeCells>
  <phoneticPr fontId="0" type="noConversion"/>
  <pageMargins left="0.75" right="0.75" top="1" bottom="1" header="0.5" footer="0.5"/>
  <pageSetup scale="57" fitToHeight="2" orientation="landscape" r:id="rId2"/>
  <headerFooter alignWithMargins="0">
    <oddFooter>&amp;L&amp;Z
&amp;F&amp;C&amp;A&amp;R11.&amp;P</oddFooter>
  </headerFooter>
  <rowBreaks count="1" manualBreakCount="1">
    <brk id="65" max="16383" man="1"/>
  </rowBreaks>
</worksheet>
</file>

<file path=xl/worksheets/sheet98.xml><?xml version="1.0" encoding="utf-8"?>
<worksheet xmlns="http://schemas.openxmlformats.org/spreadsheetml/2006/main" xmlns:r="http://schemas.openxmlformats.org/officeDocument/2006/relationships">
  <sheetPr codeName="Sheet79"/>
  <dimension ref="A1:M158"/>
  <sheetViews>
    <sheetView zoomScaleNormal="100" workbookViewId="0">
      <selection sqref="A1:M1"/>
    </sheetView>
  </sheetViews>
  <sheetFormatPr defaultRowHeight="12.75"/>
  <cols>
    <col min="1" max="1" width="50.85546875" bestFit="1" customWidth="1"/>
    <col min="2" max="2" width="17.7109375" customWidth="1"/>
    <col min="3" max="3" width="1.7109375" customWidth="1"/>
    <col min="4" max="4" width="17.7109375" customWidth="1"/>
    <col min="5" max="5" width="1.7109375" customWidth="1"/>
    <col min="6" max="6" width="17.7109375" customWidth="1"/>
    <col min="7" max="7" width="1.7109375" customWidth="1"/>
    <col min="8" max="8" width="17.7109375" customWidth="1"/>
    <col min="9" max="9" width="1.7109375" customWidth="1"/>
    <col min="10" max="10" width="17.7109375" customWidth="1"/>
    <col min="11" max="11" width="1.5703125" customWidth="1"/>
    <col min="12" max="12" width="17.7109375" customWidth="1"/>
    <col min="13" max="13" width="1.7109375" customWidth="1"/>
  </cols>
  <sheetData>
    <row r="1" spans="1:13" s="38" customFormat="1" ht="15.75">
      <c r="A1" s="366" t="s">
        <v>134</v>
      </c>
      <c r="B1" s="366"/>
      <c r="C1" s="366"/>
      <c r="D1" s="366"/>
      <c r="E1" s="366"/>
      <c r="F1" s="366"/>
      <c r="G1" s="366"/>
      <c r="H1" s="366"/>
      <c r="I1" s="366"/>
      <c r="J1" s="366"/>
      <c r="K1" s="366"/>
      <c r="L1" s="366"/>
      <c r="M1" s="366"/>
    </row>
    <row r="2" spans="1:13" s="38" customFormat="1" ht="15.75">
      <c r="A2" s="367" t="s">
        <v>1220</v>
      </c>
      <c r="B2" s="366"/>
      <c r="C2" s="366"/>
      <c r="D2" s="366"/>
      <c r="E2" s="366"/>
      <c r="F2" s="366"/>
      <c r="G2" s="366"/>
      <c r="H2" s="366"/>
      <c r="I2" s="366"/>
      <c r="J2" s="366"/>
      <c r="K2" s="366"/>
      <c r="L2" s="366"/>
      <c r="M2" s="366"/>
    </row>
    <row r="3" spans="1:13">
      <c r="A3" s="357" t="str">
        <f>'Summary - Cost - PG 1 (Fin)'!A3:N3</f>
        <v>MARCH 2012</v>
      </c>
      <c r="B3" s="357"/>
      <c r="C3" s="357"/>
      <c r="D3" s="357"/>
      <c r="E3" s="357"/>
      <c r="F3" s="357"/>
      <c r="G3" s="357"/>
      <c r="H3" s="357"/>
      <c r="I3" s="357"/>
      <c r="J3" s="357"/>
      <c r="K3" s="357"/>
      <c r="L3" s="357"/>
      <c r="M3" s="357"/>
    </row>
    <row r="4" spans="1:13">
      <c r="A4" s="30"/>
      <c r="B4" s="30"/>
      <c r="C4" s="30"/>
      <c r="D4" s="30"/>
      <c r="E4" s="30"/>
      <c r="F4" s="30"/>
      <c r="G4" s="30"/>
      <c r="H4" s="30"/>
      <c r="I4" s="30"/>
      <c r="J4" s="30"/>
      <c r="K4" s="30"/>
      <c r="L4" s="30"/>
    </row>
    <row r="6" spans="1:13">
      <c r="B6" s="41" t="s">
        <v>25</v>
      </c>
      <c r="D6" s="45"/>
      <c r="F6" s="45"/>
      <c r="H6" s="41" t="s">
        <v>612</v>
      </c>
      <c r="J6" s="41" t="s">
        <v>147</v>
      </c>
      <c r="K6" s="45"/>
      <c r="L6" s="41" t="s">
        <v>26</v>
      </c>
    </row>
    <row r="7" spans="1:13" s="10" customFormat="1">
      <c r="A7" s="12" t="s">
        <v>371</v>
      </c>
      <c r="B7" s="42" t="s">
        <v>27</v>
      </c>
      <c r="C7"/>
      <c r="D7" s="42" t="s">
        <v>107</v>
      </c>
      <c r="E7"/>
      <c r="F7" s="42" t="s">
        <v>108</v>
      </c>
      <c r="G7"/>
      <c r="H7" s="42" t="s">
        <v>613</v>
      </c>
      <c r="I7"/>
      <c r="J7" s="42" t="s">
        <v>109</v>
      </c>
      <c r="K7" s="54"/>
      <c r="L7" s="42" t="s">
        <v>27</v>
      </c>
    </row>
    <row r="8" spans="1:13" s="10" customFormat="1">
      <c r="A8" s="12" t="s">
        <v>205</v>
      </c>
      <c r="B8" s="54"/>
      <c r="C8"/>
      <c r="D8" s="54"/>
      <c r="E8"/>
      <c r="F8" s="54"/>
      <c r="G8"/>
      <c r="H8" s="54"/>
      <c r="I8"/>
      <c r="J8" s="54"/>
      <c r="K8" s="54"/>
      <c r="L8" s="54"/>
    </row>
    <row r="9" spans="1:13" s="10" customFormat="1">
      <c r="A9" s="12" t="s">
        <v>420</v>
      </c>
      <c r="B9"/>
      <c r="C9"/>
      <c r="D9"/>
      <c r="E9"/>
      <c r="F9"/>
      <c r="G9"/>
      <c r="H9"/>
      <c r="I9"/>
      <c r="J9"/>
      <c r="K9"/>
      <c r="L9"/>
    </row>
    <row r="10" spans="1:13" s="10" customFormat="1">
      <c r="A10" s="12" t="s">
        <v>691</v>
      </c>
      <c r="B10"/>
      <c r="C10"/>
      <c r="D10"/>
      <c r="E10"/>
      <c r="F10"/>
      <c r="G10"/>
      <c r="H10"/>
      <c r="I10"/>
      <c r="J10"/>
      <c r="K10"/>
      <c r="L10"/>
    </row>
    <row r="11" spans="1:13">
      <c r="A11" t="s">
        <v>274</v>
      </c>
      <c r="B11" s="45">
        <f>'KY_Cost Plant Acct-Elec-P14(Fin'!B11</f>
        <v>4110848.6500000004</v>
      </c>
      <c r="C11" s="45"/>
      <c r="D11" s="45">
        <f>'KY_Cost Plant Acct-Elec-P14(Fin'!D11</f>
        <v>1215889.1399999999</v>
      </c>
      <c r="E11" s="45"/>
      <c r="F11" s="45">
        <f>'KY_Cost Plant Acct-Elec-P14(Fin'!F11</f>
        <v>0</v>
      </c>
      <c r="G11" s="45"/>
      <c r="H11" s="45">
        <f>'KY_Cost Plant Acct-Elec-P14(Fin'!H11</f>
        <v>21926.880000000001</v>
      </c>
      <c r="I11" s="45"/>
      <c r="J11" s="45">
        <f t="shared" ref="J11:J23" si="0">H11+F11+D11</f>
        <v>1237816.0199999998</v>
      </c>
      <c r="K11" s="45"/>
      <c r="L11" s="45">
        <f t="shared" ref="L11:L23" si="1">B11+J11</f>
        <v>5348664.67</v>
      </c>
    </row>
    <row r="12" spans="1:13">
      <c r="A12" t="s">
        <v>275</v>
      </c>
      <c r="B12" s="45">
        <f>'KY_Cost Plant Acct-Elec-P14(Fin'!B12</f>
        <v>4257660.38</v>
      </c>
      <c r="C12" s="45"/>
      <c r="D12" s="45">
        <f>'KY_Cost Plant Acct-Elec-P14(Fin'!D12</f>
        <v>0</v>
      </c>
      <c r="E12" s="45"/>
      <c r="F12" s="45">
        <f>'KY_Cost Plant Acct-Elec-P14(Fin'!F12</f>
        <v>-398.73</v>
      </c>
      <c r="G12" s="45"/>
      <c r="H12" s="45">
        <f>'KY_Cost Plant Acct-Elec-P14(Fin'!H12</f>
        <v>0</v>
      </c>
      <c r="I12" s="45"/>
      <c r="J12" s="45">
        <f t="shared" si="0"/>
        <v>-398.73</v>
      </c>
      <c r="K12" s="45"/>
      <c r="L12" s="45">
        <f t="shared" si="1"/>
        <v>4257261.6499999994</v>
      </c>
    </row>
    <row r="13" spans="1:13">
      <c r="A13" t="s">
        <v>12</v>
      </c>
      <c r="B13" s="45">
        <f>'KY_Cost Plant Acct-Elec-P14(Fin'!B13</f>
        <v>97895768.549999997</v>
      </c>
      <c r="C13" s="45"/>
      <c r="D13" s="45">
        <f>'KY_Cost Plant Acct-Elec-P14(Fin'!D13</f>
        <v>653212.38</v>
      </c>
      <c r="E13" s="45"/>
      <c r="F13" s="45">
        <f>'KY_Cost Plant Acct-Elec-P14(Fin'!F13</f>
        <v>-81652.69</v>
      </c>
      <c r="G13" s="45"/>
      <c r="H13" s="45">
        <f>'KY_Cost Plant Acct-Elec-P14(Fin'!H13</f>
        <v>0</v>
      </c>
      <c r="I13" s="45"/>
      <c r="J13" s="45">
        <f t="shared" si="0"/>
        <v>571559.68999999994</v>
      </c>
      <c r="K13" s="45"/>
      <c r="L13" s="45">
        <f t="shared" si="1"/>
        <v>98467328.239999995</v>
      </c>
    </row>
    <row r="14" spans="1:13">
      <c r="A14" t="s">
        <v>276</v>
      </c>
      <c r="B14" s="45">
        <f>'KY_Cost Plant Acct-Elec-P14(Fin'!B14</f>
        <v>133093684.14</v>
      </c>
      <c r="C14" s="45"/>
      <c r="D14" s="45">
        <f>'KY_Cost Plant Acct-Elec-P14(Fin'!D14</f>
        <v>2957787.7199999997</v>
      </c>
      <c r="E14" s="45"/>
      <c r="F14" s="45">
        <f>'KY_Cost Plant Acct-Elec-P14(Fin'!F14</f>
        <v>-326986.91000000003</v>
      </c>
      <c r="G14" s="45"/>
      <c r="H14" s="45">
        <f>'KY_Cost Plant Acct-Elec-P14(Fin'!H14</f>
        <v>0</v>
      </c>
      <c r="I14" s="45"/>
      <c r="J14" s="45">
        <f t="shared" si="0"/>
        <v>2630800.8099999996</v>
      </c>
      <c r="K14" s="45"/>
      <c r="L14" s="45">
        <f t="shared" si="1"/>
        <v>135724484.94999999</v>
      </c>
    </row>
    <row r="15" spans="1:13">
      <c r="A15" t="s">
        <v>277</v>
      </c>
      <c r="B15" s="45">
        <f>'KY_Cost Plant Acct-Elec-P14(Fin'!B15</f>
        <v>229364063.57999998</v>
      </c>
      <c r="C15" s="45"/>
      <c r="D15" s="45">
        <f>'KY_Cost Plant Acct-Elec-P14(Fin'!D15</f>
        <v>7148974.1899999995</v>
      </c>
      <c r="E15" s="45"/>
      <c r="F15" s="45">
        <f>'KY_Cost Plant Acct-Elec-P14(Fin'!F15</f>
        <v>-626450.74</v>
      </c>
      <c r="G15" s="45"/>
      <c r="H15" s="45">
        <f>'KY_Cost Plant Acct-Elec-P14(Fin'!H15</f>
        <v>0</v>
      </c>
      <c r="I15" s="45"/>
      <c r="J15" s="45">
        <f t="shared" si="0"/>
        <v>6522523.4499999993</v>
      </c>
      <c r="K15" s="45"/>
      <c r="L15" s="45">
        <f t="shared" si="1"/>
        <v>235886587.02999997</v>
      </c>
    </row>
    <row r="16" spans="1:13">
      <c r="A16" t="s">
        <v>278</v>
      </c>
      <c r="B16" s="45">
        <f>'KY_Cost Plant Acct-Elec-P14(Fin'!B16</f>
        <v>68309295.700000003</v>
      </c>
      <c r="C16" s="45"/>
      <c r="D16" s="45">
        <f>'KY_Cost Plant Acct-Elec-P14(Fin'!D16</f>
        <v>125430.85</v>
      </c>
      <c r="E16" s="45"/>
      <c r="F16" s="45">
        <f>'KY_Cost Plant Acct-Elec-P14(Fin'!F16</f>
        <v>-12786.59</v>
      </c>
      <c r="G16" s="45"/>
      <c r="H16" s="45">
        <f>'KY_Cost Plant Acct-Elec-P14(Fin'!H16</f>
        <v>0</v>
      </c>
      <c r="I16" s="45"/>
      <c r="J16" s="45">
        <f t="shared" si="0"/>
        <v>112644.26000000001</v>
      </c>
      <c r="K16" s="45"/>
      <c r="L16" s="45">
        <f t="shared" si="1"/>
        <v>68421939.960000008</v>
      </c>
    </row>
    <row r="17" spans="1:12">
      <c r="A17" t="s">
        <v>279</v>
      </c>
      <c r="B17" s="45">
        <f>'KY_Cost Plant Acct-Elec-P14(Fin'!B17</f>
        <v>141242429.60999998</v>
      </c>
      <c r="C17" s="45"/>
      <c r="D17" s="45">
        <f>'KY_Cost Plant Acct-Elec-P14(Fin'!D17</f>
        <v>3556397.1300000004</v>
      </c>
      <c r="E17" s="45"/>
      <c r="F17" s="45">
        <f>'KY_Cost Plant Acct-Elec-P14(Fin'!F17</f>
        <v>-339046.76</v>
      </c>
      <c r="G17" s="45"/>
      <c r="H17" s="45">
        <f>'KY_Cost Plant Acct-Elec-P14(Fin'!H17</f>
        <v>0</v>
      </c>
      <c r="I17" s="45"/>
      <c r="J17" s="45">
        <f t="shared" si="0"/>
        <v>3217350.37</v>
      </c>
      <c r="K17" s="45"/>
      <c r="L17" s="45">
        <f t="shared" si="1"/>
        <v>144459779.97999999</v>
      </c>
    </row>
    <row r="18" spans="1:12">
      <c r="A18" t="s">
        <v>280</v>
      </c>
      <c r="B18" s="45">
        <f>'KY_Cost Plant Acct-Elec-P14(Fin'!B18</f>
        <v>138536012.84</v>
      </c>
      <c r="C18" s="45"/>
      <c r="D18" s="45">
        <f>'KY_Cost Plant Acct-Elec-P14(Fin'!D18</f>
        <v>1026379.35</v>
      </c>
      <c r="E18" s="45"/>
      <c r="F18" s="45">
        <f>'KY_Cost Plant Acct-Elec-P14(Fin'!F18</f>
        <v>-74820.88</v>
      </c>
      <c r="G18" s="45"/>
      <c r="H18" s="45">
        <f>'KY_Cost Plant Acct-Elec-P14(Fin'!H18</f>
        <v>0</v>
      </c>
      <c r="I18" s="45"/>
      <c r="J18" s="45">
        <f t="shared" si="0"/>
        <v>951558.47</v>
      </c>
      <c r="K18" s="45"/>
      <c r="L18" s="45">
        <f t="shared" si="1"/>
        <v>139487571.31</v>
      </c>
    </row>
    <row r="19" spans="1:12">
      <c r="A19" t="s">
        <v>308</v>
      </c>
      <c r="B19" s="45">
        <f>'KY_Cost Plant Acct-Elec-P14(Fin'!B19</f>
        <v>5972398.7800000003</v>
      </c>
      <c r="C19" s="45"/>
      <c r="D19" s="45">
        <f>'KY_Cost Plant Acct-Elec-P14(Fin'!D19</f>
        <v>1406.1800000000003</v>
      </c>
      <c r="E19" s="45"/>
      <c r="F19" s="45">
        <f>'KY_Cost Plant Acct-Elec-P14(Fin'!F19</f>
        <v>-22925.47</v>
      </c>
      <c r="G19" s="45"/>
      <c r="H19" s="45">
        <f>'KY_Cost Plant Acct-Elec-P14(Fin'!H19</f>
        <v>0</v>
      </c>
      <c r="I19" s="45"/>
      <c r="J19" s="45">
        <f t="shared" si="0"/>
        <v>-21519.29</v>
      </c>
      <c r="K19" s="45"/>
      <c r="L19" s="45">
        <f t="shared" si="1"/>
        <v>5950879.4900000002</v>
      </c>
    </row>
    <row r="20" spans="1:12">
      <c r="A20" t="s">
        <v>309</v>
      </c>
      <c r="B20" s="45">
        <f>'KY_Cost Plant Acct-Elec-P14(Fin'!B20</f>
        <v>21115396.680000003</v>
      </c>
      <c r="C20" s="45"/>
      <c r="D20" s="45">
        <f>'KY_Cost Plant Acct-Elec-P14(Fin'!D20</f>
        <v>1247192.02</v>
      </c>
      <c r="E20" s="45"/>
      <c r="F20" s="45">
        <f>'KY_Cost Plant Acct-Elec-P14(Fin'!F20</f>
        <v>-20900.97</v>
      </c>
      <c r="G20" s="45"/>
      <c r="H20" s="45">
        <f>'KY_Cost Plant Acct-Elec-P14(Fin'!H20</f>
        <v>0</v>
      </c>
      <c r="I20" s="45"/>
      <c r="J20" s="45">
        <f t="shared" si="0"/>
        <v>1226291.05</v>
      </c>
      <c r="K20" s="45"/>
      <c r="L20" s="45">
        <f t="shared" si="1"/>
        <v>22341687.730000004</v>
      </c>
    </row>
    <row r="21" spans="1:12">
      <c r="A21" t="s">
        <v>310</v>
      </c>
      <c r="B21" s="45">
        <f>'KY_Cost Plant Acct-Elec-P14(Fin'!B21</f>
        <v>37655788.090000004</v>
      </c>
      <c r="C21" s="45"/>
      <c r="D21" s="45">
        <f>'KY_Cost Plant Acct-Elec-P14(Fin'!D21</f>
        <v>469473.26</v>
      </c>
      <c r="E21" s="45"/>
      <c r="F21" s="45">
        <f>'KY_Cost Plant Acct-Elec-P14(Fin'!F21</f>
        <v>0</v>
      </c>
      <c r="G21" s="45"/>
      <c r="H21" s="45">
        <f>'KY_Cost Plant Acct-Elec-P14(Fin'!H21</f>
        <v>0</v>
      </c>
      <c r="I21" s="45"/>
      <c r="J21" s="45">
        <f t="shared" si="0"/>
        <v>469473.26</v>
      </c>
      <c r="K21" s="45"/>
      <c r="L21" s="45">
        <f t="shared" si="1"/>
        <v>38125261.350000001</v>
      </c>
    </row>
    <row r="22" spans="1:12">
      <c r="A22" t="s">
        <v>311</v>
      </c>
      <c r="B22" s="45">
        <f>'KY_Cost Plant Acct-Elec-P14(Fin'!B22</f>
        <v>34223760.439999998</v>
      </c>
      <c r="C22" s="45"/>
      <c r="D22" s="45">
        <f>'KY_Cost Plant Acct-Elec-P14(Fin'!D22</f>
        <v>1055659.9099999999</v>
      </c>
      <c r="E22" s="45"/>
      <c r="F22" s="45">
        <f>'KY_Cost Plant Acct-Elec-P14(Fin'!F22</f>
        <v>-225781.58</v>
      </c>
      <c r="G22" s="45"/>
      <c r="H22" s="45">
        <f>'KY_Cost Plant Acct-Elec-P14(Fin'!H22</f>
        <v>0</v>
      </c>
      <c r="I22" s="45"/>
      <c r="J22" s="45">
        <f t="shared" si="0"/>
        <v>829878.33</v>
      </c>
      <c r="K22" s="45"/>
      <c r="L22" s="45">
        <f t="shared" si="1"/>
        <v>35053638.769999996</v>
      </c>
    </row>
    <row r="23" spans="1:12">
      <c r="A23" t="s">
        <v>312</v>
      </c>
      <c r="B23" s="45">
        <f>'KY_Cost Plant Acct-Elec-P14(Fin'!B23</f>
        <v>48109529.190000005</v>
      </c>
      <c r="C23" s="45"/>
      <c r="D23" s="45">
        <f>'KY_Cost Plant Acct-Elec-P14(Fin'!D23</f>
        <v>759919.95</v>
      </c>
      <c r="E23" s="45"/>
      <c r="F23" s="45">
        <f>'KY_Cost Plant Acct-Elec-P14(Fin'!F23</f>
        <v>-66541.540000000008</v>
      </c>
      <c r="G23" s="45"/>
      <c r="H23" s="45">
        <f>'KY_Cost Plant Acct-Elec-P14(Fin'!H23</f>
        <v>0</v>
      </c>
      <c r="I23" s="45"/>
      <c r="J23" s="45">
        <f t="shared" si="0"/>
        <v>693378.40999999992</v>
      </c>
      <c r="K23" s="45"/>
      <c r="L23" s="45">
        <f t="shared" si="1"/>
        <v>48802907.600000001</v>
      </c>
    </row>
    <row r="24" spans="1:12">
      <c r="A24" t="s">
        <v>313</v>
      </c>
      <c r="B24" s="45">
        <f>'KY_Cost Plant Acct-Elec-P14(Fin'!B24</f>
        <v>0</v>
      </c>
      <c r="C24" s="45"/>
      <c r="D24" s="45">
        <f>'KY_Cost Plant Acct-Elec-P14(Fin'!D24</f>
        <v>0</v>
      </c>
      <c r="E24" s="45"/>
      <c r="F24" s="45">
        <f>'KY_Cost Plant Acct-Elec-P14(Fin'!F24</f>
        <v>0</v>
      </c>
      <c r="G24" s="45"/>
      <c r="H24" s="45">
        <f>'KY_Cost Plant Acct-Elec-P14(Fin'!H24</f>
        <v>0</v>
      </c>
      <c r="I24" s="45"/>
      <c r="J24" s="45">
        <f>H24+F24+D24</f>
        <v>0</v>
      </c>
      <c r="K24" s="45"/>
      <c r="L24" s="45">
        <f>B24+J24</f>
        <v>0</v>
      </c>
    </row>
    <row r="25" spans="1:12">
      <c r="A25" t="s">
        <v>314</v>
      </c>
      <c r="B25" s="325">
        <f>'KY_Cost Plant Acct-Elec-P14(Fin'!B25</f>
        <v>481206.24000000005</v>
      </c>
      <c r="C25" s="325"/>
      <c r="D25" s="325">
        <f>'KY_Cost Plant Acct-Elec-P14(Fin'!D25</f>
        <v>0</v>
      </c>
      <c r="E25" s="325"/>
      <c r="F25" s="325">
        <f>'KY_Cost Plant Acct-Elec-P14(Fin'!F25</f>
        <v>0</v>
      </c>
      <c r="G25" s="325"/>
      <c r="H25" s="325">
        <f>'KY_Cost Plant Acct-Elec-P14(Fin'!H25</f>
        <v>0</v>
      </c>
      <c r="I25" s="325"/>
      <c r="J25" s="325">
        <f>H25+F25+D25</f>
        <v>0</v>
      </c>
      <c r="K25" s="326"/>
      <c r="L25" s="325">
        <f>B25+J25</f>
        <v>481206.24000000005</v>
      </c>
    </row>
    <row r="26" spans="1:12">
      <c r="A26" s="179" t="s">
        <v>1447</v>
      </c>
      <c r="B26" s="327">
        <f>'KY_Cost Plant Acct-Elec-P14(Fin'!B26</f>
        <v>145332.98000000001</v>
      </c>
      <c r="C26" s="325"/>
      <c r="D26" s="327">
        <f>'KY_Cost Plant Acct-Elec-P14(Fin'!D26</f>
        <v>0</v>
      </c>
      <c r="E26" s="325"/>
      <c r="F26" s="327">
        <f>'KY_Cost Plant Acct-Elec-P14(Fin'!F26</f>
        <v>0</v>
      </c>
      <c r="G26" s="325"/>
      <c r="H26" s="327">
        <f>'KY_Cost Plant Acct-Elec-P14(Fin'!H26</f>
        <v>-23.740000000019791</v>
      </c>
      <c r="I26" s="45"/>
      <c r="J26" s="327">
        <f>H26+F26+D26</f>
        <v>-23.740000000019791</v>
      </c>
      <c r="K26" s="325"/>
      <c r="L26" s="327">
        <f>B26+J26</f>
        <v>145309.24</v>
      </c>
    </row>
    <row r="27" spans="1:12">
      <c r="B27" s="52">
        <f>SUM(B11:B26)</f>
        <v>964513175.85000014</v>
      </c>
      <c r="C27" s="52"/>
      <c r="D27" s="52">
        <f>SUM(D11:D26)</f>
        <v>20217722.080000002</v>
      </c>
      <c r="E27" s="52"/>
      <c r="F27" s="52">
        <f>SUM(F11:F26)</f>
        <v>-1798292.8599999999</v>
      </c>
      <c r="G27" s="52"/>
      <c r="H27" s="52">
        <f>SUM(H11:H26)</f>
        <v>21903.139999999981</v>
      </c>
      <c r="I27" s="52"/>
      <c r="J27" s="52">
        <f>SUM(J11:J26)</f>
        <v>18441332.359999999</v>
      </c>
      <c r="K27" s="52"/>
      <c r="L27" s="52">
        <f>SUM(L11:L26)</f>
        <v>982954508.21000004</v>
      </c>
    </row>
    <row r="28" spans="1:12">
      <c r="B28" s="52"/>
      <c r="C28" s="52"/>
      <c r="D28" s="52"/>
      <c r="E28" s="52"/>
      <c r="F28" s="52"/>
      <c r="G28" s="52"/>
      <c r="H28" s="52"/>
      <c r="I28" s="52"/>
      <c r="J28" s="52"/>
      <c r="K28" s="52"/>
      <c r="L28" s="52"/>
    </row>
    <row r="29" spans="1:12">
      <c r="A29" s="12" t="s">
        <v>808</v>
      </c>
      <c r="B29" s="52"/>
      <c r="C29" s="52"/>
      <c r="D29" s="52"/>
      <c r="E29" s="52"/>
      <c r="F29" s="52"/>
      <c r="G29" s="52"/>
      <c r="H29" s="52"/>
      <c r="I29" s="52"/>
      <c r="J29" s="52"/>
      <c r="K29" s="52"/>
      <c r="L29" s="52"/>
    </row>
    <row r="30" spans="1:12">
      <c r="A30" t="s">
        <v>315</v>
      </c>
      <c r="B30" s="52">
        <f>'KY_Cost Plant Acct-Elec-P14(Fin'!B30</f>
        <v>8184185.2400000002</v>
      </c>
      <c r="C30" s="52"/>
      <c r="D30" s="52">
        <f>'KY_Cost Plant Acct-Elec-P14(Fin'!D30</f>
        <v>118725.14</v>
      </c>
      <c r="E30" s="52"/>
      <c r="F30" s="52">
        <f>'KY_Cost Plant Acct-Elec-P14(Fin'!F30</f>
        <v>-39209.64</v>
      </c>
      <c r="G30" s="52"/>
      <c r="H30" s="52">
        <f>'KY_Cost Plant Acct-Elec-P14(Fin'!H30</f>
        <v>0</v>
      </c>
      <c r="I30" s="52"/>
      <c r="J30" s="52">
        <f t="shared" ref="J30:J35" si="2">H30+F30+D30</f>
        <v>79515.5</v>
      </c>
      <c r="K30" s="52"/>
      <c r="L30" s="45">
        <f t="shared" ref="L30:L35" si="3">B30+J30</f>
        <v>8263700.7400000002</v>
      </c>
    </row>
    <row r="31" spans="1:12">
      <c r="A31" t="s">
        <v>316</v>
      </c>
      <c r="B31" s="52">
        <f>'KY_Cost Plant Acct-Elec-P14(Fin'!B31</f>
        <v>607413.67000000004</v>
      </c>
      <c r="C31" s="52"/>
      <c r="D31" s="52">
        <f>'KY_Cost Plant Acct-Elec-P14(Fin'!D31</f>
        <v>11695.62</v>
      </c>
      <c r="E31" s="52"/>
      <c r="F31" s="52">
        <f>'KY_Cost Plant Acct-Elec-P14(Fin'!F31</f>
        <v>0</v>
      </c>
      <c r="G31" s="52"/>
      <c r="H31" s="52">
        <f>'KY_Cost Plant Acct-Elec-P14(Fin'!H31</f>
        <v>0</v>
      </c>
      <c r="I31" s="52"/>
      <c r="J31" s="52">
        <f t="shared" si="2"/>
        <v>11695.62</v>
      </c>
      <c r="K31" s="52"/>
      <c r="L31" s="45">
        <f t="shared" si="3"/>
        <v>619109.29</v>
      </c>
    </row>
    <row r="32" spans="1:12">
      <c r="A32" t="s">
        <v>317</v>
      </c>
      <c r="B32" s="52">
        <f>'KY_Cost Plant Acct-Elec-P14(Fin'!B32</f>
        <v>4597160.37</v>
      </c>
      <c r="C32" s="52"/>
      <c r="D32" s="52">
        <f>'KY_Cost Plant Acct-Elec-P14(Fin'!D32</f>
        <v>48831.4</v>
      </c>
      <c r="E32" s="52"/>
      <c r="F32" s="52">
        <f>'KY_Cost Plant Acct-Elec-P14(Fin'!F32</f>
        <v>0</v>
      </c>
      <c r="G32" s="52"/>
      <c r="H32" s="52">
        <f>'KY_Cost Plant Acct-Elec-P14(Fin'!H32</f>
        <v>0</v>
      </c>
      <c r="I32" s="52"/>
      <c r="J32" s="52">
        <f t="shared" si="2"/>
        <v>48831.4</v>
      </c>
      <c r="K32" s="52"/>
      <c r="L32" s="45">
        <f t="shared" si="3"/>
        <v>4645991.7700000005</v>
      </c>
    </row>
    <row r="33" spans="1:12">
      <c r="A33" t="s">
        <v>318</v>
      </c>
      <c r="B33" s="52">
        <f>'KY_Cost Plant Acct-Elec-P14(Fin'!B33</f>
        <v>0</v>
      </c>
      <c r="C33" s="52"/>
      <c r="D33" s="52">
        <f>'KY_Cost Plant Acct-Elec-P14(Fin'!D33</f>
        <v>0</v>
      </c>
      <c r="E33" s="52"/>
      <c r="F33" s="52">
        <f>'KY_Cost Plant Acct-Elec-P14(Fin'!F33</f>
        <v>0</v>
      </c>
      <c r="G33" s="52"/>
      <c r="H33" s="52">
        <f>'KY_Cost Plant Acct-Elec-P14(Fin'!H33</f>
        <v>0</v>
      </c>
      <c r="I33" s="52"/>
      <c r="J33" s="52">
        <f t="shared" si="2"/>
        <v>0</v>
      </c>
      <c r="K33" s="52"/>
      <c r="L33" s="45">
        <f t="shared" si="3"/>
        <v>0</v>
      </c>
    </row>
    <row r="34" spans="1:12">
      <c r="A34" t="s">
        <v>319</v>
      </c>
      <c r="B34" s="52">
        <f>'KY_Cost Plant Acct-Elec-P14(Fin'!B34</f>
        <v>2403265.2799999998</v>
      </c>
      <c r="C34" s="52"/>
      <c r="D34" s="52">
        <f>'KY_Cost Plant Acct-Elec-P14(Fin'!D34</f>
        <v>0</v>
      </c>
      <c r="E34" s="52"/>
      <c r="F34" s="52">
        <f>'KY_Cost Plant Acct-Elec-P14(Fin'!F34</f>
        <v>0</v>
      </c>
      <c r="G34" s="52"/>
      <c r="H34" s="52">
        <f>'KY_Cost Plant Acct-Elec-P14(Fin'!H34</f>
        <v>0</v>
      </c>
      <c r="I34" s="52"/>
      <c r="J34" s="52">
        <f t="shared" si="2"/>
        <v>0</v>
      </c>
      <c r="K34" s="52"/>
      <c r="L34" s="45">
        <f t="shared" si="3"/>
        <v>2403265.2799999998</v>
      </c>
    </row>
    <row r="35" spans="1:12">
      <c r="A35" t="s">
        <v>320</v>
      </c>
      <c r="B35" s="48">
        <f>'KY_Cost Plant Acct-Elec-P14(Fin'!B35</f>
        <v>151086.93</v>
      </c>
      <c r="C35" s="52"/>
      <c r="D35" s="48">
        <f>'KY_Cost Plant Acct-Elec-P14(Fin'!D35</f>
        <v>0</v>
      </c>
      <c r="E35" s="52"/>
      <c r="F35" s="48">
        <f>'KY_Cost Plant Acct-Elec-P14(Fin'!F35</f>
        <v>0</v>
      </c>
      <c r="G35" s="52"/>
      <c r="H35" s="48">
        <f>'KY_Cost Plant Acct-Elec-P14(Fin'!H35</f>
        <v>0</v>
      </c>
      <c r="I35" s="52"/>
      <c r="J35" s="48">
        <f t="shared" si="2"/>
        <v>0</v>
      </c>
      <c r="K35" s="52"/>
      <c r="L35" s="48">
        <f t="shared" si="3"/>
        <v>151086.93</v>
      </c>
    </row>
    <row r="36" spans="1:12">
      <c r="B36" s="52">
        <f>SUM(B30:B35)</f>
        <v>15943111.49</v>
      </c>
      <c r="C36" s="52"/>
      <c r="D36" s="52">
        <f>SUM(D30:D35)</f>
        <v>179252.16</v>
      </c>
      <c r="E36" s="52"/>
      <c r="F36" s="52">
        <f>SUM(F30:F35)</f>
        <v>-39209.64</v>
      </c>
      <c r="G36" s="52"/>
      <c r="H36" s="52">
        <f>SUM(H30:H35)</f>
        <v>0</v>
      </c>
      <c r="I36" s="52"/>
      <c r="J36" s="52">
        <f>SUM(J30:J35)</f>
        <v>140042.51999999999</v>
      </c>
      <c r="K36" s="52"/>
      <c r="L36" s="52">
        <f>SUM(L30:L35)</f>
        <v>16083154.01</v>
      </c>
    </row>
    <row r="37" spans="1:12">
      <c r="B37" s="52"/>
      <c r="C37" s="52"/>
      <c r="D37" s="52"/>
      <c r="E37" s="52"/>
      <c r="F37" s="52"/>
      <c r="G37" s="52"/>
      <c r="H37" s="52"/>
      <c r="I37" s="52"/>
      <c r="J37" s="52"/>
      <c r="K37" s="52"/>
      <c r="L37" s="52"/>
    </row>
    <row r="38" spans="1:12">
      <c r="A38" s="12" t="s">
        <v>809</v>
      </c>
      <c r="B38" s="52"/>
      <c r="C38" s="52"/>
      <c r="D38" s="52"/>
      <c r="E38" s="52"/>
      <c r="F38" s="52"/>
      <c r="G38" s="52"/>
      <c r="H38" s="52"/>
      <c r="I38" s="52"/>
      <c r="J38" s="52"/>
      <c r="K38" s="52"/>
      <c r="L38" s="52"/>
    </row>
    <row r="39" spans="1:12">
      <c r="A39" t="s">
        <v>321</v>
      </c>
      <c r="B39" s="52">
        <f>'KY_Cost Plant Acct-Elec-P14(Fin'!B39</f>
        <v>6.5</v>
      </c>
      <c r="C39" s="52"/>
      <c r="D39" s="52">
        <f>'KY_Cost Plant Acct-Elec-P14(Fin'!D39</f>
        <v>0</v>
      </c>
      <c r="E39" s="52"/>
      <c r="F39" s="52">
        <f>'KY_Cost Plant Acct-Elec-P14(Fin'!F39</f>
        <v>0</v>
      </c>
      <c r="G39" s="52"/>
      <c r="H39" s="52">
        <f>'KY_Cost Plant Acct-Elec-P14(Fin'!H39</f>
        <v>0</v>
      </c>
      <c r="I39" s="52"/>
      <c r="J39" s="52">
        <f t="shared" ref="J39:J46" si="4">H39+F39+D39</f>
        <v>0</v>
      </c>
      <c r="K39" s="52"/>
      <c r="L39" s="45">
        <f t="shared" ref="L39:L46" si="5">B39+J39</f>
        <v>6.5</v>
      </c>
    </row>
    <row r="40" spans="1:12">
      <c r="A40" t="s">
        <v>574</v>
      </c>
      <c r="B40" s="52">
        <f>'KY_Cost Plant Acct-Elec-P14(Fin'!B40</f>
        <v>4946919.47</v>
      </c>
      <c r="C40" s="52"/>
      <c r="D40" s="52">
        <f>'KY_Cost Plant Acct-Elec-P14(Fin'!D40</f>
        <v>16456.36</v>
      </c>
      <c r="E40" s="52"/>
      <c r="F40" s="52">
        <f>'KY_Cost Plant Acct-Elec-P14(Fin'!F40</f>
        <v>-507.91</v>
      </c>
      <c r="G40" s="52"/>
      <c r="H40" s="52">
        <f>'KY_Cost Plant Acct-Elec-P14(Fin'!H40</f>
        <v>0</v>
      </c>
      <c r="I40" s="52"/>
      <c r="J40" s="52">
        <f t="shared" si="4"/>
        <v>15948.45</v>
      </c>
      <c r="K40" s="52"/>
      <c r="L40" s="45">
        <f t="shared" si="5"/>
        <v>4962867.92</v>
      </c>
    </row>
    <row r="41" spans="1:12">
      <c r="A41" t="s">
        <v>575</v>
      </c>
      <c r="B41" s="65">
        <f>'KY_Cost Plant Acct-Elec-P14(Fin'!B41</f>
        <v>11690251.610000001</v>
      </c>
      <c r="C41" s="52"/>
      <c r="D41" s="65">
        <f>'KY_Cost Plant Acct-Elec-P14(Fin'!D41</f>
        <v>0</v>
      </c>
      <c r="E41" s="52"/>
      <c r="F41" s="65">
        <f>'KY_Cost Plant Acct-Elec-P14(Fin'!F41</f>
        <v>0</v>
      </c>
      <c r="G41" s="52"/>
      <c r="H41" s="65">
        <f>'KY_Cost Plant Acct-Elec-P14(Fin'!H41</f>
        <v>0</v>
      </c>
      <c r="I41" s="52"/>
      <c r="J41" s="52">
        <f t="shared" si="4"/>
        <v>0</v>
      </c>
      <c r="K41" s="52"/>
      <c r="L41" s="45">
        <f t="shared" si="5"/>
        <v>11690251.610000001</v>
      </c>
    </row>
    <row r="42" spans="1:12">
      <c r="A42" t="s">
        <v>576</v>
      </c>
      <c r="B42" s="65">
        <f>'KY_Cost Plant Acct-Elec-P14(Fin'!B42</f>
        <v>19945213.619999997</v>
      </c>
      <c r="C42" s="52"/>
      <c r="D42" s="65">
        <f>'KY_Cost Plant Acct-Elec-P14(Fin'!D42</f>
        <v>0</v>
      </c>
      <c r="E42" s="52"/>
      <c r="F42" s="65">
        <f>'KY_Cost Plant Acct-Elec-P14(Fin'!F42</f>
        <v>0</v>
      </c>
      <c r="G42" s="52"/>
      <c r="H42" s="65">
        <f>'KY_Cost Plant Acct-Elec-P14(Fin'!H42</f>
        <v>0</v>
      </c>
      <c r="I42" s="52"/>
      <c r="J42" s="52">
        <f t="shared" si="4"/>
        <v>0</v>
      </c>
      <c r="K42" s="52"/>
      <c r="L42" s="45">
        <f t="shared" si="5"/>
        <v>19945213.619999997</v>
      </c>
    </row>
    <row r="43" spans="1:12">
      <c r="A43" t="s">
        <v>577</v>
      </c>
      <c r="B43" s="65">
        <f>'KY_Cost Plant Acct-Elec-P14(Fin'!B43</f>
        <v>5509836.2199999997</v>
      </c>
      <c r="C43" s="52"/>
      <c r="D43" s="65">
        <f>'KY_Cost Plant Acct-Elec-P14(Fin'!D43</f>
        <v>0</v>
      </c>
      <c r="E43" s="52"/>
      <c r="F43" s="65">
        <f>'KY_Cost Plant Acct-Elec-P14(Fin'!F43</f>
        <v>0</v>
      </c>
      <c r="G43" s="52"/>
      <c r="H43" s="65">
        <f>'KY_Cost Plant Acct-Elec-P14(Fin'!H43</f>
        <v>0</v>
      </c>
      <c r="I43" s="52"/>
      <c r="J43" s="52">
        <f t="shared" si="4"/>
        <v>0</v>
      </c>
      <c r="K43" s="52"/>
      <c r="L43" s="45">
        <f t="shared" si="5"/>
        <v>5509836.2199999997</v>
      </c>
    </row>
    <row r="44" spans="1:12">
      <c r="A44" t="s">
        <v>281</v>
      </c>
      <c r="B44" s="52">
        <f>'KY_Cost Plant Acct-Elec-P14(Fin'!B44</f>
        <v>310247.09000000003</v>
      </c>
      <c r="C44" s="52"/>
      <c r="D44" s="52">
        <f>'KY_Cost Plant Acct-Elec-P14(Fin'!D44</f>
        <v>0</v>
      </c>
      <c r="E44" s="52"/>
      <c r="F44" s="52">
        <f>'KY_Cost Plant Acct-Elec-P14(Fin'!F44</f>
        <v>0</v>
      </c>
      <c r="G44" s="52"/>
      <c r="H44" s="52">
        <f>'KY_Cost Plant Acct-Elec-P14(Fin'!H44</f>
        <v>0</v>
      </c>
      <c r="I44" s="52"/>
      <c r="J44" s="52">
        <f t="shared" si="4"/>
        <v>0</v>
      </c>
      <c r="K44" s="52"/>
      <c r="L44" s="45">
        <f t="shared" si="5"/>
        <v>310247.09000000003</v>
      </c>
    </row>
    <row r="45" spans="1:12">
      <c r="A45" t="s">
        <v>282</v>
      </c>
      <c r="B45" s="52">
        <f>'KY_Cost Plant Acct-Elec-P14(Fin'!B45</f>
        <v>29930.61</v>
      </c>
      <c r="C45" s="52"/>
      <c r="D45" s="52">
        <f>'KY_Cost Plant Acct-Elec-P14(Fin'!D45</f>
        <v>0</v>
      </c>
      <c r="E45" s="52"/>
      <c r="F45" s="52">
        <f>'KY_Cost Plant Acct-Elec-P14(Fin'!F45</f>
        <v>0</v>
      </c>
      <c r="G45" s="52"/>
      <c r="H45" s="52">
        <f>'KY_Cost Plant Acct-Elec-P14(Fin'!H45</f>
        <v>0</v>
      </c>
      <c r="I45" s="52"/>
      <c r="J45" s="52">
        <f t="shared" si="4"/>
        <v>0</v>
      </c>
      <c r="K45" s="52"/>
      <c r="L45" s="45">
        <f t="shared" si="5"/>
        <v>29930.61</v>
      </c>
    </row>
    <row r="46" spans="1:12">
      <c r="A46" t="s">
        <v>283</v>
      </c>
      <c r="B46" s="48">
        <f>'KY_Cost Plant Acct-Elec-P14(Fin'!B46</f>
        <v>103528.98</v>
      </c>
      <c r="C46" s="52"/>
      <c r="D46" s="48">
        <f>'KY_Cost Plant Acct-Elec-P14(Fin'!D46</f>
        <v>0</v>
      </c>
      <c r="E46" s="52"/>
      <c r="F46" s="48">
        <f>'KY_Cost Plant Acct-Elec-P14(Fin'!F46</f>
        <v>0</v>
      </c>
      <c r="G46" s="52"/>
      <c r="H46" s="48">
        <f>'KY_Cost Plant Acct-Elec-P14(Fin'!H46</f>
        <v>0</v>
      </c>
      <c r="I46" s="52"/>
      <c r="J46" s="48">
        <f t="shared" si="4"/>
        <v>0</v>
      </c>
      <c r="K46" s="52"/>
      <c r="L46" s="48">
        <f t="shared" si="5"/>
        <v>103528.98</v>
      </c>
    </row>
    <row r="47" spans="1:12">
      <c r="B47" s="52">
        <f>SUM(B39:B46)</f>
        <v>42535934.100000001</v>
      </c>
      <c r="C47" s="52"/>
      <c r="D47" s="52">
        <f>SUM(D39:D46)</f>
        <v>16456.36</v>
      </c>
      <c r="E47" s="52"/>
      <c r="F47" s="52">
        <f>SUM(F39:F46)</f>
        <v>-507.91</v>
      </c>
      <c r="G47" s="52"/>
      <c r="H47" s="52">
        <f>SUM(H39:H46)</f>
        <v>0</v>
      </c>
      <c r="I47" s="52"/>
      <c r="J47" s="52">
        <f>SUM(J39:J46)</f>
        <v>15948.45</v>
      </c>
      <c r="K47" s="52"/>
      <c r="L47" s="52">
        <f>SUM(L39:L46)</f>
        <v>42551882.549999997</v>
      </c>
    </row>
    <row r="48" spans="1:12">
      <c r="B48" s="52"/>
      <c r="C48" s="52"/>
      <c r="D48" s="52"/>
      <c r="E48" s="52"/>
      <c r="F48" s="52"/>
      <c r="G48" s="52"/>
      <c r="H48" s="52"/>
      <c r="I48" s="52"/>
      <c r="J48" s="52"/>
      <c r="K48" s="52"/>
      <c r="L48" s="52"/>
    </row>
    <row r="49" spans="1:12">
      <c r="A49" s="3" t="s">
        <v>810</v>
      </c>
      <c r="B49" s="52"/>
      <c r="C49" s="52"/>
      <c r="D49" s="52"/>
      <c r="E49" s="52"/>
      <c r="F49" s="52"/>
      <c r="G49" s="52"/>
      <c r="H49" s="52"/>
      <c r="I49" s="52"/>
      <c r="J49" s="52"/>
      <c r="K49" s="52"/>
      <c r="L49" s="52"/>
    </row>
    <row r="50" spans="1:12">
      <c r="A50" t="s">
        <v>284</v>
      </c>
      <c r="B50" s="52">
        <f>'KY_Cost Plant Acct-Elec-P14(Fin'!B50</f>
        <v>2240.29</v>
      </c>
      <c r="C50" s="52"/>
      <c r="D50" s="52">
        <f>'KY_Cost Plant Acct-Elec-P14(Fin'!D50</f>
        <v>0</v>
      </c>
      <c r="E50" s="52"/>
      <c r="F50" s="52">
        <f>'KY_Cost Plant Acct-Elec-P14(Fin'!F50</f>
        <v>0</v>
      </c>
      <c r="G50" s="52"/>
      <c r="H50" s="52">
        <f>'KY_Cost Plant Acct-Elec-P14(Fin'!H50</f>
        <v>0</v>
      </c>
      <c r="I50" s="52"/>
      <c r="J50" s="52">
        <f>H50+F50+D50</f>
        <v>0</v>
      </c>
      <c r="K50" s="52"/>
      <c r="L50" s="45">
        <f>B50+J50</f>
        <v>2240.29</v>
      </c>
    </row>
    <row r="51" spans="1:12">
      <c r="A51" t="s">
        <v>285</v>
      </c>
      <c r="B51" s="48">
        <f>'KY_Cost Plant Acct-Elec-P14(Fin'!B51</f>
        <v>0</v>
      </c>
      <c r="C51" s="52"/>
      <c r="D51" s="48">
        <f>'KY_Cost Plant Acct-Elec-P14(Fin'!D51</f>
        <v>0</v>
      </c>
      <c r="E51" s="52"/>
      <c r="F51" s="48">
        <f>'KY_Cost Plant Acct-Elec-P14(Fin'!F51</f>
        <v>0</v>
      </c>
      <c r="G51" s="52"/>
      <c r="H51" s="48">
        <f>'KY_Cost Plant Acct-Elec-P14(Fin'!H51</f>
        <v>0</v>
      </c>
      <c r="I51" s="52"/>
      <c r="J51" s="48">
        <f>H51+F51+D51</f>
        <v>0</v>
      </c>
      <c r="K51" s="52"/>
      <c r="L51" s="48">
        <f>B51+J51</f>
        <v>0</v>
      </c>
    </row>
    <row r="52" spans="1:12">
      <c r="B52" s="52">
        <f>SUM(B50:B51)</f>
        <v>2240.29</v>
      </c>
      <c r="C52" s="52"/>
      <c r="D52" s="52">
        <f>SUM(D50:D51)</f>
        <v>0</v>
      </c>
      <c r="E52" s="52"/>
      <c r="F52" s="52">
        <f>SUM(F50:F51)</f>
        <v>0</v>
      </c>
      <c r="G52" s="52"/>
      <c r="H52" s="52">
        <f>SUM(H50:H51)</f>
        <v>0</v>
      </c>
      <c r="I52" s="52"/>
      <c r="J52" s="52">
        <f>SUM(J50:J51)</f>
        <v>0</v>
      </c>
      <c r="K52" s="52"/>
      <c r="L52" s="52">
        <f>SUM(L50:L51)</f>
        <v>2240.29</v>
      </c>
    </row>
    <row r="53" spans="1:12">
      <c r="B53" s="52"/>
      <c r="C53" s="52"/>
      <c r="D53" s="52"/>
      <c r="E53" s="52"/>
      <c r="F53" s="52"/>
      <c r="G53" s="52"/>
      <c r="H53" s="52"/>
      <c r="I53" s="52"/>
      <c r="J53" s="52"/>
      <c r="K53" s="52"/>
      <c r="L53" s="52"/>
    </row>
    <row r="54" spans="1:12">
      <c r="A54" s="3" t="s">
        <v>811</v>
      </c>
      <c r="B54" s="45"/>
      <c r="C54" s="45"/>
      <c r="D54" s="45"/>
      <c r="E54" s="45"/>
      <c r="F54" s="45"/>
      <c r="G54" s="45"/>
      <c r="H54" s="45"/>
      <c r="I54" s="45"/>
      <c r="J54" s="45"/>
      <c r="K54" s="45"/>
      <c r="L54" s="45"/>
    </row>
    <row r="55" spans="1:12">
      <c r="A55" t="s">
        <v>286</v>
      </c>
      <c r="B55" s="45">
        <f>'KY_Cost Plant Acct-Elec-P14(Fin'!B55</f>
        <v>8132.93</v>
      </c>
      <c r="C55" s="45"/>
      <c r="D55" s="45">
        <f>'KY_Cost Plant Acct-Elec-P14(Fin'!D55</f>
        <v>0</v>
      </c>
      <c r="E55" s="45"/>
      <c r="F55" s="45">
        <f>'KY_Cost Plant Acct-Elec-P14(Fin'!F55</f>
        <v>0</v>
      </c>
      <c r="G55" s="45"/>
      <c r="H55" s="45">
        <f>'KY_Cost Plant Acct-Elec-P14(Fin'!H55</f>
        <v>0</v>
      </c>
      <c r="I55" s="45"/>
      <c r="J55" s="45">
        <f t="shared" ref="J55:J63" si="6">H55+F55+D55</f>
        <v>0</v>
      </c>
      <c r="K55" s="45"/>
      <c r="L55" s="45">
        <f t="shared" ref="L55:L63" si="7">B55+J55</f>
        <v>8132.93</v>
      </c>
    </row>
    <row r="56" spans="1:12">
      <c r="A56" t="s">
        <v>287</v>
      </c>
      <c r="B56" s="45">
        <f>'KY_Cost Plant Acct-Elec-P14(Fin'!B56</f>
        <v>15004439.449999999</v>
      </c>
      <c r="C56" s="45"/>
      <c r="D56" s="45">
        <f>'KY_Cost Plant Acct-Elec-P14(Fin'!D56</f>
        <v>0</v>
      </c>
      <c r="E56" s="45"/>
      <c r="F56" s="45">
        <f>'KY_Cost Plant Acct-Elec-P14(Fin'!F56</f>
        <v>0</v>
      </c>
      <c r="G56" s="45"/>
      <c r="H56" s="45">
        <f>'KY_Cost Plant Acct-Elec-P14(Fin'!H56</f>
        <v>0</v>
      </c>
      <c r="I56" s="45"/>
      <c r="J56" s="45">
        <f t="shared" si="6"/>
        <v>0</v>
      </c>
      <c r="K56" s="45"/>
      <c r="L56" s="45">
        <f t="shared" si="7"/>
        <v>15004439.449999999</v>
      </c>
    </row>
    <row r="57" spans="1:12">
      <c r="A57" t="s">
        <v>288</v>
      </c>
      <c r="B57" s="45">
        <f>'KY_Cost Plant Acct-Elec-P14(Fin'!B57</f>
        <v>7598823.620000001</v>
      </c>
      <c r="C57" s="45"/>
      <c r="D57" s="45">
        <f>'KY_Cost Plant Acct-Elec-P14(Fin'!D57</f>
        <v>0</v>
      </c>
      <c r="E57" s="45"/>
      <c r="F57" s="45">
        <f>'KY_Cost Plant Acct-Elec-P14(Fin'!F57</f>
        <v>0</v>
      </c>
      <c r="G57" s="45"/>
      <c r="H57" s="45">
        <f>'KY_Cost Plant Acct-Elec-P14(Fin'!H57</f>
        <v>0</v>
      </c>
      <c r="I57" s="45"/>
      <c r="J57" s="45">
        <f t="shared" si="6"/>
        <v>0</v>
      </c>
      <c r="K57" s="45"/>
      <c r="L57" s="45">
        <f t="shared" si="7"/>
        <v>7598823.620000001</v>
      </c>
    </row>
    <row r="58" spans="1:12">
      <c r="A58" t="s">
        <v>289</v>
      </c>
      <c r="B58" s="45">
        <f>'KY_Cost Plant Acct-Elec-P14(Fin'!B58</f>
        <v>153954210.49999997</v>
      </c>
      <c r="C58" s="45"/>
      <c r="D58" s="45">
        <f>'KY_Cost Plant Acct-Elec-P14(Fin'!D58</f>
        <v>3496324.74</v>
      </c>
      <c r="E58" s="45"/>
      <c r="F58" s="45">
        <f>'KY_Cost Plant Acct-Elec-P14(Fin'!F58</f>
        <v>-676874.51</v>
      </c>
      <c r="G58" s="45"/>
      <c r="H58" s="45">
        <f>'KY_Cost Plant Acct-Elec-P14(Fin'!H58</f>
        <v>0</v>
      </c>
      <c r="I58" s="45"/>
      <c r="J58" s="45">
        <f t="shared" si="6"/>
        <v>2819450.2300000004</v>
      </c>
      <c r="K58" s="45"/>
      <c r="L58" s="45">
        <f t="shared" si="7"/>
        <v>156773660.72999996</v>
      </c>
    </row>
    <row r="59" spans="1:12">
      <c r="A59" t="s">
        <v>290</v>
      </c>
      <c r="B59" s="45">
        <f>'KY_Cost Plant Acct-Elec-P14(Fin'!B59</f>
        <v>33171947.16</v>
      </c>
      <c r="C59" s="45"/>
      <c r="D59" s="45">
        <f>'KY_Cost Plant Acct-Elec-P14(Fin'!D59</f>
        <v>0</v>
      </c>
      <c r="E59" s="45"/>
      <c r="F59" s="45">
        <f>'KY_Cost Plant Acct-Elec-P14(Fin'!F59</f>
        <v>0</v>
      </c>
      <c r="G59" s="45"/>
      <c r="H59" s="45">
        <f>'KY_Cost Plant Acct-Elec-P14(Fin'!H59</f>
        <v>0</v>
      </c>
      <c r="I59" s="45"/>
      <c r="J59" s="45">
        <f t="shared" si="6"/>
        <v>0</v>
      </c>
      <c r="K59" s="45"/>
      <c r="L59" s="45">
        <f t="shared" si="7"/>
        <v>33171947.16</v>
      </c>
    </row>
    <row r="60" spans="1:12">
      <c r="A60" t="s">
        <v>291</v>
      </c>
      <c r="B60" s="45">
        <f>'KY_Cost Plant Acct-Elec-P14(Fin'!B60</f>
        <v>20674673.189999998</v>
      </c>
      <c r="C60" s="45"/>
      <c r="D60" s="45">
        <f>'KY_Cost Plant Acct-Elec-P14(Fin'!D60</f>
        <v>17830.12</v>
      </c>
      <c r="E60" s="45"/>
      <c r="F60" s="45">
        <f>'KY_Cost Plant Acct-Elec-P14(Fin'!F60</f>
        <v>0</v>
      </c>
      <c r="G60" s="45"/>
      <c r="H60" s="45">
        <f>'KY_Cost Plant Acct-Elec-P14(Fin'!H60</f>
        <v>0</v>
      </c>
      <c r="I60" s="45"/>
      <c r="J60" s="45">
        <f t="shared" si="6"/>
        <v>17830.12</v>
      </c>
      <c r="K60" s="45"/>
      <c r="L60" s="45">
        <f t="shared" si="7"/>
        <v>20692503.309999999</v>
      </c>
    </row>
    <row r="61" spans="1:12">
      <c r="A61" t="s">
        <v>292</v>
      </c>
      <c r="B61" s="45">
        <f>'KY_Cost Plant Acct-Elec-P14(Fin'!B61</f>
        <v>3796323</v>
      </c>
      <c r="C61" s="45"/>
      <c r="D61" s="45">
        <f>'KY_Cost Plant Acct-Elec-P14(Fin'!D61</f>
        <v>0</v>
      </c>
      <c r="E61" s="45"/>
      <c r="F61" s="45">
        <f>'KY_Cost Plant Acct-Elec-P14(Fin'!F61</f>
        <v>0</v>
      </c>
      <c r="G61" s="45"/>
      <c r="H61" s="45">
        <f>'KY_Cost Plant Acct-Elec-P14(Fin'!H61</f>
        <v>0</v>
      </c>
      <c r="I61" s="45"/>
      <c r="J61" s="45">
        <f t="shared" si="6"/>
        <v>0</v>
      </c>
      <c r="K61" s="45"/>
      <c r="L61" s="45">
        <f t="shared" si="7"/>
        <v>3796323</v>
      </c>
    </row>
    <row r="62" spans="1:12">
      <c r="A62" t="s">
        <v>293</v>
      </c>
      <c r="B62" s="45">
        <f>'KY_Cost Plant Acct-Elec-P14(Fin'!B62</f>
        <v>38429.14</v>
      </c>
      <c r="C62" s="45"/>
      <c r="D62" s="45">
        <f>'KY_Cost Plant Acct-Elec-P14(Fin'!D62</f>
        <v>0</v>
      </c>
      <c r="E62" s="45"/>
      <c r="F62" s="45">
        <f>'KY_Cost Plant Acct-Elec-P14(Fin'!F62</f>
        <v>0</v>
      </c>
      <c r="G62" s="45"/>
      <c r="H62" s="45">
        <f>'KY_Cost Plant Acct-Elec-P14(Fin'!H62</f>
        <v>0</v>
      </c>
      <c r="I62" s="45"/>
      <c r="J62" s="45">
        <f t="shared" si="6"/>
        <v>0</v>
      </c>
      <c r="K62" s="45"/>
      <c r="L62" s="45">
        <f t="shared" si="7"/>
        <v>38429.14</v>
      </c>
    </row>
    <row r="63" spans="1:12">
      <c r="A63" t="s">
        <v>294</v>
      </c>
      <c r="B63" s="48">
        <f>'KY_Cost Plant Acct-Elec-P14(Fin'!B63</f>
        <v>0</v>
      </c>
      <c r="C63" s="45"/>
      <c r="D63" s="48">
        <f>'KY_Cost Plant Acct-Elec-P14(Fin'!D63</f>
        <v>0</v>
      </c>
      <c r="E63" s="45"/>
      <c r="F63" s="48">
        <f>'KY_Cost Plant Acct-Elec-P14(Fin'!F63</f>
        <v>0</v>
      </c>
      <c r="G63" s="45"/>
      <c r="H63" s="48">
        <f>'KY_Cost Plant Acct-Elec-P14(Fin'!H63</f>
        <v>0</v>
      </c>
      <c r="I63" s="45"/>
      <c r="J63" s="48">
        <f t="shared" si="6"/>
        <v>0</v>
      </c>
      <c r="K63" s="52"/>
      <c r="L63" s="48">
        <f t="shared" si="7"/>
        <v>0</v>
      </c>
    </row>
    <row r="64" spans="1:12">
      <c r="B64" s="52">
        <f>SUM(B55:B63)</f>
        <v>234246978.98999995</v>
      </c>
      <c r="C64" s="52"/>
      <c r="D64" s="52">
        <f>SUM(D55:D63)</f>
        <v>3514154.8600000003</v>
      </c>
      <c r="E64" s="52"/>
      <c r="F64" s="52">
        <f>SUM(F55:F63)</f>
        <v>-676874.51</v>
      </c>
      <c r="G64" s="52"/>
      <c r="H64" s="52">
        <f>SUM(H55:H63)</f>
        <v>0</v>
      </c>
      <c r="I64" s="52"/>
      <c r="J64" s="52">
        <f>SUM(J55:J63)</f>
        <v>2837280.3500000006</v>
      </c>
      <c r="K64" s="52"/>
      <c r="L64" s="52">
        <f>SUM(L55:L63)</f>
        <v>237084259.33999994</v>
      </c>
    </row>
    <row r="65" spans="1:12">
      <c r="B65" s="52"/>
      <c r="C65" s="52"/>
      <c r="D65" s="52"/>
      <c r="E65" s="52"/>
      <c r="F65" s="52"/>
      <c r="G65" s="52"/>
      <c r="H65" s="52"/>
      <c r="I65" s="52"/>
      <c r="J65" s="52"/>
      <c r="K65" s="52"/>
      <c r="L65" s="52"/>
    </row>
    <row r="66" spans="1:12">
      <c r="A66" s="3" t="s">
        <v>812</v>
      </c>
      <c r="B66" s="65"/>
      <c r="C66" s="52"/>
      <c r="D66" s="52"/>
      <c r="E66" s="52"/>
      <c r="F66" s="52"/>
      <c r="G66" s="52"/>
      <c r="H66" s="52"/>
      <c r="I66" s="52"/>
      <c r="J66" s="52"/>
      <c r="K66" s="52"/>
      <c r="L66" s="52"/>
    </row>
    <row r="67" spans="1:12">
      <c r="A67" t="s">
        <v>295</v>
      </c>
      <c r="B67" s="65">
        <f>'KY_Cost Plant Acct-Elec-P14(Fin'!B67</f>
        <v>6193327.3699999992</v>
      </c>
      <c r="C67" s="52"/>
      <c r="D67" s="65">
        <f>'KY_Cost Plant Acct-Elec-P14(Fin'!D67</f>
        <v>0</v>
      </c>
      <c r="E67" s="52"/>
      <c r="F67" s="65">
        <f>'KY_Cost Plant Acct-Elec-P14(Fin'!F67</f>
        <v>0</v>
      </c>
      <c r="G67" s="52"/>
      <c r="H67" s="65">
        <f>'KY_Cost Plant Acct-Elec-P14(Fin'!H67</f>
        <v>0</v>
      </c>
      <c r="I67" s="52"/>
      <c r="J67" s="52">
        <f t="shared" ref="J67:J77" si="8">H67+F67+D67</f>
        <v>0</v>
      </c>
      <c r="K67" s="52"/>
      <c r="L67" s="45">
        <f t="shared" ref="L67:L77" si="9">B67+J67</f>
        <v>6193327.3699999992</v>
      </c>
    </row>
    <row r="68" spans="1:12">
      <c r="A68" t="s">
        <v>1431</v>
      </c>
      <c r="B68" s="65">
        <f>'KY_Cost Plant Acct-Elec-P14(Fin'!B68</f>
        <v>100000</v>
      </c>
      <c r="C68" s="52"/>
      <c r="D68" s="65">
        <f>'KY_Cost Plant Acct-Elec-P14(Fin'!D68</f>
        <v>0</v>
      </c>
      <c r="E68" s="52"/>
      <c r="F68" s="65">
        <f>'KY_Cost Plant Acct-Elec-P14(Fin'!F68</f>
        <v>0</v>
      </c>
      <c r="G68" s="52"/>
      <c r="H68" s="65">
        <f>'KY_Cost Plant Acct-Elec-P14(Fin'!H68</f>
        <v>0</v>
      </c>
      <c r="I68" s="52"/>
      <c r="J68" s="52">
        <f t="shared" ref="J68" si="10">H68+F68+D68</f>
        <v>0</v>
      </c>
      <c r="K68" s="52"/>
      <c r="L68" s="182">
        <f t="shared" ref="L68" si="11">B68+J68</f>
        <v>100000</v>
      </c>
    </row>
    <row r="69" spans="1:12">
      <c r="A69" t="s">
        <v>832</v>
      </c>
      <c r="B69" s="65">
        <f>'KY_Cost Plant Acct-Elec-P14(Fin'!B69+'Capital Leased Prop P25 (Fin)'!B10</f>
        <v>294278907.96000004</v>
      </c>
      <c r="C69" s="52"/>
      <c r="D69" s="65">
        <f>'KY_Cost Plant Acct-Elec-P14(Fin'!D69+'Capital Leased Prop P25 (Fin)'!D10</f>
        <v>1231614.57</v>
      </c>
      <c r="E69" s="52"/>
      <c r="F69" s="65">
        <f>'KY_Cost Plant Acct-Elec-P14(Fin'!F69+'Capital Leased Prop P25 (Fin)'!F10</f>
        <v>-54477.86</v>
      </c>
      <c r="G69" s="52"/>
      <c r="H69" s="65">
        <f>'KY_Cost Plant Acct-Elec-P14(Fin'!H69+'Capital Leased Prop P25 (Fin)'!H10</f>
        <v>0</v>
      </c>
      <c r="I69" s="52"/>
      <c r="J69" s="52">
        <f t="shared" si="8"/>
        <v>1177136.71</v>
      </c>
      <c r="K69" s="52"/>
      <c r="L69" s="45">
        <f t="shared" si="9"/>
        <v>295456044.67000002</v>
      </c>
    </row>
    <row r="70" spans="1:12">
      <c r="A70" t="s">
        <v>833</v>
      </c>
      <c r="B70" s="65">
        <f>'KY_Cost Plant Acct-Elec-P14(Fin'!B70</f>
        <v>15770879.5</v>
      </c>
      <c r="C70" s="52"/>
      <c r="D70" s="65">
        <f>'KY_Cost Plant Acct-Elec-P14(Fin'!D70</f>
        <v>0</v>
      </c>
      <c r="E70" s="52"/>
      <c r="F70" s="65">
        <f>'KY_Cost Plant Acct-Elec-P14(Fin'!F70</f>
        <v>0</v>
      </c>
      <c r="G70" s="52"/>
      <c r="H70" s="65">
        <f>'KY_Cost Plant Acct-Elec-P14(Fin'!H70</f>
        <v>0</v>
      </c>
      <c r="I70" s="52"/>
      <c r="J70" s="52">
        <f t="shared" si="8"/>
        <v>0</v>
      </c>
      <c r="K70" s="52"/>
      <c r="L70" s="45">
        <f t="shared" si="9"/>
        <v>15770879.5</v>
      </c>
    </row>
    <row r="71" spans="1:12">
      <c r="A71" t="s">
        <v>834</v>
      </c>
      <c r="B71" s="65">
        <f>'KY_Cost Plant Acct-Elec-P14(Fin'!B71</f>
        <v>1365418875.78</v>
      </c>
      <c r="C71" s="52"/>
      <c r="D71" s="65">
        <f>'KY_Cost Plant Acct-Elec-P14(Fin'!D71</f>
        <v>10153601.859999999</v>
      </c>
      <c r="E71" s="52"/>
      <c r="F71" s="65">
        <f>'KY_Cost Plant Acct-Elec-P14(Fin'!F71</f>
        <v>-828348.46</v>
      </c>
      <c r="G71" s="52"/>
      <c r="H71" s="65">
        <f>'KY_Cost Plant Acct-Elec-P14(Fin'!H71</f>
        <v>0</v>
      </c>
      <c r="I71" s="52"/>
      <c r="J71" s="52">
        <f t="shared" si="8"/>
        <v>9325253.3999999985</v>
      </c>
      <c r="K71" s="52"/>
      <c r="L71" s="45">
        <f t="shared" si="9"/>
        <v>1374744129.1800001</v>
      </c>
    </row>
    <row r="72" spans="1:12">
      <c r="A72" t="s">
        <v>835</v>
      </c>
      <c r="B72" s="65">
        <f>'KY_Cost Plant Acct-Elec-P14(Fin'!B72</f>
        <v>638933.72</v>
      </c>
      <c r="C72" s="52"/>
      <c r="D72" s="65">
        <f>'KY_Cost Plant Acct-Elec-P14(Fin'!D72</f>
        <v>0</v>
      </c>
      <c r="E72" s="52"/>
      <c r="F72" s="65">
        <f>'KY_Cost Plant Acct-Elec-P14(Fin'!F72</f>
        <v>0</v>
      </c>
      <c r="G72" s="52"/>
      <c r="H72" s="65">
        <f>'KY_Cost Plant Acct-Elec-P14(Fin'!H72</f>
        <v>0</v>
      </c>
      <c r="I72" s="52"/>
      <c r="J72" s="52">
        <f t="shared" si="8"/>
        <v>0</v>
      </c>
      <c r="K72" s="52"/>
      <c r="L72" s="45">
        <f t="shared" si="9"/>
        <v>638933.72</v>
      </c>
    </row>
    <row r="73" spans="1:12">
      <c r="A73" t="s">
        <v>836</v>
      </c>
      <c r="B73" s="52">
        <f>'KY_Cost Plant Acct-Elec-P14(Fin'!B73</f>
        <v>212279087.56</v>
      </c>
      <c r="C73" s="52"/>
      <c r="D73" s="52">
        <f>'KY_Cost Plant Acct-Elec-P14(Fin'!D73</f>
        <v>3147675.25</v>
      </c>
      <c r="E73" s="52"/>
      <c r="F73" s="52">
        <f>'KY_Cost Plant Acct-Elec-P14(Fin'!F73</f>
        <v>-189608.18</v>
      </c>
      <c r="G73" s="52"/>
      <c r="H73" s="52">
        <f>'KY_Cost Plant Acct-Elec-P14(Fin'!H73</f>
        <v>0</v>
      </c>
      <c r="I73" s="52"/>
      <c r="J73" s="52">
        <f t="shared" si="8"/>
        <v>2958067.07</v>
      </c>
      <c r="K73" s="52"/>
      <c r="L73" s="45">
        <f t="shared" si="9"/>
        <v>215237154.63</v>
      </c>
    </row>
    <row r="74" spans="1:12">
      <c r="A74" t="s">
        <v>837</v>
      </c>
      <c r="B74" s="52">
        <f>'KY_Cost Plant Acct-Elec-P14(Fin'!B74</f>
        <v>175757254.49999997</v>
      </c>
      <c r="C74" s="52"/>
      <c r="D74" s="52">
        <f>'KY_Cost Plant Acct-Elec-P14(Fin'!D74</f>
        <v>2333817.48</v>
      </c>
      <c r="E74" s="52"/>
      <c r="F74" s="52">
        <f>'KY_Cost Plant Acct-Elec-P14(Fin'!F74</f>
        <v>-14264.89</v>
      </c>
      <c r="G74" s="52"/>
      <c r="H74" s="52">
        <f>'KY_Cost Plant Acct-Elec-P14(Fin'!H74</f>
        <v>0</v>
      </c>
      <c r="I74" s="52"/>
      <c r="J74" s="52">
        <f t="shared" si="8"/>
        <v>2319552.59</v>
      </c>
      <c r="K74" s="52"/>
      <c r="L74" s="45">
        <f t="shared" si="9"/>
        <v>178076807.08999997</v>
      </c>
    </row>
    <row r="75" spans="1:12">
      <c r="A75" t="s">
        <v>1024</v>
      </c>
      <c r="B75" s="52">
        <f>'KY_Cost Plant Acct-Elec-P14(Fin'!B75</f>
        <v>0</v>
      </c>
      <c r="C75" s="52"/>
      <c r="D75" s="52">
        <f>'KY_Cost Plant Acct-Elec-P14(Fin'!D75</f>
        <v>0</v>
      </c>
      <c r="E75" s="52"/>
      <c r="F75" s="52">
        <f>'KY_Cost Plant Acct-Elec-P14(Fin'!F75</f>
        <v>0</v>
      </c>
      <c r="G75" s="52"/>
      <c r="H75" s="52">
        <f>'KY_Cost Plant Acct-Elec-P14(Fin'!H75</f>
        <v>0</v>
      </c>
      <c r="I75" s="52"/>
      <c r="J75" s="52">
        <f t="shared" si="8"/>
        <v>0</v>
      </c>
      <c r="K75" s="52"/>
      <c r="L75" s="45">
        <f t="shared" si="9"/>
        <v>0</v>
      </c>
    </row>
    <row r="76" spans="1:12">
      <c r="A76" t="s">
        <v>838</v>
      </c>
      <c r="B76" s="52">
        <f>'KY_Cost Plant Acct-Elec-P14(Fin'!B76</f>
        <v>16275331.010000002</v>
      </c>
      <c r="C76" s="52"/>
      <c r="D76" s="52">
        <f>'KY_Cost Plant Acct-Elec-P14(Fin'!D76</f>
        <v>6743.06</v>
      </c>
      <c r="E76" s="52"/>
      <c r="F76" s="52">
        <f>'KY_Cost Plant Acct-Elec-P14(Fin'!F76</f>
        <v>0</v>
      </c>
      <c r="G76" s="52"/>
      <c r="H76" s="52">
        <f>'KY_Cost Plant Acct-Elec-P14(Fin'!H76</f>
        <v>0</v>
      </c>
      <c r="I76" s="52"/>
      <c r="J76" s="52">
        <f t="shared" si="8"/>
        <v>6743.06</v>
      </c>
      <c r="K76" s="52"/>
      <c r="L76" s="45">
        <f t="shared" si="9"/>
        <v>16282074.070000002</v>
      </c>
    </row>
    <row r="77" spans="1:12">
      <c r="A77" t="s">
        <v>839</v>
      </c>
      <c r="B77" s="48">
        <f>'KY_Cost Plant Acct-Elec-P14(Fin'!B77</f>
        <v>27798267.339999996</v>
      </c>
      <c r="C77" s="52"/>
      <c r="D77" s="48">
        <f>'KY_Cost Plant Acct-Elec-P14(Fin'!D77</f>
        <v>0</v>
      </c>
      <c r="E77" s="52"/>
      <c r="F77" s="48">
        <f>'KY_Cost Plant Acct-Elec-P14(Fin'!F77</f>
        <v>0</v>
      </c>
      <c r="G77" s="52"/>
      <c r="H77" s="48">
        <f>'KY_Cost Plant Acct-Elec-P14(Fin'!H77</f>
        <v>0</v>
      </c>
      <c r="I77" s="52"/>
      <c r="J77" s="48">
        <f t="shared" si="8"/>
        <v>0</v>
      </c>
      <c r="K77" s="52"/>
      <c r="L77" s="48">
        <f t="shared" si="9"/>
        <v>27798267.339999996</v>
      </c>
    </row>
    <row r="78" spans="1:12">
      <c r="B78" s="52">
        <f>SUM(B67:B77)</f>
        <v>2114510864.74</v>
      </c>
      <c r="C78" s="52"/>
      <c r="D78" s="52">
        <f>SUM(D67:D77)</f>
        <v>16873452.219999999</v>
      </c>
      <c r="E78" s="52"/>
      <c r="F78" s="52">
        <f>SUM(F67:F77)</f>
        <v>-1086699.3899999999</v>
      </c>
      <c r="G78" s="52"/>
      <c r="H78" s="52">
        <f>SUM(H67:H77)</f>
        <v>0</v>
      </c>
      <c r="I78" s="52"/>
      <c r="J78" s="52">
        <f>SUM(J67:J77)</f>
        <v>15786752.83</v>
      </c>
      <c r="K78" s="52"/>
      <c r="L78" s="52">
        <f>SUM(L67:L77)</f>
        <v>2130297617.5699999</v>
      </c>
    </row>
    <row r="79" spans="1:12">
      <c r="B79" s="52"/>
      <c r="C79" s="52"/>
      <c r="D79" s="52"/>
      <c r="E79" s="52"/>
      <c r="F79" s="52"/>
      <c r="G79" s="52"/>
      <c r="H79" s="52"/>
      <c r="I79" s="52"/>
      <c r="J79" s="52"/>
      <c r="K79" s="52"/>
      <c r="L79" s="52"/>
    </row>
    <row r="80" spans="1:12">
      <c r="A80" s="3" t="s">
        <v>119</v>
      </c>
      <c r="B80" s="52"/>
      <c r="C80" s="52"/>
      <c r="D80" s="52"/>
      <c r="E80" s="52"/>
      <c r="F80" s="52"/>
      <c r="G80" s="52"/>
      <c r="H80" s="52"/>
      <c r="I80" s="52"/>
      <c r="J80" s="52"/>
      <c r="K80" s="52"/>
      <c r="L80" s="52"/>
    </row>
    <row r="81" spans="1:12">
      <c r="A81" t="s">
        <v>5</v>
      </c>
      <c r="B81" s="52">
        <f>'KY_Cost Plant Acct-Elec-P14(Fin'!B81+'IN_Cost Plant Acct-Elec-P16(Fin'!B11</f>
        <v>7781410.5899999999</v>
      </c>
      <c r="C81" s="52"/>
      <c r="D81" s="52">
        <f>'KY_Cost Plant Acct-Elec-P14(Fin'!D81+'IN_Cost Plant Acct-Elec-P16(Fin'!D11</f>
        <v>10100</v>
      </c>
      <c r="E81" s="52"/>
      <c r="F81" s="52">
        <f>'KY_Cost Plant Acct-Elec-P14(Fin'!F81+'IN_Cost Plant Acct-Elec-P16(Fin'!F11</f>
        <v>0</v>
      </c>
      <c r="G81" s="52"/>
      <c r="H81" s="52">
        <f>'KY_Cost Plant Acct-Elec-P14(Fin'!H81+'IN_Cost Plant Acct-Elec-P16(Fin'!H11</f>
        <v>0</v>
      </c>
      <c r="I81" s="52"/>
      <c r="J81" s="52">
        <f t="shared" ref="J81:J92" si="12">H81+F81+D81</f>
        <v>10100</v>
      </c>
      <c r="K81" s="52"/>
      <c r="L81" s="45">
        <f t="shared" ref="L81:L92" si="13">B81+J81</f>
        <v>7791510.5899999999</v>
      </c>
    </row>
    <row r="82" spans="1:12">
      <c r="A82" t="s">
        <v>6</v>
      </c>
      <c r="B82" s="52">
        <f>'KY_Cost Plant Acct-Elec-P14(Fin'!B82+'IN_Cost Plant Acct-Elec-P16(Fin'!B12</f>
        <v>1573048.99</v>
      </c>
      <c r="C82" s="52"/>
      <c r="D82" s="52">
        <f>'KY_Cost Plant Acct-Elec-P14(Fin'!D82+'IN_Cost Plant Acct-Elec-P16(Fin'!D12</f>
        <v>0</v>
      </c>
      <c r="E82" s="52"/>
      <c r="F82" s="52">
        <f>'KY_Cost Plant Acct-Elec-P14(Fin'!F82+'IN_Cost Plant Acct-Elec-P16(Fin'!F12</f>
        <v>0</v>
      </c>
      <c r="G82" s="52"/>
      <c r="H82" s="52">
        <f>'KY_Cost Plant Acct-Elec-P14(Fin'!H82+'IN_Cost Plant Acct-Elec-P16(Fin'!H12</f>
        <v>0</v>
      </c>
      <c r="I82" s="52"/>
      <c r="J82" s="52">
        <f t="shared" si="12"/>
        <v>0</v>
      </c>
      <c r="K82" s="52"/>
      <c r="L82" s="45">
        <f t="shared" si="13"/>
        <v>1573048.99</v>
      </c>
    </row>
    <row r="83" spans="1:12">
      <c r="A83" t="s">
        <v>7</v>
      </c>
      <c r="B83" s="52">
        <f>'KY_Cost Plant Acct-Elec-P14(Fin'!B83+'IN_Cost Plant Acct-Elec-P16(Fin'!B13</f>
        <v>6454838.6300000008</v>
      </c>
      <c r="C83" s="52"/>
      <c r="D83" s="52">
        <f>'KY_Cost Plant Acct-Elec-P14(Fin'!D83+'IN_Cost Plant Acct-Elec-P16(Fin'!D13</f>
        <v>16561.57</v>
      </c>
      <c r="E83" s="52"/>
      <c r="F83" s="52">
        <f>'KY_Cost Plant Acct-Elec-P14(Fin'!F83+'IN_Cost Plant Acct-Elec-P16(Fin'!F13</f>
        <v>0</v>
      </c>
      <c r="G83" s="52"/>
      <c r="H83" s="52">
        <f>'KY_Cost Plant Acct-Elec-P14(Fin'!H83+'IN_Cost Plant Acct-Elec-P16(Fin'!H13</f>
        <v>0</v>
      </c>
      <c r="I83" s="52"/>
      <c r="J83" s="52">
        <f t="shared" si="12"/>
        <v>16561.57</v>
      </c>
      <c r="K83" s="52"/>
      <c r="L83" s="45">
        <f t="shared" si="13"/>
        <v>6471400.2000000011</v>
      </c>
    </row>
    <row r="84" spans="1:12">
      <c r="A84" t="s">
        <v>8</v>
      </c>
      <c r="B84" s="52">
        <f>'KY_Cost Plant Acct-Elec-P14(Fin'!B84+'IN_Cost Plant Acct-Elec-P16(Fin'!B14</f>
        <v>121164285.05999999</v>
      </c>
      <c r="C84" s="52"/>
      <c r="D84" s="52">
        <f>'KY_Cost Plant Acct-Elec-P14(Fin'!D84+'IN_Cost Plant Acct-Elec-P16(Fin'!D14</f>
        <v>2435219.75</v>
      </c>
      <c r="E84" s="52"/>
      <c r="F84" s="52">
        <f>'KY_Cost Plant Acct-Elec-P14(Fin'!F84+'IN_Cost Plant Acct-Elec-P16(Fin'!F14</f>
        <v>-998709.96</v>
      </c>
      <c r="G84" s="52"/>
      <c r="H84" s="52">
        <f>'KY_Cost Plant Acct-Elec-P14(Fin'!H84+'IN_Cost Plant Acct-Elec-P16(Fin'!H14</f>
        <v>0</v>
      </c>
      <c r="I84" s="52"/>
      <c r="J84" s="52">
        <f t="shared" si="12"/>
        <v>1436509.79</v>
      </c>
      <c r="K84" s="52"/>
      <c r="L84" s="45">
        <f t="shared" si="13"/>
        <v>122600794.84999999</v>
      </c>
    </row>
    <row r="85" spans="1:12">
      <c r="A85" t="s">
        <v>840</v>
      </c>
      <c r="B85" s="52">
        <f>'KY_Cost Plant Acct-Elec-P14(Fin'!B85</f>
        <v>0</v>
      </c>
      <c r="C85" s="52"/>
      <c r="D85" s="52">
        <f>'KY_Cost Plant Acct-Elec-P14(Fin'!D85</f>
        <v>0</v>
      </c>
      <c r="E85" s="52"/>
      <c r="F85" s="52">
        <f>'KY_Cost Plant Acct-Elec-P14(Fin'!F85</f>
        <v>0</v>
      </c>
      <c r="G85" s="52"/>
      <c r="H85" s="52">
        <f>'KY_Cost Plant Acct-Elec-P14(Fin'!H85</f>
        <v>0</v>
      </c>
      <c r="I85" s="52"/>
      <c r="J85" s="52">
        <f t="shared" si="12"/>
        <v>0</v>
      </c>
      <c r="K85" s="52"/>
      <c r="L85" s="45">
        <f t="shared" si="13"/>
        <v>0</v>
      </c>
    </row>
    <row r="86" spans="1:12">
      <c r="A86" t="s">
        <v>9</v>
      </c>
      <c r="B86" s="52">
        <f>'KY_Cost Plant Acct-Elec-P14(Fin'!B86+'IN_Cost Plant Acct-Elec-P16(Fin'!B15</f>
        <v>24533708.499999996</v>
      </c>
      <c r="C86" s="52"/>
      <c r="D86" s="52">
        <f>'KY_Cost Plant Acct-Elec-P14(Fin'!D86+'IN_Cost Plant Acct-Elec-P16(Fin'!D15</f>
        <v>0</v>
      </c>
      <c r="E86" s="52"/>
      <c r="F86" s="52">
        <f>'KY_Cost Plant Acct-Elec-P14(Fin'!F86+'IN_Cost Plant Acct-Elec-P16(Fin'!F15</f>
        <v>-138836.94</v>
      </c>
      <c r="G86" s="52"/>
      <c r="H86" s="52">
        <f>'KY_Cost Plant Acct-Elec-P14(Fin'!H86+'IN_Cost Plant Acct-Elec-P16(Fin'!H15</f>
        <v>0</v>
      </c>
      <c r="I86" s="52"/>
      <c r="J86" s="52">
        <f t="shared" si="12"/>
        <v>-138836.94</v>
      </c>
      <c r="K86" s="52"/>
      <c r="L86" s="45">
        <f t="shared" si="13"/>
        <v>24394871.559999995</v>
      </c>
    </row>
    <row r="87" spans="1:12">
      <c r="A87" t="s">
        <v>10</v>
      </c>
      <c r="B87" s="52">
        <f>'KY_Cost Plant Acct-Elec-P14(Fin'!B87+'IN_Cost Plant Acct-Elec-P16(Fin'!B16</f>
        <v>43741396.089999996</v>
      </c>
      <c r="C87" s="52"/>
      <c r="D87" s="52">
        <f>'KY_Cost Plant Acct-Elec-P14(Fin'!D87+'IN_Cost Plant Acct-Elec-P16(Fin'!D16</f>
        <v>877252.25</v>
      </c>
      <c r="E87" s="52"/>
      <c r="F87" s="52">
        <f>'KY_Cost Plant Acct-Elec-P14(Fin'!F87+'IN_Cost Plant Acct-Elec-P16(Fin'!F16</f>
        <v>-44477.919999999998</v>
      </c>
      <c r="G87" s="52"/>
      <c r="H87" s="52">
        <f>'KY_Cost Plant Acct-Elec-P14(Fin'!H87+'IN_Cost Plant Acct-Elec-P16(Fin'!H16</f>
        <v>0</v>
      </c>
      <c r="I87" s="52"/>
      <c r="J87" s="52">
        <f t="shared" si="12"/>
        <v>832774.33</v>
      </c>
      <c r="K87" s="52"/>
      <c r="L87" s="45">
        <f t="shared" si="13"/>
        <v>44574170.419999994</v>
      </c>
    </row>
    <row r="88" spans="1:12">
      <c r="A88" t="s">
        <v>11</v>
      </c>
      <c r="B88" s="52">
        <f>'KY_Cost Plant Acct-Elec-P14(Fin'!B88+'IN_Cost Plant Acct-Elec-P16(Fin'!B17</f>
        <v>41013156.740000002</v>
      </c>
      <c r="C88" s="52"/>
      <c r="D88" s="52">
        <f>'KY_Cost Plant Acct-Elec-P14(Fin'!D88+'IN_Cost Plant Acct-Elec-P16(Fin'!D17</f>
        <v>314875.17</v>
      </c>
      <c r="E88" s="52"/>
      <c r="F88" s="52">
        <f>'KY_Cost Plant Acct-Elec-P14(Fin'!F88+'IN_Cost Plant Acct-Elec-P16(Fin'!F17</f>
        <v>-35696.800000000003</v>
      </c>
      <c r="G88" s="52"/>
      <c r="H88" s="52">
        <f>'KY_Cost Plant Acct-Elec-P14(Fin'!H88+'IN_Cost Plant Acct-Elec-P16(Fin'!H17</f>
        <v>0</v>
      </c>
      <c r="I88" s="52"/>
      <c r="J88" s="52">
        <f t="shared" si="12"/>
        <v>279178.37</v>
      </c>
      <c r="K88" s="52"/>
      <c r="L88" s="45">
        <f t="shared" si="13"/>
        <v>41292335.109999999</v>
      </c>
    </row>
    <row r="89" spans="1:12">
      <c r="A89" t="s">
        <v>841</v>
      </c>
      <c r="B89" s="52">
        <f>'KY_Cost Plant Acct-Elec-P14(Fin'!B89</f>
        <v>2437093.5699999998</v>
      </c>
      <c r="C89" s="52"/>
      <c r="D89" s="52">
        <f>'KY_Cost Plant Acct-Elec-P14(Fin'!D89</f>
        <v>8406.41</v>
      </c>
      <c r="E89" s="52"/>
      <c r="F89" s="52">
        <f>'KY_Cost Plant Acct-Elec-P14(Fin'!F89</f>
        <v>-166872.46</v>
      </c>
      <c r="G89" s="52"/>
      <c r="H89" s="52">
        <f>'KY_Cost Plant Acct-Elec-P14(Fin'!H89</f>
        <v>0</v>
      </c>
      <c r="I89" s="52"/>
      <c r="J89" s="52">
        <f t="shared" si="12"/>
        <v>-158466.04999999999</v>
      </c>
      <c r="K89" s="52"/>
      <c r="L89" s="45">
        <f t="shared" si="13"/>
        <v>2278627.52</v>
      </c>
    </row>
    <row r="90" spans="1:12">
      <c r="A90" t="s">
        <v>842</v>
      </c>
      <c r="B90" s="52">
        <f>'KY_Cost Plant Acct-Elec-P14(Fin'!B90</f>
        <v>5659798.3799999999</v>
      </c>
      <c r="C90" s="52"/>
      <c r="D90" s="52">
        <f>'KY_Cost Plant Acct-Elec-P14(Fin'!D90</f>
        <v>2004868.88</v>
      </c>
      <c r="E90" s="52"/>
      <c r="F90" s="52">
        <f>'KY_Cost Plant Acct-Elec-P14(Fin'!F90</f>
        <v>-239383.69</v>
      </c>
      <c r="G90" s="52"/>
      <c r="H90" s="52">
        <f>'KY_Cost Plant Acct-Elec-P14(Fin'!H90</f>
        <v>0</v>
      </c>
      <c r="I90" s="52"/>
      <c r="J90" s="52">
        <f t="shared" si="12"/>
        <v>1765485.19</v>
      </c>
      <c r="K90" s="52"/>
      <c r="L90" s="45">
        <f t="shared" si="13"/>
        <v>7425283.5700000003</v>
      </c>
    </row>
    <row r="91" spans="1:12">
      <c r="A91" t="s">
        <v>843</v>
      </c>
      <c r="B91" s="52">
        <f>'KY_Cost Plant Acct-Elec-P14(Fin'!B91</f>
        <v>13760.73</v>
      </c>
      <c r="C91" s="52"/>
      <c r="D91" s="52">
        <f>'KY_Cost Plant Acct-Elec-P14(Fin'!D91</f>
        <v>0</v>
      </c>
      <c r="E91" s="52"/>
      <c r="F91" s="52">
        <f>'KY_Cost Plant Acct-Elec-P14(Fin'!F91</f>
        <v>0</v>
      </c>
      <c r="G91" s="52"/>
      <c r="H91" s="52">
        <f>'KY_Cost Plant Acct-Elec-P14(Fin'!H91</f>
        <v>0</v>
      </c>
      <c r="I91" s="52"/>
      <c r="J91" s="52">
        <f t="shared" si="12"/>
        <v>0</v>
      </c>
      <c r="K91" s="52"/>
      <c r="L91" s="45">
        <f t="shared" si="13"/>
        <v>13760.73</v>
      </c>
    </row>
    <row r="92" spans="1:12">
      <c r="A92" t="s">
        <v>844</v>
      </c>
      <c r="B92" s="48">
        <f>'KY_Cost Plant Acct-Elec-P14(Fin'!B92</f>
        <v>238693.59</v>
      </c>
      <c r="C92" s="52"/>
      <c r="D92" s="48">
        <f>'KY_Cost Plant Acct-Elec-P14(Fin'!D92</f>
        <v>0</v>
      </c>
      <c r="E92" s="52"/>
      <c r="F92" s="48">
        <f>'KY_Cost Plant Acct-Elec-P14(Fin'!F92</f>
        <v>0</v>
      </c>
      <c r="G92" s="52"/>
      <c r="H92" s="48">
        <f>'KY_Cost Plant Acct-Elec-P14(Fin'!H92</f>
        <v>0</v>
      </c>
      <c r="I92" s="52"/>
      <c r="J92" s="48">
        <f t="shared" si="12"/>
        <v>0</v>
      </c>
      <c r="K92" s="52"/>
      <c r="L92" s="48">
        <f t="shared" si="13"/>
        <v>238693.59</v>
      </c>
    </row>
    <row r="93" spans="1:12">
      <c r="B93" s="52">
        <f>SUM(B81:B92)</f>
        <v>254611190.86999997</v>
      </c>
      <c r="C93" s="52"/>
      <c r="D93" s="52">
        <f>SUM(D81:D92)</f>
        <v>5667284.0299999993</v>
      </c>
      <c r="E93" s="52"/>
      <c r="F93" s="52">
        <f>SUM(F81:F92)</f>
        <v>-1623977.7699999998</v>
      </c>
      <c r="G93" s="52"/>
      <c r="H93" s="52">
        <f>SUM(H81:H92)</f>
        <v>0</v>
      </c>
      <c r="I93" s="52"/>
      <c r="J93" s="52">
        <f>SUM(J81:J92)</f>
        <v>4043306.2600000002</v>
      </c>
      <c r="K93" s="52"/>
      <c r="L93" s="52">
        <f>SUM(L81:L92)</f>
        <v>258654497.12999997</v>
      </c>
    </row>
    <row r="94" spans="1:12">
      <c r="B94" s="52"/>
      <c r="C94" s="52"/>
      <c r="D94" s="52"/>
      <c r="E94" s="52"/>
      <c r="F94" s="52"/>
      <c r="G94" s="52"/>
      <c r="H94" s="52"/>
      <c r="I94" s="52"/>
      <c r="J94" s="52"/>
      <c r="K94" s="52"/>
      <c r="L94" s="52"/>
    </row>
    <row r="95" spans="1:12">
      <c r="B95" s="45"/>
      <c r="C95" s="45"/>
      <c r="D95" s="45"/>
      <c r="E95" s="45"/>
      <c r="F95" s="45"/>
      <c r="G95" s="45"/>
      <c r="H95" s="45"/>
      <c r="I95" s="45"/>
      <c r="J95" s="45"/>
      <c r="K95" s="45"/>
      <c r="L95" s="45"/>
    </row>
    <row r="96" spans="1:12">
      <c r="A96" s="3" t="s">
        <v>824</v>
      </c>
      <c r="B96" s="88">
        <f>B93+B78+B64+B52+B47+B36+B27</f>
        <v>3626363496.3299999</v>
      </c>
      <c r="C96" s="52"/>
      <c r="D96" s="88">
        <f>D93+D78+D64+D52+D47+D36+D27</f>
        <v>46468321.710000001</v>
      </c>
      <c r="E96" s="52"/>
      <c r="F96" s="88">
        <f>F93+F78+F64+F52+F47+F36+F27</f>
        <v>-5225562.08</v>
      </c>
      <c r="G96" s="52"/>
      <c r="H96" s="88">
        <f>H93+H78+H64+H52+H47+H36+H27</f>
        <v>21903.139999999981</v>
      </c>
      <c r="I96" s="52"/>
      <c r="J96" s="88">
        <f>J93+J78+J64+J52+J47+J36+J27</f>
        <v>41264662.769999996</v>
      </c>
      <c r="K96" s="52"/>
      <c r="L96" s="88">
        <f>L93+L78+L64+L52+L47+L36+L27</f>
        <v>3667628159.1000004</v>
      </c>
    </row>
    <row r="97" spans="1:13">
      <c r="B97" s="45"/>
      <c r="C97" s="45"/>
      <c r="D97" s="45"/>
      <c r="E97" s="45"/>
      <c r="F97" s="45"/>
      <c r="G97" s="45"/>
      <c r="H97" s="45"/>
      <c r="I97" s="45"/>
      <c r="J97" s="45"/>
      <c r="K97" s="45"/>
      <c r="L97" s="45"/>
    </row>
    <row r="98" spans="1:13">
      <c r="B98" s="52"/>
      <c r="C98" s="45"/>
      <c r="D98" s="52"/>
      <c r="E98" s="45"/>
      <c r="F98" s="52"/>
      <c r="G98" s="45"/>
      <c r="H98" s="52"/>
      <c r="I98" s="45"/>
      <c r="J98" s="52"/>
      <c r="K98" s="52"/>
      <c r="L98" s="52"/>
    </row>
    <row r="99" spans="1:13">
      <c r="A99" s="3" t="s">
        <v>689</v>
      </c>
      <c r="B99" s="33"/>
      <c r="C99" s="33"/>
      <c r="D99" s="33"/>
      <c r="E99" s="33"/>
      <c r="F99" s="33"/>
      <c r="G99" s="33"/>
      <c r="H99" s="33"/>
      <c r="I99" s="33"/>
      <c r="J99" s="33"/>
      <c r="K99" s="33"/>
      <c r="L99" s="33"/>
    </row>
    <row r="100" spans="1:13">
      <c r="A100" s="3" t="s">
        <v>691</v>
      </c>
      <c r="B100" s="33"/>
      <c r="C100" s="33"/>
      <c r="D100" s="33"/>
      <c r="E100" s="33"/>
      <c r="F100" s="33"/>
      <c r="G100" s="33"/>
      <c r="H100" s="33"/>
      <c r="I100" s="33"/>
      <c r="J100" s="33"/>
      <c r="K100" s="33"/>
      <c r="L100" s="33"/>
    </row>
    <row r="101" spans="1:13">
      <c r="A101" t="s">
        <v>275</v>
      </c>
      <c r="B101" s="33">
        <f>'KY_Cost Plant Acct-Elec-P14(Fin'!B100</f>
        <v>0</v>
      </c>
      <c r="C101" s="33"/>
      <c r="D101" s="33">
        <f>'KY_Cost Plant Acct-Elec-P14(Fin'!D100</f>
        <v>630992.79</v>
      </c>
      <c r="E101" s="33"/>
      <c r="F101" s="33">
        <f>'KY_Cost Plant Acct-Elec-P14(Fin'!F100</f>
        <v>0</v>
      </c>
      <c r="G101" s="33"/>
      <c r="H101" s="33">
        <f>'KY_Cost Plant Acct-Elec-P14(Fin'!H100</f>
        <v>0</v>
      </c>
      <c r="I101" s="33"/>
      <c r="J101" s="33">
        <f>D101+F101+H101</f>
        <v>630992.79</v>
      </c>
      <c r="K101" s="33"/>
      <c r="L101" s="33">
        <f>J101+B101</f>
        <v>630992.79</v>
      </c>
    </row>
    <row r="102" spans="1:13">
      <c r="A102" t="s">
        <v>12</v>
      </c>
      <c r="B102" s="33">
        <f>'KY_Cost Plant Acct-Elec-P14(Fin'!B101+'IN_Cost Plant Acct-Elec-P16(Fin'!B26</f>
        <v>8372262.6600000001</v>
      </c>
      <c r="C102" s="33"/>
      <c r="D102" s="33">
        <f>'KY_Cost Plant Acct-Elec-P14(Fin'!D101+'IN_Cost Plant Acct-Elec-P16(Fin'!D26</f>
        <v>7924335.0900000008</v>
      </c>
      <c r="E102" s="33"/>
      <c r="F102" s="33">
        <f>'KY_Cost Plant Acct-Elec-P14(Fin'!F101</f>
        <v>0</v>
      </c>
      <c r="G102" s="33"/>
      <c r="H102" s="33">
        <f>'KY_Cost Plant Acct-Elec-P14(Fin'!H101</f>
        <v>0</v>
      </c>
      <c r="I102" s="33"/>
      <c r="J102" s="33">
        <f t="shared" ref="J102:J111" si="14">D102+F102+H102</f>
        <v>7924335.0900000008</v>
      </c>
      <c r="K102" s="33"/>
      <c r="L102" s="33">
        <f t="shared" ref="L102:L111" si="15">J102+B102</f>
        <v>16296597.75</v>
      </c>
    </row>
    <row r="103" spans="1:13">
      <c r="A103" t="s">
        <v>276</v>
      </c>
      <c r="B103" s="33">
        <f>'KY_Cost Plant Acct-Elec-P14(Fin'!B102</f>
        <v>2388775.3600000003</v>
      </c>
      <c r="C103" s="33"/>
      <c r="D103" s="33">
        <f>'KY_Cost Plant Acct-Elec-P14(Fin'!D102</f>
        <v>2257875.67</v>
      </c>
      <c r="E103" s="33"/>
      <c r="F103" s="33">
        <f>'KY_Cost Plant Acct-Elec-P14(Fin'!F102</f>
        <v>0</v>
      </c>
      <c r="G103" s="33"/>
      <c r="H103" s="33">
        <f>'KY_Cost Plant Acct-Elec-P14(Fin'!H102</f>
        <v>0</v>
      </c>
      <c r="I103" s="33"/>
      <c r="J103" s="33">
        <f t="shared" si="14"/>
        <v>2257875.67</v>
      </c>
      <c r="K103" s="33"/>
      <c r="L103" s="33">
        <f t="shared" si="15"/>
        <v>4646651.03</v>
      </c>
    </row>
    <row r="104" spans="1:13">
      <c r="A104" t="s">
        <v>277</v>
      </c>
      <c r="B104" s="33">
        <f>'KY_Cost Plant Acct-Elec-P14(Fin'!B103</f>
        <v>4648597.76</v>
      </c>
      <c r="C104" s="33"/>
      <c r="D104" s="33">
        <f>'KY_Cost Plant Acct-Elec-P14(Fin'!D103</f>
        <v>1015771.23</v>
      </c>
      <c r="E104" s="33"/>
      <c r="F104" s="33">
        <f>'KY_Cost Plant Acct-Elec-P14(Fin'!F103</f>
        <v>0</v>
      </c>
      <c r="G104" s="33"/>
      <c r="H104" s="33">
        <f>'KY_Cost Plant Acct-Elec-P14(Fin'!H103</f>
        <v>0</v>
      </c>
      <c r="I104" s="33"/>
      <c r="J104" s="33">
        <f t="shared" si="14"/>
        <v>1015771.23</v>
      </c>
      <c r="K104" s="33"/>
      <c r="L104" s="33">
        <f t="shared" si="15"/>
        <v>5664368.9900000002</v>
      </c>
    </row>
    <row r="105" spans="1:13">
      <c r="A105" t="s">
        <v>278</v>
      </c>
      <c r="B105" s="33">
        <f>'KY_Cost Plant Acct-Elec-P14(Fin'!B104</f>
        <v>1219068.4300000002</v>
      </c>
      <c r="C105" s="33"/>
      <c r="D105" s="33">
        <f>'KY_Cost Plant Acct-Elec-P14(Fin'!D104</f>
        <v>-607237.00000000012</v>
      </c>
      <c r="E105" s="33"/>
      <c r="F105" s="33">
        <f>'KY_Cost Plant Acct-Elec-P14(Fin'!F104</f>
        <v>0</v>
      </c>
      <c r="G105" s="33"/>
      <c r="H105" s="33">
        <f>'KY_Cost Plant Acct-Elec-P14(Fin'!H104</f>
        <v>0</v>
      </c>
      <c r="I105" s="33"/>
      <c r="J105" s="33">
        <f t="shared" si="14"/>
        <v>-607237.00000000012</v>
      </c>
      <c r="K105" s="33"/>
      <c r="L105" s="33">
        <f t="shared" si="15"/>
        <v>611831.43000000005</v>
      </c>
    </row>
    <row r="106" spans="1:13">
      <c r="A106" t="s">
        <v>279</v>
      </c>
      <c r="B106" s="33">
        <f>'KY_Cost Plant Acct-Elec-P14(Fin'!B105</f>
        <v>4229112.799999998</v>
      </c>
      <c r="C106" s="33"/>
      <c r="D106" s="33">
        <f>'KY_Cost Plant Acct-Elec-P14(Fin'!D105</f>
        <v>676247.28000000014</v>
      </c>
      <c r="E106" s="33"/>
      <c r="F106" s="33">
        <f>'KY_Cost Plant Acct-Elec-P14(Fin'!F105</f>
        <v>0</v>
      </c>
      <c r="G106" s="33"/>
      <c r="H106" s="33">
        <f>'KY_Cost Plant Acct-Elec-P14(Fin'!H105</f>
        <v>0</v>
      </c>
      <c r="I106" s="33"/>
      <c r="J106" s="33">
        <f t="shared" si="14"/>
        <v>676247.28000000014</v>
      </c>
      <c r="K106" s="33"/>
      <c r="L106" s="33">
        <f t="shared" si="15"/>
        <v>4905360.0799999982</v>
      </c>
    </row>
    <row r="107" spans="1:13">
      <c r="A107" t="s">
        <v>280</v>
      </c>
      <c r="B107" s="33">
        <f>'KY_Cost Plant Acct-Elec-P14(Fin'!B106</f>
        <v>1810217.09</v>
      </c>
      <c r="C107" s="33"/>
      <c r="D107" s="33">
        <f>'KY_Cost Plant Acct-Elec-P14(Fin'!D106</f>
        <v>-311154.54000000004</v>
      </c>
      <c r="E107" s="33"/>
      <c r="F107" s="33">
        <f>'KY_Cost Plant Acct-Elec-P14(Fin'!F106</f>
        <v>0</v>
      </c>
      <c r="G107" s="33"/>
      <c r="H107" s="33">
        <f>'KY_Cost Plant Acct-Elec-P14(Fin'!H106</f>
        <v>0</v>
      </c>
      <c r="I107" s="33"/>
      <c r="J107" s="33">
        <f t="shared" si="14"/>
        <v>-311154.54000000004</v>
      </c>
      <c r="K107" s="33"/>
      <c r="L107" s="33">
        <f t="shared" si="15"/>
        <v>1499062.55</v>
      </c>
    </row>
    <row r="108" spans="1:13">
      <c r="A108" t="s">
        <v>308</v>
      </c>
      <c r="B108" s="33">
        <f>'KY_Cost Plant Acct-Elec-P14(Fin'!B107</f>
        <v>180402.7200000002</v>
      </c>
      <c r="C108" s="33"/>
      <c r="D108" s="33">
        <f>'KY_Cost Plant Acct-Elec-P14(Fin'!D107</f>
        <v>-66321.460000000006</v>
      </c>
      <c r="E108" s="33"/>
      <c r="F108" s="33">
        <f>'KY_Cost Plant Acct-Elec-P14(Fin'!F107</f>
        <v>0</v>
      </c>
      <c r="G108" s="33"/>
      <c r="H108" s="33">
        <f>'KY_Cost Plant Acct-Elec-P14(Fin'!H107</f>
        <v>0</v>
      </c>
      <c r="I108" s="33"/>
      <c r="J108" s="33">
        <f t="shared" si="14"/>
        <v>-66321.460000000006</v>
      </c>
      <c r="K108" s="33"/>
      <c r="L108" s="33">
        <f t="shared" si="15"/>
        <v>114081.2600000002</v>
      </c>
    </row>
    <row r="109" spans="1:13">
      <c r="A109" t="s">
        <v>310</v>
      </c>
      <c r="B109" s="33">
        <v>0</v>
      </c>
      <c r="C109" s="33"/>
      <c r="D109" s="33">
        <f>'KY_Cost Plant Acct-Elec-P14(Fin'!D108</f>
        <v>0</v>
      </c>
      <c r="E109" s="33"/>
      <c r="F109" s="33">
        <f>'KY_Cost Plant Acct-Elec-P14(Fin'!F108</f>
        <v>0</v>
      </c>
      <c r="G109" s="33"/>
      <c r="H109" s="33">
        <f>'KY_Cost Plant Acct-Elec-P14(Fin'!H108</f>
        <v>0</v>
      </c>
      <c r="I109" s="33"/>
      <c r="J109" s="33">
        <f t="shared" si="14"/>
        <v>0</v>
      </c>
      <c r="K109" s="33"/>
      <c r="L109" s="33">
        <f t="shared" si="15"/>
        <v>0</v>
      </c>
    </row>
    <row r="110" spans="1:13">
      <c r="A110" t="s">
        <v>311</v>
      </c>
      <c r="B110" s="33">
        <f>'KY_Cost Plant Acct-Elec-P14(Fin'!B109</f>
        <v>284472.80000000028</v>
      </c>
      <c r="C110" s="33"/>
      <c r="D110" s="33">
        <f>'KY_Cost Plant Acct-Elec-P14(Fin'!D109</f>
        <v>291528.45</v>
      </c>
      <c r="E110" s="33"/>
      <c r="F110" s="33">
        <f>'KY_Cost Plant Acct-Elec-P14(Fin'!F109</f>
        <v>0</v>
      </c>
      <c r="G110" s="33"/>
      <c r="H110" s="33">
        <f>'KY_Cost Plant Acct-Elec-P14(Fin'!H109</f>
        <v>0</v>
      </c>
      <c r="I110" s="33"/>
      <c r="J110" s="33">
        <f t="shared" si="14"/>
        <v>291528.45</v>
      </c>
      <c r="K110" s="33"/>
      <c r="L110" s="33">
        <f t="shared" si="15"/>
        <v>576001.25000000023</v>
      </c>
    </row>
    <row r="111" spans="1:13">
      <c r="A111" t="s">
        <v>312</v>
      </c>
      <c r="B111" s="35">
        <f>'KY_Cost Plant Acct-Elec-P14(Fin'!B110</f>
        <v>79325.920000000217</v>
      </c>
      <c r="C111" s="37"/>
      <c r="D111" s="35">
        <f>'KY_Cost Plant Acct-Elec-P14(Fin'!D110</f>
        <v>33794.600000000006</v>
      </c>
      <c r="E111" s="37"/>
      <c r="F111" s="35">
        <f>'KY_Cost Plant Acct-Elec-P14(Fin'!F110</f>
        <v>0</v>
      </c>
      <c r="G111" s="37"/>
      <c r="H111" s="35">
        <f>'KY_Cost Plant Acct-Elec-P14(Fin'!H110</f>
        <v>0</v>
      </c>
      <c r="I111" s="37"/>
      <c r="J111" s="35">
        <f t="shared" si="14"/>
        <v>33794.600000000006</v>
      </c>
      <c r="K111" s="37"/>
      <c r="L111" s="35">
        <f t="shared" si="15"/>
        <v>113120.52000000022</v>
      </c>
      <c r="M111" s="7"/>
    </row>
    <row r="112" spans="1:13">
      <c r="B112" s="37">
        <f>SUM(B101:B111)</f>
        <v>23212235.539999999</v>
      </c>
      <c r="C112" s="37"/>
      <c r="D112" s="37">
        <f>SUM(D101:D111)</f>
        <v>11845832.109999998</v>
      </c>
      <c r="E112" s="37"/>
      <c r="F112" s="37">
        <f>SUM(F101:F111)</f>
        <v>0</v>
      </c>
      <c r="G112" s="37"/>
      <c r="H112" s="37">
        <f>SUM(H101:H111)</f>
        <v>0</v>
      </c>
      <c r="I112" s="37"/>
      <c r="J112" s="37">
        <f>SUM(J101:J111)</f>
        <v>11845832.109999998</v>
      </c>
      <c r="K112" s="37"/>
      <c r="L112" s="37">
        <f>SUM(L101:L111)</f>
        <v>35058067.649999999</v>
      </c>
      <c r="M112" s="7"/>
    </row>
    <row r="113" spans="1:13">
      <c r="B113" s="37"/>
      <c r="C113" s="37"/>
      <c r="D113" s="37"/>
      <c r="E113" s="37"/>
      <c r="F113" s="37"/>
      <c r="G113" s="37"/>
      <c r="H113" s="37"/>
      <c r="I113" s="37"/>
      <c r="J113" s="37"/>
      <c r="K113" s="37"/>
      <c r="L113" s="37"/>
      <c r="M113" s="7"/>
    </row>
    <row r="114" spans="1:13">
      <c r="A114" s="3" t="s">
        <v>813</v>
      </c>
      <c r="B114" s="37"/>
      <c r="C114" s="37"/>
      <c r="D114" s="37"/>
      <c r="E114" s="37"/>
      <c r="F114" s="37"/>
      <c r="G114" s="37"/>
      <c r="H114" s="37"/>
      <c r="I114" s="37"/>
      <c r="J114" s="37"/>
      <c r="K114" s="37"/>
      <c r="L114" s="37"/>
      <c r="M114" s="7"/>
    </row>
    <row r="115" spans="1:13">
      <c r="A115" t="s">
        <v>316</v>
      </c>
      <c r="B115" s="37">
        <f>'KY_Cost Plant Acct-Elec-P14(Fin'!B114</f>
        <v>0</v>
      </c>
      <c r="C115" s="37"/>
      <c r="D115" s="37">
        <f>'KY_Cost Plant Acct-Elec-P14(Fin'!D114</f>
        <v>63825.04</v>
      </c>
      <c r="E115" s="37"/>
      <c r="F115" s="37">
        <f>'KY_Cost Plant Acct-Elec-P14(Fin'!F114</f>
        <v>0</v>
      </c>
      <c r="G115" s="37"/>
      <c r="H115" s="37">
        <f>'KY_Cost Plant Acct-Elec-P14(Fin'!H114</f>
        <v>0</v>
      </c>
      <c r="I115" s="37"/>
      <c r="J115" s="37">
        <f>D115+F115+H115</f>
        <v>63825.04</v>
      </c>
      <c r="K115" s="37"/>
      <c r="L115" s="37">
        <f>J115+B115</f>
        <v>63825.04</v>
      </c>
      <c r="M115" s="7"/>
    </row>
    <row r="116" spans="1:13">
      <c r="A116" t="s">
        <v>973</v>
      </c>
      <c r="B116" s="37">
        <f>'KY_Cost Plant Acct-Elec-P14(Fin'!B115</f>
        <v>6763.2200000000084</v>
      </c>
      <c r="C116" s="37"/>
      <c r="D116" s="37">
        <f>'KY_Cost Plant Acct-Elec-P14(Fin'!D115</f>
        <v>0</v>
      </c>
      <c r="E116" s="37"/>
      <c r="F116" s="37">
        <f>'KY_Cost Plant Acct-Elec-P14(Fin'!F115</f>
        <v>0</v>
      </c>
      <c r="G116" s="37"/>
      <c r="H116" s="37">
        <f>'KY_Cost Plant Acct-Elec-P14(Fin'!H115</f>
        <v>0</v>
      </c>
      <c r="I116" s="37"/>
      <c r="J116" s="37">
        <f>D116+F116+H116</f>
        <v>0</v>
      </c>
      <c r="K116" s="37"/>
      <c r="L116" s="37">
        <f>J116+B116</f>
        <v>6763.2200000000084</v>
      </c>
      <c r="M116" s="7"/>
    </row>
    <row r="117" spans="1:13">
      <c r="A117" t="s">
        <v>320</v>
      </c>
      <c r="B117" s="37">
        <f>+'KY_Cost Plant Acct-Elec-P14(Fin'!B116</f>
        <v>0</v>
      </c>
      <c r="C117" s="37"/>
      <c r="D117" s="37">
        <f>+'KY_Cost Plant Acct-Elec-P14(Fin'!D116</f>
        <v>0</v>
      </c>
      <c r="E117" s="37"/>
      <c r="F117" s="37">
        <f>+'KY_Cost Plant Acct-Elec-P14(Fin'!F116</f>
        <v>0</v>
      </c>
      <c r="G117" s="37"/>
      <c r="H117" s="37">
        <f>+'KY_Cost Plant Acct-Elec-P14(Fin'!H116</f>
        <v>0</v>
      </c>
      <c r="I117" s="37"/>
      <c r="J117" s="37">
        <f>D117+F117+H117</f>
        <v>0</v>
      </c>
      <c r="K117" s="37"/>
      <c r="L117" s="37">
        <f>J117+B117</f>
        <v>0</v>
      </c>
      <c r="M117" s="7"/>
    </row>
    <row r="118" spans="1:13">
      <c r="B118" s="302">
        <f>SUM(B115:B117)</f>
        <v>6763.2200000000084</v>
      </c>
      <c r="C118" s="37"/>
      <c r="D118" s="302">
        <f>SUM(D115:D117)</f>
        <v>63825.04</v>
      </c>
      <c r="E118" s="37"/>
      <c r="F118" s="302">
        <f>SUM(F115:F117)</f>
        <v>0</v>
      </c>
      <c r="G118" s="37"/>
      <c r="H118" s="302">
        <f>SUM(H115:H117)</f>
        <v>0</v>
      </c>
      <c r="I118" s="37"/>
      <c r="J118" s="302">
        <f>SUM(J115:J117)</f>
        <v>63825.04</v>
      </c>
      <c r="K118" s="37"/>
      <c r="L118" s="302">
        <f>SUM(L115:L117)</f>
        <v>70588.260000000009</v>
      </c>
      <c r="M118" s="7"/>
    </row>
    <row r="119" spans="1:13">
      <c r="B119" s="37"/>
      <c r="C119" s="37"/>
      <c r="D119" s="37"/>
      <c r="E119" s="37"/>
      <c r="F119" s="37"/>
      <c r="G119" s="37"/>
      <c r="H119" s="37"/>
      <c r="I119" s="37"/>
      <c r="J119" s="37"/>
      <c r="K119" s="37"/>
      <c r="L119" s="37"/>
      <c r="M119" s="7"/>
    </row>
    <row r="120" spans="1:13">
      <c r="A120" s="3" t="s">
        <v>809</v>
      </c>
      <c r="B120" s="37"/>
      <c r="C120" s="37"/>
      <c r="D120" s="37"/>
      <c r="E120" s="37"/>
      <c r="F120" s="37"/>
      <c r="G120" s="37"/>
      <c r="H120" s="37"/>
      <c r="I120" s="37"/>
      <c r="J120" s="37"/>
      <c r="K120" s="37"/>
      <c r="L120" s="37"/>
      <c r="M120" s="7"/>
    </row>
    <row r="121" spans="1:13">
      <c r="A121" t="s">
        <v>574</v>
      </c>
      <c r="B121" s="37">
        <f>'KY_Cost Plant Acct-Elec-P14(Fin'!B120</f>
        <v>16456.36</v>
      </c>
      <c r="C121" s="37"/>
      <c r="D121" s="37">
        <f>'KY_Cost Plant Acct-Elec-P14(Fin'!D120</f>
        <v>-16456.36</v>
      </c>
      <c r="E121" s="37"/>
      <c r="F121" s="37">
        <f>'KY_Cost Plant Acct-Elec-P14(Fin'!F120</f>
        <v>0</v>
      </c>
      <c r="G121" s="37"/>
      <c r="H121" s="37">
        <f>'KY_Cost Plant Acct-Elec-P14(Fin'!H120</f>
        <v>0</v>
      </c>
      <c r="I121" s="37"/>
      <c r="J121" s="37">
        <f>D121+F121+H121</f>
        <v>-16456.36</v>
      </c>
      <c r="K121" s="37"/>
      <c r="L121" s="37">
        <f>J121+B121</f>
        <v>0</v>
      </c>
      <c r="M121" s="7"/>
    </row>
    <row r="122" spans="1:13">
      <c r="A122" t="s">
        <v>575</v>
      </c>
      <c r="B122" s="37">
        <f>'KY_Cost Plant Acct-Elec-P14(Fin'!B121</f>
        <v>0</v>
      </c>
      <c r="C122" s="37"/>
      <c r="D122" s="37">
        <f>'KY_Cost Plant Acct-Elec-P14(Fin'!D121</f>
        <v>0</v>
      </c>
      <c r="E122" s="37"/>
      <c r="F122" s="37">
        <f>'KY_Cost Plant Acct-Elec-P14(Fin'!F121</f>
        <v>0</v>
      </c>
      <c r="G122" s="37"/>
      <c r="H122" s="37">
        <f>'KY_Cost Plant Acct-Elec-P14(Fin'!H121</f>
        <v>0</v>
      </c>
      <c r="I122" s="37"/>
      <c r="J122" s="37">
        <f>D122+F122+H122</f>
        <v>0</v>
      </c>
      <c r="K122" s="37"/>
      <c r="L122" s="37">
        <f>J122+B122</f>
        <v>0</v>
      </c>
      <c r="M122" s="7"/>
    </row>
    <row r="123" spans="1:13">
      <c r="A123" t="s">
        <v>576</v>
      </c>
      <c r="B123" s="37">
        <f>'KY_Cost Plant Acct-Elec-P14(Fin'!B122</f>
        <v>0</v>
      </c>
      <c r="C123" s="37"/>
      <c r="D123" s="37">
        <f>'KY_Cost Plant Acct-Elec-P14(Fin'!D122</f>
        <v>0</v>
      </c>
      <c r="E123" s="37"/>
      <c r="F123" s="37">
        <f>'KY_Cost Plant Acct-Elec-P14(Fin'!F122</f>
        <v>0</v>
      </c>
      <c r="G123" s="37"/>
      <c r="H123" s="37">
        <f>'KY_Cost Plant Acct-Elec-P14(Fin'!H122</f>
        <v>0</v>
      </c>
      <c r="I123" s="37"/>
      <c r="J123" s="37">
        <f>D123+F123+H123</f>
        <v>0</v>
      </c>
      <c r="K123" s="37"/>
      <c r="L123" s="37">
        <f>J123+B123</f>
        <v>0</v>
      </c>
      <c r="M123" s="7"/>
    </row>
    <row r="124" spans="1:13" s="7" customFormat="1">
      <c r="A124" s="7" t="s">
        <v>577</v>
      </c>
      <c r="B124" s="37">
        <f>'KY_Cost Plant Acct-Elec-P14(Fin'!B122</f>
        <v>0</v>
      </c>
      <c r="C124" s="37"/>
      <c r="D124" s="37">
        <f>'KY_Cost Plant Acct-Elec-P14(Fin'!D123</f>
        <v>0</v>
      </c>
      <c r="E124" s="37"/>
      <c r="F124" s="37">
        <f>'KY_Cost Plant Acct-Elec-P14(Fin'!F122</f>
        <v>0</v>
      </c>
      <c r="G124" s="37"/>
      <c r="H124" s="37">
        <f>'KY_Cost Plant Acct-Elec-P14(Fin'!H122</f>
        <v>0</v>
      </c>
      <c r="I124" s="37"/>
      <c r="J124" s="37">
        <f>D124+F124+H124</f>
        <v>0</v>
      </c>
      <c r="K124" s="37"/>
      <c r="L124" s="37">
        <f>J124+B124</f>
        <v>0</v>
      </c>
    </row>
    <row r="125" spans="1:13">
      <c r="A125" t="s">
        <v>23</v>
      </c>
      <c r="B125" s="35">
        <v>0</v>
      </c>
      <c r="C125" s="37"/>
      <c r="D125" s="35">
        <f>'KY_Cost Plant Acct-Elec-P14(Fin'!D124</f>
        <v>0</v>
      </c>
      <c r="E125" s="37"/>
      <c r="F125" s="35">
        <f>'KY_Cost Plant Acct-Elec-P14(Fin'!F123</f>
        <v>0</v>
      </c>
      <c r="G125" s="37"/>
      <c r="H125" s="35">
        <f>'KY_Cost Plant Acct-Elec-P14(Fin'!H123</f>
        <v>0</v>
      </c>
      <c r="I125" s="37"/>
      <c r="J125" s="35">
        <f>D125+F125+H125</f>
        <v>0</v>
      </c>
      <c r="K125" s="37"/>
      <c r="L125" s="35">
        <f>J125+B125</f>
        <v>0</v>
      </c>
      <c r="M125" s="7"/>
    </row>
    <row r="126" spans="1:13">
      <c r="B126" s="37">
        <f>SUM(B121:B125)</f>
        <v>16456.36</v>
      </c>
      <c r="C126" s="37"/>
      <c r="D126" s="37">
        <f>SUM(D121:D125)</f>
        <v>-16456.36</v>
      </c>
      <c r="E126" s="37"/>
      <c r="F126" s="37">
        <f>SUM(F121:F125)</f>
        <v>0</v>
      </c>
      <c r="G126" s="37"/>
      <c r="H126" s="37">
        <f>SUM(H121:H125)</f>
        <v>0</v>
      </c>
      <c r="I126" s="37"/>
      <c r="J126" s="37">
        <f>SUM(J121:J125)</f>
        <v>-16456.36</v>
      </c>
      <c r="K126" s="37"/>
      <c r="L126" s="37">
        <f>SUM(L121:L125)</f>
        <v>0</v>
      </c>
      <c r="M126" s="7"/>
    </row>
    <row r="127" spans="1:13">
      <c r="B127" s="37"/>
      <c r="C127" s="37"/>
      <c r="D127" s="37"/>
      <c r="E127" s="37"/>
      <c r="F127" s="37"/>
      <c r="G127" s="37"/>
      <c r="H127" s="37"/>
      <c r="I127" s="37"/>
      <c r="J127" s="37"/>
      <c r="K127" s="37"/>
      <c r="L127" s="37"/>
      <c r="M127" s="7"/>
    </row>
    <row r="128" spans="1:13">
      <c r="A128" s="3" t="s">
        <v>811</v>
      </c>
      <c r="B128" s="37"/>
      <c r="C128" s="37"/>
      <c r="D128" s="37"/>
      <c r="E128" s="37"/>
      <c r="F128" s="37"/>
      <c r="G128" s="37"/>
      <c r="H128" s="37"/>
      <c r="I128" s="37"/>
      <c r="J128" s="37"/>
      <c r="K128" s="37"/>
      <c r="L128" s="37"/>
      <c r="M128" s="7"/>
    </row>
    <row r="129" spans="1:13">
      <c r="A129" t="s">
        <v>288</v>
      </c>
      <c r="B129" s="37">
        <v>0</v>
      </c>
      <c r="C129" s="37"/>
      <c r="D129" s="37">
        <f>'KY_Cost Plant Acct-Elec-P14(Fin'!D128</f>
        <v>0</v>
      </c>
      <c r="E129" s="37"/>
      <c r="F129" s="37">
        <v>0</v>
      </c>
      <c r="G129" s="37"/>
      <c r="H129" s="37">
        <v>0</v>
      </c>
      <c r="I129" s="37"/>
      <c r="J129" s="37">
        <f>D129+F129+H129</f>
        <v>0</v>
      </c>
      <c r="K129" s="37"/>
      <c r="L129" s="37">
        <f>J129+B129</f>
        <v>0</v>
      </c>
      <c r="M129" s="7"/>
    </row>
    <row r="130" spans="1:13">
      <c r="A130" t="s">
        <v>289</v>
      </c>
      <c r="B130" s="37">
        <f>'KY_Cost Plant Acct-Elec-P14(Fin'!B129</f>
        <v>3518129.62</v>
      </c>
      <c r="C130" s="37"/>
      <c r="D130" s="37">
        <f>'KY_Cost Plant Acct-Elec-P14(Fin'!D129</f>
        <v>-3067054.75</v>
      </c>
      <c r="E130" s="37"/>
      <c r="F130" s="37">
        <f>'KY_Cost Plant Acct-Elec-P14(Fin'!F129</f>
        <v>0</v>
      </c>
      <c r="G130" s="37"/>
      <c r="H130" s="37">
        <f>'KY_Cost Plant Acct-Elec-P14(Fin'!H129</f>
        <v>0</v>
      </c>
      <c r="I130" s="37"/>
      <c r="J130" s="37">
        <f>D130+F130+H130</f>
        <v>-3067054.75</v>
      </c>
      <c r="K130" s="37"/>
      <c r="L130" s="37">
        <f>J130+B130</f>
        <v>451074.87000000011</v>
      </c>
      <c r="M130" s="7"/>
    </row>
    <row r="131" spans="1:13">
      <c r="A131" t="s">
        <v>290</v>
      </c>
      <c r="B131" s="37">
        <f>'KY_Cost Plant Acct-Elec-P14(Fin'!B130</f>
        <v>0</v>
      </c>
      <c r="C131" s="37"/>
      <c r="D131" s="37">
        <f>'KY_Cost Plant Acct-Elec-P14(Fin'!D130</f>
        <v>0</v>
      </c>
      <c r="E131" s="37"/>
      <c r="F131" s="37">
        <f>'KY_Cost Plant Acct-Elec-P14(Fin'!F130</f>
        <v>0</v>
      </c>
      <c r="G131" s="37"/>
      <c r="H131" s="37">
        <f>'KY_Cost Plant Acct-Elec-P14(Fin'!H130</f>
        <v>0</v>
      </c>
      <c r="I131" s="37"/>
      <c r="J131" s="37">
        <f>D131+F131+H131</f>
        <v>0</v>
      </c>
      <c r="K131" s="37"/>
      <c r="L131" s="37">
        <f>J131+B131</f>
        <v>0</v>
      </c>
      <c r="M131" s="7"/>
    </row>
    <row r="132" spans="1:13">
      <c r="A132" t="s">
        <v>975</v>
      </c>
      <c r="B132" s="37">
        <v>0</v>
      </c>
      <c r="C132" s="37"/>
      <c r="D132" s="37">
        <f>'KY_Cost Plant Acct-Elec-P14(Fin'!D131</f>
        <v>136309.91</v>
      </c>
      <c r="E132" s="37"/>
      <c r="F132" s="37">
        <f>'KY_Cost Plant Acct-Elec-P14(Fin'!F130</f>
        <v>0</v>
      </c>
      <c r="G132" s="37"/>
      <c r="H132" s="37">
        <f>'KY_Cost Plant Acct-Elec-P14(Fin'!H130</f>
        <v>0</v>
      </c>
      <c r="I132" s="37"/>
      <c r="J132" s="37">
        <f>D132+F132+H132</f>
        <v>136309.91</v>
      </c>
      <c r="K132" s="37"/>
      <c r="L132" s="37">
        <f>J132+B132</f>
        <v>136309.91</v>
      </c>
      <c r="M132" s="7"/>
    </row>
    <row r="133" spans="1:13">
      <c r="A133" t="s">
        <v>82</v>
      </c>
      <c r="B133" s="35">
        <f>'KY_Cost Plant Acct-Elec-P14(Fin'!B131</f>
        <v>17830.119999999908</v>
      </c>
      <c r="C133" s="37"/>
      <c r="D133" s="35">
        <f>'KY_Cost Plant Acct-Elec-P14(Fin'!D132</f>
        <v>0</v>
      </c>
      <c r="E133" s="37"/>
      <c r="F133" s="35">
        <f>'KY_Cost Plant Acct-Elec-P14(Fin'!F131</f>
        <v>0</v>
      </c>
      <c r="G133" s="37"/>
      <c r="H133" s="35">
        <f>'KY_Cost Plant Acct-Elec-P14(Fin'!H131</f>
        <v>0</v>
      </c>
      <c r="I133" s="37"/>
      <c r="J133" s="35">
        <f>D133+F133+H133</f>
        <v>0</v>
      </c>
      <c r="K133" s="37"/>
      <c r="L133" s="35">
        <f>J133+B133</f>
        <v>17830.119999999908</v>
      </c>
      <c r="M133" s="7"/>
    </row>
    <row r="134" spans="1:13">
      <c r="B134" s="37">
        <f>SUM(B129:B133)</f>
        <v>3535959.74</v>
      </c>
      <c r="C134" s="37"/>
      <c r="D134" s="37">
        <f>SUM(D129:D133)</f>
        <v>-2930744.84</v>
      </c>
      <c r="E134" s="37"/>
      <c r="F134" s="37">
        <f>SUM(F129:F133)</f>
        <v>0</v>
      </c>
      <c r="G134" s="37"/>
      <c r="H134" s="37">
        <f>SUM(H129:H133)</f>
        <v>0</v>
      </c>
      <c r="I134" s="37"/>
      <c r="J134" s="37">
        <f>SUM(J129:J133)</f>
        <v>-2930744.84</v>
      </c>
      <c r="K134" s="37"/>
      <c r="L134" s="37">
        <f>SUM(L129:L133)</f>
        <v>605214.9</v>
      </c>
      <c r="M134" s="7"/>
    </row>
    <row r="135" spans="1:13">
      <c r="A135" s="3" t="s">
        <v>812</v>
      </c>
      <c r="B135" s="37"/>
      <c r="C135" s="37"/>
      <c r="D135" s="37"/>
      <c r="E135" s="37"/>
      <c r="F135" s="37"/>
      <c r="G135" s="37"/>
      <c r="H135" s="37"/>
      <c r="I135" s="37"/>
      <c r="J135" s="37"/>
      <c r="K135" s="37"/>
      <c r="L135" s="37"/>
      <c r="M135" s="7"/>
    </row>
    <row r="136" spans="1:13">
      <c r="A136" t="s">
        <v>832</v>
      </c>
      <c r="B136" s="37">
        <f>'KY_Cost Plant Acct-Elec-P14(Fin'!B135</f>
        <v>1432534.8899999997</v>
      </c>
      <c r="C136" s="37"/>
      <c r="D136" s="37">
        <f>'KY_Cost Plant Acct-Elec-P14(Fin'!D135</f>
        <v>-237023.64</v>
      </c>
      <c r="E136" s="37"/>
      <c r="F136" s="37">
        <f>'KY_Cost Plant Acct-Elec-P14(Fin'!F135</f>
        <v>0</v>
      </c>
      <c r="G136" s="37"/>
      <c r="H136" s="37">
        <f>'KY_Cost Plant Acct-Elec-P14(Fin'!H135</f>
        <v>0</v>
      </c>
      <c r="I136" s="37"/>
      <c r="J136" s="37">
        <f t="shared" ref="J136:J141" si="16">D136+F136+H136</f>
        <v>-237023.64</v>
      </c>
      <c r="K136" s="37"/>
      <c r="L136" s="37">
        <f t="shared" ref="L136:L141" si="17">J136+B136</f>
        <v>1195511.2499999995</v>
      </c>
      <c r="M136" s="7"/>
    </row>
    <row r="137" spans="1:13">
      <c r="A137" t="s">
        <v>1454</v>
      </c>
      <c r="B137" s="37">
        <f>'KY_Cost Plant Acct-Elec-P14(Fin'!B136</f>
        <v>11254466.49</v>
      </c>
      <c r="C137" s="37"/>
      <c r="D137" s="37">
        <f>'KY_Cost Plant Acct-Elec-P14(Fin'!D136</f>
        <v>0</v>
      </c>
      <c r="E137" s="37"/>
      <c r="F137" s="37">
        <f>'KY_Cost Plant Acct-Elec-P14(Fin'!F136</f>
        <v>0</v>
      </c>
      <c r="G137" s="37"/>
      <c r="H137" s="37">
        <f>'KY_Cost Plant Acct-Elec-P14(Fin'!H136</f>
        <v>0</v>
      </c>
      <c r="I137" s="37"/>
      <c r="J137" s="37">
        <f t="shared" si="16"/>
        <v>0</v>
      </c>
      <c r="K137" s="37"/>
      <c r="L137" s="37">
        <f t="shared" si="17"/>
        <v>11254466.49</v>
      </c>
      <c r="M137" s="7"/>
    </row>
    <row r="138" spans="1:13">
      <c r="A138" t="s">
        <v>834</v>
      </c>
      <c r="B138" s="37">
        <f>'KY_Cost Plant Acct-Elec-P14(Fin'!B137</f>
        <v>20282374.520000011</v>
      </c>
      <c r="C138" s="37"/>
      <c r="D138" s="37">
        <f>'KY_Cost Plant Acct-Elec-P14(Fin'!D137</f>
        <v>-6120002.8899999997</v>
      </c>
      <c r="E138" s="37"/>
      <c r="F138" s="37">
        <f>'KY_Cost Plant Acct-Elec-P14(Fin'!F137</f>
        <v>0</v>
      </c>
      <c r="G138" s="37"/>
      <c r="H138" s="37">
        <f>'KY_Cost Plant Acct-Elec-P14(Fin'!H137</f>
        <v>0</v>
      </c>
      <c r="I138" s="37"/>
      <c r="J138" s="37">
        <f t="shared" si="16"/>
        <v>-6120002.8899999997</v>
      </c>
      <c r="K138" s="37"/>
      <c r="L138" s="37">
        <f t="shared" si="17"/>
        <v>14162371.63000001</v>
      </c>
      <c r="M138" s="7"/>
    </row>
    <row r="139" spans="1:13">
      <c r="A139" t="s">
        <v>836</v>
      </c>
      <c r="B139" s="37">
        <f>'KY_Cost Plant Acct-Elec-P14(Fin'!B138</f>
        <v>5880853.620000001</v>
      </c>
      <c r="C139" s="37"/>
      <c r="D139" s="37">
        <f>'KY_Cost Plant Acct-Elec-P14(Fin'!D138</f>
        <v>-2900324.8</v>
      </c>
      <c r="E139" s="37"/>
      <c r="F139" s="37">
        <f>'KY_Cost Plant Acct-Elec-P14(Fin'!F138</f>
        <v>0</v>
      </c>
      <c r="G139" s="37"/>
      <c r="H139" s="37">
        <f>'KY_Cost Plant Acct-Elec-P14(Fin'!H138</f>
        <v>0</v>
      </c>
      <c r="I139" s="37"/>
      <c r="J139" s="37">
        <f t="shared" si="16"/>
        <v>-2900324.8</v>
      </c>
      <c r="K139" s="37"/>
      <c r="L139" s="37">
        <f t="shared" si="17"/>
        <v>2980528.8200000012</v>
      </c>
      <c r="M139" s="7"/>
    </row>
    <row r="140" spans="1:13">
      <c r="A140" t="s">
        <v>837</v>
      </c>
      <c r="B140" s="37">
        <f>'KY_Cost Plant Acct-Elec-P14(Fin'!B139</f>
        <v>2321591.8699999987</v>
      </c>
      <c r="C140" s="37"/>
      <c r="D140" s="37">
        <f>'KY_Cost Plant Acct-Elec-P14(Fin'!D139</f>
        <v>-2130633.9099999997</v>
      </c>
      <c r="E140" s="37"/>
      <c r="F140" s="37">
        <f>'KY_Cost Plant Acct-Elec-P14(Fin'!F139</f>
        <v>0</v>
      </c>
      <c r="G140" s="37"/>
      <c r="H140" s="37">
        <f>'KY_Cost Plant Acct-Elec-P14(Fin'!H139</f>
        <v>0</v>
      </c>
      <c r="I140" s="37"/>
      <c r="J140" s="37">
        <f t="shared" si="16"/>
        <v>-2130633.9099999997</v>
      </c>
      <c r="K140" s="37"/>
      <c r="L140" s="37">
        <f t="shared" si="17"/>
        <v>190957.95999999903</v>
      </c>
      <c r="M140" s="7"/>
    </row>
    <row r="141" spans="1:13">
      <c r="A141" t="s">
        <v>838</v>
      </c>
      <c r="B141" s="35">
        <f>'KY_Cost Plant Acct-Elec-P14(Fin'!B140</f>
        <v>69853.190000000177</v>
      </c>
      <c r="C141" s="37"/>
      <c r="D141" s="35">
        <f>'KY_Cost Plant Acct-Elec-P14(Fin'!D140</f>
        <v>100372.01999999999</v>
      </c>
      <c r="E141" s="37"/>
      <c r="F141" s="35">
        <f>'KY_Cost Plant Acct-Elec-P14(Fin'!F140</f>
        <v>0</v>
      </c>
      <c r="G141" s="37"/>
      <c r="H141" s="35">
        <f>'KY_Cost Plant Acct-Elec-P14(Fin'!H140</f>
        <v>0</v>
      </c>
      <c r="I141" s="37"/>
      <c r="J141" s="35">
        <f t="shared" si="16"/>
        <v>100372.01999999999</v>
      </c>
      <c r="K141" s="37"/>
      <c r="L141" s="35">
        <f t="shared" si="17"/>
        <v>170225.21000000017</v>
      </c>
      <c r="M141" s="7"/>
    </row>
    <row r="142" spans="1:13">
      <c r="B142" s="37">
        <f>SUM(B136:B141)</f>
        <v>41241674.580000006</v>
      </c>
      <c r="C142" s="37"/>
      <c r="D142" s="37">
        <f>SUM(D136:D141)</f>
        <v>-11287613.219999999</v>
      </c>
      <c r="E142" s="37"/>
      <c r="F142" s="37">
        <f>SUM(F136:F141)</f>
        <v>0</v>
      </c>
      <c r="G142" s="37"/>
      <c r="H142" s="37">
        <f>SUM(H136:H141)</f>
        <v>0</v>
      </c>
      <c r="I142" s="37"/>
      <c r="J142" s="37">
        <f>SUM(J136:J141)</f>
        <v>-11287613.219999999</v>
      </c>
      <c r="K142" s="37"/>
      <c r="L142" s="37">
        <f>SUM(L136:L141)</f>
        <v>29954061.360000014</v>
      </c>
      <c r="M142" s="7"/>
    </row>
    <row r="143" spans="1:13">
      <c r="B143" s="37"/>
      <c r="C143" s="37"/>
      <c r="D143" s="37"/>
      <c r="E143" s="37"/>
      <c r="F143" s="37"/>
      <c r="G143" s="37"/>
      <c r="H143" s="37"/>
      <c r="I143" s="37"/>
      <c r="J143" s="37"/>
      <c r="K143" s="37"/>
      <c r="L143" s="37"/>
      <c r="M143" s="7"/>
    </row>
    <row r="144" spans="1:13">
      <c r="A144" s="3" t="s">
        <v>814</v>
      </c>
      <c r="B144" s="37"/>
      <c r="C144" s="37"/>
      <c r="D144" s="37"/>
      <c r="E144" s="37"/>
      <c r="F144" s="37"/>
      <c r="G144" s="37"/>
      <c r="H144" s="37"/>
      <c r="I144" s="37"/>
      <c r="J144" s="37"/>
      <c r="K144" s="37"/>
      <c r="L144" s="37"/>
      <c r="M144" s="7"/>
    </row>
    <row r="145" spans="1:13">
      <c r="A145" t="s">
        <v>6</v>
      </c>
      <c r="B145" s="37">
        <f>'KY_Cost Plant Acct-Elec-P14(Fin'!B144</f>
        <v>0</v>
      </c>
      <c r="C145" s="37"/>
      <c r="D145" s="37">
        <f>'KY_Cost Plant Acct-Elec-P14(Fin'!D144</f>
        <v>0</v>
      </c>
      <c r="E145" s="37"/>
      <c r="F145" s="37">
        <f>'KY_Cost Plant Acct-Elec-P14(Fin'!F144</f>
        <v>0</v>
      </c>
      <c r="G145" s="37"/>
      <c r="H145" s="37">
        <f>'KY_Cost Plant Acct-Elec-P14(Fin'!H144</f>
        <v>0</v>
      </c>
      <c r="I145" s="37"/>
      <c r="J145" s="37">
        <f t="shared" ref="J145:J150" si="18">D145+F145+H145</f>
        <v>0</v>
      </c>
      <c r="K145" s="37"/>
      <c r="L145" s="37">
        <f t="shared" ref="L145:L150" si="19">J145+B145</f>
        <v>0</v>
      </c>
      <c r="M145" s="7"/>
    </row>
    <row r="146" spans="1:13">
      <c r="A146" t="s">
        <v>7</v>
      </c>
      <c r="B146" s="37">
        <f>'KY_Cost Plant Acct-Elec-P14(Fin'!B145</f>
        <v>1716.5</v>
      </c>
      <c r="C146" s="37"/>
      <c r="D146" s="37">
        <f>'KY_Cost Plant Acct-Elec-P14(Fin'!D145</f>
        <v>-1716.5</v>
      </c>
      <c r="E146" s="37"/>
      <c r="F146" s="37">
        <f>'KY_Cost Plant Acct-Elec-P14(Fin'!F145</f>
        <v>0</v>
      </c>
      <c r="G146" s="37"/>
      <c r="H146" s="37">
        <f>'KY_Cost Plant Acct-Elec-P14(Fin'!H145</f>
        <v>0</v>
      </c>
      <c r="I146" s="37"/>
      <c r="J146" s="37">
        <f t="shared" si="18"/>
        <v>-1716.5</v>
      </c>
      <c r="K146" s="37"/>
      <c r="L146" s="37">
        <f t="shared" si="19"/>
        <v>0</v>
      </c>
      <c r="M146" s="7"/>
    </row>
    <row r="147" spans="1:13">
      <c r="A147" t="s">
        <v>8</v>
      </c>
      <c r="B147" s="37">
        <f>'KY_Cost Plant Acct-Elec-P14(Fin'!B146+'IN_Cost Plant Acct-Elec-P16(Fin'!B30</f>
        <v>6400314.0199999996</v>
      </c>
      <c r="C147" s="37"/>
      <c r="D147" s="37">
        <f>'KY_Cost Plant Acct-Elec-P14(Fin'!D146+'IN_Cost Plant Acct-Elec-P16(Fin'!D30</f>
        <v>-1308523.53</v>
      </c>
      <c r="E147" s="37"/>
      <c r="F147" s="37">
        <f>'KY_Cost Plant Acct-Elec-P14(Fin'!F146+'IN_Cost Plant Acct-Elec-P16(Fin'!F30</f>
        <v>0</v>
      </c>
      <c r="G147" s="37"/>
      <c r="H147" s="37">
        <f>'KY_Cost Plant Acct-Elec-P14(Fin'!H146+'IN_Cost Plant Acct-Elec-P16(Fin'!H30</f>
        <v>0</v>
      </c>
      <c r="I147" s="37"/>
      <c r="J147" s="37">
        <f t="shared" si="18"/>
        <v>-1308523.53</v>
      </c>
      <c r="K147" s="37"/>
      <c r="L147" s="37">
        <f t="shared" si="19"/>
        <v>5091790.4899999993</v>
      </c>
      <c r="M147" s="7"/>
    </row>
    <row r="148" spans="1:13">
      <c r="A148" t="s">
        <v>9</v>
      </c>
      <c r="B148" s="37">
        <f>'IN_Cost Plant Acct-Elec-P16(Fin'!B31+'KY_Cost Plant Acct-Elec-P14(Fin'!B147</f>
        <v>15536786.550000001</v>
      </c>
      <c r="C148" s="37"/>
      <c r="D148" s="37">
        <f>'IN_Cost Plant Acct-Elec-P16(Fin'!D31+'KY_Cost Plant Acct-Elec-P14(Fin'!D147</f>
        <v>3194592.1100000003</v>
      </c>
      <c r="E148" s="37"/>
      <c r="F148" s="37">
        <f>'IN_Cost Plant Acct-Elec-P16(Fin'!F31</f>
        <v>0</v>
      </c>
      <c r="G148" s="37"/>
      <c r="H148" s="37">
        <f>'IN_Cost Plant Acct-Elec-P16(Fin'!H31</f>
        <v>0</v>
      </c>
      <c r="I148" s="37"/>
      <c r="J148" s="37">
        <f t="shared" si="18"/>
        <v>3194592.1100000003</v>
      </c>
      <c r="K148" s="37"/>
      <c r="L148" s="37">
        <f t="shared" si="19"/>
        <v>18731378.66</v>
      </c>
      <c r="M148" s="7"/>
    </row>
    <row r="149" spans="1:13">
      <c r="A149" t="s">
        <v>10</v>
      </c>
      <c r="B149" s="37">
        <f>'KY_Cost Plant Acct-Elec-P14(Fin'!B148+'IN_Cost Plant Acct-Elec-P16(Fin'!B32</f>
        <v>9540815.8499999978</v>
      </c>
      <c r="C149" s="37"/>
      <c r="D149" s="37">
        <f>'KY_Cost Plant Acct-Elec-P14(Fin'!D148+'IN_Cost Plant Acct-Elec-P16(Fin'!D32</f>
        <v>-354711.22</v>
      </c>
      <c r="E149" s="37"/>
      <c r="F149" s="37">
        <f>'KY_Cost Plant Acct-Elec-P14(Fin'!F148+'IN_Cost Plant Acct-Elec-P16(Fin'!F32</f>
        <v>0</v>
      </c>
      <c r="G149" s="37"/>
      <c r="H149" s="37">
        <f>'KY_Cost Plant Acct-Elec-P14(Fin'!H148+'IN_Cost Plant Acct-Elec-P16(Fin'!H32</f>
        <v>0</v>
      </c>
      <c r="I149" s="37"/>
      <c r="J149" s="37">
        <f t="shared" si="18"/>
        <v>-354711.22</v>
      </c>
      <c r="K149" s="37"/>
      <c r="L149" s="37">
        <f t="shared" si="19"/>
        <v>9186104.6299999971</v>
      </c>
      <c r="M149" s="7"/>
    </row>
    <row r="150" spans="1:13">
      <c r="A150" t="s">
        <v>11</v>
      </c>
      <c r="B150" s="35">
        <f>'KY_Cost Plant Acct-Elec-P14(Fin'!B149+'IN_Cost Plant Acct-Elec-P16(Fin'!B33</f>
        <v>6229150.0999999996</v>
      </c>
      <c r="C150" s="37"/>
      <c r="D150" s="35">
        <f>'KY_Cost Plant Acct-Elec-P14(Fin'!D149+'IN_Cost Plant Acct-Elec-P16(Fin'!D33</f>
        <v>22585.070000000003</v>
      </c>
      <c r="E150" s="37"/>
      <c r="F150" s="35">
        <f>'KY_Cost Plant Acct-Elec-P14(Fin'!F149+'IN_Cost Plant Acct-Elec-P16(Fin'!F33</f>
        <v>0</v>
      </c>
      <c r="G150" s="37"/>
      <c r="H150" s="35">
        <f>'KY_Cost Plant Acct-Elec-P14(Fin'!H149+'IN_Cost Plant Acct-Elec-P16(Fin'!H33</f>
        <v>0</v>
      </c>
      <c r="I150" s="37"/>
      <c r="J150" s="35">
        <f t="shared" si="18"/>
        <v>22585.070000000003</v>
      </c>
      <c r="K150" s="37"/>
      <c r="L150" s="35">
        <f t="shared" si="19"/>
        <v>6251735.1699999999</v>
      </c>
      <c r="M150" s="7"/>
    </row>
    <row r="151" spans="1:13">
      <c r="B151" s="37">
        <f>SUM(B145:B150)</f>
        <v>37708783.019999996</v>
      </c>
      <c r="C151" s="37"/>
      <c r="D151" s="37">
        <f>SUM(D145:D150)</f>
        <v>1552225.9300000004</v>
      </c>
      <c r="E151" s="37"/>
      <c r="F151" s="37">
        <f>SUM(F147:F150)</f>
        <v>0</v>
      </c>
      <c r="G151" s="37"/>
      <c r="H151" s="37">
        <f>SUM(H147:H150)</f>
        <v>0</v>
      </c>
      <c r="I151" s="37"/>
      <c r="J151" s="37">
        <f>SUM(J145:J150)</f>
        <v>1552225.9300000004</v>
      </c>
      <c r="K151" s="37"/>
      <c r="L151" s="37">
        <f>SUM(L145:L150)</f>
        <v>39261008.949999996</v>
      </c>
      <c r="M151" s="7"/>
    </row>
    <row r="152" spans="1:13">
      <c r="B152" s="37"/>
      <c r="C152" s="37"/>
      <c r="D152" s="37"/>
      <c r="E152" s="37"/>
      <c r="F152" s="37"/>
      <c r="G152" s="37"/>
      <c r="H152" s="37"/>
      <c r="I152" s="37"/>
      <c r="J152" s="37"/>
      <c r="K152" s="37"/>
      <c r="L152" s="37"/>
      <c r="M152" s="7"/>
    </row>
    <row r="153" spans="1:13">
      <c r="B153" s="33"/>
      <c r="C153" s="33"/>
      <c r="D153" s="33"/>
      <c r="E153" s="33"/>
      <c r="F153" s="33"/>
      <c r="G153" s="33"/>
      <c r="H153" s="33"/>
      <c r="I153" s="33"/>
      <c r="J153" s="33"/>
      <c r="K153" s="33"/>
      <c r="L153" s="33"/>
    </row>
    <row r="154" spans="1:13">
      <c r="A154" s="3" t="s">
        <v>690</v>
      </c>
      <c r="B154" s="34">
        <f>B151+B142+B118+B112+B134+B126</f>
        <v>105721872.45999998</v>
      </c>
      <c r="C154" s="37"/>
      <c r="D154" s="34">
        <f>D151+D142+D118+D112+D134+D126</f>
        <v>-772931.3400000023</v>
      </c>
      <c r="E154" s="37"/>
      <c r="F154" s="34">
        <f>F151+F142+F118+F112+F134+F126</f>
        <v>0</v>
      </c>
      <c r="G154" s="37"/>
      <c r="H154" s="34">
        <f>H151+H142+H118+H112+H134+H126</f>
        <v>0</v>
      </c>
      <c r="I154" s="37"/>
      <c r="J154" s="34">
        <f>J151+J142+J118+J112+J134+J126</f>
        <v>-772931.3400000023</v>
      </c>
      <c r="K154" s="37"/>
      <c r="L154" s="34">
        <f>L151+L142+L118+L112+L134+L126</f>
        <v>104948941.12</v>
      </c>
    </row>
    <row r="156" spans="1:13" ht="13.5" thickBot="1">
      <c r="A156" s="3" t="s">
        <v>825</v>
      </c>
      <c r="B156" s="92">
        <f>B154+B96</f>
        <v>3732085368.79</v>
      </c>
      <c r="D156" s="92">
        <f>D154+D96</f>
        <v>45695390.369999997</v>
      </c>
      <c r="F156" s="92">
        <f>F154+F96</f>
        <v>-5225562.08</v>
      </c>
      <c r="H156" s="92">
        <f>H154+H96</f>
        <v>21903.139999999981</v>
      </c>
      <c r="J156" s="92">
        <f>J154+J96</f>
        <v>40491731.429999992</v>
      </c>
      <c r="L156" s="92">
        <f>L154+L96</f>
        <v>3772577100.2200003</v>
      </c>
    </row>
    <row r="157" spans="1:13" ht="13.5" thickTop="1">
      <c r="B157" s="89"/>
    </row>
    <row r="158" spans="1:13">
      <c r="B158" s="89">
        <f>+B156-'KY_Total Elec PIS_NBV-P13 (Fin)'!B96-'IN_Total PIS_Elec_NBV-P15 (Fin)'!B25</f>
        <v>-3.7997961044311523E-7</v>
      </c>
      <c r="D158" s="89">
        <f>+D156-'KY_Total Elec PIS_NBV-P13 (Fin)'!D96-'IN_Total PIS_Elec_NBV-P15 (Fin)'!D25</f>
        <v>-4.1723069443833083E-9</v>
      </c>
      <c r="F158" s="89">
        <f>+F156-'KY_Total Elec PIS_NBV-P13 (Fin)'!F96-'IN_Total PIS_Elec_NBV-P15 (Fin)'!F25</f>
        <v>0</v>
      </c>
      <c r="H158" s="89">
        <f>+H156-'KY_Total Elec PIS_NBV-P13 (Fin)'!H96-'IN_Total PIS_Elec_NBV-P15 (Fin)'!H25</f>
        <v>0</v>
      </c>
      <c r="J158" s="89">
        <f>+J156-'KY_Total Elec PIS_NBV-P13 (Fin)'!J96-'IN_Total PIS_Elec_NBV-P15 (Fin)'!J25</f>
        <v>-1.9073468138230965E-8</v>
      </c>
      <c r="L158" s="89">
        <f>+L156-'KY_Total Elec PIS_NBV-P13 (Fin)'!L96-'IN_Total PIS_Elec_NBV-P15 (Fin)'!L25</f>
        <v>5.5879354476928711E-7</v>
      </c>
    </row>
  </sheetData>
  <sortState ref="A24:M26">
    <sortCondition ref="A24"/>
  </sortState>
  <customSheetViews>
    <customSheetView guid="{6B74E52F-9552-408A-8775-25AFF24E6639}" scale="75" showPageBreaks="1" showRuler="0">
      <selection activeCell="A4" sqref="A4"/>
      <rowBreaks count="1" manualBreakCount="1">
        <brk id="105" max="16383" man="1"/>
      </rowBreaks>
      <pageMargins left="0.75" right="0.75" top="1" bottom="1" header="0.5" footer="0.5"/>
      <pageSetup scale="64" fitToHeight="3" orientation="landscape" r:id="rId1"/>
      <headerFooter alignWithMargins="0">
        <oddFooter>&amp;L&amp;Z
&amp;F&amp;C&amp;A&amp;R12.&amp;P</oddFooter>
      </headerFooter>
    </customSheetView>
  </customSheetViews>
  <mergeCells count="3">
    <mergeCell ref="A1:M1"/>
    <mergeCell ref="A2:M2"/>
    <mergeCell ref="A3:M3"/>
  </mergeCells>
  <phoneticPr fontId="0" type="noConversion"/>
  <pageMargins left="0.75" right="0.75" top="1" bottom="1" header="0.5" footer="0.5"/>
  <pageSetup scale="64" fitToHeight="3" orientation="landscape" r:id="rId2"/>
  <headerFooter alignWithMargins="0">
    <oddFooter>&amp;L&amp;Z
&amp;F&amp;C&amp;A&amp;R12.&amp;P</oddFooter>
  </headerFooter>
  <rowBreaks count="1" manualBreakCount="1">
    <brk id="107" max="16383" man="1"/>
  </rowBreaks>
</worksheet>
</file>

<file path=xl/worksheets/sheet99.xml><?xml version="1.0" encoding="utf-8"?>
<worksheet xmlns="http://schemas.openxmlformats.org/spreadsheetml/2006/main" xmlns:r="http://schemas.openxmlformats.org/officeDocument/2006/relationships">
  <sheetPr codeName="Sheet68">
    <pageSetUpPr fitToPage="1"/>
  </sheetPr>
  <dimension ref="A1:P130"/>
  <sheetViews>
    <sheetView zoomScaleNormal="100" workbookViewId="0">
      <selection sqref="A1:P1"/>
    </sheetView>
  </sheetViews>
  <sheetFormatPr defaultRowHeight="12.75"/>
  <cols>
    <col min="1" max="1" width="50.85546875" bestFit="1" customWidth="1"/>
    <col min="2" max="2" width="17.7109375" customWidth="1"/>
    <col min="3" max="3" width="1.7109375" customWidth="1"/>
    <col min="4" max="4" width="17.7109375" customWidth="1"/>
    <col min="5" max="5" width="1.7109375" customWidth="1"/>
    <col min="6" max="6" width="17.7109375" customWidth="1"/>
    <col min="7" max="7" width="1.7109375" customWidth="1"/>
    <col min="8" max="8" width="17.7109375" customWidth="1"/>
    <col min="9" max="9" width="1.7109375" customWidth="1"/>
    <col min="10" max="10" width="17.7109375" customWidth="1"/>
    <col min="11" max="11" width="1.5703125" customWidth="1"/>
    <col min="12" max="12" width="17.7109375" customWidth="1"/>
    <col min="13" max="13" width="1.7109375" customWidth="1"/>
    <col min="14" max="14" width="21.85546875" customWidth="1"/>
    <col min="15" max="15" width="2.7109375" customWidth="1"/>
    <col min="16" max="16" width="23.140625" bestFit="1" customWidth="1"/>
  </cols>
  <sheetData>
    <row r="1" spans="1:16" s="38" customFormat="1" ht="15.75">
      <c r="A1" s="366" t="s">
        <v>134</v>
      </c>
      <c r="B1" s="366"/>
      <c r="C1" s="366"/>
      <c r="D1" s="366"/>
      <c r="E1" s="366"/>
      <c r="F1" s="366"/>
      <c r="G1" s="366"/>
      <c r="H1" s="366"/>
      <c r="I1" s="366"/>
      <c r="J1" s="366"/>
      <c r="K1" s="366"/>
      <c r="L1" s="366"/>
      <c r="M1" s="366"/>
      <c r="N1" s="366"/>
      <c r="O1" s="366"/>
      <c r="P1" s="366"/>
    </row>
    <row r="2" spans="1:16" s="38" customFormat="1" ht="15.75">
      <c r="A2" s="366" t="s">
        <v>1221</v>
      </c>
      <c r="B2" s="366"/>
      <c r="C2" s="366"/>
      <c r="D2" s="366"/>
      <c r="E2" s="366"/>
      <c r="F2" s="366"/>
      <c r="G2" s="366"/>
      <c r="H2" s="366"/>
      <c r="I2" s="366"/>
      <c r="J2" s="366"/>
      <c r="K2" s="366"/>
      <c r="L2" s="366"/>
      <c r="M2" s="366"/>
      <c r="N2" s="366"/>
      <c r="O2" s="366"/>
      <c r="P2" s="366"/>
    </row>
    <row r="3" spans="1:16">
      <c r="A3" s="357" t="str">
        <f>'Summary - Cost - PG 1 (Fin)'!A3:N3</f>
        <v>MARCH 2012</v>
      </c>
      <c r="B3" s="357"/>
      <c r="C3" s="357"/>
      <c r="D3" s="357"/>
      <c r="E3" s="357"/>
      <c r="F3" s="357"/>
      <c r="G3" s="357"/>
      <c r="H3" s="357"/>
      <c r="I3" s="357"/>
      <c r="J3" s="357"/>
      <c r="K3" s="357"/>
      <c r="L3" s="357"/>
      <c r="M3" s="357"/>
      <c r="N3" s="357"/>
      <c r="O3" s="357"/>
      <c r="P3" s="357"/>
    </row>
    <row r="4" spans="1:16">
      <c r="A4" s="30"/>
      <c r="B4" s="30"/>
      <c r="C4" s="30"/>
      <c r="D4" s="30"/>
      <c r="E4" s="30"/>
      <c r="F4" s="30"/>
      <c r="G4" s="30"/>
      <c r="H4" s="30"/>
      <c r="I4" s="30"/>
      <c r="J4" s="30"/>
      <c r="K4" s="30"/>
      <c r="L4" s="30"/>
    </row>
    <row r="6" spans="1:16">
      <c r="B6" s="41" t="s">
        <v>25</v>
      </c>
      <c r="D6" s="45"/>
      <c r="F6" s="45"/>
      <c r="H6" s="41" t="s">
        <v>612</v>
      </c>
      <c r="J6" s="41" t="s">
        <v>147</v>
      </c>
      <c r="K6" s="45"/>
      <c r="L6" s="41" t="s">
        <v>26</v>
      </c>
      <c r="P6" s="29" t="s">
        <v>422</v>
      </c>
    </row>
    <row r="7" spans="1:16" s="10" customFormat="1">
      <c r="B7" s="42" t="s">
        <v>27</v>
      </c>
      <c r="C7"/>
      <c r="D7" s="42" t="s">
        <v>107</v>
      </c>
      <c r="E7"/>
      <c r="F7" s="42" t="s">
        <v>108</v>
      </c>
      <c r="G7"/>
      <c r="H7" s="42" t="s">
        <v>613</v>
      </c>
      <c r="I7"/>
      <c r="J7" s="42" t="s">
        <v>109</v>
      </c>
      <c r="K7" s="54"/>
      <c r="L7" s="42" t="s">
        <v>27</v>
      </c>
      <c r="N7" s="42" t="s">
        <v>46</v>
      </c>
      <c r="P7" s="42" t="s">
        <v>419</v>
      </c>
    </row>
    <row r="8" spans="1:16" s="10" customFormat="1">
      <c r="A8" s="12" t="s">
        <v>296</v>
      </c>
      <c r="B8" s="54"/>
      <c r="C8"/>
      <c r="D8" s="54"/>
      <c r="E8"/>
      <c r="F8" s="54"/>
      <c r="G8"/>
      <c r="H8" s="54"/>
      <c r="I8"/>
      <c r="J8" s="54"/>
      <c r="K8" s="54"/>
      <c r="L8" s="54"/>
    </row>
    <row r="9" spans="1:16" s="10" customFormat="1">
      <c r="A9" s="12" t="s">
        <v>420</v>
      </c>
      <c r="B9"/>
      <c r="C9"/>
      <c r="D9"/>
      <c r="E9"/>
      <c r="F9"/>
      <c r="G9"/>
      <c r="H9"/>
      <c r="I9"/>
      <c r="J9"/>
      <c r="K9"/>
      <c r="L9"/>
    </row>
    <row r="10" spans="1:16" s="10" customFormat="1">
      <c r="A10" s="12" t="s">
        <v>691</v>
      </c>
      <c r="B10"/>
      <c r="C10"/>
      <c r="D10"/>
      <c r="E10"/>
      <c r="F10"/>
      <c r="G10"/>
      <c r="H10"/>
      <c r="I10"/>
      <c r="J10"/>
      <c r="K10"/>
      <c r="L10"/>
    </row>
    <row r="11" spans="1:16">
      <c r="A11" t="s">
        <v>274</v>
      </c>
      <c r="B11" s="45">
        <f>'KY_Cost Plant Acct-Elec-P14(Fin'!B11</f>
        <v>4110848.6500000004</v>
      </c>
      <c r="C11" s="45"/>
      <c r="D11" s="45">
        <f>'KY_Cost Plant Acct-Elec-P14(Fin'!D11</f>
        <v>1215889.1399999999</v>
      </c>
      <c r="E11" s="45"/>
      <c r="F11" s="45">
        <f>'KY_Cost Plant Acct-Elec-P14(Fin'!F11</f>
        <v>0</v>
      </c>
      <c r="G11" s="45"/>
      <c r="H11" s="45">
        <f>'KY_Cost Plant Acct-Elec-P14(Fin'!H11</f>
        <v>21926.880000000001</v>
      </c>
      <c r="I11" s="45"/>
      <c r="J11" s="45">
        <f>H11+F11+D11</f>
        <v>1237816.0199999998</v>
      </c>
      <c r="K11" s="45"/>
      <c r="L11" s="45">
        <f>B11+J11</f>
        <v>5348664.67</v>
      </c>
      <c r="N11" s="89">
        <v>0</v>
      </c>
      <c r="P11" s="89">
        <f>L11+N11</f>
        <v>5348664.67</v>
      </c>
    </row>
    <row r="12" spans="1:16">
      <c r="A12" t="s">
        <v>275</v>
      </c>
      <c r="B12" s="45">
        <f>'KY_Cost Plant Acct-Elec-P14(Fin'!B12+'KY_Cost Plant Acct-Elec-P14(Fin'!B100</f>
        <v>4257660.38</v>
      </c>
      <c r="C12" s="45"/>
      <c r="D12" s="45">
        <f>'KY_Cost Plant Acct-Elec-P14(Fin'!D12+'KY_Cost Plant Acct-Elec-P14(Fin'!D100</f>
        <v>630992.79</v>
      </c>
      <c r="E12" s="45"/>
      <c r="F12" s="45">
        <f>'KY_Cost Plant Acct-Elec-P14(Fin'!F12</f>
        <v>-398.73</v>
      </c>
      <c r="G12" s="45"/>
      <c r="H12" s="45">
        <f>'KY_Cost Plant Acct-Elec-P14(Fin'!H12</f>
        <v>0</v>
      </c>
      <c r="I12" s="45"/>
      <c r="J12" s="45">
        <f t="shared" ref="J12:J23" si="0">H12+F12+D12</f>
        <v>630594.06000000006</v>
      </c>
      <c r="K12" s="45"/>
      <c r="L12" s="45">
        <f t="shared" ref="L12:L23" si="1">B12+J12</f>
        <v>4888254.4399999995</v>
      </c>
      <c r="N12" s="89">
        <f>'KY_Res by Plant Acct-P29 (Fin)'!R12</f>
        <v>-1942935.9400000004</v>
      </c>
      <c r="P12" s="89">
        <f t="shared" ref="P12:P23" si="2">L12+N12</f>
        <v>2945318.4999999991</v>
      </c>
    </row>
    <row r="13" spans="1:16">
      <c r="A13" t="s">
        <v>12</v>
      </c>
      <c r="B13" s="45">
        <f>'KY_Cost Plant Acct-Elec-P14(Fin'!B13+'KY_Cost Plant Acct-Elec-P14(Fin'!B101</f>
        <v>106268031.20999999</v>
      </c>
      <c r="C13" s="45"/>
      <c r="D13" s="45">
        <f>'KY_Cost Plant Acct-Elec-P14(Fin'!D13+'KY_Cost Plant Acct-Elec-P14(Fin'!D101</f>
        <v>8577547.4700000007</v>
      </c>
      <c r="E13" s="45"/>
      <c r="F13" s="45">
        <f>'KY_Cost Plant Acct-Elec-P14(Fin'!F13</f>
        <v>-81652.69</v>
      </c>
      <c r="G13" s="45"/>
      <c r="H13" s="45">
        <f>'KY_Cost Plant Acct-Elec-P14(Fin'!H13</f>
        <v>0</v>
      </c>
      <c r="I13" s="45"/>
      <c r="J13" s="45">
        <f t="shared" si="0"/>
        <v>8495894.7800000012</v>
      </c>
      <c r="K13" s="45"/>
      <c r="L13" s="45">
        <f t="shared" si="1"/>
        <v>114763925.98999999</v>
      </c>
      <c r="N13" s="89">
        <f>'KY_Res by Plant Acct-P29 (Fin)'!R13</f>
        <v>-37681795.190000005</v>
      </c>
      <c r="P13" s="89">
        <f t="shared" si="2"/>
        <v>77082130.799999982</v>
      </c>
    </row>
    <row r="14" spans="1:16">
      <c r="A14" t="s">
        <v>276</v>
      </c>
      <c r="B14" s="45">
        <f>'KY_Cost Plant Acct-Elec-P14(Fin'!B14+'KY_Cost Plant Acct-Elec-P14(Fin'!B102</f>
        <v>135482459.5</v>
      </c>
      <c r="C14" s="45"/>
      <c r="D14" s="45">
        <f>'KY_Cost Plant Acct-Elec-P14(Fin'!D14+'KY_Cost Plant Acct-Elec-P14(Fin'!D102</f>
        <v>5215663.3899999997</v>
      </c>
      <c r="E14" s="45"/>
      <c r="F14" s="45">
        <f>'KY_Cost Plant Acct-Elec-P14(Fin'!F14</f>
        <v>-326986.91000000003</v>
      </c>
      <c r="G14" s="45"/>
      <c r="H14" s="45">
        <f>'KY_Cost Plant Acct-Elec-P14(Fin'!H14</f>
        <v>0</v>
      </c>
      <c r="I14" s="45"/>
      <c r="J14" s="45">
        <f t="shared" si="0"/>
        <v>4888676.4799999995</v>
      </c>
      <c r="K14" s="45"/>
      <c r="L14" s="45">
        <f t="shared" si="1"/>
        <v>140371135.97999999</v>
      </c>
      <c r="N14" s="89">
        <f>'KY_Res by Plant Acct-P29 (Fin)'!R15</f>
        <v>-68496632.25</v>
      </c>
      <c r="P14" s="89">
        <f t="shared" si="2"/>
        <v>71874503.729999989</v>
      </c>
    </row>
    <row r="15" spans="1:16">
      <c r="A15" t="s">
        <v>277</v>
      </c>
      <c r="B15" s="45">
        <f>'KY_Cost Plant Acct-Elec-P14(Fin'!B15+'KY_Cost Plant Acct-Elec-P14(Fin'!B103</f>
        <v>234012661.33999997</v>
      </c>
      <c r="C15" s="45"/>
      <c r="D15" s="45">
        <f>'KY_Cost Plant Acct-Elec-P14(Fin'!D15+'KY_Cost Plant Acct-Elec-P14(Fin'!D103</f>
        <v>8164745.4199999999</v>
      </c>
      <c r="E15" s="45"/>
      <c r="F15" s="45">
        <f>'KY_Cost Plant Acct-Elec-P14(Fin'!F15</f>
        <v>-626450.74</v>
      </c>
      <c r="G15" s="45"/>
      <c r="H15" s="45">
        <f>'KY_Cost Plant Acct-Elec-P14(Fin'!H15</f>
        <v>0</v>
      </c>
      <c r="I15" s="45"/>
      <c r="J15" s="45">
        <f t="shared" si="0"/>
        <v>7538294.6799999997</v>
      </c>
      <c r="K15" s="45"/>
      <c r="L15" s="45">
        <f t="shared" si="1"/>
        <v>241550956.01999998</v>
      </c>
      <c r="N15" s="89">
        <f>'KY_Res by Plant Acct-P29 (Fin)'!R16</f>
        <v>-97196894.709999993</v>
      </c>
      <c r="P15" s="89">
        <f t="shared" si="2"/>
        <v>144354061.31</v>
      </c>
    </row>
    <row r="16" spans="1:16">
      <c r="A16" t="s">
        <v>278</v>
      </c>
      <c r="B16" s="45">
        <f>'KY_Cost Plant Acct-Elec-P14(Fin'!B16+'KY_Cost Plant Acct-Elec-P14(Fin'!B104</f>
        <v>69528364.13000001</v>
      </c>
      <c r="C16" s="45"/>
      <c r="D16" s="45">
        <f>'KY_Cost Plant Acct-Elec-P14(Fin'!D16+'KY_Cost Plant Acct-Elec-P14(Fin'!D104</f>
        <v>-481806.15000000014</v>
      </c>
      <c r="E16" s="45"/>
      <c r="F16" s="45">
        <f>'KY_Cost Plant Acct-Elec-P14(Fin'!F16</f>
        <v>-12786.59</v>
      </c>
      <c r="G16" s="45"/>
      <c r="H16" s="45">
        <f>'KY_Cost Plant Acct-Elec-P14(Fin'!H16</f>
        <v>0</v>
      </c>
      <c r="I16" s="45"/>
      <c r="J16" s="45">
        <f t="shared" si="0"/>
        <v>-494592.74000000017</v>
      </c>
      <c r="K16" s="45"/>
      <c r="L16" s="45">
        <f t="shared" si="1"/>
        <v>69033771.390000015</v>
      </c>
      <c r="N16" s="89">
        <f>'KY_Res by Plant Acct-P29 (Fin)'!R17</f>
        <v>-26506072.880000003</v>
      </c>
      <c r="P16" s="89">
        <f t="shared" si="2"/>
        <v>42527698.510000013</v>
      </c>
    </row>
    <row r="17" spans="1:16">
      <c r="A17" t="s">
        <v>279</v>
      </c>
      <c r="B17" s="45">
        <f>'KY_Cost Plant Acct-Elec-P14(Fin'!B17+'KY_Cost Plant Acct-Elec-P14(Fin'!B105</f>
        <v>145471542.41</v>
      </c>
      <c r="C17" s="45"/>
      <c r="D17" s="45">
        <f>'KY_Cost Plant Acct-Elec-P14(Fin'!D17+'KY_Cost Plant Acct-Elec-P14(Fin'!D105</f>
        <v>4232644.41</v>
      </c>
      <c r="E17" s="45"/>
      <c r="F17" s="45">
        <f>'KY_Cost Plant Acct-Elec-P14(Fin'!F17</f>
        <v>-339046.76</v>
      </c>
      <c r="G17" s="45"/>
      <c r="H17" s="45">
        <f>'KY_Cost Plant Acct-Elec-P14(Fin'!H17</f>
        <v>0</v>
      </c>
      <c r="I17" s="45"/>
      <c r="J17" s="45">
        <f t="shared" si="0"/>
        <v>3893597.6500000004</v>
      </c>
      <c r="K17" s="45"/>
      <c r="L17" s="45">
        <f t="shared" si="1"/>
        <v>149365140.06</v>
      </c>
      <c r="N17" s="89">
        <f>'KY_Res by Plant Acct-P29 (Fin)'!R18</f>
        <v>-48417201.909999996</v>
      </c>
      <c r="P17" s="89">
        <f t="shared" si="2"/>
        <v>100947938.15000001</v>
      </c>
    </row>
    <row r="18" spans="1:16">
      <c r="A18" t="s">
        <v>280</v>
      </c>
      <c r="B18" s="45">
        <f>'KY_Cost Plant Acct-Elec-P14(Fin'!B18+'KY_Cost Plant Acct-Elec-P14(Fin'!B106</f>
        <v>140346229.93000001</v>
      </c>
      <c r="C18" s="45"/>
      <c r="D18" s="45">
        <f>'KY_Cost Plant Acct-Elec-P14(Fin'!D18+'KY_Cost Plant Acct-Elec-P14(Fin'!D106</f>
        <v>715224.80999999994</v>
      </c>
      <c r="E18" s="45"/>
      <c r="F18" s="45">
        <f>'KY_Cost Plant Acct-Elec-P14(Fin'!F18</f>
        <v>-74820.88</v>
      </c>
      <c r="G18" s="45"/>
      <c r="H18" s="45">
        <f>'KY_Cost Plant Acct-Elec-P14(Fin'!H18</f>
        <v>0</v>
      </c>
      <c r="I18" s="45"/>
      <c r="J18" s="45">
        <f t="shared" si="0"/>
        <v>640403.92999999993</v>
      </c>
      <c r="K18" s="45"/>
      <c r="L18" s="45">
        <f t="shared" si="1"/>
        <v>140986633.86000001</v>
      </c>
      <c r="N18" s="89">
        <f>'KY_Res by Plant Acct-P29 (Fin)'!R19</f>
        <v>-63826235.82</v>
      </c>
      <c r="P18" s="89">
        <f t="shared" si="2"/>
        <v>77160398.040000021</v>
      </c>
    </row>
    <row r="19" spans="1:16">
      <c r="A19" t="s">
        <v>308</v>
      </c>
      <c r="B19" s="45">
        <f>'KY_Cost Plant Acct-Elec-P14(Fin'!B19+'KY_Cost Plant Acct-Elec-P14(Fin'!B107</f>
        <v>6152801.5</v>
      </c>
      <c r="C19" s="45"/>
      <c r="D19" s="45">
        <f>'KY_Cost Plant Acct-Elec-P14(Fin'!D19+'KY_Cost Plant Acct-Elec-P14(Fin'!D107</f>
        <v>-64915.280000000006</v>
      </c>
      <c r="E19" s="45"/>
      <c r="F19" s="45">
        <f>'KY_Cost Plant Acct-Elec-P14(Fin'!F19</f>
        <v>-22925.47</v>
      </c>
      <c r="G19" s="45"/>
      <c r="H19" s="45">
        <f>'KY_Cost Plant Acct-Elec-P14(Fin'!H19</f>
        <v>0</v>
      </c>
      <c r="I19" s="45"/>
      <c r="J19" s="45">
        <f t="shared" si="0"/>
        <v>-87840.75</v>
      </c>
      <c r="K19" s="45"/>
      <c r="L19" s="45">
        <f t="shared" si="1"/>
        <v>6064960.75</v>
      </c>
      <c r="N19" s="89">
        <f>'KY_Res by Plant Acct-P29 (Fin)'!R20</f>
        <v>-1211657.2499999995</v>
      </c>
      <c r="P19" s="89">
        <f t="shared" si="2"/>
        <v>4853303.5</v>
      </c>
    </row>
    <row r="20" spans="1:16">
      <c r="A20" t="s">
        <v>309</v>
      </c>
      <c r="B20" s="45">
        <f>'KY_Cost Plant Acct-Elec-P14(Fin'!B20</f>
        <v>21115396.680000003</v>
      </c>
      <c r="C20" s="45"/>
      <c r="D20" s="45">
        <f>'KY_Cost Plant Acct-Elec-P14(Fin'!D20</f>
        <v>1247192.02</v>
      </c>
      <c r="E20" s="45"/>
      <c r="F20" s="45">
        <f>'KY_Cost Plant Acct-Elec-P14(Fin'!F20</f>
        <v>-20900.97</v>
      </c>
      <c r="G20" s="45"/>
      <c r="H20" s="45">
        <f>'KY_Cost Plant Acct-Elec-P14(Fin'!H20</f>
        <v>0</v>
      </c>
      <c r="I20" s="45"/>
      <c r="J20" s="45">
        <f t="shared" si="0"/>
        <v>1226291.05</v>
      </c>
      <c r="K20" s="45"/>
      <c r="L20" s="45">
        <f t="shared" si="1"/>
        <v>22341687.730000004</v>
      </c>
      <c r="N20" s="89">
        <f>'KY_Res by Plant Acct-P29 (Fin)'!R21</f>
        <v>-19661578.930000007</v>
      </c>
      <c r="P20" s="89">
        <f t="shared" si="2"/>
        <v>2680108.799999997</v>
      </c>
    </row>
    <row r="21" spans="1:16">
      <c r="A21" t="s">
        <v>310</v>
      </c>
      <c r="B21" s="45">
        <f>'KY_Cost Plant Acct-Elec-P14(Fin'!B21</f>
        <v>37655788.090000004</v>
      </c>
      <c r="C21" s="45"/>
      <c r="D21" s="45">
        <f>'KY_Cost Plant Acct-Elec-P14(Fin'!D21+'KY_Cost Plant Acct-Elec-P14(Fin'!D108</f>
        <v>469473.26</v>
      </c>
      <c r="E21" s="45"/>
      <c r="F21" s="45">
        <f>'KY_Cost Plant Acct-Elec-P14(Fin'!F21</f>
        <v>0</v>
      </c>
      <c r="G21" s="45"/>
      <c r="H21" s="45">
        <f>'KY_Cost Plant Acct-Elec-P14(Fin'!H21</f>
        <v>0</v>
      </c>
      <c r="I21" s="45"/>
      <c r="J21" s="45">
        <f t="shared" si="0"/>
        <v>469473.26</v>
      </c>
      <c r="K21" s="45"/>
      <c r="L21" s="45">
        <f t="shared" si="1"/>
        <v>38125261.350000001</v>
      </c>
      <c r="N21" s="89">
        <f>'KY_Res by Plant Acct-P29 (Fin)'!R22</f>
        <v>-20266671.299999997</v>
      </c>
      <c r="P21" s="89">
        <f t="shared" si="2"/>
        <v>17858590.050000004</v>
      </c>
    </row>
    <row r="22" spans="1:16">
      <c r="A22" t="s">
        <v>311</v>
      </c>
      <c r="B22" s="45">
        <f>'KY_Cost Plant Acct-Elec-P14(Fin'!B22+'KY_Cost Plant Acct-Elec-P14(Fin'!B109</f>
        <v>34508233.239999995</v>
      </c>
      <c r="C22" s="45"/>
      <c r="D22" s="45">
        <f>'KY_Cost Plant Acct-Elec-P14(Fin'!D109+'KY_Cost Plant Acct-Elec-P14(Fin'!D22</f>
        <v>1347188.3599999999</v>
      </c>
      <c r="E22" s="45"/>
      <c r="F22" s="45">
        <f>'KY_Cost Plant Acct-Elec-P14(Fin'!F22</f>
        <v>-225781.58</v>
      </c>
      <c r="G22" s="45"/>
      <c r="H22" s="45">
        <f>'KY_Cost Plant Acct-Elec-P14(Fin'!H22</f>
        <v>0</v>
      </c>
      <c r="I22" s="45"/>
      <c r="J22" s="45">
        <f t="shared" si="0"/>
        <v>1121406.7799999998</v>
      </c>
      <c r="K22" s="45"/>
      <c r="L22" s="45">
        <f t="shared" si="1"/>
        <v>35629640.019999996</v>
      </c>
      <c r="N22" s="89">
        <f>'KY_Res by Plant Acct-P29 (Fin)'!R23</f>
        <v>-12785140.440000005</v>
      </c>
      <c r="P22" s="89">
        <f t="shared" si="2"/>
        <v>22844499.579999991</v>
      </c>
    </row>
    <row r="23" spans="1:16">
      <c r="A23" t="s">
        <v>312</v>
      </c>
      <c r="B23" s="45">
        <f>'KY_Cost Plant Acct-Elec-P14(Fin'!B23+'KY_Cost Plant Acct-Elec-P14(Fin'!B110</f>
        <v>48188855.110000007</v>
      </c>
      <c r="C23" s="45"/>
      <c r="D23" s="45">
        <f>'KY_Cost Plant Acct-Elec-P14(Fin'!D23+'KY_Cost Plant Acct-Elec-P14(Fin'!D110</f>
        <v>793714.54999999993</v>
      </c>
      <c r="E23" s="45"/>
      <c r="F23" s="45">
        <f>'KY_Cost Plant Acct-Elec-P14(Fin'!F23</f>
        <v>-66541.540000000008</v>
      </c>
      <c r="G23" s="45"/>
      <c r="H23" s="45">
        <f>'KY_Cost Plant Acct-Elec-P14(Fin'!H23</f>
        <v>0</v>
      </c>
      <c r="I23" s="45"/>
      <c r="J23" s="45">
        <f t="shared" si="0"/>
        <v>727173.00999999989</v>
      </c>
      <c r="K23" s="45"/>
      <c r="L23" s="45">
        <f t="shared" si="1"/>
        <v>48916028.120000005</v>
      </c>
      <c r="N23" s="89">
        <f>'KY_Res by Plant Acct-P29 (Fin)'!R24</f>
        <v>-21621678.009999998</v>
      </c>
      <c r="P23" s="89">
        <f t="shared" si="2"/>
        <v>27294350.110000007</v>
      </c>
    </row>
    <row r="24" spans="1:16">
      <c r="A24" t="s">
        <v>313</v>
      </c>
      <c r="B24" s="45">
        <f>'KY_Cost Plant Acct-Elec-P14(Fin'!B24</f>
        <v>0</v>
      </c>
      <c r="C24" s="45"/>
      <c r="D24" s="45">
        <f>'KY_Cost Plant Acct-Elec-P14(Fin'!D24</f>
        <v>0</v>
      </c>
      <c r="E24" s="45"/>
      <c r="F24" s="45">
        <f>'KY_Cost Plant Acct-Elec-P14(Fin'!F24</f>
        <v>0</v>
      </c>
      <c r="G24" s="45"/>
      <c r="H24" s="45">
        <f>'KY_Cost Plant Acct-Elec-P14(Fin'!H24</f>
        <v>0</v>
      </c>
      <c r="I24" s="45"/>
      <c r="J24" s="45">
        <f>H24+F24+D24</f>
        <v>0</v>
      </c>
      <c r="K24" s="45"/>
      <c r="L24" s="45">
        <f>B24+J24</f>
        <v>0</v>
      </c>
      <c r="N24" s="89">
        <f>'KY_Res by Plant Acct-P29 (Fin)'!R25</f>
        <v>-96556.53</v>
      </c>
      <c r="P24" s="89">
        <f>L24+N24</f>
        <v>-96556.53</v>
      </c>
    </row>
    <row r="25" spans="1:16">
      <c r="A25" t="s">
        <v>314</v>
      </c>
      <c r="B25" s="325">
        <f>'KY_Cost Plant Acct-Elec-P14(Fin'!B25</f>
        <v>481206.24000000005</v>
      </c>
      <c r="C25" s="326"/>
      <c r="D25" s="325">
        <f>'KY_Cost Plant Acct-Elec-P14(Fin'!D25</f>
        <v>0</v>
      </c>
      <c r="E25" s="326"/>
      <c r="F25" s="325">
        <f>'KY_Cost Plant Acct-Elec-P14(Fin'!F25</f>
        <v>0</v>
      </c>
      <c r="G25" s="325"/>
      <c r="H25" s="325">
        <f>'KY_Cost Plant Acct-Elec-P14(Fin'!H25</f>
        <v>0</v>
      </c>
      <c r="I25" s="325"/>
      <c r="J25" s="325">
        <f>'KY_Cost Plant Acct-Elec-P14(Fin'!J25</f>
        <v>0</v>
      </c>
      <c r="K25" s="326"/>
      <c r="L25" s="325">
        <f>'KY_Cost Plant Acct-Elec-P14(Fin'!L25</f>
        <v>481206.24000000005</v>
      </c>
      <c r="N25" s="89">
        <f>'KY_Res by Plant Acct-P29 (Fin)'!R26</f>
        <v>-8798.8600000000679</v>
      </c>
      <c r="P25" s="89">
        <f>L25+N25</f>
        <v>472407.38</v>
      </c>
    </row>
    <row r="26" spans="1:16">
      <c r="A26" s="179" t="s">
        <v>1447</v>
      </c>
      <c r="B26" s="327">
        <f>'KY_Cost Plant Acct-Elec-P14(Fin'!B26</f>
        <v>145332.98000000001</v>
      </c>
      <c r="C26" s="325"/>
      <c r="D26" s="327">
        <f>'KY_Cost Plant Acct-Elec-P14(Fin'!D26</f>
        <v>0</v>
      </c>
      <c r="E26" s="325"/>
      <c r="F26" s="327">
        <f>'KY_Cost Plant Acct-Elec-P14(Fin'!F26</f>
        <v>0</v>
      </c>
      <c r="G26" s="45"/>
      <c r="H26" s="327">
        <f>'KY_Cost Plant Acct-Elec-P14(Fin'!H26</f>
        <v>-23.740000000019791</v>
      </c>
      <c r="I26" s="45"/>
      <c r="J26" s="327">
        <f>'KY_Cost Plant Acct-Elec-P14(Fin'!J26</f>
        <v>-23.740000000019791</v>
      </c>
      <c r="K26" s="325"/>
      <c r="L26" s="327">
        <f>'KY_Cost Plant Acct-Elec-P14(Fin'!L26</f>
        <v>145309.24</v>
      </c>
      <c r="N26" s="90">
        <f>'KY_Res by Plant Acct-P29 (Fin)'!R27</f>
        <v>-1564.88</v>
      </c>
      <c r="P26" s="90">
        <f>L26+N26</f>
        <v>143744.35999999999</v>
      </c>
    </row>
    <row r="27" spans="1:16">
      <c r="B27" s="52">
        <f>SUM(B11:B26)</f>
        <v>987725411.38999999</v>
      </c>
      <c r="C27" s="52"/>
      <c r="D27" s="52">
        <f>SUM(D11:D26)</f>
        <v>32063554.190000001</v>
      </c>
      <c r="E27" s="52"/>
      <c r="F27" s="52">
        <f>SUM(F11:F26)</f>
        <v>-1798292.8599999999</v>
      </c>
      <c r="G27" s="52"/>
      <c r="H27" s="52">
        <f>SUM(H11:H26)</f>
        <v>21903.139999999981</v>
      </c>
      <c r="I27" s="52"/>
      <c r="J27" s="52">
        <f>SUM(J11:J26)</f>
        <v>30287164.470000006</v>
      </c>
      <c r="K27" s="52"/>
      <c r="L27" s="52">
        <f>SUM(L11:L26)</f>
        <v>1018012575.86</v>
      </c>
      <c r="N27" s="52">
        <f>SUM(N11:N26)</f>
        <v>-419721414.89999998</v>
      </c>
      <c r="P27" s="52">
        <f>SUM(P11:P26)</f>
        <v>598291160.96000004</v>
      </c>
    </row>
    <row r="28" spans="1:16">
      <c r="B28" s="52"/>
      <c r="C28" s="52"/>
      <c r="D28" s="52"/>
      <c r="E28" s="52"/>
      <c r="F28" s="52"/>
      <c r="G28" s="52"/>
      <c r="H28" s="52"/>
      <c r="I28" s="52"/>
      <c r="J28" s="52"/>
      <c r="K28" s="52"/>
      <c r="L28" s="52"/>
    </row>
    <row r="29" spans="1:16">
      <c r="A29" s="12" t="s">
        <v>808</v>
      </c>
      <c r="B29" s="52"/>
      <c r="C29" s="52"/>
      <c r="D29" s="52"/>
      <c r="E29" s="52"/>
      <c r="F29" s="52"/>
      <c r="G29" s="52"/>
      <c r="H29" s="52"/>
      <c r="I29" s="52"/>
      <c r="J29" s="52"/>
      <c r="K29" s="52"/>
      <c r="L29" s="52"/>
    </row>
    <row r="30" spans="1:16">
      <c r="A30" t="s">
        <v>315</v>
      </c>
      <c r="B30" s="52">
        <f>'KY_Cost Plant Acct-Elec-P14(Fin'!B30</f>
        <v>8184185.2400000002</v>
      </c>
      <c r="C30" s="52"/>
      <c r="D30" s="52">
        <f>'KY_Cost Plant Acct-Elec-P14(Fin'!D30</f>
        <v>118725.14</v>
      </c>
      <c r="E30" s="52"/>
      <c r="F30" s="52">
        <f>'KY_Cost Plant Acct-Elec-P14(Fin'!F30</f>
        <v>-39209.64</v>
      </c>
      <c r="G30" s="52"/>
      <c r="H30" s="52">
        <f>'KY_Cost Plant Acct-Elec-P14(Fin'!H30</f>
        <v>0</v>
      </c>
      <c r="I30" s="52"/>
      <c r="J30" s="52">
        <f t="shared" ref="J30:J35" si="3">H30+F30+D30</f>
        <v>79515.5</v>
      </c>
      <c r="K30" s="52"/>
      <c r="L30" s="45">
        <f t="shared" ref="L30:L35" si="4">B30+J30</f>
        <v>8263700.7400000002</v>
      </c>
      <c r="N30" s="89">
        <f>'KY_Res by Plant Acct-P29 (Fin)'!R31</f>
        <v>-7176648.3900000025</v>
      </c>
      <c r="P30" s="89">
        <f t="shared" ref="P30:P35" si="5">L30+N30</f>
        <v>1087052.3499999978</v>
      </c>
    </row>
    <row r="31" spans="1:16">
      <c r="A31" t="s">
        <v>316</v>
      </c>
      <c r="B31" s="52">
        <f>'KY_Cost Plant Acct-Elec-P14(Fin'!B31+'KY_Cost Plant Acct-Elec-P14(Fin'!B114</f>
        <v>607413.67000000004</v>
      </c>
      <c r="C31" s="52"/>
      <c r="D31" s="52">
        <f>'KY_Cost Plant Acct-Elec-P14(Fin'!D31+'KY_Cost Plant Acct-Elec-P14(Fin'!D114</f>
        <v>75520.66</v>
      </c>
      <c r="E31" s="52"/>
      <c r="F31" s="52">
        <f>'KY_Cost Plant Acct-Elec-P14(Fin'!F31</f>
        <v>0</v>
      </c>
      <c r="G31" s="52"/>
      <c r="H31" s="52">
        <f>'KY_Cost Plant Acct-Elec-P14(Fin'!H31</f>
        <v>0</v>
      </c>
      <c r="I31" s="52"/>
      <c r="J31" s="52">
        <f t="shared" si="3"/>
        <v>75520.66</v>
      </c>
      <c r="K31" s="52"/>
      <c r="L31" s="45">
        <f t="shared" si="4"/>
        <v>682934.33000000007</v>
      </c>
      <c r="N31" s="89">
        <f>'KY_Res by Plant Acct-P29 (Fin)'!R32</f>
        <v>-263326.81</v>
      </c>
      <c r="P31" s="89">
        <f t="shared" si="5"/>
        <v>419607.52000000008</v>
      </c>
    </row>
    <row r="32" spans="1:16">
      <c r="A32" t="s">
        <v>317</v>
      </c>
      <c r="B32" s="52">
        <f>'KY_Cost Plant Acct-Elec-P14(Fin'!B32+'KY_Cost Plant Acct-Elec-P14(Fin'!B115</f>
        <v>4603923.59</v>
      </c>
      <c r="C32" s="52"/>
      <c r="D32" s="52">
        <f>'KY_Cost Plant Acct-Elec-P14(Fin'!D32+'KY_Cost Plant Acct-Elec-P14(Fin'!D115</f>
        <v>48831.4</v>
      </c>
      <c r="E32" s="52"/>
      <c r="F32" s="52">
        <f>'KY_Cost Plant Acct-Elec-P14(Fin'!F32</f>
        <v>0</v>
      </c>
      <c r="G32" s="52"/>
      <c r="H32" s="52">
        <f>'KY_Cost Plant Acct-Elec-P14(Fin'!H32</f>
        <v>0</v>
      </c>
      <c r="I32" s="52"/>
      <c r="J32" s="52">
        <f t="shared" si="3"/>
        <v>48831.4</v>
      </c>
      <c r="K32" s="52"/>
      <c r="L32" s="45">
        <f t="shared" si="4"/>
        <v>4652754.99</v>
      </c>
      <c r="N32" s="89">
        <f>'KY_Res by Plant Acct-P29 (Fin)'!R33</f>
        <v>-1558872.49</v>
      </c>
      <c r="P32" s="89">
        <f t="shared" si="5"/>
        <v>3093882.5</v>
      </c>
    </row>
    <row r="33" spans="1:16">
      <c r="A33" t="s">
        <v>318</v>
      </c>
      <c r="B33" s="52">
        <f>'KY_Cost Plant Acct-Elec-P14(Fin'!B33</f>
        <v>0</v>
      </c>
      <c r="C33" s="52"/>
      <c r="D33" s="52">
        <f>'KY_Cost Plant Acct-Elec-P14(Fin'!D33</f>
        <v>0</v>
      </c>
      <c r="E33" s="52"/>
      <c r="F33" s="52">
        <f>'KY_Cost Plant Acct-Elec-P14(Fin'!F33</f>
        <v>0</v>
      </c>
      <c r="G33" s="52"/>
      <c r="H33" s="52">
        <f>'KY_Cost Plant Acct-Elec-P14(Fin'!H33</f>
        <v>0</v>
      </c>
      <c r="I33" s="52"/>
      <c r="J33" s="52">
        <f t="shared" si="3"/>
        <v>0</v>
      </c>
      <c r="K33" s="52"/>
      <c r="L33" s="45">
        <f t="shared" si="4"/>
        <v>0</v>
      </c>
      <c r="N33" s="89">
        <f>'KY_Res by Plant Acct-P29 (Fin)'!R34</f>
        <v>1.3096723705530167E-10</v>
      </c>
      <c r="P33" s="89">
        <f t="shared" si="5"/>
        <v>1.3096723705530167E-10</v>
      </c>
    </row>
    <row r="34" spans="1:16">
      <c r="A34" t="s">
        <v>319</v>
      </c>
      <c r="B34" s="52">
        <f>'KY_Cost Plant Acct-Elec-P14(Fin'!B34</f>
        <v>2403265.2799999998</v>
      </c>
      <c r="C34" s="52"/>
      <c r="D34" s="52">
        <f>'KY_Cost Plant Acct-Elec-P14(Fin'!D34</f>
        <v>0</v>
      </c>
      <c r="E34" s="52"/>
      <c r="F34" s="52">
        <f>'KY_Cost Plant Acct-Elec-P14(Fin'!F34</f>
        <v>0</v>
      </c>
      <c r="G34" s="52"/>
      <c r="H34" s="52">
        <f>'KY_Cost Plant Acct-Elec-P14(Fin'!H34</f>
        <v>0</v>
      </c>
      <c r="I34" s="52"/>
      <c r="J34" s="52">
        <f t="shared" si="3"/>
        <v>0</v>
      </c>
      <c r="K34" s="52"/>
      <c r="L34" s="45">
        <f t="shared" si="4"/>
        <v>2403265.2799999998</v>
      </c>
      <c r="N34" s="89">
        <f>'KY_Res by Plant Acct-P29 (Fin)'!R35</f>
        <v>-2232421.2500000005</v>
      </c>
      <c r="P34" s="89">
        <f t="shared" si="5"/>
        <v>170844.02999999933</v>
      </c>
    </row>
    <row r="35" spans="1:16">
      <c r="A35" t="s">
        <v>320</v>
      </c>
      <c r="B35" s="48">
        <f>'KY_Cost Plant Acct-Elec-P14(Fin'!B35+'KY_Cost Plant Acct-Elec-P14(Fin'!B116</f>
        <v>151086.93</v>
      </c>
      <c r="C35" s="52"/>
      <c r="D35" s="48">
        <f>'KY_Cost Plant Acct-Elec-P14(Fin'!D35+'KY_Cost Plant Acct-Elec-P14(Fin'!D116</f>
        <v>0</v>
      </c>
      <c r="E35" s="52"/>
      <c r="F35" s="48">
        <f>'KY_Cost Plant Acct-Elec-P14(Fin'!F35+'KY_Cost Plant Acct-Elec-P14(Fin'!F116</f>
        <v>0</v>
      </c>
      <c r="G35" s="52"/>
      <c r="H35" s="48">
        <f>'KY_Cost Plant Acct-Elec-P14(Fin'!H35+'KY_Cost Plant Acct-Elec-P14(Fin'!H116</f>
        <v>0</v>
      </c>
      <c r="I35" s="52"/>
      <c r="J35" s="48">
        <f t="shared" si="3"/>
        <v>0</v>
      </c>
      <c r="K35" s="52"/>
      <c r="L35" s="48">
        <f t="shared" si="4"/>
        <v>151086.93</v>
      </c>
      <c r="N35" s="90">
        <f>'KY_Res by Plant Acct-P29 (Fin)'!R36</f>
        <v>-28145.659999999996</v>
      </c>
      <c r="P35" s="90">
        <f t="shared" si="5"/>
        <v>122941.26999999999</v>
      </c>
    </row>
    <row r="36" spans="1:16">
      <c r="B36" s="52">
        <f>SUM(B30:B35)</f>
        <v>15949874.709999999</v>
      </c>
      <c r="C36" s="52"/>
      <c r="D36" s="52">
        <f>SUM(D30:D35)</f>
        <v>243077.19999999998</v>
      </c>
      <c r="E36" s="52"/>
      <c r="F36" s="52">
        <f>SUM(F30:F35)</f>
        <v>-39209.64</v>
      </c>
      <c r="G36" s="52"/>
      <c r="H36" s="52">
        <f>SUM(H30:H35)</f>
        <v>0</v>
      </c>
      <c r="I36" s="52"/>
      <c r="J36" s="52">
        <f>SUM(J30:J35)</f>
        <v>203867.56</v>
      </c>
      <c r="K36" s="52"/>
      <c r="L36" s="52">
        <f>SUM(L30:L35)</f>
        <v>16153742.27</v>
      </c>
      <c r="N36" s="52">
        <f>SUM(N30:N35)</f>
        <v>-11259414.600000001</v>
      </c>
      <c r="P36" s="52">
        <f>SUM(P30:P35)</f>
        <v>4894327.6699999962</v>
      </c>
    </row>
    <row r="37" spans="1:16">
      <c r="B37" s="52"/>
      <c r="C37" s="52"/>
      <c r="D37" s="52"/>
      <c r="E37" s="52"/>
      <c r="F37" s="52"/>
      <c r="G37" s="52"/>
      <c r="H37" s="52"/>
      <c r="I37" s="52"/>
      <c r="J37" s="52"/>
      <c r="K37" s="52"/>
      <c r="L37" s="52"/>
    </row>
    <row r="38" spans="1:16">
      <c r="A38" s="12" t="s">
        <v>809</v>
      </c>
      <c r="B38" s="52"/>
      <c r="C38" s="52"/>
      <c r="D38" s="52"/>
      <c r="E38" s="52"/>
      <c r="F38" s="52"/>
      <c r="G38" s="52"/>
      <c r="H38" s="52"/>
      <c r="I38" s="52"/>
      <c r="J38" s="52"/>
      <c r="K38" s="52"/>
      <c r="L38" s="52"/>
    </row>
    <row r="39" spans="1:16">
      <c r="A39" t="s">
        <v>321</v>
      </c>
      <c r="B39" s="52">
        <f>'KY_Cost Plant Acct-Elec-P14(Fin'!B39</f>
        <v>6.5</v>
      </c>
      <c r="C39" s="52"/>
      <c r="D39" s="52">
        <f>'KY_Cost Plant Acct-Elec-P14(Fin'!D39</f>
        <v>0</v>
      </c>
      <c r="E39" s="52"/>
      <c r="F39" s="52">
        <f>'KY_Cost Plant Acct-Elec-P14(Fin'!F39</f>
        <v>0</v>
      </c>
      <c r="G39" s="52"/>
      <c r="H39" s="52">
        <f>'KY_Cost Plant Acct-Elec-P14(Fin'!H39</f>
        <v>0</v>
      </c>
      <c r="I39" s="52"/>
      <c r="J39" s="52">
        <f t="shared" ref="J39:J46" si="6">H39+F39+D39</f>
        <v>0</v>
      </c>
      <c r="K39" s="52"/>
      <c r="L39" s="45">
        <f t="shared" ref="L39:L46" si="7">B39+J39</f>
        <v>6.5</v>
      </c>
      <c r="N39" s="89">
        <v>0</v>
      </c>
      <c r="P39" s="89">
        <f t="shared" ref="P39:P46" si="8">L39+N39</f>
        <v>6.5</v>
      </c>
    </row>
    <row r="40" spans="1:16">
      <c r="A40" t="s">
        <v>574</v>
      </c>
      <c r="B40" s="52">
        <f>'KY_Cost Plant Acct-Elec-P14(Fin'!B40+'KY_Cost Plant Acct-Elec-P14(Fin'!B120</f>
        <v>4963375.83</v>
      </c>
      <c r="C40" s="52"/>
      <c r="D40" s="52">
        <f>'KY_Cost Plant Acct-Elec-P14(Fin'!D40+'KY_Cost Plant Acct-Elec-P14(Fin'!D120</f>
        <v>0</v>
      </c>
      <c r="E40" s="52"/>
      <c r="F40" s="52">
        <f>'KY_Cost Plant Acct-Elec-P14(Fin'!F40</f>
        <v>-507.91</v>
      </c>
      <c r="G40" s="52"/>
      <c r="H40" s="52">
        <f>'KY_Cost Plant Acct-Elec-P14(Fin'!H40</f>
        <v>0</v>
      </c>
      <c r="I40" s="52"/>
      <c r="J40" s="52">
        <f t="shared" si="6"/>
        <v>-507.91</v>
      </c>
      <c r="K40" s="52"/>
      <c r="L40" s="45">
        <f t="shared" si="7"/>
        <v>4962867.92</v>
      </c>
      <c r="N40" s="89">
        <f>'KY_Res by Plant Acct-P29 (Fin)'!R42+'KY_Res by Plant Acct-P29 (Fin)'!R43</f>
        <v>-4306275.3</v>
      </c>
      <c r="P40" s="89">
        <f t="shared" si="8"/>
        <v>656592.62000000011</v>
      </c>
    </row>
    <row r="41" spans="1:16">
      <c r="A41" t="s">
        <v>575</v>
      </c>
      <c r="B41" s="52">
        <f>'KY_Cost Plant Acct-Elec-P14(Fin'!B41+'KY_Cost Plant Acct-Elec-P14(Fin'!B121</f>
        <v>11690251.610000001</v>
      </c>
      <c r="C41" s="52"/>
      <c r="D41" s="52">
        <f>'KY_Cost Plant Acct-Elec-P14(Fin'!D41+'KY_Cost Plant Acct-Elec-P14(Fin'!D121</f>
        <v>0</v>
      </c>
      <c r="E41" s="52"/>
      <c r="F41" s="52">
        <f>'KY_Cost Plant Acct-Elec-P14(Fin'!F41</f>
        <v>0</v>
      </c>
      <c r="G41" s="52"/>
      <c r="H41" s="52">
        <f>'KY_Cost Plant Acct-Elec-P14(Fin'!H41</f>
        <v>0</v>
      </c>
      <c r="I41" s="52"/>
      <c r="J41" s="52">
        <f t="shared" si="6"/>
        <v>0</v>
      </c>
      <c r="K41" s="52"/>
      <c r="L41" s="45">
        <f t="shared" si="7"/>
        <v>11690251.610000001</v>
      </c>
      <c r="N41" s="89">
        <f>'KY_Res by Plant Acct-P29 (Fin)'!R44</f>
        <v>-1801526.1900000002</v>
      </c>
      <c r="P41" s="89">
        <f t="shared" si="8"/>
        <v>9888725.4200000018</v>
      </c>
    </row>
    <row r="42" spans="1:16">
      <c r="A42" t="s">
        <v>576</v>
      </c>
      <c r="B42" s="52">
        <f>'KY_Cost Plant Acct-Elec-P14(Fin'!B42+'KY_Cost Plant Acct-Elec-P14(Fin'!B122</f>
        <v>19945213.619999997</v>
      </c>
      <c r="C42" s="52"/>
      <c r="D42" s="52">
        <f>'KY_Cost Plant Acct-Elec-P14(Fin'!D42+'KY_Cost Plant Acct-Elec-P14(Fin'!D122</f>
        <v>0</v>
      </c>
      <c r="E42" s="52"/>
      <c r="F42" s="52">
        <f>'KY_Cost Plant Acct-Elec-P14(Fin'!F42</f>
        <v>0</v>
      </c>
      <c r="G42" s="52"/>
      <c r="H42" s="52">
        <f>'KY_Cost Plant Acct-Elec-P14(Fin'!H42</f>
        <v>0</v>
      </c>
      <c r="I42" s="52"/>
      <c r="J42" s="52">
        <f t="shared" si="6"/>
        <v>0</v>
      </c>
      <c r="K42" s="52"/>
      <c r="L42" s="45">
        <f t="shared" si="7"/>
        <v>19945213.619999997</v>
      </c>
      <c r="N42" s="89">
        <f>'KY_Res by Plant Acct-P29 (Fin)'!R45</f>
        <v>-928196.78999999992</v>
      </c>
      <c r="P42" s="89">
        <f t="shared" si="8"/>
        <v>19017016.829999998</v>
      </c>
    </row>
    <row r="43" spans="1:16">
      <c r="A43" t="s">
        <v>577</v>
      </c>
      <c r="B43" s="52">
        <f>'KY_Cost Plant Acct-Elec-P14(Fin'!B43+'KY_Cost Plant Acct-Elec-P14(Fin'!B123</f>
        <v>5509836.2199999997</v>
      </c>
      <c r="C43" s="52"/>
      <c r="D43" s="52">
        <f>'KY_Cost Plant Acct-Elec-P14(Fin'!D43+'KY_Cost Plant Acct-Elec-P14(Fin'!D123</f>
        <v>0</v>
      </c>
      <c r="E43" s="52"/>
      <c r="F43" s="52">
        <f>'KY_Cost Plant Acct-Elec-P14(Fin'!F43</f>
        <v>0</v>
      </c>
      <c r="G43" s="52"/>
      <c r="H43" s="52">
        <f>'KY_Cost Plant Acct-Elec-P14(Fin'!H43</f>
        <v>0</v>
      </c>
      <c r="I43" s="52"/>
      <c r="J43" s="52">
        <f t="shared" si="6"/>
        <v>0</v>
      </c>
      <c r="K43" s="52"/>
      <c r="L43" s="45">
        <f t="shared" si="7"/>
        <v>5509836.2199999997</v>
      </c>
      <c r="N43" s="89">
        <f>'KY_Res by Plant Acct-P29 (Fin)'!R46</f>
        <v>-1982408.44</v>
      </c>
      <c r="P43" s="89">
        <f t="shared" si="8"/>
        <v>3527427.78</v>
      </c>
    </row>
    <row r="44" spans="1:16">
      <c r="A44" t="s">
        <v>281</v>
      </c>
      <c r="B44" s="52">
        <f>'KY_Cost Plant Acct-Elec-P14(Fin'!B44</f>
        <v>310247.09000000003</v>
      </c>
      <c r="C44" s="52"/>
      <c r="D44" s="52">
        <f>'KY_Cost Plant Acct-Elec-P14(Fin'!D44+'KY_Cost Plant Acct-Elec-P14(Fin'!D124</f>
        <v>0</v>
      </c>
      <c r="E44" s="52"/>
      <c r="F44" s="52">
        <f>'KY_Cost Plant Acct-Elec-P14(Fin'!F44</f>
        <v>0</v>
      </c>
      <c r="G44" s="52"/>
      <c r="H44" s="52">
        <f>'KY_Cost Plant Acct-Elec-P14(Fin'!H44</f>
        <v>0</v>
      </c>
      <c r="I44" s="52"/>
      <c r="J44" s="52">
        <f t="shared" si="6"/>
        <v>0</v>
      </c>
      <c r="K44" s="52"/>
      <c r="L44" s="45">
        <f t="shared" si="7"/>
        <v>310247.09000000003</v>
      </c>
      <c r="N44" s="89">
        <f>'KY_Res by Plant Acct-P29 (Fin)'!R48+'KY_Res by Plant Acct-P29 (Fin)'!R47</f>
        <v>-57372.849999999991</v>
      </c>
      <c r="P44" s="89">
        <f t="shared" si="8"/>
        <v>252874.24000000005</v>
      </c>
    </row>
    <row r="45" spans="1:16">
      <c r="A45" t="s">
        <v>282</v>
      </c>
      <c r="B45" s="52">
        <f>'KY_Cost Plant Acct-Elec-P14(Fin'!B45</f>
        <v>29930.61</v>
      </c>
      <c r="C45" s="52"/>
      <c r="D45" s="52">
        <f>'KY_Cost Plant Acct-Elec-P14(Fin'!D45</f>
        <v>0</v>
      </c>
      <c r="E45" s="52"/>
      <c r="F45" s="52">
        <f>'KY_Cost Plant Acct-Elec-P14(Fin'!F45</f>
        <v>0</v>
      </c>
      <c r="G45" s="52"/>
      <c r="H45" s="52">
        <f>'KY_Cost Plant Acct-Elec-P14(Fin'!H45</f>
        <v>0</v>
      </c>
      <c r="I45" s="52"/>
      <c r="J45" s="52">
        <f t="shared" si="6"/>
        <v>0</v>
      </c>
      <c r="K45" s="52"/>
      <c r="L45" s="45">
        <f t="shared" si="7"/>
        <v>29930.61</v>
      </c>
      <c r="N45" s="89">
        <f>'KY_Res by Plant Acct-P29 (Fin)'!R49+'KY_Res by Plant Acct-P29 (Fin)'!R50</f>
        <v>-17806.210000000003</v>
      </c>
      <c r="P45" s="89">
        <f t="shared" si="8"/>
        <v>12124.399999999998</v>
      </c>
    </row>
    <row r="46" spans="1:16">
      <c r="A46" t="s">
        <v>283</v>
      </c>
      <c r="B46" s="48">
        <f>'KY_Cost Plant Acct-Elec-P14(Fin'!B46</f>
        <v>103528.98</v>
      </c>
      <c r="C46" s="52"/>
      <c r="D46" s="48">
        <f>'KY_Cost Plant Acct-Elec-P14(Fin'!D46</f>
        <v>0</v>
      </c>
      <c r="E46" s="52"/>
      <c r="F46" s="48">
        <f>'KY_Cost Plant Acct-Elec-P14(Fin'!F46</f>
        <v>0</v>
      </c>
      <c r="G46" s="52"/>
      <c r="H46" s="48">
        <f>'KY_Cost Plant Acct-Elec-P14(Fin'!H46</f>
        <v>0</v>
      </c>
      <c r="I46" s="52"/>
      <c r="J46" s="48">
        <f t="shared" si="6"/>
        <v>0</v>
      </c>
      <c r="K46" s="52"/>
      <c r="L46" s="48">
        <f t="shared" si="7"/>
        <v>103528.98</v>
      </c>
      <c r="N46" s="90">
        <f>'KY_Res by Plant Acct-P29 (Fin)'!R51</f>
        <v>-2549.75000000001</v>
      </c>
      <c r="P46" s="90">
        <f t="shared" si="8"/>
        <v>100979.22999999998</v>
      </c>
    </row>
    <row r="47" spans="1:16">
      <c r="B47" s="52">
        <f>SUM(B39:B46)</f>
        <v>42552390.460000001</v>
      </c>
      <c r="C47" s="52"/>
      <c r="D47" s="52">
        <f>SUM(D39:D46)</f>
        <v>0</v>
      </c>
      <c r="E47" s="52"/>
      <c r="F47" s="52">
        <f>SUM(F39:F46)</f>
        <v>-507.91</v>
      </c>
      <c r="G47" s="52"/>
      <c r="H47" s="52">
        <f>SUM(H39:H46)</f>
        <v>0</v>
      </c>
      <c r="I47" s="52"/>
      <c r="J47" s="52">
        <f>SUM(J39:J46)</f>
        <v>-507.91</v>
      </c>
      <c r="K47" s="52"/>
      <c r="L47" s="52">
        <f>SUM(L39:L46)</f>
        <v>42551882.549999997</v>
      </c>
      <c r="N47" s="89">
        <f>SUM(N39:N46)</f>
        <v>-9096135.5300000012</v>
      </c>
      <c r="P47" s="89">
        <f>SUM(P39:P46)</f>
        <v>33455747.02</v>
      </c>
    </row>
    <row r="48" spans="1:16">
      <c r="B48" s="52"/>
      <c r="C48" s="52"/>
      <c r="D48" s="52"/>
      <c r="E48" s="52"/>
      <c r="F48" s="52"/>
      <c r="G48" s="52"/>
      <c r="H48" s="52"/>
      <c r="I48" s="52"/>
      <c r="J48" s="52"/>
      <c r="K48" s="52"/>
      <c r="L48" s="52"/>
    </row>
    <row r="49" spans="1:16">
      <c r="A49" s="3" t="s">
        <v>810</v>
      </c>
      <c r="B49" s="52"/>
      <c r="C49" s="52"/>
      <c r="D49" s="52"/>
      <c r="E49" s="52"/>
      <c r="F49" s="52"/>
      <c r="G49" s="52"/>
      <c r="H49" s="52"/>
      <c r="I49" s="52"/>
      <c r="J49" s="52"/>
      <c r="K49" s="52"/>
      <c r="L49" s="52"/>
    </row>
    <row r="50" spans="1:16">
      <c r="A50" t="s">
        <v>284</v>
      </c>
      <c r="B50" s="326">
        <f>'KY_Cost Plant Acct-Elec-P14(Fin'!B50</f>
        <v>2240.29</v>
      </c>
      <c r="C50" s="52"/>
      <c r="D50" s="326">
        <f>'KY_Cost Plant Acct-Elec-P14(Fin'!D50</f>
        <v>0</v>
      </c>
      <c r="E50" s="52"/>
      <c r="F50" s="326">
        <f>'KY_Cost Plant Acct-Elec-P14(Fin'!F50</f>
        <v>0</v>
      </c>
      <c r="G50" s="52"/>
      <c r="H50" s="326">
        <f>'KY_Cost Plant Acct-Elec-P14(Fin'!H50</f>
        <v>0</v>
      </c>
      <c r="I50" s="52"/>
      <c r="J50" s="326">
        <f>'KY_Cost Plant Acct-Elec-P14(Fin'!J50</f>
        <v>0</v>
      </c>
      <c r="K50" s="52"/>
      <c r="L50" s="45">
        <f>B50+J50</f>
        <v>2240.29</v>
      </c>
      <c r="N50" s="89">
        <f>'KY_Res by Plant Acct-P29 (Fin)'!R329</f>
        <v>0</v>
      </c>
      <c r="P50" s="89">
        <f>L50+N50</f>
        <v>2240.29</v>
      </c>
    </row>
    <row r="51" spans="1:16">
      <c r="A51" t="s">
        <v>285</v>
      </c>
      <c r="B51" s="327">
        <f>'KY_Cost Plant Acct-Elec-P14(Fin'!B51</f>
        <v>0</v>
      </c>
      <c r="C51" s="52"/>
      <c r="D51" s="327">
        <f>'KY_Cost Plant Acct-Elec-P14(Fin'!D51</f>
        <v>0</v>
      </c>
      <c r="E51" s="52"/>
      <c r="F51" s="327">
        <f>'KY_Cost Plant Acct-Elec-P14(Fin'!F51</f>
        <v>0</v>
      </c>
      <c r="G51" s="52"/>
      <c r="H51" s="327">
        <f>'KY_Cost Plant Acct-Elec-P14(Fin'!H51</f>
        <v>0</v>
      </c>
      <c r="I51" s="52"/>
      <c r="J51" s="48">
        <f>H51+F51+D51</f>
        <v>0</v>
      </c>
      <c r="K51" s="52"/>
      <c r="L51" s="48">
        <f>B51+J51</f>
        <v>0</v>
      </c>
      <c r="N51" s="90">
        <f>'KY_Res by Plant Acct-P29 (Fin)'!R330</f>
        <v>0</v>
      </c>
      <c r="P51" s="90">
        <f>L51+N51</f>
        <v>0</v>
      </c>
    </row>
    <row r="52" spans="1:16">
      <c r="B52" s="52">
        <f>SUM(B50:B51)</f>
        <v>2240.29</v>
      </c>
      <c r="C52" s="52"/>
      <c r="D52" s="52">
        <f>SUM(D50:D51)</f>
        <v>0</v>
      </c>
      <c r="E52" s="52"/>
      <c r="F52" s="52">
        <f>SUM(F50:F51)</f>
        <v>0</v>
      </c>
      <c r="G52" s="52"/>
      <c r="H52" s="52">
        <f>SUM(H50:H51)</f>
        <v>0</v>
      </c>
      <c r="I52" s="52"/>
      <c r="J52" s="52">
        <f>SUM(J50:J51)</f>
        <v>0</v>
      </c>
      <c r="K52" s="52"/>
      <c r="L52" s="52">
        <f>SUM(L50:L51)</f>
        <v>2240.29</v>
      </c>
      <c r="N52" s="89">
        <f>SUM(N50:N51)</f>
        <v>0</v>
      </c>
      <c r="P52" s="89">
        <f>SUM(P50:P51)</f>
        <v>2240.29</v>
      </c>
    </row>
    <row r="53" spans="1:16">
      <c r="B53" s="52"/>
      <c r="C53" s="52"/>
      <c r="D53" s="52"/>
      <c r="E53" s="52"/>
      <c r="F53" s="52"/>
      <c r="G53" s="52"/>
      <c r="H53" s="52"/>
      <c r="I53" s="52"/>
      <c r="J53" s="52"/>
      <c r="K53" s="52"/>
      <c r="L53" s="52"/>
    </row>
    <row r="54" spans="1:16">
      <c r="A54" s="3" t="s">
        <v>811</v>
      </c>
      <c r="B54" s="45"/>
      <c r="C54" s="45"/>
      <c r="D54" s="45"/>
      <c r="E54" s="45"/>
      <c r="F54" s="45"/>
      <c r="G54" s="45"/>
      <c r="H54" s="45"/>
      <c r="I54" s="45"/>
      <c r="J54" s="45"/>
      <c r="K54" s="45"/>
      <c r="L54" s="45"/>
    </row>
    <row r="55" spans="1:16">
      <c r="A55" t="s">
        <v>286</v>
      </c>
      <c r="B55" s="45">
        <f>'KY_Cost Plant Acct-Elec-P14(Fin'!B55</f>
        <v>8132.93</v>
      </c>
      <c r="C55" s="45"/>
      <c r="D55" s="45">
        <f>'KY_Cost Plant Acct-Elec-P14(Fin'!D55</f>
        <v>0</v>
      </c>
      <c r="E55" s="45"/>
      <c r="F55" s="45">
        <f>'KY_Cost Plant Acct-Elec-P14(Fin'!F55</f>
        <v>0</v>
      </c>
      <c r="G55" s="45"/>
      <c r="H55" s="45">
        <f>'KY_Cost Plant Acct-Elec-P14(Fin'!H55</f>
        <v>0</v>
      </c>
      <c r="I55" s="45"/>
      <c r="J55" s="45">
        <f t="shared" ref="J55:J63" si="9">H55+F55+D55</f>
        <v>0</v>
      </c>
      <c r="K55" s="45"/>
      <c r="L55" s="45">
        <f t="shared" ref="L55:L63" si="10">B55+J55</f>
        <v>8132.93</v>
      </c>
      <c r="N55" s="89">
        <f>'KY_Res by Plant Acct-P29 (Fin)'!R55+'KY_Res by Plant Acct-P29 (Fin)'!R56</f>
        <v>0</v>
      </c>
      <c r="P55" s="89">
        <f t="shared" ref="P55:P63" si="11">L55+N55</f>
        <v>8132.93</v>
      </c>
    </row>
    <row r="56" spans="1:16">
      <c r="A56" t="s">
        <v>287</v>
      </c>
      <c r="B56" s="45">
        <f>'KY_Cost Plant Acct-Elec-P14(Fin'!B56</f>
        <v>15004439.449999999</v>
      </c>
      <c r="C56" s="45"/>
      <c r="D56" s="45">
        <f>'KY_Cost Plant Acct-Elec-P14(Fin'!D56</f>
        <v>0</v>
      </c>
      <c r="E56" s="45"/>
      <c r="F56" s="45">
        <f>'KY_Cost Plant Acct-Elec-P14(Fin'!F56</f>
        <v>0</v>
      </c>
      <c r="G56" s="45"/>
      <c r="H56" s="45">
        <f>'KY_Cost Plant Acct-Elec-P14(Fin'!H56</f>
        <v>0</v>
      </c>
      <c r="I56" s="45"/>
      <c r="J56" s="45">
        <f t="shared" si="9"/>
        <v>0</v>
      </c>
      <c r="K56" s="45"/>
      <c r="L56" s="45">
        <f t="shared" si="10"/>
        <v>15004439.449999999</v>
      </c>
      <c r="N56" s="89">
        <f>'KY_Res by Plant Acct-P29 (Fin)'!R71</f>
        <v>-4440137.08</v>
      </c>
      <c r="P56" s="89">
        <f t="shared" si="11"/>
        <v>10564302.369999999</v>
      </c>
    </row>
    <row r="57" spans="1:16">
      <c r="A57" t="s">
        <v>288</v>
      </c>
      <c r="B57" s="45">
        <f>'KY_Cost Plant Acct-Elec-P14(Fin'!B57</f>
        <v>7598823.620000001</v>
      </c>
      <c r="C57" s="45"/>
      <c r="D57" s="45">
        <f>'KY_Cost Plant Acct-Elec-P14(Fin'!D57+'KY_Cost Plant Acct-Elec-P14(Fin'!D128</f>
        <v>0</v>
      </c>
      <c r="E57" s="45"/>
      <c r="F57" s="45">
        <f>'KY_Cost Plant Acct-Elec-P14(Fin'!F57</f>
        <v>0</v>
      </c>
      <c r="G57" s="45"/>
      <c r="H57" s="45">
        <f>'KY_Cost Plant Acct-Elec-P14(Fin'!H57</f>
        <v>0</v>
      </c>
      <c r="I57" s="45"/>
      <c r="J57" s="45">
        <f t="shared" si="9"/>
        <v>0</v>
      </c>
      <c r="K57" s="45"/>
      <c r="L57" s="45">
        <f t="shared" si="10"/>
        <v>7598823.620000001</v>
      </c>
      <c r="N57" s="89">
        <f>'KY_Res by Plant Acct-P29 (Fin)'!R88</f>
        <v>-2198478.46</v>
      </c>
      <c r="P57" s="89">
        <f t="shared" si="11"/>
        <v>5400345.1600000011</v>
      </c>
    </row>
    <row r="58" spans="1:16">
      <c r="A58" t="s">
        <v>289</v>
      </c>
      <c r="B58" s="45">
        <f>'KY_Cost Plant Acct-Elec-P14(Fin'!B58+'KY_Cost Plant Acct-Elec-P14(Fin'!B129</f>
        <v>157472340.11999997</v>
      </c>
      <c r="C58" s="45"/>
      <c r="D58" s="45">
        <f>'KY_Cost Plant Acct-Elec-P14(Fin'!D58+'KY_Cost Plant Acct-Elec-P14(Fin'!D129</f>
        <v>429269.99000000022</v>
      </c>
      <c r="E58" s="45"/>
      <c r="F58" s="45">
        <f>'KY_Cost Plant Acct-Elec-P14(Fin'!F58</f>
        <v>-676874.51</v>
      </c>
      <c r="G58" s="45"/>
      <c r="H58" s="45">
        <f>'KY_Cost Plant Acct-Elec-P14(Fin'!H58</f>
        <v>0</v>
      </c>
      <c r="I58" s="45"/>
      <c r="J58" s="45">
        <f t="shared" si="9"/>
        <v>-247604.51999999979</v>
      </c>
      <c r="K58" s="45"/>
      <c r="L58" s="45">
        <f t="shared" si="10"/>
        <v>157224735.59999996</v>
      </c>
      <c r="N58" s="89">
        <f>'KY_Res by Plant Acct-P29 (Fin)'!R100</f>
        <v>-40298530.43</v>
      </c>
      <c r="P58" s="89">
        <f t="shared" si="11"/>
        <v>116926205.16999996</v>
      </c>
    </row>
    <row r="59" spans="1:16">
      <c r="A59" t="s">
        <v>290</v>
      </c>
      <c r="B59" s="45">
        <f>'KY_Cost Plant Acct-Elec-P14(Fin'!B59+'KY_Cost Plant Acct-Elec-P14(Fin'!B130</f>
        <v>33171947.16</v>
      </c>
      <c r="C59" s="45"/>
      <c r="D59" s="45">
        <f>'KY_Cost Plant Acct-Elec-P14(Fin'!D59+'KY_Cost Plant Acct-Elec-P14(Fin'!D130</f>
        <v>0</v>
      </c>
      <c r="E59" s="45"/>
      <c r="F59" s="45">
        <f>'KY_Cost Plant Acct-Elec-P14(Fin'!F59</f>
        <v>0</v>
      </c>
      <c r="G59" s="45"/>
      <c r="H59" s="45">
        <f>'KY_Cost Plant Acct-Elec-P14(Fin'!H59</f>
        <v>0</v>
      </c>
      <c r="I59" s="45"/>
      <c r="J59" s="45">
        <f t="shared" si="9"/>
        <v>0</v>
      </c>
      <c r="K59" s="45"/>
      <c r="L59" s="45">
        <f t="shared" si="10"/>
        <v>33171947.16</v>
      </c>
      <c r="N59" s="89">
        <f>'KY_Res by Plant Acct-P29 (Fin)'!R116</f>
        <v>-16876246.890000001</v>
      </c>
      <c r="P59" s="89">
        <f t="shared" si="11"/>
        <v>16295700.27</v>
      </c>
    </row>
    <row r="60" spans="1:16">
      <c r="A60" t="s">
        <v>291</v>
      </c>
      <c r="B60" s="45">
        <f>'KY_Cost Plant Acct-Elec-P14(Fin'!B60+'KY_Cost Plant Acct-Elec-P14(Fin'!B131</f>
        <v>20692503.309999999</v>
      </c>
      <c r="C60" s="45"/>
      <c r="D60" s="45">
        <f>'KY_Cost Plant Acct-Elec-P14(Fin'!D60+'KY_Cost Plant Acct-Elec-P14(Fin'!D131</f>
        <v>154140.03</v>
      </c>
      <c r="E60" s="45"/>
      <c r="F60" s="45">
        <f>'KY_Cost Plant Acct-Elec-P14(Fin'!F60</f>
        <v>0</v>
      </c>
      <c r="G60" s="45"/>
      <c r="H60" s="45">
        <f>'KY_Cost Plant Acct-Elec-P14(Fin'!H60</f>
        <v>0</v>
      </c>
      <c r="I60" s="45"/>
      <c r="J60" s="45">
        <f t="shared" si="9"/>
        <v>154140.03</v>
      </c>
      <c r="K60" s="45"/>
      <c r="L60" s="45">
        <f t="shared" si="10"/>
        <v>20846643.34</v>
      </c>
      <c r="N60" s="89">
        <f>'KY_Res by Plant Acct-P29 (Fin)'!R132</f>
        <v>-6241479.0600000005</v>
      </c>
      <c r="P60" s="89">
        <f t="shared" si="11"/>
        <v>14605164.279999999</v>
      </c>
    </row>
    <row r="61" spans="1:16">
      <c r="A61" t="s">
        <v>292</v>
      </c>
      <c r="B61" s="45">
        <f>'KY_Cost Plant Acct-Elec-P14(Fin'!B61</f>
        <v>3796323</v>
      </c>
      <c r="C61" s="45"/>
      <c r="D61" s="45">
        <f>'KY_Cost Plant Acct-Elec-P14(Fin'!D61+'KY_Cost Plant Acct-Elec-P14(Fin'!D132</f>
        <v>0</v>
      </c>
      <c r="E61" s="45"/>
      <c r="F61" s="45">
        <f>'KY_Cost Plant Acct-Elec-P14(Fin'!F61</f>
        <v>0</v>
      </c>
      <c r="G61" s="45"/>
      <c r="H61" s="45">
        <f>'KY_Cost Plant Acct-Elec-P14(Fin'!H61</f>
        <v>0</v>
      </c>
      <c r="I61" s="45"/>
      <c r="J61" s="45">
        <f t="shared" si="9"/>
        <v>0</v>
      </c>
      <c r="K61" s="45"/>
      <c r="L61" s="45">
        <f t="shared" si="10"/>
        <v>3796323</v>
      </c>
      <c r="N61" s="89">
        <f>'KY_Res by Plant Acct-P29 (Fin)'!R146</f>
        <v>-1304136.6200000001</v>
      </c>
      <c r="P61" s="89">
        <f t="shared" si="11"/>
        <v>2492186.38</v>
      </c>
    </row>
    <row r="62" spans="1:16">
      <c r="A62" t="s">
        <v>293</v>
      </c>
      <c r="B62" s="45">
        <f>'KY_Cost Plant Acct-Elec-P14(Fin'!B62</f>
        <v>38429.14</v>
      </c>
      <c r="C62" s="45"/>
      <c r="D62" s="45">
        <f>'KY_Cost Plant Acct-Elec-P14(Fin'!D62</f>
        <v>0</v>
      </c>
      <c r="E62" s="45"/>
      <c r="F62" s="45">
        <f>'KY_Cost Plant Acct-Elec-P14(Fin'!F62</f>
        <v>0</v>
      </c>
      <c r="G62" s="45"/>
      <c r="H62" s="45">
        <f>'KY_Cost Plant Acct-Elec-P14(Fin'!H62</f>
        <v>0</v>
      </c>
      <c r="I62" s="45"/>
      <c r="J62" s="45">
        <f t="shared" si="9"/>
        <v>0</v>
      </c>
      <c r="K62" s="45"/>
      <c r="L62" s="45">
        <f t="shared" si="10"/>
        <v>38429.14</v>
      </c>
      <c r="N62" s="89">
        <f>'KY_Res by Plant Acct-P29 (Fin)'!R147</f>
        <v>-1592.4999999999975</v>
      </c>
      <c r="P62" s="89">
        <f t="shared" si="11"/>
        <v>36836.639999999999</v>
      </c>
    </row>
    <row r="63" spans="1:16">
      <c r="A63" t="s">
        <v>294</v>
      </c>
      <c r="B63" s="48">
        <f>'KY_Cost Plant Acct-Elec-P14(Fin'!B63</f>
        <v>0</v>
      </c>
      <c r="C63" s="45"/>
      <c r="D63" s="48">
        <f>'KY_Cost Plant Acct-Elec-P14(Fin'!D63</f>
        <v>0</v>
      </c>
      <c r="E63" s="45"/>
      <c r="F63" s="48">
        <f>'KY_Cost Plant Acct-Elec-P14(Fin'!F63</f>
        <v>0</v>
      </c>
      <c r="G63" s="45"/>
      <c r="H63" s="48">
        <f>'KY_Cost Plant Acct-Elec-P14(Fin'!H63</f>
        <v>0</v>
      </c>
      <c r="I63" s="45"/>
      <c r="J63" s="48">
        <f t="shared" si="9"/>
        <v>0</v>
      </c>
      <c r="K63" s="52"/>
      <c r="L63" s="48">
        <f t="shared" si="10"/>
        <v>0</v>
      </c>
      <c r="N63" s="90">
        <f>'KY_Res by Plant Acct-P29 (Fin)'!R148</f>
        <v>-2.3283064365386963E-10</v>
      </c>
      <c r="P63" s="90">
        <f t="shared" si="11"/>
        <v>-2.3283064365386963E-10</v>
      </c>
    </row>
    <row r="64" spans="1:16">
      <c r="B64" s="52">
        <f>SUM(B55:B63)</f>
        <v>237782938.72999996</v>
      </c>
      <c r="C64" s="52"/>
      <c r="D64" s="52">
        <f>SUM(D55:D63)</f>
        <v>583410.02000000025</v>
      </c>
      <c r="E64" s="52"/>
      <c r="F64" s="52">
        <f>SUM(F55:F63)</f>
        <v>-676874.51</v>
      </c>
      <c r="G64" s="52"/>
      <c r="H64" s="52">
        <f>SUM(H55:H63)</f>
        <v>0</v>
      </c>
      <c r="I64" s="52"/>
      <c r="J64" s="52">
        <f>SUM(J55:J63)</f>
        <v>-93464.489999999787</v>
      </c>
      <c r="K64" s="52"/>
      <c r="L64" s="52">
        <f>SUM(L55:L63)</f>
        <v>237689474.23999995</v>
      </c>
      <c r="N64" s="89">
        <f>SUM(N55:N63)</f>
        <v>-71360601.040000007</v>
      </c>
      <c r="P64" s="89">
        <f>SUM(P55:P63)</f>
        <v>166328873.19999996</v>
      </c>
    </row>
    <row r="65" spans="1:16">
      <c r="B65" s="52"/>
      <c r="C65" s="52"/>
      <c r="D65" s="52"/>
      <c r="E65" s="52"/>
      <c r="F65" s="52"/>
      <c r="G65" s="52"/>
      <c r="H65" s="52"/>
      <c r="I65" s="52"/>
      <c r="J65" s="52"/>
      <c r="K65" s="52"/>
      <c r="L65" s="52"/>
    </row>
    <row r="66" spans="1:16">
      <c r="A66" s="3" t="s">
        <v>812</v>
      </c>
      <c r="B66" s="52"/>
      <c r="C66" s="52"/>
      <c r="D66" s="52"/>
      <c r="E66" s="52"/>
      <c r="F66" s="52"/>
      <c r="G66" s="52"/>
      <c r="H66" s="52"/>
      <c r="I66" s="52"/>
      <c r="J66" s="52"/>
      <c r="K66" s="52"/>
      <c r="L66" s="52"/>
    </row>
    <row r="67" spans="1:16">
      <c r="A67" t="s">
        <v>295</v>
      </c>
      <c r="B67" s="52">
        <f>'KY_Cost Plant Acct-Elec-P14(Fin'!B67</f>
        <v>6193327.3699999992</v>
      </c>
      <c r="C67" s="52"/>
      <c r="D67" s="52">
        <f>'KY_Cost Plant Acct-Elec-P14(Fin'!D67</f>
        <v>0</v>
      </c>
      <c r="E67" s="52"/>
      <c r="F67" s="52">
        <f>'KY_Cost Plant Acct-Elec-P14(Fin'!F67</f>
        <v>0</v>
      </c>
      <c r="G67" s="52"/>
      <c r="H67" s="52">
        <f>'KY_Cost Plant Acct-Elec-P14(Fin'!H67</f>
        <v>0</v>
      </c>
      <c r="I67" s="52"/>
      <c r="J67" s="52">
        <f t="shared" ref="J67:J77" si="12">H67+F67+D67</f>
        <v>0</v>
      </c>
      <c r="K67" s="52"/>
      <c r="L67" s="45">
        <f t="shared" ref="L67:L77" si="13">B67+J67</f>
        <v>6193327.3699999992</v>
      </c>
      <c r="N67" s="89">
        <f>'KY_Res by Plant Acct-P29 (Fin)'!R152</f>
        <v>0</v>
      </c>
      <c r="P67" s="89">
        <f t="shared" ref="P67:P77" si="14">L67+N67</f>
        <v>6193327.3699999992</v>
      </c>
    </row>
    <row r="68" spans="1:16">
      <c r="A68" t="s">
        <v>1431</v>
      </c>
      <c r="B68" s="52">
        <f>'KY_Cost Plant Acct-Elec-P14(Fin'!B68</f>
        <v>100000</v>
      </c>
      <c r="C68" s="52"/>
      <c r="D68" s="52">
        <f>'KY_Cost Plant Acct-Elec-P14(Fin'!D68</f>
        <v>0</v>
      </c>
      <c r="E68" s="52"/>
      <c r="F68" s="52">
        <f>'KY_Cost Plant Acct-Elec-P14(Fin'!F68</f>
        <v>0</v>
      </c>
      <c r="G68" s="52"/>
      <c r="H68" s="52">
        <f>'KY_Cost Plant Acct-Elec-P14(Fin'!H68</f>
        <v>0</v>
      </c>
      <c r="I68" s="52"/>
      <c r="J68" s="52">
        <f t="shared" ref="J68" si="15">H68+F68+D68</f>
        <v>0</v>
      </c>
      <c r="K68" s="52"/>
      <c r="L68" s="182">
        <f t="shared" ref="L68" si="16">B68+J68</f>
        <v>100000</v>
      </c>
      <c r="N68" s="89">
        <f>'KY_Res by Plant Acct-P29 (Fin)'!R153</f>
        <v>0</v>
      </c>
      <c r="P68" s="89">
        <f t="shared" ref="P68" si="17">L68+N68</f>
        <v>100000</v>
      </c>
    </row>
    <row r="69" spans="1:16">
      <c r="A69" t="s">
        <v>832</v>
      </c>
      <c r="B69" s="65">
        <f>'KY_Cost Plant Acct-Elec-P14(Fin'!B69+'KY_Cost Plant Acct-Elec-P14(Fin'!B135+'Capital Leased Prop P25 (Fin)'!B10</f>
        <v>295711442.85000002</v>
      </c>
      <c r="C69" s="65"/>
      <c r="D69" s="65">
        <f>'KY_Cost Plant Acct-Elec-P14(Fin'!D69+'KY_Cost Plant Acct-Elec-P14(Fin'!D135</f>
        <v>994590.93</v>
      </c>
      <c r="E69" s="65"/>
      <c r="F69" s="65">
        <f>'KY_Cost Plant Acct-Elec-P14(Fin'!F69</f>
        <v>-54477.86</v>
      </c>
      <c r="G69" s="65"/>
      <c r="H69" s="65">
        <f>'KY_Cost Plant Acct-Elec-P14(Fin'!H69+'KY_Cost Plant Acct-Elec-P14(Fin'!H135+'Capital Leased Prop P25 (Fin)'!H10</f>
        <v>0</v>
      </c>
      <c r="I69" s="52"/>
      <c r="J69" s="52">
        <f t="shared" si="12"/>
        <v>940113.07000000007</v>
      </c>
      <c r="K69" s="52"/>
      <c r="L69" s="45">
        <f t="shared" si="13"/>
        <v>296651555.92000002</v>
      </c>
      <c r="N69" s="89">
        <f>'KY_Res by Plant Acct-P29 (Fin)'!R181+'KY_Res by Plant Acct-P29 (Fin)'!R192</f>
        <v>-197153022.45000002</v>
      </c>
      <c r="P69" s="89">
        <f t="shared" si="14"/>
        <v>99498533.469999999</v>
      </c>
    </row>
    <row r="70" spans="1:16">
      <c r="A70" t="s">
        <v>833</v>
      </c>
      <c r="B70" s="324">
        <f>'KY_Cost Plant Acct-Elec-P14(Fin'!B70+'KY_Cost Plant Acct-Elec-P14(Fin'!B136</f>
        <v>27025345.990000002</v>
      </c>
      <c r="C70" s="65"/>
      <c r="D70" s="324">
        <f>'KY_Cost Plant Acct-Elec-P14(Fin'!D70+'KY_Cost Plant Acct-Elec-P14(Fin'!D136</f>
        <v>0</v>
      </c>
      <c r="E70" s="65"/>
      <c r="F70" s="324">
        <f>'KY_Cost Plant Acct-Elec-P14(Fin'!F70+'KY_Cost Plant Acct-Elec-P14(Fin'!F136</f>
        <v>0</v>
      </c>
      <c r="G70" s="65"/>
      <c r="H70" s="324">
        <f>'KY_Cost Plant Acct-Elec-P14(Fin'!H70+'KY_Cost Plant Acct-Elec-P14(Fin'!H136</f>
        <v>0</v>
      </c>
      <c r="I70" s="52"/>
      <c r="J70" s="52">
        <f t="shared" si="12"/>
        <v>0</v>
      </c>
      <c r="K70" s="52"/>
      <c r="L70" s="45">
        <f t="shared" si="13"/>
        <v>27025345.990000002</v>
      </c>
      <c r="N70" s="89">
        <f>'KY_Res by Plant Acct-P29 (Fin)'!R189</f>
        <v>-8815842.7200000007</v>
      </c>
      <c r="P70" s="89">
        <f t="shared" si="14"/>
        <v>18209503.270000003</v>
      </c>
    </row>
    <row r="71" spans="1:16">
      <c r="A71" t="s">
        <v>834</v>
      </c>
      <c r="B71" s="65">
        <f>'KY_Cost Plant Acct-Elec-P14(Fin'!B71+'KY_Cost Plant Acct-Elec-P14(Fin'!B137</f>
        <v>1385701250.3</v>
      </c>
      <c r="C71" s="65"/>
      <c r="D71" s="65">
        <f>'KY_Cost Plant Acct-Elec-P14(Fin'!D71+'KY_Cost Plant Acct-Elec-P14(Fin'!D137</f>
        <v>4033598.9699999997</v>
      </c>
      <c r="E71" s="65"/>
      <c r="F71" s="65">
        <f>'KY_Cost Plant Acct-Elec-P14(Fin'!F71</f>
        <v>-828348.46</v>
      </c>
      <c r="G71" s="65"/>
      <c r="H71" s="65">
        <f>'KY_Cost Plant Acct-Elec-P14(Fin'!H71</f>
        <v>0</v>
      </c>
      <c r="I71" s="52"/>
      <c r="J71" s="52">
        <f t="shared" si="12"/>
        <v>3205250.51</v>
      </c>
      <c r="K71" s="52"/>
      <c r="L71" s="45">
        <f t="shared" si="13"/>
        <v>1388906500.8099999</v>
      </c>
      <c r="N71" s="89">
        <f>'KY_Res by Plant Acct-P29 (Fin)'!R235</f>
        <v>-696077076.55999994</v>
      </c>
      <c r="P71" s="89">
        <f t="shared" si="14"/>
        <v>692829424.25</v>
      </c>
    </row>
    <row r="72" spans="1:16">
      <c r="A72" t="s">
        <v>835</v>
      </c>
      <c r="B72" s="65">
        <f>'KY_Cost Plant Acct-Elec-P14(Fin'!B72</f>
        <v>638933.72</v>
      </c>
      <c r="C72" s="65"/>
      <c r="D72" s="65">
        <f>'KY_Cost Plant Acct-Elec-P14(Fin'!D72</f>
        <v>0</v>
      </c>
      <c r="E72" s="65"/>
      <c r="F72" s="65">
        <f>'KY_Cost Plant Acct-Elec-P14(Fin'!F72</f>
        <v>0</v>
      </c>
      <c r="G72" s="65"/>
      <c r="H72" s="65">
        <f>'KY_Cost Plant Acct-Elec-P14(Fin'!H72</f>
        <v>0</v>
      </c>
      <c r="I72" s="52"/>
      <c r="J72" s="52">
        <f t="shared" si="12"/>
        <v>0</v>
      </c>
      <c r="K72" s="52"/>
      <c r="L72" s="45">
        <f t="shared" si="13"/>
        <v>638933.72</v>
      </c>
      <c r="N72" s="89">
        <f>'KY_Res by Plant Acct-P29 (Fin)'!R238</f>
        <v>-595003.98</v>
      </c>
      <c r="P72" s="89">
        <f t="shared" si="14"/>
        <v>43929.739999999991</v>
      </c>
    </row>
    <row r="73" spans="1:16">
      <c r="A73" t="s">
        <v>836</v>
      </c>
      <c r="B73" s="65">
        <f>'KY_Cost Plant Acct-Elec-P14(Fin'!B73+'KY_Cost Plant Acct-Elec-P14(Fin'!B138</f>
        <v>218159941.18000001</v>
      </c>
      <c r="C73" s="65"/>
      <c r="D73" s="65">
        <f>'KY_Cost Plant Acct-Elec-P14(Fin'!D73+'KY_Cost Plant Acct-Elec-P14(Fin'!D138</f>
        <v>247350.45000000019</v>
      </c>
      <c r="E73" s="65"/>
      <c r="F73" s="65">
        <f>'KY_Cost Plant Acct-Elec-P14(Fin'!F73</f>
        <v>-189608.18</v>
      </c>
      <c r="G73" s="65"/>
      <c r="H73" s="65">
        <f>'KY_Cost Plant Acct-Elec-P14(Fin'!H73</f>
        <v>0</v>
      </c>
      <c r="I73" s="52"/>
      <c r="J73" s="52">
        <f t="shared" si="12"/>
        <v>57742.270000000193</v>
      </c>
      <c r="K73" s="52"/>
      <c r="L73" s="45">
        <f t="shared" si="13"/>
        <v>218217683.45000002</v>
      </c>
      <c r="N73" s="89">
        <f>'KY_Res by Plant Acct-P29 (Fin)'!R252</f>
        <v>-129348867.78000002</v>
      </c>
      <c r="P73" s="89">
        <f t="shared" si="14"/>
        <v>88868815.670000002</v>
      </c>
    </row>
    <row r="74" spans="1:16">
      <c r="A74" t="s">
        <v>837</v>
      </c>
      <c r="B74" s="65">
        <f>'KY_Cost Plant Acct-Elec-P14(Fin'!B74+'KY_Cost Plant Acct-Elec-P14(Fin'!B139</f>
        <v>178078846.36999997</v>
      </c>
      <c r="C74" s="65"/>
      <c r="D74" s="65">
        <f>'KY_Cost Plant Acct-Elec-P14(Fin'!D74+'KY_Cost Plant Acct-Elec-P14(Fin'!D139</f>
        <v>203183.5700000003</v>
      </c>
      <c r="E74" s="65"/>
      <c r="F74" s="65">
        <f>'KY_Cost Plant Acct-Elec-P14(Fin'!F74</f>
        <v>-14264.89</v>
      </c>
      <c r="G74" s="65"/>
      <c r="H74" s="65">
        <f>'KY_Cost Plant Acct-Elec-P14(Fin'!H74</f>
        <v>0</v>
      </c>
      <c r="I74" s="52"/>
      <c r="J74" s="52">
        <f t="shared" si="12"/>
        <v>188918.68000000028</v>
      </c>
      <c r="K74" s="52"/>
      <c r="L74" s="45">
        <f t="shared" si="13"/>
        <v>178267765.04999998</v>
      </c>
      <c r="N74" s="89">
        <f>'KY_Res by Plant Acct-P29 (Fin)'!R275</f>
        <v>-122137880.53000002</v>
      </c>
      <c r="P74" s="89">
        <f t="shared" si="14"/>
        <v>56129884.519999966</v>
      </c>
    </row>
    <row r="75" spans="1:16">
      <c r="A75" t="s">
        <v>1024</v>
      </c>
      <c r="B75" s="52">
        <f>'KY_Cost Plant Acct-Elec-P14(Fin'!B75</f>
        <v>0</v>
      </c>
      <c r="C75" s="52"/>
      <c r="D75" s="52">
        <f>'KY_Cost Plant Acct-Elec-P14(Fin'!D75</f>
        <v>0</v>
      </c>
      <c r="E75" s="52"/>
      <c r="F75" s="52">
        <f>'KY_Cost Plant Acct-Elec-P14(Fin'!F75</f>
        <v>0</v>
      </c>
      <c r="G75" s="52"/>
      <c r="H75" s="52">
        <f>'KY_Cost Plant Acct-Elec-P14(Fin'!H75</f>
        <v>0</v>
      </c>
      <c r="I75" s="52"/>
      <c r="J75" s="52">
        <f t="shared" si="12"/>
        <v>0</v>
      </c>
      <c r="K75" s="52"/>
      <c r="L75" s="45">
        <f t="shared" si="13"/>
        <v>0</v>
      </c>
      <c r="N75" s="89">
        <f>'KY_Res by Plant Acct-P29 (Fin)'!R284</f>
        <v>2.2351741811588166E-10</v>
      </c>
      <c r="P75" s="89">
        <f t="shared" si="14"/>
        <v>2.2351741811588166E-10</v>
      </c>
    </row>
    <row r="76" spans="1:16">
      <c r="A76" t="s">
        <v>838</v>
      </c>
      <c r="B76" s="52">
        <f>'KY_Cost Plant Acct-Elec-P14(Fin'!B76+'KY_Cost Plant Acct-Elec-P14(Fin'!B140</f>
        <v>16345184.200000001</v>
      </c>
      <c r="C76" s="52"/>
      <c r="D76" s="52">
        <f>'KY_Cost Plant Acct-Elec-P14(Fin'!D76+'KY_Cost Plant Acct-Elec-P14(Fin'!D140</f>
        <v>107115.07999999999</v>
      </c>
      <c r="E76" s="52"/>
      <c r="F76" s="52">
        <f>'KY_Cost Plant Acct-Elec-P14(Fin'!F76</f>
        <v>0</v>
      </c>
      <c r="G76" s="52"/>
      <c r="H76" s="52">
        <f>'KY_Cost Plant Acct-Elec-P14(Fin'!H76</f>
        <v>0</v>
      </c>
      <c r="I76" s="52"/>
      <c r="J76" s="52">
        <f t="shared" si="12"/>
        <v>107115.07999999999</v>
      </c>
      <c r="K76" s="52"/>
      <c r="L76" s="45">
        <f t="shared" si="13"/>
        <v>16452299.280000001</v>
      </c>
      <c r="N76" s="89">
        <f>'KY_Res by Plant Acct-P29 (Fin)'!R300</f>
        <v>-6560586.7100000009</v>
      </c>
      <c r="P76" s="89">
        <f t="shared" si="14"/>
        <v>9891712.5700000003</v>
      </c>
    </row>
    <row r="77" spans="1:16">
      <c r="A77" t="s">
        <v>839</v>
      </c>
      <c r="B77" s="48">
        <f>'KY_Cost Plant Acct-Elec-P14(Fin'!B77</f>
        <v>27798267.339999996</v>
      </c>
      <c r="C77" s="52"/>
      <c r="D77" s="48">
        <f>'KY_Cost Plant Acct-Elec-P14(Fin'!D77</f>
        <v>0</v>
      </c>
      <c r="E77" s="52"/>
      <c r="F77" s="48">
        <f>'KY_Cost Plant Acct-Elec-P14(Fin'!F77</f>
        <v>0</v>
      </c>
      <c r="G77" s="52"/>
      <c r="H77" s="48">
        <f>'KY_Cost Plant Acct-Elec-P14(Fin'!H77</f>
        <v>0</v>
      </c>
      <c r="I77" s="52"/>
      <c r="J77" s="48">
        <f t="shared" si="12"/>
        <v>0</v>
      </c>
      <c r="K77" s="52"/>
      <c r="L77" s="48">
        <f t="shared" si="13"/>
        <v>27798267.339999996</v>
      </c>
      <c r="N77" s="90">
        <f>'KY_Res by Plant Acct-P29 (Fin)'!R301</f>
        <v>-1850283.9699999997</v>
      </c>
      <c r="P77" s="90">
        <f t="shared" si="14"/>
        <v>25947983.369999997</v>
      </c>
    </row>
    <row r="78" spans="1:16">
      <c r="B78" s="52">
        <f>SUM(B67:B77)</f>
        <v>2155752539.3200002</v>
      </c>
      <c r="C78" s="52"/>
      <c r="D78" s="52">
        <f>SUM(D67:D77)</f>
        <v>5585839</v>
      </c>
      <c r="E78" s="52"/>
      <c r="F78" s="52">
        <f>SUM(F67:F77)</f>
        <v>-1086699.3899999999</v>
      </c>
      <c r="G78" s="52"/>
      <c r="H78" s="52">
        <f>SUM(H67:H77)</f>
        <v>0</v>
      </c>
      <c r="I78" s="52"/>
      <c r="J78" s="52">
        <f>SUM(J67:J77)</f>
        <v>4499139.6100000013</v>
      </c>
      <c r="K78" s="52"/>
      <c r="L78" s="52">
        <f>SUM(L67:L77)</f>
        <v>2160251678.9299998</v>
      </c>
      <c r="N78" s="89">
        <f>SUM(N67:N77)</f>
        <v>-1162538564.7</v>
      </c>
      <c r="P78" s="89">
        <f>SUM(P67:P77)</f>
        <v>997713114.23000002</v>
      </c>
    </row>
    <row r="79" spans="1:16">
      <c r="B79" s="52"/>
      <c r="C79" s="52"/>
      <c r="D79" s="52"/>
      <c r="E79" s="52"/>
      <c r="F79" s="52"/>
      <c r="G79" s="52"/>
      <c r="H79" s="52"/>
      <c r="I79" s="52"/>
      <c r="J79" s="52"/>
      <c r="K79" s="52"/>
      <c r="L79" s="52"/>
    </row>
    <row r="80" spans="1:16">
      <c r="A80" s="3" t="s">
        <v>119</v>
      </c>
      <c r="B80" s="52"/>
      <c r="C80" s="52"/>
      <c r="D80" s="52"/>
      <c r="E80" s="52"/>
      <c r="F80" s="52"/>
      <c r="G80" s="52"/>
      <c r="H80" s="52"/>
      <c r="I80" s="52"/>
      <c r="J80" s="52"/>
      <c r="K80" s="52"/>
      <c r="L80" s="52"/>
    </row>
    <row r="81" spans="1:16">
      <c r="A81" t="s">
        <v>5</v>
      </c>
      <c r="B81" s="52">
        <f>'KY_Cost Plant Acct-Elec-P14(Fin'!B81</f>
        <v>7316310.5499999998</v>
      </c>
      <c r="C81" s="52"/>
      <c r="D81" s="52">
        <f>'KY_Cost Plant Acct-Elec-P14(Fin'!D81</f>
        <v>10100</v>
      </c>
      <c r="E81" s="52"/>
      <c r="F81" s="52">
        <f>'KY_Cost Plant Acct-Elec-P14(Fin'!F81</f>
        <v>0</v>
      </c>
      <c r="G81" s="52"/>
      <c r="H81" s="52">
        <f>'KY_Cost Plant Acct-Elec-P14(Fin'!H81</f>
        <v>0</v>
      </c>
      <c r="I81" s="52"/>
      <c r="J81" s="52">
        <f t="shared" ref="J81:J92" si="18">H81+F81+D81</f>
        <v>10100</v>
      </c>
      <c r="K81" s="52"/>
      <c r="L81" s="45">
        <f t="shared" ref="L81:L92" si="19">B81+J81</f>
        <v>7326410.5499999998</v>
      </c>
      <c r="N81" s="89">
        <f>'KY_Res by Plant Acct-P29 (Fin)'!R305</f>
        <v>-2063979.2500000005</v>
      </c>
      <c r="P81" s="89">
        <f t="shared" ref="P81:P92" si="20">L81+N81</f>
        <v>5262431.2999999989</v>
      </c>
    </row>
    <row r="82" spans="1:16">
      <c r="A82" t="s">
        <v>6</v>
      </c>
      <c r="B82" s="52">
        <f>'KY_Cost Plant Acct-Elec-P14(Fin'!B82</f>
        <v>1429627.28</v>
      </c>
      <c r="C82" s="52"/>
      <c r="D82" s="52">
        <f>'KY_Cost Plant Acct-Elec-P14(Fin'!D82</f>
        <v>0</v>
      </c>
      <c r="E82" s="52"/>
      <c r="F82" s="52">
        <f>'KY_Cost Plant Acct-Elec-P14(Fin'!F82</f>
        <v>0</v>
      </c>
      <c r="G82" s="52"/>
      <c r="H82" s="52">
        <f>'KY_Cost Plant Acct-Elec-P14(Fin'!H82</f>
        <v>0</v>
      </c>
      <c r="I82" s="52"/>
      <c r="J82" s="52">
        <f t="shared" si="18"/>
        <v>0</v>
      </c>
      <c r="K82" s="52"/>
      <c r="L82" s="45">
        <f t="shared" si="19"/>
        <v>1429627.28</v>
      </c>
      <c r="N82">
        <v>0</v>
      </c>
      <c r="P82" s="89">
        <f t="shared" si="20"/>
        <v>1429627.28</v>
      </c>
    </row>
    <row r="83" spans="1:16">
      <c r="A83" t="s">
        <v>7</v>
      </c>
      <c r="B83" s="52">
        <f>'KY_Cost Plant Acct-Elec-P14(Fin'!B83+'KY_Cost Plant Acct-Elec-P14(Fin'!B145</f>
        <v>6117854.0600000005</v>
      </c>
      <c r="C83" s="52"/>
      <c r="D83" s="52">
        <f>'KY_Cost Plant Acct-Elec-P14(Fin'!D83+'KY_Cost Plant Acct-Elec-P14(Fin'!D145</f>
        <v>14845.07</v>
      </c>
      <c r="E83" s="52"/>
      <c r="F83" s="52">
        <f>'KY_Cost Plant Acct-Elec-P14(Fin'!F83</f>
        <v>0</v>
      </c>
      <c r="G83" s="52"/>
      <c r="H83" s="52">
        <f>'KY_Cost Plant Acct-Elec-P14(Fin'!H83</f>
        <v>0</v>
      </c>
      <c r="I83" s="52"/>
      <c r="J83" s="52">
        <f t="shared" si="18"/>
        <v>14845.07</v>
      </c>
      <c r="K83" s="52"/>
      <c r="L83" s="45">
        <f t="shared" si="19"/>
        <v>6132699.1300000008</v>
      </c>
      <c r="N83" s="89">
        <f>'KY_Res by Plant Acct-P29 (Fin)'!R307+'KY_Res by Plant Acct-P29 (Fin)'!R308+'KY_Res by Plant Acct-P29 (Fin)'!R309</f>
        <v>-1294818.8499999999</v>
      </c>
      <c r="P83" s="89">
        <f t="shared" si="20"/>
        <v>4837880.2800000012</v>
      </c>
    </row>
    <row r="84" spans="1:16">
      <c r="A84" t="s">
        <v>8</v>
      </c>
      <c r="B84" s="52">
        <f>'KY_Cost Plant Acct-Elec-P14(Fin'!B84+'KY_Cost Plant Acct-Elec-P14(Fin'!B146</f>
        <v>116487654.20999999</v>
      </c>
      <c r="C84" s="52"/>
      <c r="D84" s="52">
        <f>'KY_Cost Plant Acct-Elec-P14(Fin'!D84+'KY_Cost Plant Acct-Elec-P14(Fin'!D146</f>
        <v>1126207.45</v>
      </c>
      <c r="E84" s="52"/>
      <c r="F84" s="52">
        <f>'KY_Cost Plant Acct-Elec-P14(Fin'!F84</f>
        <v>-998709.96</v>
      </c>
      <c r="G84" s="52"/>
      <c r="H84" s="52">
        <f>'KY_Cost Plant Acct-Elec-P14(Fin'!H84</f>
        <v>0</v>
      </c>
      <c r="I84" s="52"/>
      <c r="J84" s="52">
        <f t="shared" si="18"/>
        <v>127497.48999999999</v>
      </c>
      <c r="K84" s="52"/>
      <c r="L84" s="45">
        <f t="shared" si="19"/>
        <v>116615151.69999999</v>
      </c>
      <c r="N84" s="89">
        <f>'KY_Res by Plant Acct-P29 (Fin)'!R310+'KY_Res by Plant Acct-P29 (Fin)'!R311+'KY_Res by Plant Acct-P29 (Fin)'!R312</f>
        <v>-61513658.789999984</v>
      </c>
      <c r="P84" s="89">
        <f t="shared" si="20"/>
        <v>55101492.910000004</v>
      </c>
    </row>
    <row r="85" spans="1:16">
      <c r="A85" t="s">
        <v>840</v>
      </c>
      <c r="B85" s="52">
        <f>'KY_Cost Plant Acct-Elec-P14(Fin'!B85</f>
        <v>0</v>
      </c>
      <c r="C85" s="52"/>
      <c r="D85" s="52">
        <f>'KY_Cost Plant Acct-Elec-P14(Fin'!D85</f>
        <v>0</v>
      </c>
      <c r="E85" s="52"/>
      <c r="F85" s="52">
        <f>'KY_Cost Plant Acct-Elec-P14(Fin'!F85</f>
        <v>0</v>
      </c>
      <c r="G85" s="52"/>
      <c r="H85" s="52">
        <f>'KY_Cost Plant Acct-Elec-P14(Fin'!H85</f>
        <v>0</v>
      </c>
      <c r="I85" s="52"/>
      <c r="J85" s="52">
        <f t="shared" si="18"/>
        <v>0</v>
      </c>
      <c r="K85" s="52"/>
      <c r="L85" s="45">
        <f t="shared" si="19"/>
        <v>0</v>
      </c>
      <c r="N85" s="89">
        <f>'KY_Res by Plant Acct-P29 (Fin)'!R313+'KY_Res by Plant Acct-P29 (Fin)'!R314</f>
        <v>-12515.870000000359</v>
      </c>
      <c r="P85" s="89">
        <f t="shared" si="20"/>
        <v>-12515.870000000359</v>
      </c>
    </row>
    <row r="86" spans="1:16">
      <c r="A86" t="s">
        <v>9</v>
      </c>
      <c r="B86" s="52">
        <f>'KY_Cost Plant Acct-Elec-P14(Fin'!B86+'KY_Cost Plant Acct-Elec-P14(Fin'!B147</f>
        <v>34096152.709999993</v>
      </c>
      <c r="C86" s="52"/>
      <c r="D86" s="52">
        <f>'KY_Cost Plant Acct-Elec-P14(Fin'!D86+'KY_Cost Plant Acct-Elec-P14(Fin'!D147</f>
        <v>3194592.1100000003</v>
      </c>
      <c r="E86" s="52"/>
      <c r="F86" s="52">
        <f>'KY_Cost Plant Acct-Elec-P14(Fin'!F86</f>
        <v>-138836.94</v>
      </c>
      <c r="G86" s="52"/>
      <c r="H86" s="52">
        <f>'KY_Cost Plant Acct-Elec-P14(Fin'!H86</f>
        <v>0</v>
      </c>
      <c r="I86" s="52"/>
      <c r="J86" s="52">
        <f t="shared" si="18"/>
        <v>3055755.1700000004</v>
      </c>
      <c r="K86" s="52"/>
      <c r="L86" s="45">
        <f t="shared" si="19"/>
        <v>37151907.879999995</v>
      </c>
      <c r="N86" s="89">
        <f>'KY_Res by Plant Acct-P29 (Fin)'!R315</f>
        <v>-18048767.820000004</v>
      </c>
      <c r="P86" s="89">
        <f t="shared" si="20"/>
        <v>19103140.059999991</v>
      </c>
    </row>
    <row r="87" spans="1:16">
      <c r="A87" t="s">
        <v>10</v>
      </c>
      <c r="B87" s="52">
        <f>'KY_Cost Plant Acct-Elec-P14(Fin'!B87+'KY_Cost Plant Acct-Elec-P14(Fin'!B148</f>
        <v>51272283.719999999</v>
      </c>
      <c r="C87" s="52"/>
      <c r="D87" s="52">
        <f>'KY_Cost Plant Acct-Elec-P14(Fin'!D87+'KY_Cost Plant Acct-Elec-P14(Fin'!D148</f>
        <v>522541.03</v>
      </c>
      <c r="E87" s="52"/>
      <c r="F87" s="52">
        <f>'KY_Cost Plant Acct-Elec-P14(Fin'!F87</f>
        <v>-44477.919999999998</v>
      </c>
      <c r="G87" s="52"/>
      <c r="H87" s="52">
        <f>'KY_Cost Plant Acct-Elec-P14(Fin'!H87</f>
        <v>0</v>
      </c>
      <c r="I87" s="52"/>
      <c r="J87" s="52">
        <f t="shared" si="18"/>
        <v>478063.11000000004</v>
      </c>
      <c r="K87" s="52"/>
      <c r="L87" s="45">
        <f t="shared" si="19"/>
        <v>51750346.829999998</v>
      </c>
      <c r="N87" s="89">
        <f>'KY_Res by Plant Acct-P29 (Fin)'!R316</f>
        <v>-17330952.850000001</v>
      </c>
      <c r="P87" s="89">
        <f t="shared" si="20"/>
        <v>34419393.979999997</v>
      </c>
    </row>
    <row r="88" spans="1:16">
      <c r="A88" t="s">
        <v>11</v>
      </c>
      <c r="B88" s="52">
        <f>'KY_Cost Plant Acct-Elec-P14(Fin'!B88+'KY_Cost Plant Acct-Elec-P14(Fin'!B149</f>
        <v>43771063.440000005</v>
      </c>
      <c r="C88" s="52"/>
      <c r="D88" s="52">
        <f>'KY_Cost Plant Acct-Elec-P14(Fin'!D88+'KY_Cost Plant Acct-Elec-P14(Fin'!D149</f>
        <v>337460.24</v>
      </c>
      <c r="E88" s="52"/>
      <c r="F88" s="52">
        <f>'KY_Cost Plant Acct-Elec-P14(Fin'!F88</f>
        <v>-35696.800000000003</v>
      </c>
      <c r="G88" s="52"/>
      <c r="H88" s="52">
        <f>'KY_Cost Plant Acct-Elec-P14(Fin'!H88</f>
        <v>0</v>
      </c>
      <c r="I88" s="52"/>
      <c r="J88" s="52">
        <f t="shared" si="18"/>
        <v>301763.44</v>
      </c>
      <c r="K88" s="52"/>
      <c r="L88" s="45">
        <f t="shared" si="19"/>
        <v>44072826.880000003</v>
      </c>
      <c r="N88" s="89">
        <f>'KY_Res by Plant Acct-P29 (Fin)'!R317</f>
        <v>-21801676.879999995</v>
      </c>
      <c r="P88" s="89">
        <f t="shared" si="20"/>
        <v>22271150.000000007</v>
      </c>
    </row>
    <row r="89" spans="1:16">
      <c r="A89" t="s">
        <v>841</v>
      </c>
      <c r="B89" s="52">
        <f>'KY_Cost Plant Acct-Elec-P14(Fin'!B89</f>
        <v>2437093.5699999998</v>
      </c>
      <c r="C89" s="52"/>
      <c r="D89" s="52">
        <f>'KY_Cost Plant Acct-Elec-P14(Fin'!D89</f>
        <v>8406.41</v>
      </c>
      <c r="E89" s="52"/>
      <c r="F89" s="52">
        <f>'KY_Cost Plant Acct-Elec-P14(Fin'!F89</f>
        <v>-166872.46</v>
      </c>
      <c r="G89" s="52"/>
      <c r="H89" s="52">
        <f>'KY_Cost Plant Acct-Elec-P14(Fin'!H89</f>
        <v>0</v>
      </c>
      <c r="I89" s="52"/>
      <c r="J89" s="52">
        <f t="shared" si="18"/>
        <v>-158466.04999999999</v>
      </c>
      <c r="K89" s="52"/>
      <c r="L89" s="45">
        <f t="shared" si="19"/>
        <v>2278627.52</v>
      </c>
      <c r="N89" s="89">
        <f>'KY_Res by Plant Acct-P29 (Fin)'!R318</f>
        <v>-501855.38000000006</v>
      </c>
      <c r="P89" s="89">
        <f t="shared" si="20"/>
        <v>1776772.14</v>
      </c>
    </row>
    <row r="90" spans="1:16">
      <c r="A90" t="s">
        <v>842</v>
      </c>
      <c r="B90" s="52">
        <f>'KY_Cost Plant Acct-Elec-P14(Fin'!B90</f>
        <v>5659798.3799999999</v>
      </c>
      <c r="C90" s="52"/>
      <c r="D90" s="52">
        <f>'KY_Cost Plant Acct-Elec-P14(Fin'!D90</f>
        <v>2004868.88</v>
      </c>
      <c r="E90" s="52"/>
      <c r="F90" s="52">
        <f>'KY_Cost Plant Acct-Elec-P14(Fin'!F90</f>
        <v>-239383.69</v>
      </c>
      <c r="G90" s="52"/>
      <c r="H90" s="52">
        <f>'KY_Cost Plant Acct-Elec-P14(Fin'!H90</f>
        <v>0</v>
      </c>
      <c r="I90" s="52"/>
      <c r="J90" s="52">
        <f t="shared" si="18"/>
        <v>1765485.19</v>
      </c>
      <c r="K90" s="52"/>
      <c r="L90" s="45">
        <f t="shared" si="19"/>
        <v>7425283.5700000003</v>
      </c>
      <c r="N90" s="89">
        <f>'KY_Res by Plant Acct-P29 (Fin)'!R319</f>
        <v>-2049960.9</v>
      </c>
      <c r="P90" s="89">
        <f t="shared" si="20"/>
        <v>5375322.6699999999</v>
      </c>
    </row>
    <row r="91" spans="1:16">
      <c r="A91" t="s">
        <v>843</v>
      </c>
      <c r="B91" s="52">
        <f>'KY_Cost Plant Acct-Elec-P14(Fin'!B91</f>
        <v>13760.73</v>
      </c>
      <c r="C91" s="52"/>
      <c r="D91" s="52">
        <f>'KY_Cost Plant Acct-Elec-P14(Fin'!D91</f>
        <v>0</v>
      </c>
      <c r="E91" s="52"/>
      <c r="F91" s="52">
        <f>'KY_Cost Plant Acct-Elec-P14(Fin'!F91</f>
        <v>0</v>
      </c>
      <c r="G91" s="52"/>
      <c r="H91" s="52">
        <f>'KY_Cost Plant Acct-Elec-P14(Fin'!H91</f>
        <v>0</v>
      </c>
      <c r="I91" s="52"/>
      <c r="J91" s="52">
        <f t="shared" si="18"/>
        <v>0</v>
      </c>
      <c r="K91" s="52"/>
      <c r="L91" s="45">
        <f t="shared" si="19"/>
        <v>13760.73</v>
      </c>
      <c r="N91" s="89">
        <f>'KY_Res by Plant Acct-P29 (Fin)'!R320</f>
        <v>-289.9499999999997</v>
      </c>
      <c r="P91" s="89">
        <f t="shared" si="20"/>
        <v>13470.78</v>
      </c>
    </row>
    <row r="92" spans="1:16">
      <c r="A92" t="s">
        <v>844</v>
      </c>
      <c r="B92" s="48">
        <f>'KY_Cost Plant Acct-Elec-P14(Fin'!B92</f>
        <v>238693.59</v>
      </c>
      <c r="C92" s="52"/>
      <c r="D92" s="48">
        <f>'KY_Cost Plant Acct-Elec-P14(Fin'!D92</f>
        <v>0</v>
      </c>
      <c r="E92" s="52"/>
      <c r="F92" s="48">
        <f>'KY_Cost Plant Acct-Elec-P14(Fin'!F92</f>
        <v>0</v>
      </c>
      <c r="G92" s="52"/>
      <c r="H92" s="48">
        <f>'KY_Cost Plant Acct-Elec-P14(Fin'!H92</f>
        <v>0</v>
      </c>
      <c r="I92" s="52"/>
      <c r="J92" s="48">
        <f t="shared" si="18"/>
        <v>0</v>
      </c>
      <c r="K92" s="52"/>
      <c r="L92" s="48">
        <f t="shared" si="19"/>
        <v>238693.59</v>
      </c>
      <c r="N92" s="90">
        <f>'KY_Res by Plant Acct-P29 (Fin)'!R321</f>
        <v>-2652.16</v>
      </c>
      <c r="P92" s="90">
        <f t="shared" si="20"/>
        <v>236041.43</v>
      </c>
    </row>
    <row r="93" spans="1:16">
      <c r="B93" s="52">
        <f>SUM(B81:B92)</f>
        <v>268840292.24000001</v>
      </c>
      <c r="C93" s="52"/>
      <c r="D93" s="52">
        <f>SUM(D81:D92)</f>
        <v>7219021.1900000013</v>
      </c>
      <c r="E93" s="52"/>
      <c r="F93" s="52">
        <f>SUM(F81:F92)</f>
        <v>-1623977.7699999998</v>
      </c>
      <c r="G93" s="52"/>
      <c r="H93" s="52">
        <f>SUM(H81:H92)</f>
        <v>0</v>
      </c>
      <c r="I93" s="52"/>
      <c r="J93" s="52">
        <f>SUM(J81:J92)</f>
        <v>5595043.4199999999</v>
      </c>
      <c r="K93" s="52"/>
      <c r="L93" s="52">
        <f>SUM(L81:L92)</f>
        <v>274435335.66000003</v>
      </c>
      <c r="N93" s="52">
        <f>SUM(N81:N92)</f>
        <v>-124621128.69999997</v>
      </c>
      <c r="P93" s="89">
        <f>SUM(P81:P92)</f>
        <v>149814206.95999998</v>
      </c>
    </row>
    <row r="94" spans="1:16">
      <c r="B94" s="52"/>
      <c r="C94" s="52"/>
      <c r="D94" s="52"/>
      <c r="E94" s="52"/>
      <c r="F94" s="52"/>
      <c r="G94" s="52"/>
      <c r="H94" s="52"/>
      <c r="I94" s="52"/>
      <c r="J94" s="52"/>
      <c r="K94" s="52"/>
      <c r="L94" s="52"/>
    </row>
    <row r="95" spans="1:16">
      <c r="B95" s="45"/>
      <c r="C95" s="45"/>
      <c r="D95" s="45"/>
      <c r="E95" s="45"/>
      <c r="F95" s="45"/>
      <c r="G95" s="45"/>
      <c r="H95" s="45"/>
      <c r="I95" s="45"/>
      <c r="J95" s="45"/>
      <c r="K95" s="45"/>
      <c r="L95" s="45"/>
    </row>
    <row r="96" spans="1:16">
      <c r="A96" s="3" t="s">
        <v>421</v>
      </c>
      <c r="B96" s="88">
        <f>B93+B78+B64+B52+B47+B36+B27</f>
        <v>3708605687.1400003</v>
      </c>
      <c r="C96" s="52"/>
      <c r="D96" s="88">
        <f>D93+D78+D64+D52+D47+D36+D27</f>
        <v>45694901.600000001</v>
      </c>
      <c r="E96" s="52"/>
      <c r="F96" s="88">
        <f>F93+F78+F64+F52+F47+F36+F27</f>
        <v>-5225562.08</v>
      </c>
      <c r="G96" s="52"/>
      <c r="H96" s="88">
        <f>H93+H78+H64+H52+H47+H36+H27</f>
        <v>21903.139999999981</v>
      </c>
      <c r="I96" s="52"/>
      <c r="J96" s="88">
        <f>J93+J78+J64+J52+J47+J36+J27</f>
        <v>40491242.660000011</v>
      </c>
      <c r="K96" s="52"/>
      <c r="L96" s="88">
        <f>L93+L78+L64+L52+L47+L36+L27</f>
        <v>3749096929.7999997</v>
      </c>
      <c r="N96" s="88">
        <f>N93+N78+N64+N52+N47+N36+N27</f>
        <v>-1798597259.4699998</v>
      </c>
      <c r="P96" s="88">
        <f>P93+P78+P64+P52+P47+P36+P27</f>
        <v>1950499670.3300002</v>
      </c>
    </row>
    <row r="97" spans="2:12">
      <c r="B97" s="45"/>
      <c r="C97" s="45"/>
      <c r="D97" s="45"/>
      <c r="E97" s="45"/>
      <c r="F97" s="45"/>
      <c r="G97" s="45"/>
      <c r="H97" s="45"/>
      <c r="I97" s="45"/>
      <c r="J97" s="45"/>
      <c r="K97" s="45"/>
      <c r="L97" s="45"/>
    </row>
    <row r="98" spans="2:12">
      <c r="B98" s="52"/>
      <c r="C98" s="45"/>
      <c r="D98" s="52"/>
      <c r="E98" s="45"/>
      <c r="F98" s="52"/>
      <c r="G98" s="45"/>
      <c r="H98" s="52"/>
      <c r="I98" s="45"/>
      <c r="J98" s="52"/>
      <c r="K98" s="52"/>
      <c r="L98" s="52"/>
    </row>
    <row r="99" spans="2:12">
      <c r="B99" s="45"/>
      <c r="C99" s="45"/>
      <c r="D99" s="45"/>
      <c r="E99" s="45"/>
      <c r="F99" s="45"/>
      <c r="G99" s="45"/>
      <c r="H99" s="45"/>
      <c r="I99" s="45"/>
      <c r="J99" s="45"/>
      <c r="K99" s="45"/>
      <c r="L99" s="45"/>
    </row>
    <row r="100" spans="2:12">
      <c r="B100" s="45"/>
      <c r="C100" s="45"/>
      <c r="D100" s="45"/>
      <c r="E100" s="45"/>
      <c r="F100" s="45"/>
      <c r="G100" s="45"/>
      <c r="H100" s="45"/>
      <c r="I100" s="45"/>
      <c r="J100" s="45"/>
      <c r="K100" s="45"/>
      <c r="L100" s="45"/>
    </row>
    <row r="101" spans="2:12">
      <c r="B101" s="45"/>
      <c r="C101" s="45"/>
      <c r="D101" s="45"/>
      <c r="E101" s="45"/>
      <c r="F101" s="45"/>
      <c r="G101" s="45"/>
      <c r="H101" s="45"/>
      <c r="I101" s="45"/>
      <c r="J101" s="45"/>
      <c r="K101" s="45"/>
      <c r="L101" s="45"/>
    </row>
    <row r="102" spans="2:12">
      <c r="B102" s="4"/>
      <c r="C102" s="4"/>
      <c r="D102" s="4"/>
      <c r="E102" s="4"/>
      <c r="F102" s="4"/>
      <c r="G102" s="4"/>
      <c r="H102" s="4"/>
      <c r="I102" s="4"/>
      <c r="J102" s="4"/>
      <c r="K102" s="4"/>
      <c r="L102" s="4"/>
    </row>
    <row r="103" spans="2:12">
      <c r="B103" s="4"/>
      <c r="C103" s="4"/>
      <c r="D103" s="4"/>
      <c r="E103" s="4"/>
      <c r="F103" s="4"/>
      <c r="G103" s="4"/>
      <c r="H103" s="4"/>
      <c r="I103" s="4"/>
      <c r="J103" s="4"/>
      <c r="K103" s="4"/>
      <c r="L103" s="4"/>
    </row>
    <row r="104" spans="2:12">
      <c r="B104" s="4"/>
      <c r="C104" s="4"/>
      <c r="D104" s="4"/>
      <c r="E104" s="4"/>
      <c r="F104" s="4"/>
      <c r="G104" s="4"/>
      <c r="H104" s="4"/>
      <c r="I104" s="4"/>
      <c r="J104" s="4"/>
      <c r="K104" s="4"/>
      <c r="L104" s="4"/>
    </row>
    <row r="105" spans="2:12">
      <c r="B105" s="4"/>
      <c r="C105" s="4"/>
      <c r="D105" s="4"/>
      <c r="E105" s="4"/>
      <c r="F105" s="4"/>
      <c r="G105" s="4"/>
      <c r="H105" s="4"/>
      <c r="I105" s="4"/>
      <c r="J105" s="4"/>
      <c r="K105" s="4"/>
      <c r="L105" s="4"/>
    </row>
    <row r="106" spans="2:12">
      <c r="B106" s="4"/>
      <c r="C106" s="4"/>
      <c r="D106" s="4"/>
      <c r="E106" s="4"/>
      <c r="F106" s="4"/>
      <c r="G106" s="4"/>
      <c r="H106" s="4"/>
      <c r="I106" s="4"/>
      <c r="J106" s="4"/>
      <c r="K106" s="4"/>
      <c r="L106" s="4"/>
    </row>
    <row r="107" spans="2:12">
      <c r="B107" s="4"/>
      <c r="C107" s="4"/>
      <c r="D107" s="4"/>
      <c r="E107" s="4"/>
      <c r="F107" s="4"/>
      <c r="G107" s="4"/>
      <c r="H107" s="4"/>
      <c r="I107" s="4"/>
      <c r="J107" s="4"/>
      <c r="K107" s="4"/>
      <c r="L107" s="4"/>
    </row>
    <row r="108" spans="2:12">
      <c r="B108" s="4"/>
      <c r="C108" s="4"/>
      <c r="D108" s="4"/>
      <c r="E108" s="4"/>
      <c r="F108" s="4"/>
      <c r="G108" s="4"/>
      <c r="H108" s="4"/>
      <c r="I108" s="4"/>
      <c r="J108" s="4"/>
      <c r="K108" s="4"/>
      <c r="L108" s="4"/>
    </row>
    <row r="109" spans="2:12">
      <c r="B109" s="4"/>
      <c r="C109" s="4"/>
      <c r="D109" s="4"/>
      <c r="E109" s="4"/>
      <c r="F109" s="4"/>
      <c r="G109" s="4"/>
      <c r="H109" s="4"/>
      <c r="I109" s="4"/>
      <c r="J109" s="4"/>
      <c r="K109" s="4"/>
      <c r="L109" s="4"/>
    </row>
    <row r="110" spans="2:12">
      <c r="B110" s="4"/>
      <c r="C110" s="4"/>
      <c r="D110" s="4"/>
      <c r="E110" s="4"/>
      <c r="F110" s="4"/>
      <c r="G110" s="4"/>
      <c r="H110" s="4"/>
      <c r="I110" s="4"/>
      <c r="J110" s="4"/>
      <c r="K110" s="4"/>
      <c r="L110" s="4"/>
    </row>
    <row r="111" spans="2:12">
      <c r="B111" s="4"/>
      <c r="C111" s="4"/>
      <c r="D111" s="4"/>
      <c r="E111" s="4"/>
      <c r="F111" s="4"/>
      <c r="G111" s="4"/>
      <c r="H111" s="4"/>
      <c r="I111" s="4"/>
      <c r="J111" s="4"/>
      <c r="K111" s="4"/>
      <c r="L111" s="4"/>
    </row>
    <row r="112" spans="2:12">
      <c r="B112" s="4"/>
      <c r="C112" s="4"/>
      <c r="D112" s="4"/>
      <c r="E112" s="4"/>
      <c r="F112" s="4"/>
      <c r="G112" s="4"/>
      <c r="H112" s="4"/>
      <c r="I112" s="4"/>
      <c r="J112" s="4"/>
      <c r="K112" s="4"/>
      <c r="L112" s="4"/>
    </row>
    <row r="113" spans="2:12">
      <c r="B113" s="4"/>
      <c r="C113" s="4"/>
      <c r="D113" s="4"/>
      <c r="E113" s="4"/>
      <c r="F113" s="4"/>
      <c r="G113" s="4"/>
      <c r="H113" s="4"/>
      <c r="I113" s="4"/>
      <c r="J113" s="4"/>
      <c r="K113" s="4"/>
      <c r="L113" s="4"/>
    </row>
    <row r="114" spans="2:12">
      <c r="B114" s="4"/>
      <c r="C114" s="4"/>
      <c r="D114" s="4"/>
      <c r="E114" s="4"/>
      <c r="F114" s="4"/>
      <c r="G114" s="4"/>
      <c r="H114" s="4"/>
      <c r="I114" s="4"/>
      <c r="J114" s="4"/>
      <c r="K114" s="4"/>
      <c r="L114" s="4"/>
    </row>
    <row r="115" spans="2:12">
      <c r="B115" s="4"/>
      <c r="C115" s="4"/>
      <c r="D115" s="4"/>
      <c r="E115" s="4"/>
      <c r="F115" s="4"/>
      <c r="G115" s="4"/>
      <c r="H115" s="4"/>
      <c r="I115" s="4"/>
      <c r="J115" s="4"/>
      <c r="K115" s="4"/>
      <c r="L115" s="4"/>
    </row>
    <row r="116" spans="2:12">
      <c r="B116" s="4"/>
      <c r="C116" s="4"/>
      <c r="D116" s="4"/>
      <c r="E116" s="4"/>
      <c r="F116" s="4"/>
      <c r="G116" s="4"/>
      <c r="H116" s="4"/>
      <c r="I116" s="4"/>
      <c r="J116" s="4"/>
      <c r="K116" s="4"/>
      <c r="L116" s="4"/>
    </row>
    <row r="117" spans="2:12">
      <c r="B117" s="4"/>
      <c r="C117" s="4"/>
      <c r="D117" s="4"/>
      <c r="E117" s="4"/>
      <c r="F117" s="4"/>
      <c r="G117" s="4"/>
      <c r="H117" s="4"/>
      <c r="I117" s="4"/>
      <c r="J117" s="4"/>
      <c r="K117" s="4"/>
      <c r="L117" s="4"/>
    </row>
    <row r="118" spans="2:12">
      <c r="B118" s="4"/>
      <c r="C118" s="4"/>
      <c r="D118" s="4"/>
      <c r="E118" s="4"/>
      <c r="F118" s="4"/>
      <c r="G118" s="4"/>
      <c r="H118" s="4"/>
      <c r="I118" s="4"/>
      <c r="J118" s="4"/>
      <c r="K118" s="4"/>
      <c r="L118" s="4"/>
    </row>
    <row r="119" spans="2:12">
      <c r="B119" s="4"/>
      <c r="C119" s="4"/>
      <c r="D119" s="4"/>
      <c r="E119" s="4"/>
      <c r="F119" s="4"/>
      <c r="G119" s="4"/>
      <c r="H119" s="4"/>
      <c r="I119" s="4"/>
      <c r="J119" s="4"/>
      <c r="K119" s="4"/>
      <c r="L119" s="4"/>
    </row>
    <row r="120" spans="2:12">
      <c r="B120" s="4"/>
      <c r="C120" s="4"/>
      <c r="D120" s="4"/>
      <c r="E120" s="4"/>
      <c r="F120" s="4"/>
      <c r="G120" s="4"/>
      <c r="H120" s="4"/>
      <c r="I120" s="4"/>
      <c r="J120" s="4"/>
      <c r="K120" s="4"/>
      <c r="L120" s="4"/>
    </row>
    <row r="121" spans="2:12">
      <c r="B121" s="4"/>
      <c r="C121" s="4"/>
      <c r="D121" s="4"/>
      <c r="E121" s="4"/>
      <c r="F121" s="4"/>
      <c r="G121" s="4"/>
      <c r="H121" s="4"/>
      <c r="I121" s="4"/>
      <c r="J121" s="4"/>
      <c r="K121" s="4"/>
      <c r="L121" s="4"/>
    </row>
    <row r="122" spans="2:12">
      <c r="B122" s="4"/>
      <c r="C122" s="4"/>
      <c r="D122" s="4"/>
      <c r="E122" s="4"/>
      <c r="F122" s="4"/>
      <c r="G122" s="4"/>
      <c r="H122" s="4"/>
      <c r="I122" s="4"/>
      <c r="J122" s="4"/>
      <c r="K122" s="4"/>
      <c r="L122" s="4"/>
    </row>
    <row r="123" spans="2:12">
      <c r="B123" s="4"/>
      <c r="C123" s="4"/>
      <c r="D123" s="4"/>
      <c r="E123" s="4"/>
      <c r="F123" s="4"/>
      <c r="G123" s="4"/>
      <c r="H123" s="4"/>
      <c r="I123" s="4"/>
      <c r="J123" s="4"/>
      <c r="K123" s="4"/>
      <c r="L123" s="4"/>
    </row>
    <row r="124" spans="2:12">
      <c r="B124" s="4"/>
      <c r="C124" s="4"/>
      <c r="D124" s="4"/>
      <c r="E124" s="4"/>
      <c r="F124" s="4"/>
      <c r="G124" s="4"/>
      <c r="H124" s="4"/>
      <c r="I124" s="4"/>
      <c r="J124" s="4"/>
      <c r="K124" s="4"/>
      <c r="L124" s="4"/>
    </row>
    <row r="125" spans="2:12">
      <c r="B125" s="4"/>
      <c r="C125" s="4"/>
      <c r="D125" s="4"/>
      <c r="E125" s="4"/>
      <c r="F125" s="4"/>
      <c r="G125" s="4"/>
      <c r="H125" s="4"/>
      <c r="I125" s="4"/>
      <c r="J125" s="4"/>
      <c r="K125" s="4"/>
      <c r="L125" s="4"/>
    </row>
    <row r="126" spans="2:12">
      <c r="B126" s="4"/>
      <c r="C126" s="4"/>
      <c r="D126" s="4"/>
      <c r="E126" s="4"/>
      <c r="F126" s="4"/>
      <c r="G126" s="4"/>
      <c r="H126" s="4"/>
      <c r="I126" s="4"/>
      <c r="J126" s="4"/>
      <c r="K126" s="4"/>
      <c r="L126" s="4"/>
    </row>
    <row r="127" spans="2:12">
      <c r="B127" s="4"/>
      <c r="C127" s="4"/>
      <c r="D127" s="4"/>
      <c r="E127" s="4"/>
      <c r="F127" s="4"/>
      <c r="G127" s="4"/>
      <c r="H127" s="4"/>
      <c r="I127" s="4"/>
      <c r="J127" s="4"/>
      <c r="K127" s="4"/>
      <c r="L127" s="4"/>
    </row>
    <row r="128" spans="2:12">
      <c r="B128" s="4"/>
      <c r="C128" s="4"/>
      <c r="D128" s="4"/>
      <c r="E128" s="4"/>
      <c r="F128" s="4"/>
      <c r="G128" s="4"/>
      <c r="H128" s="4"/>
      <c r="I128" s="4"/>
      <c r="J128" s="4"/>
      <c r="K128" s="4"/>
      <c r="L128" s="4"/>
    </row>
    <row r="129" spans="2:12">
      <c r="B129" s="4"/>
      <c r="C129" s="4"/>
      <c r="D129" s="4"/>
      <c r="E129" s="4"/>
      <c r="F129" s="4"/>
      <c r="G129" s="4"/>
      <c r="H129" s="4"/>
      <c r="I129" s="4"/>
      <c r="J129" s="4"/>
      <c r="K129" s="4"/>
      <c r="L129" s="4"/>
    </row>
    <row r="130" spans="2:12">
      <c r="B130" s="4"/>
      <c r="C130" s="4"/>
      <c r="D130" s="4"/>
      <c r="E130" s="4"/>
      <c r="F130" s="4"/>
      <c r="G130" s="4"/>
      <c r="H130" s="4"/>
      <c r="I130" s="4"/>
      <c r="J130" s="4"/>
      <c r="K130" s="4"/>
      <c r="L130" s="4"/>
    </row>
  </sheetData>
  <sortState ref="A24:P26">
    <sortCondition ref="A24"/>
  </sortState>
  <customSheetViews>
    <customSheetView guid="{6B74E52F-9552-408A-8775-25AFF24E6639}" scale="75" showPageBreaks="1" fitToPage="1" showRuler="0">
      <selection activeCell="A4" sqref="A4"/>
      <rowBreaks count="1" manualBreakCount="1">
        <brk id="52" max="16383" man="1"/>
      </rowBreaks>
      <pageMargins left="0.75" right="0.75" top="1" bottom="1" header="0.5" footer="0.5"/>
      <pageSetup scale="57" fitToHeight="0" orientation="landscape" r:id="rId1"/>
      <headerFooter alignWithMargins="0">
        <oddFooter>&amp;L&amp;Z
&amp;F&amp;C&amp;A&amp;R13.&amp;P</oddFooter>
      </headerFooter>
    </customSheetView>
  </customSheetViews>
  <mergeCells count="3">
    <mergeCell ref="A1:P1"/>
    <mergeCell ref="A2:P2"/>
    <mergeCell ref="A3:P3"/>
  </mergeCells>
  <phoneticPr fontId="0" type="noConversion"/>
  <pageMargins left="0.75" right="0.75" top="1" bottom="1" header="0.5" footer="0.5"/>
  <pageSetup scale="57" fitToHeight="0" orientation="landscape" r:id="rId2"/>
  <headerFooter alignWithMargins="0">
    <oddFooter>&amp;L&amp;Z
&amp;F&amp;C&amp;A&amp;R13.&amp;P</oddFooter>
  </headerFooter>
  <rowBreaks count="1" manualBreakCount="1">
    <brk id="53"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149</vt:i4>
      </vt:variant>
      <vt:variant>
        <vt:lpstr>Named Ranges</vt:lpstr>
      </vt:variant>
      <vt:variant>
        <vt:i4>276</vt:i4>
      </vt:variant>
    </vt:vector>
  </HeadingPairs>
  <TitlesOfParts>
    <vt:vector size="425" baseType="lpstr">
      <vt:lpstr>Footnotes (YTD)</vt:lpstr>
      <vt:lpstr>Form 3Q (Total)</vt:lpstr>
      <vt:lpstr>RWROWS2</vt:lpstr>
      <vt:lpstr>RWRACCTS2</vt:lpstr>
      <vt:lpstr>RWRCALCS2</vt:lpstr>
      <vt:lpstr>RWCOLUMNS2</vt:lpstr>
      <vt:lpstr>RWCACCTS2</vt:lpstr>
      <vt:lpstr>RWCCALCS2</vt:lpstr>
      <vt:lpstr>RWCEXCEPTIONS2</vt:lpstr>
      <vt:lpstr>RWCEXCEPTIONSDETAIL2</vt:lpstr>
      <vt:lpstr>RWROWORDERS2</vt:lpstr>
      <vt:lpstr>RWCONTENTS2</vt:lpstr>
      <vt:lpstr>RWDISPLAYROWS2</vt:lpstr>
      <vt:lpstr>RWDISPLAYCOLS2</vt:lpstr>
      <vt:lpstr>RWCONTROLVALUES2</vt:lpstr>
      <vt:lpstr>RWREPORT2</vt:lpstr>
      <vt:lpstr>CRITERIA2</vt:lpstr>
      <vt:lpstr>RWROWS3</vt:lpstr>
      <vt:lpstr>RWRACCTS3</vt:lpstr>
      <vt:lpstr>RWRCALCS3</vt:lpstr>
      <vt:lpstr>RWCOLUMNS3</vt:lpstr>
      <vt:lpstr>RWCACCTS3</vt:lpstr>
      <vt:lpstr>RWCCALCS3</vt:lpstr>
      <vt:lpstr>RWCEXCEPTIONS3</vt:lpstr>
      <vt:lpstr>RWCEXCEPTIONSDETAIL3</vt:lpstr>
      <vt:lpstr>RWROWORDERS3</vt:lpstr>
      <vt:lpstr>RWCONTENTS3</vt:lpstr>
      <vt:lpstr>RWDISPLAYROWS3</vt:lpstr>
      <vt:lpstr>RWDISPLAYCOLS3</vt:lpstr>
      <vt:lpstr>RWCONTROLVALUES3</vt:lpstr>
      <vt:lpstr>RWREPORT3</vt:lpstr>
      <vt:lpstr>CRITERIA3</vt:lpstr>
      <vt:lpstr>RWROWS1</vt:lpstr>
      <vt:lpstr>RWRACCTS1</vt:lpstr>
      <vt:lpstr>RWRCALCS1</vt:lpstr>
      <vt:lpstr>RWCOLUMNS1</vt:lpstr>
      <vt:lpstr>RWCACCTS1</vt:lpstr>
      <vt:lpstr>RWCCALCS1</vt:lpstr>
      <vt:lpstr>RWCEXCEPTIONS1</vt:lpstr>
      <vt:lpstr>RWCEXCEPTIONSDETAIL1</vt:lpstr>
      <vt:lpstr>RWROWORDERS1</vt:lpstr>
      <vt:lpstr>RWCONTENTS1</vt:lpstr>
      <vt:lpstr>RWDISPLAYROWS1</vt:lpstr>
      <vt:lpstr>RWDISPLAYCOLS1</vt:lpstr>
      <vt:lpstr>RWCONTROLVALUES1</vt:lpstr>
      <vt:lpstr>RWREPORT1</vt:lpstr>
      <vt:lpstr>CRITERIA1</vt:lpstr>
      <vt:lpstr>Form 3Q (PA)</vt:lpstr>
      <vt:lpstr>TABLE OF CONTENTS</vt:lpstr>
      <vt:lpstr>Summary - Cost - PG 1 (Tot)</vt:lpstr>
      <vt:lpstr>Summary - Reserve - PG 2 (Tot)</vt:lpstr>
      <vt:lpstr>RWIP BY ACCOUNT - PG 2A (Tot)</vt:lpstr>
      <vt:lpstr>Cash Flow Summary - PG 2B (Tot)</vt:lpstr>
      <vt:lpstr>Transfer Detail PG 3 (Tot)</vt:lpstr>
      <vt:lpstr>Land &amp; Vehicle Retire P3A (Tot)</vt:lpstr>
      <vt:lpstr>Recon Depr Exp to IS P4 (Tot)</vt:lpstr>
      <vt:lpstr>Total Comm PIS_NBV-P5 (Tot)</vt:lpstr>
      <vt:lpstr>Tot Com PIS_COST SPLITS P6(Tot)</vt:lpstr>
      <vt:lpstr>KY_Total Comm PIS_NBV-P7 (Tot)</vt:lpstr>
      <vt:lpstr>KY_Cost Plant Acct-Com-P8(Tot)</vt:lpstr>
      <vt:lpstr>IN_Total PIS_Comm_NBV-P9 (Tot)</vt:lpstr>
      <vt:lpstr>IN_Cost Plant Acct-Com-P10(Tot)</vt:lpstr>
      <vt:lpstr>Total Elec PIS_NBV-P11 (Tot)</vt:lpstr>
      <vt:lpstr>Tot Elec PIS COST SPLIT-P12(Tot</vt:lpstr>
      <vt:lpstr>KY_Total Elec PIS_NBV-P13 (Tot)</vt:lpstr>
      <vt:lpstr>KY_Cost Plant Acct-Elec-P14(Tot</vt:lpstr>
      <vt:lpstr>IN_Total PIS_Elec_NBV-P15 (Tot)</vt:lpstr>
      <vt:lpstr>IN_Cost Plant Acct-Elec-P16(Tot</vt:lpstr>
      <vt:lpstr>Total Gas PIS_NBV-P17 (Tot)</vt:lpstr>
      <vt:lpstr>Tot Gas PIS COST SPLIT-P18(Tot)</vt:lpstr>
      <vt:lpstr>KY_Total Gas PIS_NBV-P19 (Tot)</vt:lpstr>
      <vt:lpstr>KY_Cost Plant Acct-Gas-P20(Tot)</vt:lpstr>
      <vt:lpstr>IN_Total PIS_Gas_NBV-P21 (Tot)</vt:lpstr>
      <vt:lpstr>IN_Cost Plant Acct-Gas-P22(Tot)</vt:lpstr>
      <vt:lpstr>Gas Stored NonRecov-KY P23(Tot)</vt:lpstr>
      <vt:lpstr>Gas Stored NonRecov-IN P24(Tot)</vt:lpstr>
      <vt:lpstr>Capital Leased Prop P25 (Tot)</vt:lpstr>
      <vt:lpstr>Plant Held Future Use P26 (Tot)</vt:lpstr>
      <vt:lpstr>Non Utility Property P27 (Tot)</vt:lpstr>
      <vt:lpstr>Plant Purch &amp; Sold P28 (Tot)</vt:lpstr>
      <vt:lpstr>KY_Res by Plant Acct-P29 (Tot)</vt:lpstr>
      <vt:lpstr>IN_Res by Plant Acct-P30 (Tot)</vt:lpstr>
      <vt:lpstr>Summary - Cost - PG 1 (Fin)</vt:lpstr>
      <vt:lpstr>Summary - Reserve - PG 2 (Fin)</vt:lpstr>
      <vt:lpstr>RWIP BY ACCOUNT - PG 2A (Fin)</vt:lpstr>
      <vt:lpstr>Cash Flow Summary - PG 2B (Fin)</vt:lpstr>
      <vt:lpstr>Transfer Detail PG 3 (Fin)</vt:lpstr>
      <vt:lpstr>Land &amp; Vehicle Retire P3A(Fin)</vt:lpstr>
      <vt:lpstr>CWIP Spend by Project P3B (FIN)</vt:lpstr>
      <vt:lpstr>Recon Depr Exp to IS P4 (Fin)</vt:lpstr>
      <vt:lpstr>Total Comm PIS_NBV-P5 (Fin)</vt:lpstr>
      <vt:lpstr>Tot Com PIS_COST SPLIT-P6(Fin)</vt:lpstr>
      <vt:lpstr>KY_Total Comm PIS_NBV-P7 (Fin)</vt:lpstr>
      <vt:lpstr>KY_Cost Plant Acct-Comm-P8(Fin)</vt:lpstr>
      <vt:lpstr>IN_Total PIS_Comm_NBV-P9 (Fin)</vt:lpstr>
      <vt:lpstr>IN_Cost Plant Acct-Com-P10(Fin)</vt:lpstr>
      <vt:lpstr>Total Elec PIS_NBV-P11 (Fin)</vt:lpstr>
      <vt:lpstr>Tot Elec PIS Cost Split-P12(Fin</vt:lpstr>
      <vt:lpstr>KY_Total Elec PIS_NBV-P13 (Fin)</vt:lpstr>
      <vt:lpstr>KY_Cost Plant Acct-Elec-P14(Fin</vt:lpstr>
      <vt:lpstr>IN_Total PIS_Elec_NBV-P15 (Fin)</vt:lpstr>
      <vt:lpstr>IN_Cost Plant Acct-Elec-P16(Fin</vt:lpstr>
      <vt:lpstr>Total Gas PIS_NBV-P17 (Fin)</vt:lpstr>
      <vt:lpstr>Tot Gas PIS COST SPLIT-P18(Fin)</vt:lpstr>
      <vt:lpstr>KY_Total Gas PIS_NBV-P19(Fin)</vt:lpstr>
      <vt:lpstr>KY_Cost Plant Acct-Gas-P20(Fin)</vt:lpstr>
      <vt:lpstr>IN_Total PIS_Gas_NBV-P21(Fin)</vt:lpstr>
      <vt:lpstr>IN_Cost Plant Acct-Gas-P22(Fin)</vt:lpstr>
      <vt:lpstr>Gas Stored NonRecov-KY P23(Fin)</vt:lpstr>
      <vt:lpstr>Gas Stored NonRecov-IN P24(Fin)</vt:lpstr>
      <vt:lpstr>Capital Leased Prop P25 (Fin)</vt:lpstr>
      <vt:lpstr>Plant Held Future Use P26 (Fin)</vt:lpstr>
      <vt:lpstr>Non Utility Property P27 (Fin)</vt:lpstr>
      <vt:lpstr>Plant Purch &amp; Sold P28 (Fin)</vt:lpstr>
      <vt:lpstr>KY_Res by Plant Acct-P29 (Fin)</vt:lpstr>
      <vt:lpstr>IN_Res by Plant Acct-P30 (Fin)</vt:lpstr>
      <vt:lpstr>Summary - Cost - PG 1 (PA)</vt:lpstr>
      <vt:lpstr>Summary - Reserve - PG 2 (PA)</vt:lpstr>
      <vt:lpstr>RWIP BY ACCOUNT - PG 2A (PA)</vt:lpstr>
      <vt:lpstr>Cash Flow Summary - P2B (P)</vt:lpstr>
      <vt:lpstr>Transfer Detail PG 3 (PA)</vt:lpstr>
      <vt:lpstr>Land &amp; Vehicle Retire P4 (PA)</vt:lpstr>
      <vt:lpstr>Recon Depr Exp to IS P4 (PA)</vt:lpstr>
      <vt:lpstr>Total Comm PIS_NBV-P5 (PA)</vt:lpstr>
      <vt:lpstr>Tot Com PIS_COST SPLITS-P6 (PA)</vt:lpstr>
      <vt:lpstr>KY_Total Comm PIS_NBV-P7 (PA)</vt:lpstr>
      <vt:lpstr>KY_Cost-Plant Acct-Comm-P8(PA)</vt:lpstr>
      <vt:lpstr>IN_Total PIS_Comm_NBV-P9 (PA)</vt:lpstr>
      <vt:lpstr>IN_Cost-Plant Acct-Com-P10 (PA)</vt:lpstr>
      <vt:lpstr>Total Elec PIS_NBV-P11 (PA)</vt:lpstr>
      <vt:lpstr>Tot Elec PIS COST SPLIT-P12(PA)</vt:lpstr>
      <vt:lpstr>KY_Total Elec PIS_NBV-P13 (PA)</vt:lpstr>
      <vt:lpstr>KY_Cost-Plant Acct-Elec-P14(PA)</vt:lpstr>
      <vt:lpstr>IN_Total PIS_Elec_NBV-P15 (PA)</vt:lpstr>
      <vt:lpstr>IN_Cost-Plant Acct-Elec-P16(PA)</vt:lpstr>
      <vt:lpstr>Total Gas PIS_NBV-P17 (PA)</vt:lpstr>
      <vt:lpstr>Tot Gas PIS COST SPLIT-P18(PA)</vt:lpstr>
      <vt:lpstr>KY_Total Gas PIS_NBV-P19 (PA)</vt:lpstr>
      <vt:lpstr>KY_Cost-Plant Acct-Gas-P20 (PA)</vt:lpstr>
      <vt:lpstr>IN_Total PIS_Gas_NBV-P21 (PA)</vt:lpstr>
      <vt:lpstr>IN_Cost-Plant Acct-Gas-P22 (PA)</vt:lpstr>
      <vt:lpstr>Gas Stored NonRecov-KY P23 (PA)</vt:lpstr>
      <vt:lpstr>Gas Stored NonRecov-IN P24 (PA)</vt:lpstr>
      <vt:lpstr>Capital Leased Prop P25 (PA)</vt:lpstr>
      <vt:lpstr>Plant Held Future Use P26 (PA)</vt:lpstr>
      <vt:lpstr>Non Utility Property P27 (PA)</vt:lpstr>
      <vt:lpstr>Plant Purch &amp; Sold P28 (PA)</vt:lpstr>
      <vt:lpstr>KY_Res by Plant Acct-P29 (PA)</vt:lpstr>
      <vt:lpstr>IN_Res by Plant Acct-P30 (PA)</vt:lpstr>
      <vt:lpstr>AccountedPeriodType1</vt:lpstr>
      <vt:lpstr>AccountedPeriodType2</vt:lpstr>
      <vt:lpstr>AccountedPeriodType3</vt:lpstr>
      <vt:lpstr>AppsUsername1</vt:lpstr>
      <vt:lpstr>AppsUsername2</vt:lpstr>
      <vt:lpstr>AppsUsername3</vt:lpstr>
      <vt:lpstr>ChartOfAccountsID1</vt:lpstr>
      <vt:lpstr>ChartOfAccountsID2</vt:lpstr>
      <vt:lpstr>ChartOfAccountsID3</vt:lpstr>
      <vt:lpstr>ConnectString1</vt:lpstr>
      <vt:lpstr>ConnectString2</vt:lpstr>
      <vt:lpstr>ConnectString3</vt:lpstr>
      <vt:lpstr>DBDECIMALPOINT1</vt:lpstr>
      <vt:lpstr>DBDECIMALPOINT2</vt:lpstr>
      <vt:lpstr>DBDECIMALPOINT3</vt:lpstr>
      <vt:lpstr>DBName1</vt:lpstr>
      <vt:lpstr>DBName2</vt:lpstr>
      <vt:lpstr>DBName3</vt:lpstr>
      <vt:lpstr>DBTHOUSANDSSEPARATOR1</vt:lpstr>
      <vt:lpstr>DBTHOUSANDSSEPARATOR2</vt:lpstr>
      <vt:lpstr>DBTHOUSANDSSEPARATOR3</vt:lpstr>
      <vt:lpstr>DBUsername1</vt:lpstr>
      <vt:lpstr>DBUsername2</vt:lpstr>
      <vt:lpstr>DBUsername3</vt:lpstr>
      <vt:lpstr>DEFAULTACTIVITY1</vt:lpstr>
      <vt:lpstr>DEFAULTACTIVITY2</vt:lpstr>
      <vt:lpstr>DEFAULTACTIVITY3</vt:lpstr>
      <vt:lpstr>FFAbove1_1</vt:lpstr>
      <vt:lpstr>FFAbove1_2</vt:lpstr>
      <vt:lpstr>FFAbove1_3</vt:lpstr>
      <vt:lpstr>FFAbove2_1</vt:lpstr>
      <vt:lpstr>FFAbove2_2</vt:lpstr>
      <vt:lpstr>FFAbove2_3</vt:lpstr>
      <vt:lpstr>FFAbove3_1</vt:lpstr>
      <vt:lpstr>FFAbove3_2</vt:lpstr>
      <vt:lpstr>FFAbove3_3</vt:lpstr>
      <vt:lpstr>FFAbove4_1</vt:lpstr>
      <vt:lpstr>FFAbove4_2</vt:lpstr>
      <vt:lpstr>FFAbove4_3</vt:lpstr>
      <vt:lpstr>FFAbove5_1</vt:lpstr>
      <vt:lpstr>FFAbove5_2</vt:lpstr>
      <vt:lpstr>FFAbove5_3</vt:lpstr>
      <vt:lpstr>FFAbove6_1</vt:lpstr>
      <vt:lpstr>FFAbove6_2</vt:lpstr>
      <vt:lpstr>FFAbove6_3</vt:lpstr>
      <vt:lpstr>FFAbove7_1</vt:lpstr>
      <vt:lpstr>FFAbove7_2</vt:lpstr>
      <vt:lpstr>FFAbove7_3</vt:lpstr>
      <vt:lpstr>FFAbove8_1</vt:lpstr>
      <vt:lpstr>FFAbove8_2</vt:lpstr>
      <vt:lpstr>FFAbove8_3</vt:lpstr>
      <vt:lpstr>FFAppColName1_1</vt:lpstr>
      <vt:lpstr>FFAppColName1_2</vt:lpstr>
      <vt:lpstr>FFAppColName1_3</vt:lpstr>
      <vt:lpstr>FFAppColName2_1</vt:lpstr>
      <vt:lpstr>FFAppColName2_2</vt:lpstr>
      <vt:lpstr>FFAppColName2_3</vt:lpstr>
      <vt:lpstr>FFAppColName3_1</vt:lpstr>
      <vt:lpstr>FFAppColName3_2</vt:lpstr>
      <vt:lpstr>FFAppColName3_3</vt:lpstr>
      <vt:lpstr>FFAppColName4_1</vt:lpstr>
      <vt:lpstr>FFAppColName4_2</vt:lpstr>
      <vt:lpstr>FFAppColName4_3</vt:lpstr>
      <vt:lpstr>FFAppColName5_1</vt:lpstr>
      <vt:lpstr>FFAppColName5_2</vt:lpstr>
      <vt:lpstr>FFAppColName5_3</vt:lpstr>
      <vt:lpstr>FFAppColName6_1</vt:lpstr>
      <vt:lpstr>FFAppColName6_2</vt:lpstr>
      <vt:lpstr>FFAppColName6_3</vt:lpstr>
      <vt:lpstr>FFAppColName7_1</vt:lpstr>
      <vt:lpstr>FFAppColName7_2</vt:lpstr>
      <vt:lpstr>FFAppColName7_3</vt:lpstr>
      <vt:lpstr>FFAppColName8_1</vt:lpstr>
      <vt:lpstr>FFAppColName8_2</vt:lpstr>
      <vt:lpstr>FFAppColName8_3</vt:lpstr>
      <vt:lpstr>FFDisplay1_1</vt:lpstr>
      <vt:lpstr>FFDisplay1_2</vt:lpstr>
      <vt:lpstr>FFDisplay1_3</vt:lpstr>
      <vt:lpstr>FFDisplay2_1</vt:lpstr>
      <vt:lpstr>FFDisplay2_2</vt:lpstr>
      <vt:lpstr>FFDisplay2_3</vt:lpstr>
      <vt:lpstr>FFDisplay3_1</vt:lpstr>
      <vt:lpstr>FFDisplay3_2</vt:lpstr>
      <vt:lpstr>FFDisplay3_3</vt:lpstr>
      <vt:lpstr>FFDisplay4_1</vt:lpstr>
      <vt:lpstr>FFDisplay4_2</vt:lpstr>
      <vt:lpstr>FFDisplay4_3</vt:lpstr>
      <vt:lpstr>FFDisplay5_1</vt:lpstr>
      <vt:lpstr>FFDisplay5_2</vt:lpstr>
      <vt:lpstr>FFDisplay5_3</vt:lpstr>
      <vt:lpstr>FFDisplay6_1</vt:lpstr>
      <vt:lpstr>FFDisplay6_2</vt:lpstr>
      <vt:lpstr>FFDisplay6_3</vt:lpstr>
      <vt:lpstr>FFDisplay7_1</vt:lpstr>
      <vt:lpstr>FFDisplay7_2</vt:lpstr>
      <vt:lpstr>FFDisplay7_3</vt:lpstr>
      <vt:lpstr>FFDisplay8_1</vt:lpstr>
      <vt:lpstr>FFDisplay8_2</vt:lpstr>
      <vt:lpstr>FFDisplay8_3</vt:lpstr>
      <vt:lpstr>FFMaximum1_1</vt:lpstr>
      <vt:lpstr>FFMaximum1_2</vt:lpstr>
      <vt:lpstr>FFMaximum1_3</vt:lpstr>
      <vt:lpstr>FFMaximum2_1</vt:lpstr>
      <vt:lpstr>FFMaximum2_2</vt:lpstr>
      <vt:lpstr>FFMaximum2_3</vt:lpstr>
      <vt:lpstr>FFMaximum3_1</vt:lpstr>
      <vt:lpstr>FFMaximum3_2</vt:lpstr>
      <vt:lpstr>FFMaximum3_3</vt:lpstr>
      <vt:lpstr>FFMaximum4_1</vt:lpstr>
      <vt:lpstr>FFMaximum4_2</vt:lpstr>
      <vt:lpstr>FFMaximum4_3</vt:lpstr>
      <vt:lpstr>FFMaximum5_1</vt:lpstr>
      <vt:lpstr>FFMaximum5_2</vt:lpstr>
      <vt:lpstr>FFMaximum5_3</vt:lpstr>
      <vt:lpstr>FFMaximum6_1</vt:lpstr>
      <vt:lpstr>FFMaximum6_2</vt:lpstr>
      <vt:lpstr>FFMaximum6_3</vt:lpstr>
      <vt:lpstr>FFMaximum7_1</vt:lpstr>
      <vt:lpstr>FFMaximum7_2</vt:lpstr>
      <vt:lpstr>FFMaximum7_3</vt:lpstr>
      <vt:lpstr>FFMaximum8_1</vt:lpstr>
      <vt:lpstr>FFMaximum8_2</vt:lpstr>
      <vt:lpstr>FFMaximum8_3</vt:lpstr>
      <vt:lpstr>FFSegment1_1</vt:lpstr>
      <vt:lpstr>FFSegment1_2</vt:lpstr>
      <vt:lpstr>FFSegment1_3</vt:lpstr>
      <vt:lpstr>FFSegment2_1</vt:lpstr>
      <vt:lpstr>FFSegment2_2</vt:lpstr>
      <vt:lpstr>FFSegment2_3</vt:lpstr>
      <vt:lpstr>FFSegment3_1</vt:lpstr>
      <vt:lpstr>FFSegment3_2</vt:lpstr>
      <vt:lpstr>FFSegment3_3</vt:lpstr>
      <vt:lpstr>FFSegment4_1</vt:lpstr>
      <vt:lpstr>FFSegment4_2</vt:lpstr>
      <vt:lpstr>FFSegment4_3</vt:lpstr>
      <vt:lpstr>FFSegment5_1</vt:lpstr>
      <vt:lpstr>FFSegment5_2</vt:lpstr>
      <vt:lpstr>FFSegment5_3</vt:lpstr>
      <vt:lpstr>FFSegment6_1</vt:lpstr>
      <vt:lpstr>FFSegment6_2</vt:lpstr>
      <vt:lpstr>FFSegment6_3</vt:lpstr>
      <vt:lpstr>FFSegment7_1</vt:lpstr>
      <vt:lpstr>FFSegment7_2</vt:lpstr>
      <vt:lpstr>FFSegment7_3</vt:lpstr>
      <vt:lpstr>FFSegment8_1</vt:lpstr>
      <vt:lpstr>FFSegment8_2</vt:lpstr>
      <vt:lpstr>FFSegment8_3</vt:lpstr>
      <vt:lpstr>FFSegSeparator1</vt:lpstr>
      <vt:lpstr>FFSegSeparator2</vt:lpstr>
      <vt:lpstr>FFSegSeparator3</vt:lpstr>
      <vt:lpstr>FNDNAM1</vt:lpstr>
      <vt:lpstr>FNDNAM2</vt:lpstr>
      <vt:lpstr>FNDNAM3</vt:lpstr>
      <vt:lpstr>FNDUserID1</vt:lpstr>
      <vt:lpstr>FNDUserID2</vt:lpstr>
      <vt:lpstr>FNDUserID3</vt:lpstr>
      <vt:lpstr>GWYUID1</vt:lpstr>
      <vt:lpstr>GWYUID2</vt:lpstr>
      <vt:lpstr>GWYUID3</vt:lpstr>
      <vt:lpstr>NOMEANING1</vt:lpstr>
      <vt:lpstr>NOMEANING2</vt:lpstr>
      <vt:lpstr>NOMEANING3</vt:lpstr>
      <vt:lpstr>NoOfFFSegments1</vt:lpstr>
      <vt:lpstr>NoOfFFSegments2</vt:lpstr>
      <vt:lpstr>NoOfFFSegments3</vt:lpstr>
      <vt:lpstr>PeriodSetName1</vt:lpstr>
      <vt:lpstr>PeriodSetName2</vt:lpstr>
      <vt:lpstr>PeriodSetName3</vt:lpstr>
      <vt:lpstr>'Cash Flow Summary - PG 2B (Fin)'!Print_Area</vt:lpstr>
      <vt:lpstr>'Cash Flow Summary - PG 2B (Tot)'!Print_Area</vt:lpstr>
      <vt:lpstr>'Footnotes (YTD)'!Print_Area</vt:lpstr>
      <vt:lpstr>'Form 3Q (PA)'!Print_Area</vt:lpstr>
      <vt:lpstr>'Form 3Q (Total)'!Print_Area</vt:lpstr>
      <vt:lpstr>'KY_Cost Plant Acct-Comm-P8(Fin)'!Print_Area</vt:lpstr>
      <vt:lpstr>'KY_Cost Plant Acct-Com-P8(Tot)'!Print_Area</vt:lpstr>
      <vt:lpstr>'KY_Cost-Plant Acct-Comm-P8(PA)'!Print_Area</vt:lpstr>
      <vt:lpstr>'KY_Total Comm PIS_NBV-P7 (Fin)'!Print_Area</vt:lpstr>
      <vt:lpstr>'KY_Total Comm PIS_NBV-P7 (PA)'!Print_Area</vt:lpstr>
      <vt:lpstr>'KY_Total Comm PIS_NBV-P7 (Tot)'!Print_Area</vt:lpstr>
      <vt:lpstr>'Recon Depr Exp to IS P4 (Fin)'!Print_Area</vt:lpstr>
      <vt:lpstr>'RWIP BY ACCOUNT - PG 2A (Fin)'!Print_Area</vt:lpstr>
      <vt:lpstr>'Summary - Cost - PG 1 (Fin)'!Print_Area</vt:lpstr>
      <vt:lpstr>'Summary - Cost - PG 1 (PA)'!Print_Area</vt:lpstr>
      <vt:lpstr>'Summary - Cost - PG 1 (Tot)'!Print_Area</vt:lpstr>
      <vt:lpstr>'Summary - Reserve - PG 2 (Fin)'!Print_Area</vt:lpstr>
      <vt:lpstr>'Tot Com PIS_COST SPLIT-P6(Fin)'!Print_Area</vt:lpstr>
      <vt:lpstr>'Tot Com PIS_COST SPLITS P6(Tot)'!Print_Area</vt:lpstr>
      <vt:lpstr>'Tot Com PIS_COST SPLITS-P6 (PA)'!Print_Area</vt:lpstr>
      <vt:lpstr>'Total Comm PIS_NBV-P5 (Fin)'!Print_Area</vt:lpstr>
      <vt:lpstr>'Total Comm PIS_NBV-P5 (PA)'!Print_Area</vt:lpstr>
      <vt:lpstr>'Total Comm PIS_NBV-P5 (Tot)'!Print_Area</vt:lpstr>
      <vt:lpstr>'Cash Flow Summary - PG 2B (Fin)'!Print_Titles</vt:lpstr>
      <vt:lpstr>'Cash Flow Summary - PG 2B (Tot)'!Print_Titles</vt:lpstr>
      <vt:lpstr>'CWIP Spend by Project P3B (FIN)'!Print_Titles</vt:lpstr>
      <vt:lpstr>'Footnotes (YTD)'!Print_Titles</vt:lpstr>
      <vt:lpstr>'IN_Cost Plant Acct-Elec-P16(Fin'!Print_Titles</vt:lpstr>
      <vt:lpstr>'IN_Cost Plant Acct-Elec-P16(Tot'!Print_Titles</vt:lpstr>
      <vt:lpstr>'IN_Cost-Plant Acct-Elec-P16(PA)'!Print_Titles</vt:lpstr>
      <vt:lpstr>'IN_Res by Plant Acct-P30 (Fin)'!Print_Titles</vt:lpstr>
      <vt:lpstr>'IN_Res by Plant Acct-P30 (PA)'!Print_Titles</vt:lpstr>
      <vt:lpstr>'IN_Res by Plant Acct-P30 (Tot)'!Print_Titles</vt:lpstr>
      <vt:lpstr>'IN_Total PIS_Elec_NBV-P15 (Fin)'!Print_Titles</vt:lpstr>
      <vt:lpstr>'IN_Total PIS_Elec_NBV-P15 (PA)'!Print_Titles</vt:lpstr>
      <vt:lpstr>'IN_Total PIS_Elec_NBV-P15 (Tot)'!Print_Titles</vt:lpstr>
      <vt:lpstr>'KY_Cost Plant Acct-Comm-P8(Fin)'!Print_Titles</vt:lpstr>
      <vt:lpstr>'KY_Cost Plant Acct-Com-P8(Tot)'!Print_Titles</vt:lpstr>
      <vt:lpstr>'KY_Cost Plant Acct-Elec-P14(Fin'!Print_Titles</vt:lpstr>
      <vt:lpstr>'KY_Cost Plant Acct-Elec-P14(Tot'!Print_Titles</vt:lpstr>
      <vt:lpstr>'KY_Cost Plant Acct-Gas-P20(Fin)'!Print_Titles</vt:lpstr>
      <vt:lpstr>'KY_Cost Plant Acct-Gas-P20(Tot)'!Print_Titles</vt:lpstr>
      <vt:lpstr>'KY_Cost-Plant Acct-Comm-P8(PA)'!Print_Titles</vt:lpstr>
      <vt:lpstr>'KY_Cost-Plant Acct-Elec-P14(PA)'!Print_Titles</vt:lpstr>
      <vt:lpstr>'KY_Cost-Plant Acct-Gas-P20 (PA)'!Print_Titles</vt:lpstr>
      <vt:lpstr>'KY_Res by Plant Acct-P29 (Fin)'!Print_Titles</vt:lpstr>
      <vt:lpstr>'KY_Res by Plant Acct-P29 (PA)'!Print_Titles</vt:lpstr>
      <vt:lpstr>'KY_Res by Plant Acct-P29 (Tot)'!Print_Titles</vt:lpstr>
      <vt:lpstr>'KY_Total Comm PIS_NBV-P7 (Fin)'!Print_Titles</vt:lpstr>
      <vt:lpstr>'KY_Total Comm PIS_NBV-P7 (PA)'!Print_Titles</vt:lpstr>
      <vt:lpstr>'KY_Total Comm PIS_NBV-P7 (Tot)'!Print_Titles</vt:lpstr>
      <vt:lpstr>'KY_Total Elec PIS_NBV-P13 (Fin)'!Print_Titles</vt:lpstr>
      <vt:lpstr>'KY_Total Elec PIS_NBV-P13 (PA)'!Print_Titles</vt:lpstr>
      <vt:lpstr>'KY_Total Elec PIS_NBV-P13 (Tot)'!Print_Titles</vt:lpstr>
      <vt:lpstr>'KY_Total Gas PIS_NBV-P19 (PA)'!Print_Titles</vt:lpstr>
      <vt:lpstr>'KY_Total Gas PIS_NBV-P19 (Tot)'!Print_Titles</vt:lpstr>
      <vt:lpstr>'KY_Total Gas PIS_NBV-P19(Fin)'!Print_Titles</vt:lpstr>
      <vt:lpstr>'Recon Depr Exp to IS P4 (Fin)'!Print_Titles</vt:lpstr>
      <vt:lpstr>'Recon Depr Exp to IS P4 (PA)'!Print_Titles</vt:lpstr>
      <vt:lpstr>'Recon Depr Exp to IS P4 (Tot)'!Print_Titles</vt:lpstr>
      <vt:lpstr>'Summary - Cost - PG 1 (Fin)'!Print_Titles</vt:lpstr>
      <vt:lpstr>'Summary - Cost - PG 1 (PA)'!Print_Titles</vt:lpstr>
      <vt:lpstr>'Summary - Cost - PG 1 (Tot)'!Print_Titles</vt:lpstr>
      <vt:lpstr>'Summary - Reserve - PG 2 (Fin)'!Print_Titles</vt:lpstr>
      <vt:lpstr>'Summary - Reserve - PG 2 (PA)'!Print_Titles</vt:lpstr>
      <vt:lpstr>'Summary - Reserve - PG 2 (Tot)'!Print_Titles</vt:lpstr>
      <vt:lpstr>'Tot Com PIS_COST SPLIT-P6(Fin)'!Print_Titles</vt:lpstr>
      <vt:lpstr>'Tot Com PIS_COST SPLITS P6(Tot)'!Print_Titles</vt:lpstr>
      <vt:lpstr>'Tot Com PIS_COST SPLITS-P6 (PA)'!Print_Titles</vt:lpstr>
      <vt:lpstr>'Tot Elec PIS Cost Split-P12(Fin'!Print_Titles</vt:lpstr>
      <vt:lpstr>'Tot Elec PIS COST SPLIT-P12(PA)'!Print_Titles</vt:lpstr>
      <vt:lpstr>'Tot Elec PIS COST SPLIT-P12(Tot'!Print_Titles</vt:lpstr>
      <vt:lpstr>'Tot Gas PIS COST SPLIT-P18(Fin)'!Print_Titles</vt:lpstr>
      <vt:lpstr>'Tot Gas PIS COST SPLIT-P18(PA)'!Print_Titles</vt:lpstr>
      <vt:lpstr>'Tot Gas PIS COST SPLIT-P18(Tot)'!Print_Titles</vt:lpstr>
      <vt:lpstr>'Total Comm PIS_NBV-P5 (Fin)'!Print_Titles</vt:lpstr>
      <vt:lpstr>'Total Comm PIS_NBV-P5 (PA)'!Print_Titles</vt:lpstr>
      <vt:lpstr>'Total Comm PIS_NBV-P5 (Tot)'!Print_Titles</vt:lpstr>
      <vt:lpstr>'Total Elec PIS_NBV-P11 (Fin)'!Print_Titles</vt:lpstr>
      <vt:lpstr>'Total Elec PIS_NBV-P11 (PA)'!Print_Titles</vt:lpstr>
      <vt:lpstr>'Total Elec PIS_NBV-P11 (Tot)'!Print_Titles</vt:lpstr>
      <vt:lpstr>'Total Gas PIS_NBV-P17 (Fin)'!Print_Titles</vt:lpstr>
      <vt:lpstr>'Total Gas PIS_NBV-P17 (PA)'!Print_Titles</vt:lpstr>
      <vt:lpstr>'Total Gas PIS_NBV-P17 (Tot)'!Print_Titles</vt:lpstr>
      <vt:lpstr>'Transfer Detail PG 3 (Fin)'!Print_Titles</vt:lpstr>
      <vt:lpstr>'Transfer Detail PG 3 (PA)'!Print_Titles</vt:lpstr>
      <vt:lpstr>'Transfer Detail PG 3 (Tot)'!Print_Titles</vt:lpstr>
      <vt:lpstr>ResponsibilityApplicationID1</vt:lpstr>
      <vt:lpstr>ResponsibilityApplicationID2</vt:lpstr>
      <vt:lpstr>ResponsibilityApplicationID3</vt:lpstr>
      <vt:lpstr>ResponsibilityID1</vt:lpstr>
      <vt:lpstr>ResponsibilityID2</vt:lpstr>
      <vt:lpstr>ResponsibilityID3</vt:lpstr>
      <vt:lpstr>ResponsibilityName1</vt:lpstr>
      <vt:lpstr>ResponsibilityName2</vt:lpstr>
      <vt:lpstr>ResponsibilityName3</vt:lpstr>
      <vt:lpstr>SetOfBooksID1</vt:lpstr>
      <vt:lpstr>SetOfBooksID2</vt:lpstr>
      <vt:lpstr>SetOfBooksID3</vt:lpstr>
      <vt:lpstr>SetOfBooksName1</vt:lpstr>
      <vt:lpstr>SetOfBooksName2</vt:lpstr>
      <vt:lpstr>SetOfBooksName3</vt:lpstr>
      <vt:lpstr>ShowSeparator1</vt:lpstr>
      <vt:lpstr>ShowSeparator2</vt:lpstr>
      <vt:lpstr>ShowSeparator3</vt:lpstr>
      <vt:lpstr>YESMEANING1</vt:lpstr>
      <vt:lpstr>YESMEANING2</vt:lpstr>
      <vt:lpstr>YESMEANING3</vt:lpstr>
    </vt:vector>
  </TitlesOfParts>
  <Company>LG&amp;E Energy Corp</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e005011</dc:creator>
  <cp:lastModifiedBy> </cp:lastModifiedBy>
  <cp:lastPrinted>2012-04-12T12:17:06Z</cp:lastPrinted>
  <dcterms:created xsi:type="dcterms:W3CDTF">2008-05-19T17:28:40Z</dcterms:created>
  <dcterms:modified xsi:type="dcterms:W3CDTF">2012-05-22T15:51:40Z</dcterms:modified>
</cp:coreProperties>
</file>